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omments/comment2.xml" ContentType="application/vnd.openxmlformats-officedocument.spreadsheetml.comments+xml"/>
  <Override PartName="/xl/worksheets/sheet5.xml" ContentType="application/vnd.openxmlformats-officedocument.spreadsheetml.worksheet+xml"/>
  <Override PartName="/xl/comments/comment3.xml" ContentType="application/vnd.openxmlformats-officedocument.spreadsheetml.comments+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600" windowWidth="24060" windowHeight="21120" tabRatio="600" firstSheet="12" activeTab="20" autoFilterDateGrouping="1"/>
  </bookViews>
  <sheets>
    <sheet name="Subject Property" sheetId="1" state="visible" r:id="rId1"/>
    <sheet name="Comp Picker" sheetId="2" state="visible" r:id="rId2"/>
    <sheet name="S" sheetId="3" state="visible" r:id="rId3"/>
    <sheet name="WO" sheetId="4" state="visible" r:id="rId4"/>
    <sheet name="BAA Market" sheetId="5" state="visible" r:id="rId5"/>
    <sheet name="BAA Rent" sheetId="6" state="visible" r:id="rId6"/>
    <sheet name="Appeal" sheetId="7" state="visible" r:id="rId7"/>
    <sheet name="BOCC" sheetId="8" state="visible" r:id="rId8"/>
    <sheet name="M&amp;S Inputs" sheetId="9" state="visible" r:id="rId9"/>
    <sheet name="Cost Approach" sheetId="10" state="visible" r:id="rId10"/>
    <sheet name="Cost Approach MB" sheetId="11" state="visible" r:id="rId11"/>
    <sheet name="Reconciliation" sheetId="12" state="visible" r:id="rId12"/>
    <sheet name="Sales" sheetId="13" state="visible" r:id="rId13"/>
    <sheet name="Income" sheetId="14" state="visible" r:id="rId14"/>
    <sheet name="Codes" sheetId="15" state="visible" r:id="rId15"/>
    <sheet name="Occ Codes" sheetId="16" state="visible" r:id="rId16"/>
    <sheet name="Zoning Codes" sheetId="17" state="visible" r:id="rId17"/>
    <sheet name="Resources" sheetId="18" state="visible" r:id="rId18"/>
    <sheet name="Resource Directory" sheetId="19" state="visible" r:id="rId19"/>
    <sheet name="Property Registry" sheetId="20" state="visible" r:id="rId20"/>
    <sheet name="Expense Database" sheetId="21" state="visible" r:id="rId21"/>
    <sheet name="PSF Summary" sheetId="22" state="visible" r:id="rId22"/>
    <sheet name="Sheet1" sheetId="23" state="visible" r:id="rId23"/>
    <sheet name="Cost Inputs (Added)" sheetId="24" state="visible" r:id="rId24"/>
  </sheets>
  <externalReferences>
    <externalReference r:id="rId25"/>
    <externalReference r:id="rId26"/>
    <externalReference r:id="rId27"/>
    <externalReference r:id="rId28"/>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hidden="1">Sales!#REF!</definedName>
    <definedName name="_Key1" hidden="1">Income!#REF!</definedName>
    <definedName name="_Key2" hidden="1">Income!#REF!</definedName>
    <definedName name="_MKT1">WO!$A$20:$H$34</definedName>
    <definedName name="_Order1" hidden="1">255</definedName>
    <definedName name="_Order2" hidden="1">255</definedName>
    <definedName name="_RNT1">WO!$A$40:$G$55</definedName>
    <definedName name="_Sort" hidden="1">Income!#REF!</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PRINT_TITLES_MI">#REF!</definedName>
    <definedName name="RENT">Income!$A$1:$AK$1019</definedName>
    <definedName name="rent_line">Income!$A$5:$AK$1019</definedName>
    <definedName name="Rent_Save">'BAA Rent'!$B$23:$F$41</definedName>
    <definedName name="Rent_Title">Income!$A$2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Sales!$A$1:$AH$1151</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 name="Subj_OccName">IFERROR(INDEX(OCCMAP_NAME,MATCH(Subj_OccCode,OCCMAP_CODE,0)),"")</definedName>
    <definedName name="Subj_Basis">IF(OR(ISNUMBER(SEARCH("Apart",Subj_OccName)),ISNUMBER(SEARCH("Multiple Residence",Subj_OccName))),"Per Unit",IF(OR(ISNUMBER(SEARCH("Hotel",Subj_OccName)),ISNUMBER(SEARCH("Motel",Subj_OccName))),"Per Key","Per SF"))</definedName>
    <definedName name="Subj_Units1">'Subject Property'!$C$20</definedName>
    <definedName name="Subj_TotalUnits">SUM('Subject Property'!$C$20:$L$20)</definedName>
    <definedName name="_xlnm.Print_Area" localSheetId="3">'WO'!$A$1:$H$55</definedName>
    <definedName name="_Fill" localSheetId="4" hidden="1">[2]Vertical!#REF!</definedName>
    <definedName name="_Key1" localSheetId="4" hidden="1">[2]Vertical!#REF!</definedName>
    <definedName name="_Key2" localSheetId="4" hidden="1">[2]Vertical!#REF!</definedName>
    <definedName name="_Sort" localSheetId="4" hidden="1">[2]Vertical!#REF!</definedName>
    <definedName name="_xlnm.Print_Area" localSheetId="4">'BAA Market'!$A$1:$I$39</definedName>
    <definedName name="_Fill" localSheetId="5" hidden="1">#REF!</definedName>
    <definedName name="_Key1" localSheetId="5" hidden="1">#REF!</definedName>
    <definedName name="_Key2" localSheetId="5" hidden="1">#REF!</definedName>
    <definedName name="_Sort" localSheetId="5" hidden="1">#REF!</definedName>
    <definedName name="AdjRent1" localSheetId="5">'BAA Rent'!$G$23:$G$41</definedName>
    <definedName name="Location" localSheetId="5">[3]Codes!$G$1:$H$53</definedName>
    <definedName name="rent1" localSheetId="5">'BAA Rent'!$A$18</definedName>
    <definedName name="rent2" localSheetId="5">'BAA Rent'!$A$22</definedName>
    <definedName name="Subj" localSheetId="5">'BAA Rent'!$A$9</definedName>
    <definedName name="_xlnm.Print_Area" localSheetId="5">'BAA Rent'!$A$1:$H$41</definedName>
    <definedName name="_Key1" localSheetId="6" hidden="1">[4]Sales!#REF!</definedName>
    <definedName name="_Key2" localSheetId="6" hidden="1">[4]Sales!#REF!</definedName>
    <definedName name="_Sort" localSheetId="6" hidden="1">[4]Sales!#REF!</definedName>
    <definedName name="Class" localSheetId="6">[4]Sales!#REF!</definedName>
    <definedName name="RENT" localSheetId="6">[4]Sales!#REF!</definedName>
    <definedName name="Rent_Title" localSheetId="6">[4]Sales!#REF!</definedName>
    <definedName name="SALES" localSheetId="6">[4]Sales!#REF!</definedName>
    <definedName name="SCH" localSheetId="6">[4]Sales!#REF!</definedName>
    <definedName name="_xlnm.Print_Area" localSheetId="6">'Appeal'!$A$1:$M$74</definedName>
    <definedName name="_xlnm.Print_Area" localSheetId="7">'BOCC'!$A$1:$K$48</definedName>
    <definedName name="_xlnm.Print_Area" localSheetId="10">'Cost Approach MB'!$A$1:$AC$5</definedName>
    <definedName name="_xlnm.Print_Area" localSheetId="11">'Reconciliation'!$A$1:$AK$285</definedName>
    <definedName name="_xlnm._FilterDatabase" localSheetId="12" hidden="1">'Sales'!$A$1:$AH$941</definedName>
    <definedName name="_xlnm._FilterDatabase" localSheetId="13" hidden="1">'Income'!$A$1:$AK$1019</definedName>
    <definedName name="_xlnm._FilterDatabase" localSheetId="18" hidden="1">'Resource Directory'!$B$4:$H$296</definedName>
  </definedNames>
  <calcPr calcId="191029" fullCalcOnLoad="1"/>
</workbook>
</file>

<file path=xl/styles.xml><?xml version="1.0" encoding="utf-8"?>
<styleSheet xmlns="http://schemas.openxmlformats.org/spreadsheetml/2006/main">
  <numFmts count="22">
    <numFmt numFmtId="164" formatCode=";;;"/>
    <numFmt numFmtId="165" formatCode="0.00_)"/>
    <numFmt numFmtId="166" formatCode="0.0_)"/>
    <numFmt numFmtId="167" formatCode="0.0%"/>
    <numFmt numFmtId="168" formatCode="_(* #,##0_);_(* \(#,##0\);_(* &quot;-&quot;??_);_(@_)"/>
    <numFmt numFmtId="169" formatCode="&quot;$&quot;#,##0.00"/>
    <numFmt numFmtId="170" formatCode="0.0"/>
    <numFmt numFmtId="171" formatCode="&quot;$&quot;#,##0.00_);\(&quot;$&quot;#,##0.00\)"/>
    <numFmt numFmtId="172" formatCode="_(&quot;$&quot;* #,##0.00_);_(&quot;$&quot;* \(#,##0.00\);_(&quot;$&quot;* &quot;-&quot;??_);_(@_)"/>
    <numFmt numFmtId="173" formatCode="&quot;$&quot;#,##0.00_);[Red]\(&quot;$&quot;#,##0.00\)"/>
    <numFmt numFmtId="174" formatCode="m/d/yyyy;@"/>
    <numFmt numFmtId="175" formatCode="&quot;$&quot;#,##0"/>
    <numFmt numFmtId="176" formatCode="&quot;Page: &quot;0"/>
    <numFmt numFmtId="177" formatCode="&quot;$&quot;#,##0_);\(&quot;$&quot;#,##0\)"/>
    <numFmt numFmtId="178" formatCode="\$#,##0.00"/>
    <numFmt numFmtId="179" formatCode="\$#,##0"/>
    <numFmt numFmtId="180" formatCode="0.000"/>
    <numFmt numFmtId="181" formatCode="mm/dd/yyyy"/>
    <numFmt numFmtId="182" formatCode="mm/yy"/>
    <numFmt numFmtId="183" formatCode="&quot;$&quot;#,##0_);[Red]\(&quot;$&quot;#,##0\)"/>
    <numFmt numFmtId="184" formatCode="$#,##0.00"/>
    <numFmt numFmtId="185" formatCode="$#,##0"/>
  </numFmts>
  <fonts count="101">
    <font>
      <name val="Helv"/>
      <sz val="9"/>
    </font>
    <font>
      <name val="Arial"/>
      <family val="2"/>
      <sz val="10"/>
    </font>
    <font>
      <name val="Arial"/>
      <family val="2"/>
      <sz val="10"/>
    </font>
    <font>
      <name val="Helv"/>
      <sz val="14"/>
    </font>
    <font>
      <name val="Helv"/>
      <sz val="10"/>
    </font>
    <font>
      <name val="Helv"/>
      <b val="1"/>
      <sz val="14"/>
    </font>
    <font>
      <name val="Helv"/>
      <b val="1"/>
      <sz val="9"/>
    </font>
    <font>
      <name val="Helv"/>
      <sz val="11"/>
    </font>
    <font>
      <name val="Helv"/>
      <color indexed="10"/>
      <sz val="9"/>
    </font>
    <font>
      <name val="Helv"/>
      <sz val="9"/>
    </font>
    <font>
      <name val="Helv"/>
      <sz val="9"/>
    </font>
    <font>
      <name val="Arial"/>
      <family val="2"/>
      <sz val="7"/>
    </font>
    <font>
      <name val="Arial"/>
      <family val="2"/>
      <sz val="9"/>
    </font>
    <font>
      <name val="SWISS"/>
      <sz val="9"/>
    </font>
    <font>
      <name val="Arial"/>
      <family val="2"/>
      <sz val="10"/>
    </font>
    <font>
      <name val="SWISS"/>
      <sz val="12"/>
    </font>
    <font>
      <name val="Arial"/>
      <family val="2"/>
      <color indexed="8"/>
      <sz val="10"/>
    </font>
    <font>
      <name val="Tms Rmn"/>
      <sz val="13"/>
    </font>
    <font>
      <name val="Tms Rmn"/>
      <color indexed="12"/>
      <sz val="13"/>
    </font>
    <font>
      <name val="Tms Rmn"/>
      <b val="1"/>
      <sz val="13"/>
    </font>
    <font>
      <name val="Arial"/>
      <family val="2"/>
      <sz val="11"/>
    </font>
    <font>
      <name val="Arial"/>
      <family val="2"/>
      <sz val="8"/>
    </font>
    <font>
      <name val="Arial"/>
      <family val="2"/>
      <color indexed="10"/>
      <sz val="10"/>
    </font>
    <font>
      <name val="Arial"/>
      <family val="2"/>
      <color indexed="63"/>
      <sz val="10"/>
    </font>
    <font>
      <name val="DUTCH"/>
      <sz val="12"/>
    </font>
    <font>
      <name val="Century Schoolbook"/>
      <family val="1"/>
      <sz val="11"/>
    </font>
    <font>
      <name val="Calibri"/>
      <family val="2"/>
      <color theme="1"/>
      <sz val="11"/>
      <scheme val="minor"/>
    </font>
    <font>
      <name val="Arial"/>
      <family val="2"/>
      <color rgb="FFFF0000"/>
      <sz val="10"/>
    </font>
    <font>
      <name val="Helv"/>
      <color rgb="FF000000"/>
      <sz val="9"/>
    </font>
    <font>
      <name val="Arial Black"/>
      <family val="2"/>
      <color rgb="FF000000"/>
      <sz val="14"/>
    </font>
    <font>
      <name val="Arial Black"/>
      <family val="2"/>
      <color rgb="FF000000"/>
      <sz val="10"/>
    </font>
    <font>
      <name val="Helv"/>
      <b val="1"/>
      <color rgb="FF000000"/>
      <sz val="11"/>
    </font>
    <font>
      <name val="Tahoma"/>
      <family val="2"/>
      <b val="1"/>
      <color rgb="FF993366"/>
      <sz val="8"/>
    </font>
    <font>
      <name val="Helv"/>
      <b val="1"/>
      <i val="1"/>
      <color rgb="FF000000"/>
      <sz val="11"/>
    </font>
    <font>
      <name val="SWISS"/>
      <color rgb="FFFF0000"/>
      <sz val="12"/>
    </font>
    <font>
      <name val="Tms Rmn"/>
      <color rgb="FF000000"/>
      <sz val="13"/>
    </font>
    <font>
      <name val="Tms Rmn"/>
      <color rgb="FF993300"/>
      <sz val="13"/>
    </font>
    <font>
      <name val="Tms Rmn"/>
      <color rgb="FFFF6600"/>
      <sz val="13"/>
    </font>
    <font>
      <name val="Helv"/>
      <b val="1"/>
      <color rgb="FFFF0000"/>
      <sz val="9"/>
    </font>
    <font>
      <name val="Arial"/>
      <family val="2"/>
      <color theme="1"/>
      <sz val="10"/>
    </font>
    <font>
      <name val="Helv"/>
      <b val="1"/>
      <sz val="13"/>
    </font>
    <font>
      <name val="Helv"/>
      <b val="1"/>
      <color rgb="FFFFFFFF"/>
      <sz val="12"/>
    </font>
    <font>
      <name val="Helv"/>
      <b val="1"/>
      <sz val="10"/>
    </font>
    <font>
      <name val="Helv"/>
      <b val="1"/>
      <sz val="9"/>
    </font>
    <font>
      <name val="Helv"/>
      <i val="1"/>
      <color rgb="FF666666"/>
      <sz val="8"/>
    </font>
    <font>
      <name val="Helv"/>
      <sz val="9"/>
    </font>
    <font>
      <name val="Helv"/>
      <b val="1"/>
      <color rgb="FFFFFFFF"/>
      <sz val="11"/>
    </font>
    <font>
      <name val="Helv"/>
      <b val="1"/>
      <sz val="9"/>
    </font>
    <font>
      <name val="Helv"/>
      <b val="1"/>
      <sz val="12"/>
    </font>
    <font>
      <name val="Helv"/>
      <b val="1"/>
      <color rgb="FF203864"/>
      <sz val="14"/>
    </font>
    <font>
      <name val="Calibri"/>
      <family val="2"/>
      <color indexed="12"/>
      <sz val="9"/>
      <scheme val="minor"/>
    </font>
    <font>
      <name val="Calibri"/>
      <family val="2"/>
      <sz val="11"/>
      <scheme val="minor"/>
    </font>
    <font>
      <name val="Calibri"/>
      <family val="2"/>
      <b val="1"/>
      <i val="1"/>
      <sz val="11"/>
      <scheme val="minor"/>
    </font>
    <font>
      <name val="Calibri"/>
      <family val="2"/>
      <sz val="10"/>
      <scheme val="minor"/>
    </font>
    <font>
      <name val="Helv"/>
      <i val="1"/>
      <color rgb="FF7F7F7F"/>
      <sz val="9"/>
    </font>
    <font>
      <name val="Helv"/>
      <b val="1"/>
      <color rgb="FFFFFFFF"/>
      <sz val="9"/>
    </font>
    <font>
      <name val="Aptos Narrow"/>
      <b val="1"/>
      <color rgb="FFFFFFFF"/>
      <sz val="13"/>
    </font>
    <font>
      <name val="Aptos Narrow"/>
      <i val="1"/>
      <color rgb="FFFFFFFF"/>
      <sz val="10"/>
    </font>
    <font>
      <name val="Aptos Narrow"/>
      <b val="1"/>
      <color rgb="FFFFFFFF"/>
      <sz val="10"/>
    </font>
    <font>
      <name val="Calibri"/>
      <family val="2"/>
      <b val="1"/>
      <sz val="10"/>
    </font>
    <font>
      <name val="Aptos Narrow"/>
      <sz val="10"/>
    </font>
    <font>
      <name val="Calibri"/>
      <family val="2"/>
      <sz val="10"/>
    </font>
    <font>
      <name val="Calibri"/>
      <family val="2"/>
      <b val="1"/>
      <color rgb="FFFFFFFF"/>
      <sz val="13"/>
    </font>
    <font>
      <name val="Aptos Narrow"/>
      <b val="1"/>
      <sz val="10"/>
    </font>
    <font>
      <name val="Calibri"/>
      <family val="2"/>
      <i val="1"/>
      <sz val="9"/>
    </font>
    <font>
      <name val="Calibri"/>
      <family val="2"/>
      <b val="1"/>
      <sz val="9"/>
    </font>
    <font>
      <name val="Arial"/>
      <family val="2"/>
      <b val="1"/>
      <sz val="10"/>
    </font>
    <font>
      <name val="Arial"/>
      <family val="2"/>
      <b val="1"/>
      <color rgb="FFFFFFFF"/>
      <sz val="10"/>
    </font>
    <font>
      <name val="Helv"/>
      <i val="1"/>
      <sz val="9"/>
    </font>
    <font>
      <name val="Helv"/>
      <i val="1"/>
      <sz val="9"/>
    </font>
    <font>
      <name val="Helv"/>
      <i val="1"/>
      <color rgb="FFC00000"/>
      <sz val="9"/>
    </font>
    <font>
      <name val="Helv"/>
      <b val="1"/>
      <i val="1"/>
      <sz val="9"/>
    </font>
    <font>
      <name val="Helv"/>
      <b val="1"/>
      <i val="1"/>
      <color rgb="FFD97706"/>
      <sz val="9"/>
    </font>
    <font>
      <name val="Helv"/>
      <b val="1"/>
      <sz val="14"/>
    </font>
    <font>
      <name val="Helv"/>
      <color rgb="FF0563C1"/>
      <sz val="9"/>
      <u val="single"/>
    </font>
    <font>
      <name val="Helv"/>
      <i val="1"/>
      <sz val="8"/>
    </font>
    <font>
      <name val="Calibri"/>
      <family val="2"/>
      <b val="1"/>
      <color rgb="FFFFFFFF"/>
      <sz val="15"/>
    </font>
    <font>
      <name val="Calibri"/>
      <family val="2"/>
      <color rgb="FF333F50"/>
      <sz val="11"/>
    </font>
    <font>
      <name val="Calibri"/>
      <family val="2"/>
      <b val="1"/>
      <color rgb="FF1F4E78"/>
      <sz val="10"/>
    </font>
    <font>
      <name val="Calibri"/>
      <family val="2"/>
      <b val="1"/>
      <sz val="12"/>
    </font>
    <font>
      <name val="Calibri"/>
      <family val="2"/>
      <b val="1"/>
      <color rgb="FFFFFFFF"/>
      <sz val="11"/>
    </font>
    <font>
      <name val="Calibri"/>
      <family val="2"/>
      <b val="1"/>
      <color rgb="FF1F4E78"/>
      <sz val="9"/>
    </font>
    <font>
      <name val="Calibri"/>
      <family val="2"/>
      <b val="1"/>
      <color rgb="FF375623"/>
      <sz val="10"/>
    </font>
    <font>
      <name val="Calibri"/>
      <family val="2"/>
      <b val="1"/>
      <color rgb="FF833C00"/>
      <sz val="9"/>
    </font>
    <font>
      <name val="Helv"/>
      <color theme="10"/>
      <sz val="9"/>
      <u val="single"/>
    </font>
    <font>
      <name val="Calibri"/>
      <family val="2"/>
      <sz val="12"/>
      <u val="single"/>
    </font>
    <font>
      <name val="Calibri"/>
      <family val="2"/>
      <sz val="12"/>
    </font>
    <font>
      <name val="Calibri"/>
      <family val="2"/>
      <sz val="11"/>
    </font>
    <font>
      <name val="Roboto"/>
      <color rgb="FF212529"/>
      <sz val="12"/>
    </font>
    <font>
      <name val="Inter"/>
      <color rgb="FF171717"/>
      <sz val="11"/>
    </font>
    <font>
      <name val="System-ui"/>
      <color rgb="FF171717"/>
      <sz val="10"/>
    </font>
    <font>
      <name val="Arial"/>
      <family val="2"/>
      <color rgb="FF64748B"/>
      <sz val="10"/>
    </font>
    <font>
      <name val="Inter"/>
      <color rgb="FF171717"/>
      <sz val="10"/>
    </font>
    <font>
      <name val="Inter"/>
      <color rgb="FF171717"/>
      <sz val="12"/>
    </font>
    <font>
      <name val="System-ui"/>
      <color rgb="FF64748B"/>
      <sz val="10"/>
    </font>
    <font>
      <name val="Arial"/>
      <family val="2"/>
      <color rgb="FF171717"/>
      <sz val="10"/>
    </font>
    <font>
      <name val="Inter"/>
      <color rgb="FF525252"/>
      <sz val="9"/>
    </font>
    <font>
      <name val="Arial"/>
      <b val="1"/>
      <color rgb="001F3864"/>
      <sz val="13"/>
    </font>
    <font>
      <name val="Arial"/>
      <i val="1"/>
      <sz val="9"/>
    </font>
    <font>
      <name val="Arial"/>
      <b val="1"/>
      <color rgb="00FFFFFF"/>
      <sz val="10"/>
    </font>
    <font>
      <name val="Arial"/>
      <sz val="10"/>
    </font>
  </fonts>
  <fills count="22">
    <fill>
      <patternFill/>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
      <patternFill patternType="solid">
        <fgColor rgb="001F3864"/>
      </patternFill>
    </fill>
    <fill>
      <patternFill patternType="solid">
        <fgColor rgb="00FFF2CC"/>
      </patternFill>
    </fill>
    <fill>
      <patternFill patternType="solid">
        <fgColor rgb="00F2F5FA"/>
      </patternFill>
    </fill>
  </fills>
  <borders count="44">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
      <left style="thin">
        <color rgb="FFB7C9DB"/>
      </left>
      <right/>
      <top/>
      <bottom/>
      <diagonal/>
    </border>
    <border>
      <left/>
      <right/>
      <top style="thin">
        <color rgb="FFB7C9DB"/>
      </top>
      <bottom/>
      <diagonal/>
    </border>
    <border>
      <left/>
      <right style="thin">
        <color rgb="FFB7C9DB"/>
      </right>
      <top style="thin">
        <color rgb="FFB7C9DB"/>
      </top>
      <bottom/>
      <diagonal/>
    </border>
    <border>
      <bottom style="thin">
        <color rgb="00BBBBBB"/>
      </bottom>
    </border>
  </borders>
  <cellStyleXfs count="14">
    <xf numFmtId="0" fontId="45" fillId="0" borderId="18"/>
    <xf numFmtId="43" fontId="14" fillId="0" borderId="18"/>
    <xf numFmtId="43" fontId="25" fillId="0" borderId="18"/>
    <xf numFmtId="44" fontId="14" fillId="0" borderId="18"/>
    <xf numFmtId="0" fontId="26" fillId="0" borderId="18"/>
    <xf numFmtId="0" fontId="24" fillId="0" borderId="18"/>
    <xf numFmtId="0" fontId="17" fillId="0" borderId="18"/>
    <xf numFmtId="0" fontId="15" fillId="0" borderId="18"/>
    <xf numFmtId="0" fontId="14" fillId="0" borderId="18"/>
    <xf numFmtId="0" fontId="14" fillId="0" borderId="18"/>
    <xf numFmtId="0" fontId="45" fillId="0" borderId="18"/>
    <xf numFmtId="0" fontId="45" fillId="0" borderId="18"/>
    <xf numFmtId="9" fontId="14" fillId="0" borderId="18"/>
    <xf numFmtId="0" fontId="84" fillId="0" borderId="18"/>
  </cellStyleXfs>
  <cellXfs count="752">
    <xf numFmtId="0" fontId="0" fillId="0" borderId="0" pivotButton="0" quotePrefix="0" xfId="0"/>
    <xf numFmtId="164" fontId="0" fillId="0" borderId="0" pivotButton="0" quotePrefix="0" xfId="0"/>
    <xf numFmtId="165" fontId="0" fillId="0" borderId="0" pivotButton="0" quotePrefix="0" xfId="0"/>
    <xf numFmtId="37" fontId="0" fillId="0" borderId="0" pivotButton="0" quotePrefix="0" xfId="0"/>
    <xf numFmtId="0" fontId="0" fillId="0" borderId="0" applyAlignment="1" pivotButton="0" quotePrefix="0" xfId="0">
      <alignment horizontal="right"/>
    </xf>
    <xf numFmtId="0" fontId="3" fillId="0" borderId="0" pivotButton="0" quotePrefix="0" xfId="0"/>
    <xf numFmtId="0" fontId="4" fillId="0" borderId="0" pivotButton="0" quotePrefix="0" xfId="0"/>
    <xf numFmtId="0" fontId="6" fillId="0" borderId="0" pivotButton="0" quotePrefix="0" xfId="0"/>
    <xf numFmtId="0" fontId="0" fillId="0" borderId="4" pivotButton="0" quotePrefix="0" xfId="0"/>
    <xf numFmtId="0" fontId="7" fillId="0" borderId="0" pivotButton="0" quotePrefix="0" xfId="0"/>
    <xf numFmtId="0" fontId="0" fillId="0" borderId="5" pivotButton="0" quotePrefix="0" xfId="0"/>
    <xf numFmtId="0" fontId="0" fillId="0" borderId="6" pivotButton="0" quotePrefix="0" xfId="0"/>
    <xf numFmtId="0" fontId="8" fillId="0" borderId="0" pivotButton="0" quotePrefix="0" xfId="0"/>
    <xf numFmtId="165" fontId="7" fillId="0" borderId="0" pivotButton="0" quotePrefix="0" xfId="0"/>
    <xf numFmtId="0" fontId="5" fillId="0" borderId="0" pivotButton="0" quotePrefix="0" xfId="0"/>
    <xf numFmtId="0" fontId="0" fillId="0" borderId="0" applyAlignment="1" pivotButton="0" quotePrefix="1" xfId="0">
      <alignment horizontal="left"/>
    </xf>
    <xf numFmtId="0" fontId="5" fillId="0" borderId="0" applyProtection="1" pivotButton="0" quotePrefix="0" xfId="0">
      <protection locked="0" hidden="0"/>
    </xf>
    <xf numFmtId="0" fontId="9" fillId="0" borderId="0" pivotButton="0" quotePrefix="0" xfId="0"/>
    <xf numFmtId="0" fontId="9" fillId="0" borderId="0" applyAlignment="1" pivotButton="0" quotePrefix="0" xfId="0">
      <alignment horizontal="center"/>
    </xf>
    <xf numFmtId="0" fontId="9" fillId="0" borderId="0" applyAlignment="1" pivotButton="0" quotePrefix="1" xfId="0">
      <alignment horizontal="left"/>
    </xf>
    <xf numFmtId="166" fontId="10" fillId="0" borderId="0" pivotButton="0" quotePrefix="0" xfId="0"/>
    <xf numFmtId="0" fontId="4" fillId="0" borderId="0" applyAlignment="1" pivotButton="0" quotePrefix="1" xfId="0">
      <alignment horizontal="left"/>
    </xf>
    <xf numFmtId="0" fontId="11" fillId="0" borderId="0" pivotButton="0" quotePrefix="0" xfId="0"/>
    <xf numFmtId="0" fontId="0" fillId="0" borderId="0" applyAlignment="1" pivotButton="0" quotePrefix="0" xfId="0">
      <alignment horizontal="left"/>
    </xf>
    <xf numFmtId="0" fontId="12" fillId="0" borderId="0" pivotButton="0" quotePrefix="0" xfId="0"/>
    <xf numFmtId="0" fontId="12" fillId="0" borderId="0" applyAlignment="1" pivotButton="0" quotePrefix="1" xfId="0">
      <alignment horizontal="left"/>
    </xf>
    <xf numFmtId="49" fontId="12" fillId="0" borderId="0" applyAlignment="1" pivotButton="0" quotePrefix="0" xfId="0">
      <alignment horizontal="left"/>
    </xf>
    <xf numFmtId="0" fontId="12" fillId="0" borderId="0" applyAlignment="1" pivotButton="0" quotePrefix="0" xfId="0">
      <alignment horizontal="left"/>
    </xf>
    <xf numFmtId="0" fontId="13" fillId="0" borderId="0" pivotButton="0" quotePrefix="0" xfId="0"/>
    <xf numFmtId="0" fontId="13" fillId="0" borderId="0" applyAlignment="1" pivotButton="0" quotePrefix="0" xfId="0">
      <alignment horizontal="right"/>
    </xf>
    <xf numFmtId="0" fontId="13" fillId="0" borderId="0" applyAlignment="1" pivotButton="0" quotePrefix="0" xfId="0">
      <alignment horizontal="center"/>
    </xf>
    <xf numFmtId="0" fontId="0" fillId="0" borderId="0" applyAlignment="1" pivotButton="0" quotePrefix="1" xfId="0">
      <alignment horizontal="center"/>
    </xf>
    <xf numFmtId="0" fontId="12" fillId="0" borderId="0" applyAlignment="1" pivotButton="0" quotePrefix="0" xfId="0">
      <alignment horizontal="center"/>
    </xf>
    <xf numFmtId="0" fontId="0" fillId="0" borderId="0" applyAlignment="1" pivotButton="0" quotePrefix="0" xfId="0">
      <alignment horizontal="center"/>
    </xf>
    <xf numFmtId="0" fontId="13" fillId="0" borderId="0" applyAlignment="1" pivotButton="0" quotePrefix="1" xfId="0">
      <alignment horizontal="center"/>
    </xf>
    <xf numFmtId="0" fontId="13" fillId="0" borderId="0" applyAlignment="1" pivotButton="0" quotePrefix="0" xfId="0">
      <alignment horizontal="left"/>
    </xf>
    <xf numFmtId="0" fontId="16" fillId="0" borderId="0" pivotButton="0" quotePrefix="0" xfId="8"/>
    <xf numFmtId="0" fontId="16" fillId="0" borderId="0" applyAlignment="1" pivotButton="0" quotePrefix="0" xfId="8">
      <alignment horizontal="right"/>
    </xf>
    <xf numFmtId="167" fontId="16" fillId="0" borderId="0" applyAlignment="1" pivotButton="0" quotePrefix="0" xfId="8">
      <alignment horizontal="right"/>
    </xf>
    <xf numFmtId="0" fontId="17" fillId="0" borderId="0" pivotButton="0" quotePrefix="0" xfId="6"/>
    <xf numFmtId="0" fontId="17" fillId="0" borderId="12" pivotButton="0" quotePrefix="0" xfId="6"/>
    <xf numFmtId="0" fontId="17" fillId="0" borderId="13" pivotButton="0" quotePrefix="0" xfId="6"/>
    <xf numFmtId="0" fontId="17" fillId="2" borderId="14" pivotButton="0" quotePrefix="0" xfId="6"/>
    <xf numFmtId="0" fontId="17" fillId="0" borderId="14" pivotButton="0" quotePrefix="0" xfId="6"/>
    <xf numFmtId="0" fontId="19" fillId="0" borderId="0" pivotButton="0" quotePrefix="0" xfId="6"/>
    <xf numFmtId="0" fontId="9" fillId="0" borderId="0" pivotButton="0" quotePrefix="0" xfId="11"/>
    <xf numFmtId="0" fontId="9" fillId="0" borderId="0" applyAlignment="1" pivotButton="0" quotePrefix="1" xfId="11">
      <alignment horizontal="left"/>
    </xf>
    <xf numFmtId="0" fontId="9" fillId="0" borderId="0" applyAlignment="1" pivotButton="0" quotePrefix="0" xfId="11">
      <alignment horizontal="left"/>
    </xf>
    <xf numFmtId="0" fontId="1" fillId="0" borderId="0" pivotButton="0" quotePrefix="0" xfId="9"/>
    <xf numFmtId="0" fontId="1" fillId="0" borderId="12" pivotButton="0" quotePrefix="0" xfId="9"/>
    <xf numFmtId="0" fontId="1" fillId="0" borderId="13" pivotButton="0" quotePrefix="0" xfId="9"/>
    <xf numFmtId="0" fontId="1" fillId="2" borderId="14" pivotButton="0" quotePrefix="0" xfId="9"/>
    <xf numFmtId="0" fontId="1" fillId="0" borderId="14" pivotButton="0" quotePrefix="0" xfId="9"/>
    <xf numFmtId="0" fontId="19" fillId="0" borderId="0" pivotButton="0" quotePrefix="0" xfId="9"/>
    <xf numFmtId="0" fontId="20" fillId="0" borderId="0" pivotButton="0" quotePrefix="0" xfId="0"/>
    <xf numFmtId="0" fontId="20" fillId="0" borderId="0" applyAlignment="1" pivotButton="0" quotePrefix="0" xfId="0">
      <alignment horizontal="centerContinuous" wrapText="1"/>
    </xf>
    <xf numFmtId="0" fontId="21" fillId="0" borderId="0" applyAlignment="1" pivotButton="0" quotePrefix="0" xfId="0">
      <alignment horizontal="left"/>
    </xf>
    <xf numFmtId="0" fontId="21" fillId="0" borderId="0" pivotButton="0" quotePrefix="0" xfId="0"/>
    <xf numFmtId="0" fontId="11" fillId="0" borderId="0" applyAlignment="1" pivotButton="0" quotePrefix="1" xfId="0">
      <alignment horizontal="left"/>
    </xf>
    <xf numFmtId="0" fontId="14" fillId="0" borderId="0" pivotButton="0" quotePrefix="0" xfId="0"/>
    <xf numFmtId="164" fontId="14" fillId="0" borderId="0" pivotButton="0" quotePrefix="0" xfId="0"/>
    <xf numFmtId="0" fontId="14" fillId="0" borderId="0" applyAlignment="1" pivotButton="0" quotePrefix="0" xfId="0">
      <alignment horizontal="left"/>
    </xf>
    <xf numFmtId="0" fontId="22" fillId="0" borderId="0" applyProtection="1" pivotButton="0" quotePrefix="0" xfId="11">
      <protection locked="0" hidden="0"/>
    </xf>
    <xf numFmtId="0" fontId="14" fillId="0" borderId="0" applyAlignment="1" pivotButton="0" quotePrefix="0" xfId="0">
      <alignment horizontal="center"/>
    </xf>
    <xf numFmtId="3" fontId="14" fillId="0" borderId="0" pivotButton="0" quotePrefix="0" xfId="0"/>
    <xf numFmtId="37" fontId="14" fillId="0" borderId="0" pivotButton="0" quotePrefix="0" xfId="0"/>
    <xf numFmtId="3" fontId="14" fillId="0" borderId="0" pivotButton="0" quotePrefix="0" xfId="1"/>
    <xf numFmtId="0" fontId="14" fillId="0" borderId="0" applyAlignment="1" pivotButton="0" quotePrefix="0" xfId="0">
      <alignment horizontal="right"/>
    </xf>
    <xf numFmtId="0" fontId="14" fillId="0" borderId="0" applyAlignment="1" pivotButton="0" quotePrefix="1" xfId="0">
      <alignment horizontal="left"/>
    </xf>
    <xf numFmtId="0" fontId="14" fillId="0" borderId="0" applyAlignment="1" pivotButton="0" quotePrefix="0" xfId="10">
      <alignment horizontal="center"/>
    </xf>
    <xf numFmtId="168" fontId="14" fillId="0" borderId="0" pivotButton="0" quotePrefix="0" xfId="1"/>
    <xf numFmtId="169" fontId="14" fillId="0" borderId="0" pivotButton="0" quotePrefix="0" xfId="0"/>
    <xf numFmtId="49" fontId="14" fillId="0" borderId="0" applyAlignment="1" pivotButton="0" quotePrefix="0" xfId="10">
      <alignment horizontal="center"/>
    </xf>
    <xf numFmtId="0" fontId="14" fillId="0" borderId="0" pivotButton="0" quotePrefix="0" xfId="10"/>
    <xf numFmtId="9" fontId="14" fillId="0" borderId="0" applyAlignment="1" pivotButton="0" quotePrefix="1" xfId="10">
      <alignment horizontal="right"/>
    </xf>
    <xf numFmtId="169" fontId="14" fillId="0" borderId="0" applyAlignment="1" pivotButton="0" quotePrefix="0" xfId="10">
      <alignment horizontal="right"/>
    </xf>
    <xf numFmtId="9" fontId="14" fillId="0" borderId="0" applyAlignment="1" pivotButton="0" quotePrefix="0" xfId="10">
      <alignment horizontal="right"/>
    </xf>
    <xf numFmtId="0" fontId="21" fillId="0" borderId="0" applyAlignment="1" pivotButton="0" quotePrefix="1" xfId="0">
      <alignment horizontal="right"/>
    </xf>
    <xf numFmtId="0" fontId="0" fillId="0" borderId="14" applyAlignment="1" pivotButton="0" quotePrefix="0" xfId="0">
      <alignment horizontal="right"/>
    </xf>
    <xf numFmtId="0" fontId="0" fillId="0" borderId="0" applyAlignment="1" pivotButton="0" quotePrefix="1" xfId="0">
      <alignment horizontal="right"/>
    </xf>
    <xf numFmtId="37" fontId="7" fillId="0" borderId="0" applyAlignment="1" pivotButton="0" quotePrefix="0" xfId="0">
      <alignment horizontal="right"/>
    </xf>
    <xf numFmtId="1" fontId="14" fillId="0" borderId="0" pivotButton="0" quotePrefix="0" xfId="0"/>
    <xf numFmtId="170" fontId="14" fillId="0" borderId="0" applyAlignment="1" pivotButton="0" quotePrefix="0" xfId="0">
      <alignment horizontal="right"/>
    </xf>
    <xf numFmtId="0" fontId="23" fillId="0" borderId="0" applyAlignment="1" pivotButton="0" quotePrefix="0" xfId="0">
      <alignment horizontal="right"/>
    </xf>
    <xf numFmtId="0" fontId="12" fillId="0" borderId="0" applyAlignment="1" pivotButton="0" quotePrefix="1" xfId="0">
      <alignment horizontal="center"/>
    </xf>
    <xf numFmtId="3" fontId="12" fillId="0" borderId="0" applyAlignment="1" pivotButton="0" quotePrefix="1" xfId="0">
      <alignment horizontal="center"/>
    </xf>
    <xf numFmtId="3" fontId="12" fillId="0" borderId="0" applyAlignment="1" pivotButton="0" quotePrefix="0" xfId="0">
      <alignment horizontal="center"/>
    </xf>
    <xf numFmtId="171" fontId="14" fillId="0" borderId="0" pivotButton="0" quotePrefix="0" xfId="3"/>
    <xf numFmtId="9" fontId="14" fillId="0" borderId="0" pivotButton="0" quotePrefix="0" xfId="0"/>
    <xf numFmtId="172" fontId="14" fillId="0" borderId="0" pivotButton="0" quotePrefix="0" xfId="3"/>
    <xf numFmtId="172" fontId="14" fillId="0" borderId="0" applyAlignment="1" pivotButton="0" quotePrefix="0" xfId="3">
      <alignment horizontal="center"/>
    </xf>
    <xf numFmtId="49" fontId="14" fillId="0" borderId="0" applyAlignment="1" pivotButton="0" quotePrefix="0" xfId="0">
      <alignment horizontal="right"/>
    </xf>
    <xf numFmtId="0" fontId="2" fillId="0" borderId="0" applyAlignment="1" pivotButton="0" quotePrefix="0" xfId="0">
      <alignment horizontal="center"/>
    </xf>
    <xf numFmtId="0" fontId="2" fillId="0" borderId="0" pivotButton="0" quotePrefix="0" xfId="0"/>
    <xf numFmtId="49" fontId="2" fillId="0" borderId="0" applyAlignment="1" pivotButton="0" quotePrefix="0" xfId="0">
      <alignment horizontal="right"/>
    </xf>
    <xf numFmtId="3" fontId="2" fillId="0" borderId="0" pivotButton="0" quotePrefix="0" xfId="0"/>
    <xf numFmtId="171" fontId="2" fillId="0" borderId="0" pivotButton="0" quotePrefix="0" xfId="3"/>
    <xf numFmtId="9" fontId="2" fillId="0" borderId="0" pivotButton="0" quotePrefix="0" xfId="0"/>
    <xf numFmtId="0" fontId="2" fillId="0" borderId="0" applyAlignment="1" pivotButton="0" quotePrefix="0" xfId="0">
      <alignment horizontal="right"/>
    </xf>
    <xf numFmtId="172" fontId="2" fillId="0" borderId="0" pivotButton="0" quotePrefix="0" xfId="3"/>
    <xf numFmtId="172" fontId="2" fillId="0" borderId="0" applyAlignment="1" pivotButton="0" quotePrefix="0" xfId="3">
      <alignment horizontal="center"/>
    </xf>
    <xf numFmtId="173" fontId="2" fillId="0" borderId="0" pivotButton="0" quotePrefix="0" xfId="0"/>
    <xf numFmtId="9" fontId="2" fillId="0" borderId="0" applyAlignment="1" pivotButton="0" quotePrefix="0" xfId="12">
      <alignment horizontal="right"/>
    </xf>
    <xf numFmtId="9" fontId="2" fillId="0" borderId="0" applyAlignment="1" pivotButton="0" quotePrefix="0" xfId="0">
      <alignment horizontal="right"/>
    </xf>
    <xf numFmtId="0" fontId="2" fillId="0" borderId="0" applyAlignment="1" pivotButton="0" quotePrefix="0" xfId="0">
      <alignment horizontal="left"/>
    </xf>
    <xf numFmtId="169" fontId="2" fillId="0" borderId="0" pivotButton="0" quotePrefix="0" xfId="0"/>
    <xf numFmtId="0" fontId="27" fillId="0" borderId="0" pivotButton="0" quotePrefix="0" xfId="0"/>
    <xf numFmtId="168" fontId="2" fillId="0" borderId="0" pivotButton="0" quotePrefix="0" xfId="1"/>
    <xf numFmtId="9" fontId="2" fillId="0" borderId="0" pivotButton="0" quotePrefix="0" xfId="12"/>
    <xf numFmtId="170" fontId="2" fillId="0" borderId="0" pivotButton="0" quotePrefix="0" xfId="0"/>
    <xf numFmtId="170" fontId="2" fillId="0" borderId="0" applyAlignment="1" pivotButton="0" quotePrefix="0" xfId="0">
      <alignment horizontal="right"/>
    </xf>
    <xf numFmtId="0" fontId="1" fillId="0" borderId="0" pivotButton="0" quotePrefix="0" xfId="0"/>
    <xf numFmtId="0" fontId="14" fillId="0" borderId="0" applyAlignment="1" pivotButton="0" quotePrefix="0" xfId="0">
      <alignment vertical="center"/>
    </xf>
    <xf numFmtId="0" fontId="1" fillId="0" borderId="0" pivotButton="0" quotePrefix="0" xfId="7"/>
    <xf numFmtId="0" fontId="1" fillId="0" borderId="0" applyAlignment="1" pivotButton="0" quotePrefix="0" xfId="7">
      <alignment vertical="center"/>
    </xf>
    <xf numFmtId="9" fontId="1" fillId="0" borderId="0" pivotButton="0" quotePrefix="0" xfId="7"/>
    <xf numFmtId="171" fontId="1" fillId="0" borderId="0" pivotButton="0" quotePrefix="0" xfId="7"/>
    <xf numFmtId="169" fontId="1" fillId="0" borderId="0" pivotButton="0" quotePrefix="0" xfId="7"/>
    <xf numFmtId="174" fontId="0" fillId="0" borderId="0" pivotButton="0" quotePrefix="0" xfId="0"/>
    <xf numFmtId="4" fontId="0" fillId="0" borderId="0" pivotButton="0" quotePrefix="0" xfId="0"/>
    <xf numFmtId="169" fontId="0" fillId="0" borderId="0" pivotButton="0" quotePrefix="0" xfId="0"/>
    <xf numFmtId="2" fontId="0" fillId="0" borderId="0" pivotButton="0" quotePrefix="0" xfId="0"/>
    <xf numFmtId="175" fontId="0" fillId="0" borderId="0" pivotButton="0" quotePrefix="0" xfId="0"/>
    <xf numFmtId="0" fontId="39" fillId="0" borderId="0" applyProtection="1" pivotButton="0" quotePrefix="0" xfId="11">
      <protection locked="0" hidden="0"/>
    </xf>
    <xf numFmtId="14" fontId="0" fillId="0" borderId="0" pivotButton="0" quotePrefix="0" xfId="0"/>
    <xf numFmtId="0" fontId="40" fillId="0" borderId="0" pivotButton="0" quotePrefix="0" xfId="0"/>
    <xf numFmtId="0" fontId="45" fillId="0" borderId="17" applyAlignment="1" pivotButton="0" quotePrefix="0" xfId="0">
      <alignment vertical="top"/>
    </xf>
    <xf numFmtId="0" fontId="45" fillId="0" borderId="17" pivotButton="0" quotePrefix="0" xfId="0"/>
    <xf numFmtId="0" fontId="45" fillId="0" borderId="17" applyAlignment="1" pivotButton="0" quotePrefix="0" xfId="0">
      <alignment horizontal="left" vertical="center"/>
    </xf>
    <xf numFmtId="0" fontId="45" fillId="0" borderId="17" applyAlignment="1" pivotButton="0" quotePrefix="0" xfId="0">
      <alignment vertical="center"/>
    </xf>
    <xf numFmtId="0" fontId="45" fillId="0" borderId="17" applyAlignment="1" pivotButton="0" quotePrefix="0" xfId="0">
      <alignment horizontal="center"/>
    </xf>
    <xf numFmtId="0" fontId="45" fillId="0" borderId="17" applyAlignment="1" pivotButton="0" quotePrefix="0" xfId="0">
      <alignment horizontal="left" vertical="center" indent="1"/>
    </xf>
    <xf numFmtId="0" fontId="45" fillId="0" borderId="17" applyAlignment="1" pivotButton="0" quotePrefix="0" xfId="0">
      <alignment horizontal="left" vertical="center" indent="2"/>
    </xf>
    <xf numFmtId="0" fontId="45" fillId="0" borderId="17" applyAlignment="1" pivotButton="0" quotePrefix="0" xfId="0">
      <alignment horizontal="center" vertical="center"/>
    </xf>
    <xf numFmtId="0" fontId="45" fillId="0" borderId="17" applyAlignment="1" pivotButton="0" quotePrefix="0" xfId="0">
      <alignment horizontal="left" vertical="center" indent="3"/>
    </xf>
    <xf numFmtId="0" fontId="45" fillId="0" borderId="17" applyAlignment="1" applyProtection="1" pivotButton="0" quotePrefix="0" xfId="0">
      <alignment horizontal="left"/>
      <protection locked="0" hidden="0"/>
    </xf>
    <xf numFmtId="0" fontId="45" fillId="0" borderId="17" applyAlignment="1" applyProtection="1" pivotButton="0" quotePrefix="0" xfId="0">
      <alignment horizontal="center"/>
      <protection locked="0" hidden="0"/>
    </xf>
    <xf numFmtId="0" fontId="45" fillId="0" borderId="17" applyAlignment="1" pivotButton="0" quotePrefix="0" xfId="0">
      <alignment horizontal="left"/>
    </xf>
    <xf numFmtId="0" fontId="45" fillId="0" borderId="17" applyAlignment="1" pivotButton="0" quotePrefix="0" xfId="0">
      <alignment horizontal="right"/>
    </xf>
    <xf numFmtId="0" fontId="45" fillId="0" borderId="17" applyAlignment="1" pivotButton="0" quotePrefix="0" xfId="0">
      <alignment horizontal="right" vertical="center"/>
    </xf>
    <xf numFmtId="0" fontId="45" fillId="0" borderId="17" applyAlignment="1" pivotButton="0" quotePrefix="0" xfId="0">
      <alignment horizontal="left" vertical="center" wrapText="1"/>
    </xf>
    <xf numFmtId="0" fontId="50" fillId="6" borderId="20" applyAlignment="1" pivotButton="0" quotePrefix="0" xfId="0">
      <alignment horizontal="left" indent="1"/>
    </xf>
    <xf numFmtId="176" fontId="50" fillId="6" borderId="20" applyAlignment="1" pivotButton="0" quotePrefix="0" xfId="0">
      <alignment horizontal="left"/>
    </xf>
    <xf numFmtId="3" fontId="50" fillId="6" borderId="20" applyAlignment="1" pivotButton="0" quotePrefix="0" xfId="0">
      <alignment horizontal="left" indent="1"/>
    </xf>
    <xf numFmtId="3" fontId="51" fillId="6" borderId="0" pivotButton="0" quotePrefix="0" xfId="0"/>
    <xf numFmtId="177" fontId="51" fillId="6" borderId="0" pivotButton="0" quotePrefix="0" xfId="0"/>
    <xf numFmtId="0" fontId="51" fillId="6" borderId="0" pivotButton="0" quotePrefix="0" xfId="0"/>
    <xf numFmtId="0" fontId="52" fillId="6" borderId="0" pivotButton="0" quotePrefix="0" xfId="0"/>
    <xf numFmtId="0" fontId="53" fillId="0" borderId="0" applyAlignment="1" pivotButton="0" quotePrefix="0" xfId="0">
      <alignment vertical="center"/>
    </xf>
    <xf numFmtId="0" fontId="60" fillId="0" borderId="21" applyAlignment="1" pivotButton="0" quotePrefix="0" xfId="0">
      <alignment vertical="top" wrapText="1"/>
    </xf>
    <xf numFmtId="0" fontId="61" fillId="0" borderId="21" applyAlignment="1" pivotButton="0" quotePrefix="0" xfId="0">
      <alignment horizontal="center" vertical="center"/>
    </xf>
    <xf numFmtId="0" fontId="61" fillId="0" borderId="21" applyAlignment="1" pivotButton="0" quotePrefix="0" xfId="0">
      <alignment horizontal="left" vertical="center"/>
    </xf>
    <xf numFmtId="3" fontId="60" fillId="0" borderId="21" applyAlignment="1" pivotButton="0" quotePrefix="0" xfId="0">
      <alignment vertical="top" wrapText="1"/>
    </xf>
    <xf numFmtId="0" fontId="61" fillId="0" borderId="21" pivotButton="0" quotePrefix="0" xfId="0"/>
    <xf numFmtId="0" fontId="60" fillId="0" borderId="21" applyAlignment="1" pivotButton="0" quotePrefix="0" xfId="0">
      <alignment vertical="center"/>
    </xf>
    <xf numFmtId="0" fontId="61" fillId="0" borderId="21" applyAlignment="1" pivotButton="0" quotePrefix="0" xfId="0">
      <alignment horizontal="left"/>
    </xf>
    <xf numFmtId="3" fontId="60" fillId="0" borderId="21" applyAlignment="1" pivotButton="0" quotePrefix="0" xfId="0">
      <alignment vertical="center"/>
    </xf>
    <xf numFmtId="4" fontId="60" fillId="0" borderId="21" applyAlignment="1" pivotButton="0" quotePrefix="0" xfId="0">
      <alignment vertical="center"/>
    </xf>
    <xf numFmtId="4" fontId="63" fillId="0" borderId="21" applyAlignment="1" pivotButton="0" quotePrefix="0" xfId="0">
      <alignment vertical="center"/>
    </xf>
    <xf numFmtId="0" fontId="63" fillId="0" borderId="21" applyAlignment="1" pivotButton="0" quotePrefix="0" xfId="0">
      <alignment vertical="center"/>
    </xf>
    <xf numFmtId="3" fontId="61" fillId="0" borderId="21" applyAlignment="1" pivotButton="0" quotePrefix="0" xfId="0">
      <alignment horizontal="right"/>
    </xf>
    <xf numFmtId="3" fontId="61" fillId="0" borderId="21" applyAlignment="1" pivotButton="0" quotePrefix="0" xfId="0">
      <alignment horizontal="right" vertical="center"/>
    </xf>
    <xf numFmtId="178" fontId="61" fillId="0" borderId="21" applyAlignment="1" pivotButton="0" quotePrefix="0" xfId="0">
      <alignment horizontal="right" vertical="center"/>
    </xf>
    <xf numFmtId="0" fontId="61" fillId="0" borderId="21" applyAlignment="1" pivotButton="0" quotePrefix="0" xfId="0">
      <alignment horizontal="left" vertical="center" wrapText="1"/>
    </xf>
    <xf numFmtId="38" fontId="61" fillId="0" borderId="21" applyAlignment="1" pivotButton="0" quotePrefix="0" xfId="0">
      <alignment horizontal="right" vertical="center"/>
    </xf>
    <xf numFmtId="0" fontId="54" fillId="0" borderId="0" applyAlignment="1" pivotButton="0" quotePrefix="0" xfId="0">
      <alignment vertical="top" wrapText="1"/>
    </xf>
    <xf numFmtId="0" fontId="42" fillId="0" borderId="0" pivotButton="0" quotePrefix="0" xfId="0"/>
    <xf numFmtId="0" fontId="70" fillId="0" borderId="0" pivotButton="0" quotePrefix="0" xfId="0"/>
    <xf numFmtId="0" fontId="47" fillId="0" borderId="0" pivotButton="0" quotePrefix="0" xfId="0"/>
    <xf numFmtId="178" fontId="45" fillId="0" borderId="17" applyAlignment="1" pivotButton="0" quotePrefix="0" xfId="0">
      <alignment vertical="center"/>
    </xf>
    <xf numFmtId="179" fontId="45" fillId="0" borderId="17" applyAlignment="1" pivotButton="0" quotePrefix="0" xfId="0">
      <alignment vertical="center"/>
    </xf>
    <xf numFmtId="179" fontId="47" fillId="0" borderId="17" applyAlignment="1" pivotButton="0" quotePrefix="0" xfId="0">
      <alignment vertical="center"/>
    </xf>
    <xf numFmtId="180" fontId="45" fillId="0" borderId="17" applyAlignment="1" pivotButton="0" quotePrefix="0" xfId="0">
      <alignment vertical="center"/>
    </xf>
    <xf numFmtId="180" fontId="47" fillId="0" borderId="17" applyAlignment="1" pivotButton="0" quotePrefix="0" xfId="0">
      <alignment vertical="center"/>
    </xf>
    <xf numFmtId="179" fontId="48" fillId="0" borderId="17" applyAlignment="1" pivotButton="0" quotePrefix="0" xfId="0">
      <alignment vertical="center"/>
    </xf>
    <xf numFmtId="178" fontId="45" fillId="0" borderId="17" pivotButton="0" quotePrefix="0" xfId="0"/>
    <xf numFmtId="179" fontId="45" fillId="0" borderId="17" pivotButton="0" quotePrefix="0" xfId="0"/>
    <xf numFmtId="167" fontId="45" fillId="0" borderId="17" pivotButton="0" quotePrefix="0" xfId="0"/>
    <xf numFmtId="179" fontId="47" fillId="0" borderId="17" pivotButton="0" quotePrefix="0" xfId="0"/>
    <xf numFmtId="179" fontId="49" fillId="0" borderId="17" pivotButton="0" quotePrefix="0" xfId="0"/>
    <xf numFmtId="179" fontId="49" fillId="0" borderId="17" applyAlignment="1" pivotButton="0" quotePrefix="0" xfId="0">
      <alignment vertical="center"/>
    </xf>
    <xf numFmtId="179" fontId="0" fillId="0" borderId="0" pivotButton="0" quotePrefix="0" xfId="0"/>
    <xf numFmtId="178" fontId="0" fillId="0" borderId="0" pivotButton="0" quotePrefix="0" xfId="0"/>
    <xf numFmtId="3" fontId="0" fillId="0" borderId="0" pivotButton="0" quotePrefix="0" xfId="0"/>
    <xf numFmtId="181" fontId="0" fillId="0" borderId="0" pivotButton="0" quotePrefix="0" xfId="0"/>
    <xf numFmtId="0" fontId="71" fillId="0" borderId="0" pivotButton="0" quotePrefix="0" xfId="0"/>
    <xf numFmtId="0" fontId="43" fillId="0" borderId="0" pivotButton="0" quotePrefix="0" xfId="0"/>
    <xf numFmtId="0" fontId="41" fillId="7" borderId="0" pivotButton="0" quotePrefix="0" xfId="0"/>
    <xf numFmtId="0" fontId="0" fillId="8" borderId="19" pivotButton="0" quotePrefix="0" xfId="0"/>
    <xf numFmtId="3" fontId="0" fillId="8" borderId="19" pivotButton="0" quotePrefix="0" xfId="0"/>
    <xf numFmtId="1" fontId="0" fillId="8" borderId="19" pivotButton="0" quotePrefix="0" xfId="0"/>
    <xf numFmtId="1" fontId="68" fillId="9" borderId="19" pivotButton="0" quotePrefix="0" xfId="0"/>
    <xf numFmtId="9" fontId="0" fillId="8" borderId="19" pivotButton="0" quotePrefix="0" xfId="0"/>
    <xf numFmtId="0" fontId="55" fillId="7" borderId="0" pivotButton="0" quotePrefix="0" xfId="0"/>
    <xf numFmtId="0" fontId="0" fillId="7" borderId="0" pivotButton="0" quotePrefix="0" xfId="0"/>
    <xf numFmtId="0" fontId="47" fillId="10" borderId="0" pivotButton="0" quotePrefix="0" xfId="0"/>
    <xf numFmtId="179" fontId="0" fillId="11" borderId="0" pivotButton="0" quotePrefix="0" xfId="0"/>
    <xf numFmtId="178" fontId="0" fillId="11" borderId="0" pivotButton="0" quotePrefix="0" xfId="0"/>
    <xf numFmtId="0" fontId="46" fillId="7" borderId="0" pivotButton="0" quotePrefix="0" xfId="0"/>
    <xf numFmtId="0" fontId="0" fillId="10" borderId="4" pivotButton="0" quotePrefix="0" xfId="0"/>
    <xf numFmtId="0" fontId="47" fillId="8" borderId="0" applyAlignment="1" pivotButton="0" quotePrefix="0" xfId="0">
      <alignment horizontal="center"/>
    </xf>
    <xf numFmtId="0" fontId="6" fillId="10" borderId="0" pivotButton="0" quotePrefix="0" xfId="0"/>
    <xf numFmtId="0" fontId="45" fillId="8" borderId="19" applyAlignment="1" pivotButton="0" quotePrefix="0" xfId="0">
      <alignment horizontal="center"/>
    </xf>
    <xf numFmtId="0" fontId="45" fillId="9" borderId="17" applyAlignment="1" pivotButton="0" quotePrefix="0" xfId="0">
      <alignment vertical="center"/>
    </xf>
    <xf numFmtId="0" fontId="45" fillId="8" borderId="19" applyAlignment="1" pivotButton="0" quotePrefix="0" xfId="0">
      <alignment horizontal="right"/>
    </xf>
    <xf numFmtId="0" fontId="45" fillId="8" borderId="19" pivotButton="0" quotePrefix="0" xfId="0"/>
    <xf numFmtId="3" fontId="45" fillId="8" borderId="19" pivotButton="0" quotePrefix="0" xfId="0"/>
    <xf numFmtId="2" fontId="45" fillId="8" borderId="19" pivotButton="0" quotePrefix="0" xfId="0"/>
    <xf numFmtId="2" fontId="45" fillId="8" borderId="19" applyAlignment="1" pivotButton="0" quotePrefix="0" xfId="0">
      <alignment horizontal="center" vertical="center"/>
    </xf>
    <xf numFmtId="0" fontId="45" fillId="8" borderId="19" applyAlignment="1" pivotButton="0" quotePrefix="0" xfId="0">
      <alignment vertical="center"/>
    </xf>
    <xf numFmtId="181" fontId="45" fillId="8" borderId="19" applyAlignment="1" pivotButton="0" quotePrefix="0" xfId="0">
      <alignment vertical="center"/>
    </xf>
    <xf numFmtId="0" fontId="41" fillId="7" borderId="17" applyAlignment="1" pivotButton="0" quotePrefix="0" xfId="0">
      <alignment vertical="center"/>
    </xf>
    <xf numFmtId="0" fontId="43" fillId="10" borderId="17" pivotButton="0" quotePrefix="0" xfId="0"/>
    <xf numFmtId="0" fontId="43" fillId="10" borderId="17" applyAlignment="1" pivotButton="0" quotePrefix="0" xfId="0">
      <alignment vertical="center"/>
    </xf>
    <xf numFmtId="3" fontId="45" fillId="9" borderId="17" pivotButton="0" quotePrefix="0" xfId="0"/>
    <xf numFmtId="3" fontId="45" fillId="8" borderId="19" applyAlignment="1" pivotButton="0" quotePrefix="0" xfId="0">
      <alignment vertical="center"/>
    </xf>
    <xf numFmtId="178" fontId="45" fillId="8" borderId="19" applyAlignment="1" pivotButton="0" quotePrefix="0" xfId="0">
      <alignment vertical="center"/>
    </xf>
    <xf numFmtId="167" fontId="45" fillId="8" borderId="19" applyAlignment="1" pivotButton="0" quotePrefix="0" xfId="0">
      <alignment vertical="center"/>
    </xf>
    <xf numFmtId="179" fontId="45" fillId="8" borderId="19" applyAlignment="1" pivotButton="0" quotePrefix="0" xfId="0">
      <alignment horizontal="center"/>
    </xf>
    <xf numFmtId="167" fontId="45" fillId="9" borderId="17" applyAlignment="1" pivotButton="0" quotePrefix="0" xfId="0">
      <alignment vertical="center"/>
    </xf>
    <xf numFmtId="167" fontId="45" fillId="8" borderId="19" pivotButton="0" quotePrefix="0" xfId="0"/>
    <xf numFmtId="179" fontId="45" fillId="8" borderId="17" applyAlignment="1" pivotButton="0" quotePrefix="0" xfId="0">
      <alignment horizontal="center"/>
    </xf>
    <xf numFmtId="0" fontId="67" fillId="7" borderId="0" applyAlignment="1" pivotButton="0" quotePrefix="0" xfId="0">
      <alignment horizontal="center" vertical="center" wrapText="1"/>
    </xf>
    <xf numFmtId="0" fontId="67" fillId="7" borderId="0" applyAlignment="1" pivotButton="0" quotePrefix="1" xfId="0">
      <alignment horizontal="center" vertical="center" wrapText="1"/>
    </xf>
    <xf numFmtId="172" fontId="67" fillId="7" borderId="0" applyAlignment="1" pivotButton="0" quotePrefix="0" xfId="3">
      <alignment horizontal="center" vertical="center" wrapText="1"/>
    </xf>
    <xf numFmtId="0" fontId="55" fillId="7" borderId="0" applyAlignment="1" pivotButton="0" quotePrefix="0" xfId="0">
      <alignment horizontal="center" wrapText="1"/>
    </xf>
    <xf numFmtId="0" fontId="67" fillId="7" borderId="15" applyAlignment="1" pivotButton="0" quotePrefix="0" xfId="0">
      <alignment horizontal="center" vertical="center" wrapText="1"/>
    </xf>
    <xf numFmtId="1" fontId="67" fillId="7" borderId="15" applyAlignment="1" pivotButton="0" quotePrefix="0" xfId="0">
      <alignment horizontal="center" vertical="center" wrapText="1"/>
    </xf>
    <xf numFmtId="170" fontId="67" fillId="7" borderId="15" applyAlignment="1" pivotButton="0" quotePrefix="0" xfId="0">
      <alignment horizontal="center" vertical="center" wrapText="1"/>
    </xf>
    <xf numFmtId="0" fontId="67" fillId="7" borderId="15" applyAlignment="1" pivotButton="0" quotePrefix="1" xfId="0">
      <alignment horizontal="center" vertical="center" wrapText="1"/>
    </xf>
    <xf numFmtId="3" fontId="67" fillId="7" borderId="15" applyAlignment="1" pivotButton="0" quotePrefix="0" xfId="0">
      <alignment horizontal="center" vertical="center" wrapText="1"/>
    </xf>
    <xf numFmtId="0" fontId="55" fillId="7" borderId="0" applyAlignment="1" pivotButton="0" quotePrefix="0" xfId="0">
      <alignment horizontal="center"/>
    </xf>
    <xf numFmtId="0" fontId="59" fillId="10" borderId="21" applyAlignment="1" pivotButton="0" quotePrefix="0" xfId="0">
      <alignment horizontal="center" vertical="center"/>
    </xf>
    <xf numFmtId="0" fontId="68" fillId="9" borderId="0" pivotButton="0" quotePrefix="0" xfId="0"/>
    <xf numFmtId="0" fontId="59" fillId="10" borderId="21" applyAlignment="1" pivotButton="0" quotePrefix="0" xfId="0">
      <alignment horizontal="center"/>
    </xf>
    <xf numFmtId="4" fontId="63" fillId="9" borderId="21" applyAlignment="1" pivotButton="0" quotePrefix="0" xfId="0">
      <alignment vertical="center"/>
    </xf>
    <xf numFmtId="4" fontId="63" fillId="8" borderId="21" applyAlignment="1" pivotButton="0" quotePrefix="0" xfId="0">
      <alignment vertical="center"/>
    </xf>
    <xf numFmtId="4" fontId="63" fillId="8" borderId="21" applyAlignment="1" pivotButton="0" quotePrefix="0" xfId="0">
      <alignment vertical="center" wrapText="1"/>
    </xf>
    <xf numFmtId="0" fontId="63" fillId="9" borderId="21" applyAlignment="1" pivotButton="0" quotePrefix="0" xfId="0">
      <alignment vertical="center"/>
    </xf>
    <xf numFmtId="0" fontId="63" fillId="8" borderId="21" applyAlignment="1" pivotButton="0" quotePrefix="0" xfId="0">
      <alignment vertical="center"/>
    </xf>
    <xf numFmtId="0" fontId="65" fillId="10" borderId="21" applyAlignment="1" pivotButton="0" quotePrefix="0" xfId="0">
      <alignment horizontal="center" vertical="center" wrapText="1"/>
    </xf>
    <xf numFmtId="0" fontId="61" fillId="8" borderId="21" applyAlignment="1" pivotButton="0" quotePrefix="0" xfId="0">
      <alignment horizontal="left" vertical="center"/>
    </xf>
    <xf numFmtId="3" fontId="61" fillId="8" borderId="21" applyAlignment="1" pivotButton="0" quotePrefix="0" xfId="0">
      <alignment horizontal="right" vertical="center"/>
    </xf>
    <xf numFmtId="38" fontId="61" fillId="8" borderId="21" applyAlignment="1" pivotButton="0" quotePrefix="0" xfId="0">
      <alignment horizontal="right" vertical="center"/>
    </xf>
    <xf numFmtId="178" fontId="61" fillId="8" borderId="21" applyAlignment="1" pivotButton="0" quotePrefix="0" xfId="0">
      <alignment horizontal="right" vertical="center"/>
    </xf>
    <xf numFmtId="0" fontId="40" fillId="0" borderId="0" applyAlignment="1" pivotButton="0" quotePrefix="0" xfId="0">
      <alignment vertical="top" wrapText="1"/>
    </xf>
    <xf numFmtId="0" fontId="0" fillId="0" borderId="0" applyAlignment="1" pivotButton="0" quotePrefix="0" xfId="0">
      <alignment vertical="top" wrapText="1"/>
    </xf>
    <xf numFmtId="0" fontId="40" fillId="0" borderId="17" applyAlignment="1" pivotButton="0" quotePrefix="0" xfId="0">
      <alignment vertical="top" wrapText="1"/>
    </xf>
    <xf numFmtId="0" fontId="45" fillId="0" borderId="17" applyAlignment="1" pivotButton="0" quotePrefix="0" xfId="0">
      <alignment vertical="top" wrapText="1"/>
    </xf>
    <xf numFmtId="0" fontId="44" fillId="0" borderId="17" applyAlignment="1" pivotButton="0" quotePrefix="0" xfId="0">
      <alignment vertical="top" wrapText="1"/>
    </xf>
    <xf numFmtId="0" fontId="45" fillId="0" borderId="17" applyAlignment="1" pivotButton="0" quotePrefix="0" xfId="0">
      <alignment horizontal="left" vertical="top" wrapText="1" indent="1"/>
    </xf>
    <xf numFmtId="0" fontId="45" fillId="0" borderId="17" applyAlignment="1" pivotButton="0" quotePrefix="0" xfId="0">
      <alignment horizontal="left" vertical="top" wrapText="1" indent="2"/>
    </xf>
    <xf numFmtId="0" fontId="41" fillId="7" borderId="17" applyAlignment="1" pivotButton="0" quotePrefix="0" xfId="0">
      <alignment horizontal="left" vertical="top" wrapText="1" indent="1"/>
    </xf>
    <xf numFmtId="0" fontId="43" fillId="10" borderId="17" applyAlignment="1" pivotButton="0" quotePrefix="0" xfId="0">
      <alignment horizontal="left" vertical="top" wrapText="1" indent="2"/>
    </xf>
    <xf numFmtId="0" fontId="47" fillId="0" borderId="17" applyAlignment="1" pivotButton="0" quotePrefix="0" xfId="0">
      <alignment horizontal="left" vertical="top" wrapText="1" indent="2"/>
    </xf>
    <xf numFmtId="0" fontId="47" fillId="0" borderId="17" applyAlignment="1" pivotButton="0" quotePrefix="0" xfId="0">
      <alignment horizontal="left" vertical="top" wrapText="1" indent="1"/>
    </xf>
    <xf numFmtId="0" fontId="45" fillId="0" borderId="17" applyAlignment="1" pivotButton="0" quotePrefix="0" xfId="0">
      <alignment horizontal="left" vertical="top" wrapText="1" indent="3"/>
    </xf>
    <xf numFmtId="0" fontId="47" fillId="0" borderId="17" applyAlignment="1" pivotButton="0" quotePrefix="0" xfId="0">
      <alignment vertical="top" wrapText="1"/>
    </xf>
    <xf numFmtId="0" fontId="48" fillId="0" borderId="17" applyAlignment="1" pivotButton="0" quotePrefix="0" xfId="0">
      <alignment vertical="top" wrapText="1"/>
    </xf>
    <xf numFmtId="0" fontId="45" fillId="0" borderId="17" applyAlignment="1" applyProtection="1" pivotButton="0" quotePrefix="0" xfId="0">
      <alignment horizontal="left" vertical="top" wrapText="1"/>
      <protection locked="0" hidden="0"/>
    </xf>
    <xf numFmtId="0" fontId="49" fillId="0" borderId="17" applyAlignment="1" pivotButton="0" quotePrefix="0" xfId="0">
      <alignment vertical="top" wrapText="1"/>
    </xf>
    <xf numFmtId="0" fontId="49" fillId="0" borderId="17" applyAlignment="1" pivotButton="0" quotePrefix="0" xfId="0">
      <alignment horizontal="left" vertical="top" wrapText="1" indent="2"/>
    </xf>
    <xf numFmtId="3" fontId="45" fillId="0" borderId="17" applyAlignment="1" pivotButton="0" quotePrefix="0" xfId="0">
      <alignment horizontal="left" vertical="top" wrapText="1" indent="2"/>
    </xf>
    <xf numFmtId="0" fontId="67" fillId="7" borderId="0" applyAlignment="1" pivotButton="0" quotePrefix="0" xfId="0">
      <alignment horizontal="center" vertical="top" wrapText="1"/>
    </xf>
    <xf numFmtId="0" fontId="67" fillId="7" borderId="15" applyAlignment="1" pivotButton="0" quotePrefix="0" xfId="0">
      <alignment horizontal="center" vertical="top" wrapText="1"/>
    </xf>
    <xf numFmtId="0" fontId="2" fillId="0" borderId="0" applyAlignment="1" pivotButton="0" quotePrefix="0" xfId="0">
      <alignment vertical="top" wrapText="1"/>
    </xf>
    <xf numFmtId="169" fontId="14" fillId="0" borderId="0" applyAlignment="1" pivotButton="0" quotePrefix="0" xfId="0">
      <alignment vertical="top" wrapText="1"/>
    </xf>
    <xf numFmtId="0" fontId="55" fillId="7" borderId="0" applyAlignment="1" pivotButton="0" quotePrefix="0" xfId="0">
      <alignment horizontal="center" vertical="top" wrapText="1"/>
    </xf>
    <xf numFmtId="0" fontId="61" fillId="0" borderId="21" applyAlignment="1" pivotButton="0" quotePrefix="0" xfId="0">
      <alignment vertical="top" wrapText="1"/>
    </xf>
    <xf numFmtId="0" fontId="61" fillId="0" borderId="21" applyAlignment="1" pivotButton="0" quotePrefix="0" xfId="0">
      <alignment horizontal="left" vertical="top" wrapText="1"/>
    </xf>
    <xf numFmtId="0" fontId="65" fillId="10" borderId="21" applyAlignment="1" pivotButton="0" quotePrefix="0" xfId="0">
      <alignment horizontal="center" vertical="top" wrapText="1"/>
    </xf>
    <xf numFmtId="0" fontId="61" fillId="8" borderId="21" applyAlignment="1" pivotButton="0" quotePrefix="0" xfId="0">
      <alignment horizontal="left" vertical="top" wrapText="1"/>
    </xf>
    <xf numFmtId="0" fontId="46" fillId="13" borderId="17" applyAlignment="1" pivotButton="0" quotePrefix="0" xfId="0">
      <alignment horizontal="center" vertical="top" wrapText="1"/>
    </xf>
    <xf numFmtId="0" fontId="46" fillId="13" borderId="17" pivotButton="0" quotePrefix="0" xfId="0"/>
    <xf numFmtId="0" fontId="46" fillId="13" borderId="17" applyAlignment="1" pivotButton="0" quotePrefix="0" xfId="0">
      <alignment horizontal="left" vertical="top" wrapText="1" indent="2"/>
    </xf>
    <xf numFmtId="0" fontId="46" fillId="13" borderId="17" applyAlignment="1" pivotButton="0" quotePrefix="0" xfId="0">
      <alignment vertical="center"/>
    </xf>
    <xf numFmtId="0" fontId="41" fillId="13" borderId="17" applyAlignment="1" pivotButton="0" quotePrefix="0" xfId="0">
      <alignment horizontal="left" vertical="top" wrapText="1" indent="2"/>
    </xf>
    <xf numFmtId="0" fontId="41" fillId="13" borderId="17" applyAlignment="1" pivotButton="0" quotePrefix="0" xfId="0">
      <alignment vertical="center"/>
    </xf>
    <xf numFmtId="0" fontId="41" fillId="13" borderId="17" applyAlignment="1" pivotButton="0" quotePrefix="0" xfId="0">
      <alignment horizontal="center" vertical="center"/>
    </xf>
    <xf numFmtId="0" fontId="41" fillId="13" borderId="17" pivotButton="0" quotePrefix="0" xfId="0"/>
    <xf numFmtId="0" fontId="41" fillId="13" borderId="17" applyAlignment="1" pivotButton="0" quotePrefix="0" xfId="0">
      <alignment horizontal="left" vertical="top" wrapText="1" indent="1"/>
    </xf>
    <xf numFmtId="0" fontId="58" fillId="13" borderId="21" applyAlignment="1" pivotButton="0" quotePrefix="0" xfId="0">
      <alignment horizontal="center" vertical="center" wrapText="1"/>
    </xf>
    <xf numFmtId="0" fontId="58" fillId="13" borderId="21" applyAlignment="1" pivotButton="0" quotePrefix="0" xfId="0">
      <alignment horizontal="center" vertical="top" wrapText="1"/>
    </xf>
    <xf numFmtId="0" fontId="61" fillId="11" borderId="21" pivotButton="0" quotePrefix="0" xfId="0"/>
    <xf numFmtId="0" fontId="61" fillId="11" borderId="21" applyAlignment="1" pivotButton="0" quotePrefix="0" xfId="0">
      <alignment vertical="top" wrapText="1"/>
    </xf>
    <xf numFmtId="0" fontId="61" fillId="11" borderId="21" applyAlignment="1" pivotButton="0" quotePrefix="0" xfId="0">
      <alignment horizontal="left" vertical="center"/>
    </xf>
    <xf numFmtId="0" fontId="61" fillId="11" borderId="21" applyAlignment="1" pivotButton="0" quotePrefix="0" xfId="0">
      <alignment horizontal="left" vertical="top" wrapText="1"/>
    </xf>
    <xf numFmtId="3" fontId="61" fillId="11" borderId="21" applyAlignment="1" pivotButton="0" quotePrefix="0" xfId="0">
      <alignment horizontal="right" vertical="center"/>
    </xf>
    <xf numFmtId="178" fontId="61" fillId="11" borderId="21" applyAlignment="1" pivotButton="0" quotePrefix="0" xfId="0">
      <alignment horizontal="right" vertical="center"/>
    </xf>
    <xf numFmtId="0" fontId="61" fillId="11" borderId="21" applyAlignment="1" pivotButton="0" quotePrefix="0" xfId="0">
      <alignment horizontal="left" vertical="center" wrapText="1"/>
    </xf>
    <xf numFmtId="38" fontId="61" fillId="11" borderId="21" applyAlignment="1" pivotButton="0" quotePrefix="0" xfId="0">
      <alignment horizontal="right" vertical="center"/>
    </xf>
    <xf numFmtId="0" fontId="61" fillId="14" borderId="21" applyAlignment="1" pivotButton="0" quotePrefix="0" xfId="0">
      <alignment horizontal="left" vertical="center"/>
    </xf>
    <xf numFmtId="0" fontId="61" fillId="14" borderId="21" applyAlignment="1" pivotButton="0" quotePrefix="0" xfId="0">
      <alignment horizontal="left" vertical="top" wrapText="1"/>
    </xf>
    <xf numFmtId="3" fontId="61" fillId="14" borderId="21" applyAlignment="1" pivotButton="0" quotePrefix="0" xfId="0">
      <alignment horizontal="right" vertical="center"/>
    </xf>
    <xf numFmtId="38" fontId="61" fillId="14" borderId="21" applyAlignment="1" pivotButton="0" quotePrefix="0" xfId="0">
      <alignment horizontal="right" vertical="center"/>
    </xf>
    <xf numFmtId="178" fontId="61" fillId="14" borderId="21" applyAlignment="1" pivotButton="0" quotePrefix="0" xfId="0">
      <alignment horizontal="right" vertical="center"/>
    </xf>
    <xf numFmtId="0" fontId="69" fillId="0" borderId="17" applyAlignment="1" pivotButton="0" quotePrefix="0" xfId="0">
      <alignment horizontal="left" vertical="center" indent="2"/>
    </xf>
    <xf numFmtId="0" fontId="68" fillId="9" borderId="17" pivotButton="0" quotePrefix="0" xfId="0"/>
    <xf numFmtId="0" fontId="41" fillId="7" borderId="17" applyAlignment="1" pivotButton="0" quotePrefix="0" xfId="0">
      <alignment horizontal="left" vertical="center" indent="2"/>
    </xf>
    <xf numFmtId="0" fontId="45" fillId="7" borderId="17" applyAlignment="1" pivotButton="0" quotePrefix="0" xfId="0">
      <alignment vertical="center"/>
    </xf>
    <xf numFmtId="0" fontId="45" fillId="7" borderId="17" pivotButton="0" quotePrefix="0" xfId="0"/>
    <xf numFmtId="178" fontId="45" fillId="8" borderId="17" applyAlignment="1" pivotButton="0" quotePrefix="0" xfId="0">
      <alignment vertical="center"/>
    </xf>
    <xf numFmtId="1" fontId="45" fillId="8" borderId="17" applyAlignment="1" pivotButton="0" quotePrefix="0" xfId="0">
      <alignment vertical="center"/>
    </xf>
    <xf numFmtId="0" fontId="45" fillId="8" borderId="17" applyAlignment="1" pivotButton="0" quotePrefix="0" xfId="0">
      <alignment vertical="center"/>
    </xf>
    <xf numFmtId="0" fontId="54" fillId="0" borderId="17" applyAlignment="1" pivotButton="0" quotePrefix="0" xfId="0">
      <alignment vertical="center"/>
    </xf>
    <xf numFmtId="0" fontId="55" fillId="15" borderId="0" pivotButton="0" quotePrefix="0" xfId="0"/>
    <xf numFmtId="0" fontId="47" fillId="3" borderId="0" pivotButton="0" quotePrefix="0" xfId="0"/>
    <xf numFmtId="0" fontId="73" fillId="0" borderId="0" pivotButton="0" quotePrefix="0" xfId="0"/>
    <xf numFmtId="0" fontId="0" fillId="15" borderId="0" pivotButton="0" quotePrefix="0" xfId="0"/>
    <xf numFmtId="0" fontId="48" fillId="5" borderId="0" pivotButton="0" quotePrefix="0" xfId="0"/>
    <xf numFmtId="0" fontId="47" fillId="0" borderId="23" pivotButton="0" quotePrefix="0" xfId="0"/>
    <xf numFmtId="0" fontId="74" fillId="0" borderId="23" pivotButton="0" quotePrefix="0" xfId="0"/>
    <xf numFmtId="0" fontId="68" fillId="0" borderId="0" pivotButton="0" quotePrefix="0" xfId="0"/>
    <xf numFmtId="0" fontId="75" fillId="0" borderId="0" pivotButton="0" quotePrefix="0" xfId="0"/>
    <xf numFmtId="0" fontId="0" fillId="0" borderId="23" pivotButton="0" quotePrefix="0" xfId="0"/>
    <xf numFmtId="0" fontId="0" fillId="0" borderId="23" applyAlignment="1" pivotButton="0" quotePrefix="0" xfId="0">
      <alignment vertical="top" wrapText="1"/>
    </xf>
    <xf numFmtId="0" fontId="76" fillId="15" borderId="0" applyAlignment="1" pivotButton="0" quotePrefix="1" xfId="0">
      <alignment horizontal="left" vertical="center"/>
    </xf>
    <xf numFmtId="0" fontId="76" fillId="15" borderId="0" applyAlignment="1" pivotButton="0" quotePrefix="0" xfId="0">
      <alignment horizontal="left" vertical="center"/>
    </xf>
    <xf numFmtId="0" fontId="77" fillId="0" borderId="0" applyAlignment="1" pivotButton="0" quotePrefix="1" xfId="0">
      <alignment horizontal="left" vertical="top" wrapText="1"/>
    </xf>
    <xf numFmtId="0" fontId="77" fillId="0" borderId="0" pivotButton="0" quotePrefix="0" xfId="0"/>
    <xf numFmtId="0" fontId="77" fillId="0" borderId="0" applyAlignment="1" pivotButton="0" quotePrefix="0" xfId="0">
      <alignment horizontal="left"/>
    </xf>
    <xf numFmtId="0" fontId="77" fillId="0" borderId="0" applyAlignment="1" pivotButton="0" quotePrefix="0" xfId="0">
      <alignment horizontal="left" indent="1"/>
    </xf>
    <xf numFmtId="0" fontId="78" fillId="0" borderId="19" applyAlignment="1" pivotButton="0" quotePrefix="0" xfId="0">
      <alignment vertical="top" wrapText="1"/>
    </xf>
    <xf numFmtId="0" fontId="79" fillId="5" borderId="25" pivotButton="0" quotePrefix="0" xfId="0"/>
    <xf numFmtId="0" fontId="80" fillId="15" borderId="0" applyAlignment="1" pivotButton="0" quotePrefix="1" xfId="0">
      <alignment horizontal="left" vertical="center"/>
    </xf>
    <xf numFmtId="0" fontId="80" fillId="15" borderId="0" applyAlignment="1" pivotButton="0" quotePrefix="0" xfId="0">
      <alignment horizontal="left" vertical="center"/>
    </xf>
    <xf numFmtId="0" fontId="61" fillId="5" borderId="25" applyAlignment="1" pivotButton="0" quotePrefix="0" xfId="0">
      <alignment horizontal="left" vertical="center"/>
    </xf>
    <xf numFmtId="0" fontId="80" fillId="15" borderId="0" applyAlignment="1" applyProtection="1" pivotButton="0" quotePrefix="0" xfId="0">
      <alignment horizontal="left" vertical="center"/>
      <protection locked="0" hidden="0"/>
    </xf>
    <xf numFmtId="0" fontId="80" fillId="16" borderId="1" applyAlignment="1" pivotButton="0" quotePrefix="0" xfId="0">
      <alignment horizontal="left" vertical="center"/>
    </xf>
    <xf numFmtId="0" fontId="80" fillId="16" borderId="2" applyAlignment="1" pivotButton="0" quotePrefix="0" xfId="0">
      <alignment horizontal="left" vertical="center"/>
    </xf>
    <xf numFmtId="0" fontId="80" fillId="16" borderId="3" applyAlignment="1" pivotButton="0" quotePrefix="0" xfId="0">
      <alignment horizontal="left" vertical="center"/>
    </xf>
    <xf numFmtId="0" fontId="81" fillId="17" borderId="25" applyAlignment="1" pivotButton="0" quotePrefix="0" xfId="0">
      <alignment horizontal="center" vertical="center" wrapText="1"/>
    </xf>
    <xf numFmtId="0" fontId="81" fillId="17" borderId="25" applyAlignment="1" pivotButton="0" quotePrefix="1" xfId="0">
      <alignment horizontal="center" vertical="center" wrapText="1"/>
    </xf>
    <xf numFmtId="49" fontId="61" fillId="5" borderId="25" applyAlignment="1" applyProtection="1" pivotButton="0" quotePrefix="0" xfId="0">
      <alignment horizontal="left" vertical="center"/>
      <protection locked="0" hidden="0"/>
    </xf>
    <xf numFmtId="0" fontId="61" fillId="5" borderId="25" applyAlignment="1" applyProtection="1" pivotButton="0" quotePrefix="0" xfId="0">
      <alignment horizontal="right" vertical="center"/>
      <protection locked="0" hidden="0"/>
    </xf>
    <xf numFmtId="37" fontId="61" fillId="9" borderId="25" applyAlignment="1" applyProtection="1" pivotButton="0" quotePrefix="0" xfId="0">
      <alignment horizontal="right" vertical="center"/>
      <protection locked="0" hidden="0"/>
    </xf>
    <xf numFmtId="0" fontId="61" fillId="9" borderId="25" applyAlignment="1" applyProtection="1" pivotButton="0" quotePrefix="0" xfId="0">
      <alignment horizontal="center" vertical="center"/>
      <protection locked="0" hidden="0"/>
    </xf>
    <xf numFmtId="171" fontId="61" fillId="5" borderId="25" applyAlignment="1" applyProtection="1" pivotButton="0" quotePrefix="0" xfId="0">
      <alignment horizontal="right" vertical="center"/>
      <protection locked="0" hidden="0"/>
    </xf>
    <xf numFmtId="0" fontId="61" fillId="5" borderId="25" applyAlignment="1" pivotButton="0" quotePrefix="0" xfId="0">
      <alignment horizontal="right" vertical="center"/>
    </xf>
    <xf numFmtId="49" fontId="61" fillId="9" borderId="25" applyAlignment="1" applyProtection="1" pivotButton="0" quotePrefix="0" xfId="0">
      <alignment horizontal="left" vertical="center"/>
      <protection locked="0" hidden="0"/>
    </xf>
    <xf numFmtId="0" fontId="61" fillId="9" borderId="25" applyAlignment="1" applyProtection="1" pivotButton="0" quotePrefix="0" xfId="0">
      <alignment horizontal="right" vertical="center"/>
      <protection locked="0" hidden="0"/>
    </xf>
    <xf numFmtId="37" fontId="61" fillId="9" borderId="25" applyAlignment="1" pivotButton="0" quotePrefix="0" xfId="0">
      <alignment horizontal="right" vertical="center"/>
    </xf>
    <xf numFmtId="9" fontId="61" fillId="5" borderId="25" applyAlignment="1" applyProtection="1" pivotButton="0" quotePrefix="0" xfId="0">
      <alignment horizontal="right" vertical="center"/>
      <protection locked="0" hidden="0"/>
    </xf>
    <xf numFmtId="49" fontId="61" fillId="5" borderId="25" applyAlignment="1" applyProtection="1" pivotButton="0" quotePrefix="0" xfId="0">
      <alignment horizontal="right" vertical="center"/>
      <protection locked="0" hidden="0"/>
    </xf>
    <xf numFmtId="171" fontId="61" fillId="0" borderId="25" applyAlignment="1" pivotButton="0" quotePrefix="0" xfId="0">
      <alignment horizontal="right" vertical="center"/>
    </xf>
    <xf numFmtId="0" fontId="61" fillId="9" borderId="25" applyAlignment="1" applyProtection="1" pivotButton="0" quotePrefix="0" xfId="0">
      <alignment horizontal="left" vertical="center"/>
      <protection locked="0" hidden="0"/>
    </xf>
    <xf numFmtId="0" fontId="61" fillId="5" borderId="25" applyAlignment="1" applyProtection="1" pivotButton="0" quotePrefix="0" xfId="0">
      <alignment horizontal="center" vertical="center"/>
      <protection locked="0" hidden="0"/>
    </xf>
    <xf numFmtId="177" fontId="61" fillId="5" borderId="25" applyAlignment="1" applyProtection="1" pivotButton="0" quotePrefix="0" xfId="0">
      <alignment horizontal="right" vertical="center"/>
      <protection locked="0" hidden="0"/>
    </xf>
    <xf numFmtId="0" fontId="61" fillId="0" borderId="25" applyAlignment="1" pivotButton="0" quotePrefix="0" xfId="0">
      <alignment horizontal="left" vertical="center"/>
    </xf>
    <xf numFmtId="0" fontId="61" fillId="0" borderId="25" applyAlignment="1" pivotButton="0" quotePrefix="0" xfId="0">
      <alignment horizontal="right" vertical="center"/>
    </xf>
    <xf numFmtId="37" fontId="61" fillId="0" borderId="25" applyAlignment="1" pivotButton="0" quotePrefix="0" xfId="0">
      <alignment horizontal="right" vertical="center"/>
    </xf>
    <xf numFmtId="0" fontId="61" fillId="0" borderId="25" applyAlignment="1" pivotButton="0" quotePrefix="0" xfId="0">
      <alignment horizontal="center" vertical="center"/>
    </xf>
    <xf numFmtId="182" fontId="61" fillId="0" borderId="25" applyAlignment="1" pivotButton="0" quotePrefix="0" xfId="0">
      <alignment horizontal="right" vertical="center"/>
    </xf>
    <xf numFmtId="0" fontId="78" fillId="5" borderId="25" applyAlignment="1" pivotButton="0" quotePrefix="0" xfId="0">
      <alignment horizontal="left" vertical="center"/>
    </xf>
    <xf numFmtId="177" fontId="61" fillId="0" borderId="25" applyAlignment="1" pivotButton="0" quotePrefix="0" xfId="0">
      <alignment horizontal="right" vertical="center"/>
    </xf>
    <xf numFmtId="167" fontId="61" fillId="5" borderId="25" applyAlignment="1" applyProtection="1" pivotButton="0" quotePrefix="0" xfId="0">
      <alignment horizontal="right" vertical="center"/>
      <protection locked="0" hidden="0"/>
    </xf>
    <xf numFmtId="171" fontId="82" fillId="4" borderId="25" applyAlignment="1" pivotButton="0" quotePrefix="0" xfId="0">
      <alignment horizontal="right" vertical="center"/>
    </xf>
    <xf numFmtId="177" fontId="82" fillId="4" borderId="25" applyAlignment="1" pivotButton="0" quotePrefix="0" xfId="0">
      <alignment horizontal="right" vertical="center"/>
    </xf>
    <xf numFmtId="0" fontId="61" fillId="18" borderId="25" applyAlignment="1" pivotButton="0" quotePrefix="0" xfId="0">
      <alignment horizontal="left" vertical="center"/>
    </xf>
    <xf numFmtId="0" fontId="61" fillId="18" borderId="25" applyAlignment="1" pivotButton="0" quotePrefix="0" xfId="0">
      <alignment horizontal="right" vertical="center"/>
    </xf>
    <xf numFmtId="37" fontId="61" fillId="18" borderId="25" applyAlignment="1" pivotButton="0" quotePrefix="0" xfId="0">
      <alignment horizontal="right" vertical="center"/>
    </xf>
    <xf numFmtId="0" fontId="61" fillId="18" borderId="25" applyAlignment="1" pivotButton="0" quotePrefix="0" xfId="0">
      <alignment horizontal="center" vertical="center"/>
    </xf>
    <xf numFmtId="182" fontId="61" fillId="18" borderId="25" applyAlignment="1" pivotButton="0" quotePrefix="0" xfId="0">
      <alignment horizontal="right" vertical="center"/>
    </xf>
    <xf numFmtId="171" fontId="61" fillId="18" borderId="25" applyAlignment="1" pivotButton="0" quotePrefix="0" xfId="0">
      <alignment horizontal="right" vertical="center"/>
    </xf>
    <xf numFmtId="177" fontId="61" fillId="18" borderId="25" applyAlignment="1" pivotButton="0" quotePrefix="0" xfId="0">
      <alignment horizontal="right" vertical="center"/>
    </xf>
    <xf numFmtId="0" fontId="80" fillId="16" borderId="11" applyAlignment="1" pivotButton="0" quotePrefix="0" xfId="0">
      <alignment horizontal="left" vertical="center"/>
    </xf>
    <xf numFmtId="0" fontId="80" fillId="16" borderId="9" applyAlignment="1" pivotButton="0" quotePrefix="0" xfId="0">
      <alignment horizontal="left" vertical="center"/>
    </xf>
    <xf numFmtId="0" fontId="80" fillId="16" borderId="10" applyAlignment="1" pivotButton="0" quotePrefix="0" xfId="0">
      <alignment horizontal="left" vertical="center"/>
    </xf>
    <xf numFmtId="0" fontId="80" fillId="16" borderId="0" applyAlignment="1" pivotButton="0" quotePrefix="0" xfId="0">
      <alignment horizontal="left" vertical="center"/>
    </xf>
    <xf numFmtId="39" fontId="61" fillId="0" borderId="25" applyAlignment="1" pivotButton="0" quotePrefix="0" xfId="0">
      <alignment horizontal="right" vertical="center"/>
    </xf>
    <xf numFmtId="0" fontId="61" fillId="5" borderId="25" applyAlignment="1" pivotButton="0" quotePrefix="0" xfId="0">
      <alignment horizontal="center" vertical="center"/>
    </xf>
    <xf numFmtId="9" fontId="61" fillId="0" borderId="25" applyAlignment="1" pivotButton="0" quotePrefix="0" xfId="0">
      <alignment horizontal="right" vertical="center"/>
    </xf>
    <xf numFmtId="39" fontId="61" fillId="18" borderId="25" applyAlignment="1" pivotButton="0" quotePrefix="0" xfId="0">
      <alignment horizontal="right" vertical="center"/>
    </xf>
    <xf numFmtId="9" fontId="61" fillId="18" borderId="25" applyAlignment="1" pivotButton="0" quotePrefix="0" xfId="0">
      <alignment horizontal="right" vertical="center"/>
    </xf>
    <xf numFmtId="0" fontId="76" fillId="15" borderId="0" applyAlignment="1" pivotButton="0" quotePrefix="0" xfId="7">
      <alignment horizontal="left" vertical="center"/>
    </xf>
    <xf numFmtId="0" fontId="80" fillId="16" borderId="0" applyAlignment="1" pivotButton="0" quotePrefix="0" xfId="7">
      <alignment horizontal="left" vertical="center"/>
    </xf>
    <xf numFmtId="0" fontId="81" fillId="17" borderId="25" applyAlignment="1" pivotButton="0" quotePrefix="0" xfId="7">
      <alignment horizontal="center" vertical="center" wrapText="1"/>
    </xf>
    <xf numFmtId="0" fontId="81" fillId="17" borderId="25" applyAlignment="1" pivotButton="0" quotePrefix="1" xfId="7">
      <alignment horizontal="center" vertical="center" wrapText="1"/>
    </xf>
    <xf numFmtId="0" fontId="61" fillId="5" borderId="25" applyAlignment="1" applyProtection="1" pivotButton="0" quotePrefix="0" xfId="7">
      <alignment horizontal="left" vertical="center"/>
      <protection locked="0" hidden="0"/>
    </xf>
    <xf numFmtId="177" fontId="61" fillId="5" borderId="25" applyAlignment="1" applyProtection="1" pivotButton="0" quotePrefix="0" xfId="7">
      <alignment horizontal="right" vertical="center"/>
      <protection locked="0" hidden="0"/>
    </xf>
    <xf numFmtId="0" fontId="61" fillId="5" borderId="25" applyAlignment="1" applyProtection="1" pivotButton="0" quotePrefix="0" xfId="7">
      <alignment horizontal="right" vertical="center"/>
      <protection locked="0" hidden="0"/>
    </xf>
    <xf numFmtId="0" fontId="61" fillId="5" borderId="25" applyAlignment="1" applyProtection="1" pivotButton="0" quotePrefix="0" xfId="7">
      <alignment horizontal="centerContinuous" vertical="center"/>
      <protection locked="0" hidden="0"/>
    </xf>
    <xf numFmtId="171" fontId="61" fillId="0" borderId="25" applyAlignment="1" applyProtection="1" pivotButton="0" quotePrefix="0" xfId="7">
      <alignment horizontal="right" vertical="center"/>
      <protection locked="0" hidden="0"/>
    </xf>
    <xf numFmtId="37" fontId="61" fillId="5" borderId="25" applyAlignment="1" applyProtection="1" pivotButton="0" quotePrefix="0" xfId="7">
      <alignment horizontal="right" vertical="center"/>
      <protection locked="0" hidden="0"/>
    </xf>
    <xf numFmtId="169" fontId="82" fillId="4" borderId="25" applyAlignment="1" applyProtection="1" pivotButton="0" quotePrefix="0" xfId="7">
      <alignment horizontal="right" vertical="center"/>
      <protection locked="0" hidden="0"/>
    </xf>
    <xf numFmtId="1" fontId="61" fillId="5" borderId="25" applyAlignment="1" applyProtection="1" pivotButton="0" quotePrefix="1" xfId="7">
      <alignment horizontal="left" vertical="center"/>
      <protection locked="0" hidden="0"/>
    </xf>
    <xf numFmtId="2" fontId="61" fillId="5" borderId="25" applyAlignment="1" applyProtection="1" pivotButton="0" quotePrefix="0" xfId="7">
      <alignment horizontal="right" vertical="center"/>
      <protection locked="0" hidden="0"/>
    </xf>
    <xf numFmtId="17" fontId="61" fillId="5" borderId="25" applyAlignment="1" applyProtection="1" pivotButton="0" quotePrefix="0" xfId="7">
      <alignment horizontal="left" vertical="center"/>
      <protection locked="0" hidden="0"/>
    </xf>
    <xf numFmtId="171" fontId="61" fillId="5" borderId="25" applyAlignment="1" applyProtection="1" pivotButton="0" quotePrefix="0" xfId="7">
      <alignment horizontal="right" vertical="center"/>
      <protection locked="0" hidden="0"/>
    </xf>
    <xf numFmtId="175" fontId="82" fillId="4" borderId="25" applyAlignment="1" applyProtection="1" pivotButton="0" quotePrefix="0" xfId="7">
      <alignment horizontal="right" vertical="center"/>
      <protection locked="0" hidden="0"/>
    </xf>
    <xf numFmtId="169" fontId="61" fillId="5" borderId="25" applyAlignment="1" pivotButton="0" quotePrefix="0" xfId="7">
      <alignment horizontal="left" vertical="center"/>
    </xf>
    <xf numFmtId="0" fontId="61" fillId="0" borderId="25" applyAlignment="1" pivotButton="0" quotePrefix="0" xfId="7">
      <alignment horizontal="left" vertical="center"/>
    </xf>
    <xf numFmtId="177" fontId="61" fillId="0" borderId="25" applyAlignment="1" pivotButton="0" quotePrefix="0" xfId="7">
      <alignment horizontal="right" vertical="center"/>
    </xf>
    <xf numFmtId="0" fontId="61" fillId="0" borderId="25" applyAlignment="1" pivotButton="0" quotePrefix="0" xfId="7">
      <alignment horizontal="right" vertical="center"/>
    </xf>
    <xf numFmtId="9" fontId="61" fillId="5" borderId="25" applyAlignment="1" pivotButton="0" quotePrefix="0" xfId="7">
      <alignment horizontal="right" vertical="center"/>
    </xf>
    <xf numFmtId="0" fontId="61" fillId="5" borderId="25" applyAlignment="1" pivotButton="0" quotePrefix="0" xfId="7">
      <alignment horizontal="right" vertical="center"/>
    </xf>
    <xf numFmtId="171" fontId="61" fillId="0" borderId="25" applyAlignment="1" pivotButton="0" quotePrefix="0" xfId="7">
      <alignment horizontal="right" vertical="center"/>
    </xf>
    <xf numFmtId="37" fontId="61" fillId="0" borderId="25" applyAlignment="1" pivotButton="0" quotePrefix="0" xfId="7">
      <alignment horizontal="right" vertical="center"/>
    </xf>
    <xf numFmtId="0" fontId="61" fillId="0" borderId="25" applyAlignment="1" pivotButton="0" quotePrefix="1" xfId="7">
      <alignment horizontal="right" vertical="center"/>
    </xf>
    <xf numFmtId="169" fontId="82" fillId="4" borderId="25" applyAlignment="1" pivotButton="0" quotePrefix="0" xfId="7">
      <alignment horizontal="right" vertical="center"/>
    </xf>
    <xf numFmtId="177" fontId="61" fillId="5" borderId="25" applyAlignment="1" pivotButton="0" quotePrefix="0" xfId="7">
      <alignment horizontal="right" vertical="center"/>
    </xf>
    <xf numFmtId="0" fontId="61" fillId="0" borderId="25" applyAlignment="1" pivotButton="0" quotePrefix="1" xfId="7">
      <alignment horizontal="left" vertical="center"/>
    </xf>
    <xf numFmtId="182" fontId="61" fillId="0" borderId="25" applyAlignment="1" pivotButton="0" quotePrefix="0" xfId="7">
      <alignment horizontal="left" vertical="center"/>
    </xf>
    <xf numFmtId="167" fontId="61" fillId="5" borderId="25" applyAlignment="1" pivotButton="0" quotePrefix="0" xfId="7">
      <alignment horizontal="right" vertical="center"/>
    </xf>
    <xf numFmtId="175" fontId="82" fillId="4" borderId="25" applyAlignment="1" pivotButton="0" quotePrefix="0" xfId="7">
      <alignment horizontal="right" vertical="center"/>
    </xf>
    <xf numFmtId="0" fontId="61" fillId="18" borderId="25" applyAlignment="1" pivotButton="0" quotePrefix="0" xfId="7">
      <alignment horizontal="left" vertical="center"/>
    </xf>
    <xf numFmtId="177" fontId="61" fillId="18" borderId="25" applyAlignment="1" pivotButton="0" quotePrefix="0" xfId="7">
      <alignment horizontal="right" vertical="center"/>
    </xf>
    <xf numFmtId="0" fontId="61" fillId="18" borderId="25" applyAlignment="1" pivotButton="0" quotePrefix="0" xfId="7">
      <alignment horizontal="right" vertical="center"/>
    </xf>
    <xf numFmtId="10" fontId="61" fillId="5" borderId="25" applyAlignment="1" pivotButton="0" quotePrefix="0" xfId="7">
      <alignment horizontal="right" vertical="center"/>
    </xf>
    <xf numFmtId="171" fontId="61" fillId="18" borderId="25" applyAlignment="1" pivotButton="0" quotePrefix="0" xfId="7">
      <alignment horizontal="right" vertical="center"/>
    </xf>
    <xf numFmtId="37" fontId="61" fillId="18" borderId="25" applyAlignment="1" pivotButton="0" quotePrefix="0" xfId="7">
      <alignment horizontal="right" vertical="center"/>
    </xf>
    <xf numFmtId="0" fontId="61" fillId="18" borderId="25" applyAlignment="1" pivotButton="0" quotePrefix="1" xfId="7">
      <alignment horizontal="left" vertical="center"/>
    </xf>
    <xf numFmtId="182" fontId="61" fillId="18" borderId="25" applyAlignment="1" pivotButton="0" quotePrefix="0" xfId="7">
      <alignment horizontal="left" vertical="center"/>
    </xf>
    <xf numFmtId="0" fontId="76" fillId="15" borderId="0" applyAlignment="1" pivotButton="0" quotePrefix="0" xfId="8">
      <alignment horizontal="left" vertical="center"/>
    </xf>
    <xf numFmtId="0" fontId="80" fillId="16" borderId="0" applyAlignment="1" pivotButton="0" quotePrefix="0" xfId="8">
      <alignment horizontal="left" vertical="center"/>
    </xf>
    <xf numFmtId="0" fontId="81" fillId="17" borderId="25" applyAlignment="1" pivotButton="0" quotePrefix="0" xfId="8">
      <alignment horizontal="center" vertical="center" wrapText="1"/>
    </xf>
    <xf numFmtId="0" fontId="81" fillId="17" borderId="25" applyAlignment="1" pivotButton="0" quotePrefix="1" xfId="8">
      <alignment horizontal="center" vertical="center" wrapText="1"/>
    </xf>
    <xf numFmtId="0" fontId="61" fillId="0" borderId="25" applyAlignment="1" applyProtection="1" pivotButton="0" quotePrefix="0" xfId="8">
      <alignment horizontal="left" vertical="center"/>
      <protection locked="0" hidden="0"/>
    </xf>
    <xf numFmtId="169" fontId="61" fillId="5" borderId="25" applyAlignment="1" pivotButton="0" quotePrefix="0" xfId="8">
      <alignment horizontal="right" vertical="center"/>
    </xf>
    <xf numFmtId="0" fontId="61" fillId="0" borderId="25" applyAlignment="1" applyProtection="1" pivotButton="0" quotePrefix="0" xfId="8">
      <alignment horizontal="right" vertical="center"/>
      <protection locked="0" hidden="0"/>
    </xf>
    <xf numFmtId="0" fontId="61" fillId="5" borderId="25" applyAlignment="1" applyProtection="1" pivotButton="0" quotePrefix="0" xfId="8">
      <alignment horizontal="right" vertical="center"/>
      <protection locked="0" hidden="0"/>
    </xf>
    <xf numFmtId="0" fontId="61" fillId="5" borderId="25" applyAlignment="1" applyProtection="1" pivotButton="0" quotePrefix="0" xfId="8">
      <alignment horizontal="centerContinuous" vertical="center"/>
      <protection locked="0" hidden="0"/>
    </xf>
    <xf numFmtId="49" fontId="61" fillId="0" borderId="25" applyAlignment="1" applyProtection="1" pivotButton="0" quotePrefix="0" xfId="8">
      <alignment horizontal="left" vertical="center"/>
      <protection locked="0" hidden="0"/>
    </xf>
    <xf numFmtId="167" fontId="61" fillId="5" borderId="25" applyAlignment="1" pivotButton="0" quotePrefix="0" xfId="8">
      <alignment horizontal="right" vertical="center"/>
    </xf>
    <xf numFmtId="3" fontId="61" fillId="0" borderId="25" applyAlignment="1" applyProtection="1" pivotButton="0" quotePrefix="0" xfId="8">
      <alignment horizontal="right" vertical="center"/>
      <protection locked="0" hidden="0"/>
    </xf>
    <xf numFmtId="0" fontId="61" fillId="0" borderId="25" applyAlignment="1" pivotButton="0" quotePrefix="0" xfId="8">
      <alignment horizontal="right" vertical="center"/>
    </xf>
    <xf numFmtId="0" fontId="61" fillId="5" borderId="25" applyAlignment="1" pivotButton="0" quotePrefix="0" xfId="8">
      <alignment horizontal="left" vertical="center"/>
    </xf>
    <xf numFmtId="169" fontId="61" fillId="0" borderId="25" applyAlignment="1" pivotButton="0" quotePrefix="0" xfId="8">
      <alignment horizontal="right" vertical="center"/>
    </xf>
    <xf numFmtId="0" fontId="61" fillId="5" borderId="25" applyAlignment="1" pivotButton="0" quotePrefix="0" xfId="8">
      <alignment horizontal="right" vertical="center"/>
    </xf>
    <xf numFmtId="9" fontId="61" fillId="0" borderId="25" applyAlignment="1" pivotButton="0" quotePrefix="0" xfId="8">
      <alignment horizontal="right" vertical="center"/>
    </xf>
    <xf numFmtId="0" fontId="61" fillId="0" borderId="25" applyAlignment="1" pivotButton="0" quotePrefix="0" xfId="8">
      <alignment horizontal="left" vertical="center"/>
    </xf>
    <xf numFmtId="167" fontId="61" fillId="5" borderId="25" applyAlignment="1" applyProtection="1" pivotButton="0" quotePrefix="0" xfId="8">
      <alignment horizontal="right" vertical="center"/>
      <protection locked="0" hidden="0"/>
    </xf>
    <xf numFmtId="169" fontId="82" fillId="4" borderId="25" applyAlignment="1" pivotButton="0" quotePrefix="0" xfId="8">
      <alignment horizontal="left" vertical="center"/>
    </xf>
    <xf numFmtId="169" fontId="61" fillId="18" borderId="25" applyAlignment="1" pivotButton="0" quotePrefix="0" xfId="8">
      <alignment horizontal="right" vertical="center"/>
    </xf>
    <xf numFmtId="9" fontId="61" fillId="18" borderId="25" applyAlignment="1" pivotButton="0" quotePrefix="0" xfId="8">
      <alignment horizontal="right" vertical="center"/>
    </xf>
    <xf numFmtId="0" fontId="61" fillId="18" borderId="25" applyAlignment="1" pivotButton="0" quotePrefix="0" xfId="8">
      <alignment horizontal="left" vertical="center"/>
    </xf>
    <xf numFmtId="0" fontId="81" fillId="17" borderId="25" applyAlignment="1" pivotButton="0" quotePrefix="1" xfId="6">
      <alignment horizontal="center" vertical="center" wrapText="1"/>
    </xf>
    <xf numFmtId="0" fontId="78" fillId="0" borderId="0" pivotButton="0" quotePrefix="0" xfId="6"/>
    <xf numFmtId="177" fontId="61" fillId="5" borderId="25" applyAlignment="1" pivotButton="0" quotePrefix="0" xfId="6">
      <alignment horizontal="left" vertical="center"/>
    </xf>
    <xf numFmtId="0" fontId="78" fillId="0" borderId="0" applyAlignment="1" pivotButton="0" quotePrefix="1" xfId="6">
      <alignment horizontal="left"/>
    </xf>
    <xf numFmtId="0" fontId="17" fillId="0" borderId="27" pivotButton="0" quotePrefix="0" xfId="6"/>
    <xf numFmtId="0" fontId="18" fillId="0" borderId="27" pivotButton="0" quotePrefix="0" xfId="6"/>
    <xf numFmtId="0" fontId="0" fillId="0" borderId="27" pivotButton="0" quotePrefix="0" xfId="0"/>
    <xf numFmtId="0" fontId="78" fillId="0" borderId="13" pivotButton="0" quotePrefix="0" xfId="6"/>
    <xf numFmtId="0" fontId="78" fillId="0" borderId="12" pivotButton="0" quotePrefix="0" xfId="6"/>
    <xf numFmtId="0" fontId="80" fillId="16" borderId="16" applyAlignment="1" pivotButton="0" quotePrefix="0" xfId="6">
      <alignment horizontal="left" vertical="center"/>
    </xf>
    <xf numFmtId="0" fontId="80" fillId="16" borderId="7" applyAlignment="1" pivotButton="0" quotePrefix="0" xfId="6">
      <alignment horizontal="left" vertical="center"/>
    </xf>
    <xf numFmtId="0" fontId="80" fillId="16" borderId="7" applyAlignment="1" pivotButton="0" quotePrefix="1" xfId="6">
      <alignment horizontal="left" vertical="center"/>
    </xf>
    <xf numFmtId="0" fontId="80" fillId="16" borderId="8" applyAlignment="1" pivotButton="0" quotePrefix="1" xfId="6">
      <alignment horizontal="left" vertical="center"/>
    </xf>
    <xf numFmtId="0" fontId="81" fillId="17" borderId="25" applyAlignment="1" pivotButton="0" quotePrefix="0" xfId="6">
      <alignment horizontal="center" vertical="center" wrapText="1"/>
    </xf>
    <xf numFmtId="0" fontId="78" fillId="5" borderId="25" applyAlignment="1" pivotButton="0" quotePrefix="0" xfId="6">
      <alignment horizontal="left" vertical="center"/>
    </xf>
    <xf numFmtId="0" fontId="61" fillId="5" borderId="25" applyAlignment="1" pivotButton="0" quotePrefix="0" xfId="6">
      <alignment horizontal="left" vertical="center"/>
    </xf>
    <xf numFmtId="0" fontId="61" fillId="5" borderId="25" applyAlignment="1" pivotButton="0" quotePrefix="0" xfId="6">
      <alignment horizontal="center" vertical="center"/>
    </xf>
    <xf numFmtId="0" fontId="61" fillId="5" borderId="25" applyAlignment="1" pivotButton="0" quotePrefix="1" xfId="6">
      <alignment horizontal="right" vertical="center"/>
    </xf>
    <xf numFmtId="0" fontId="61" fillId="5" borderId="25" applyAlignment="1" applyProtection="1" pivotButton="0" quotePrefix="0" xfId="6">
      <alignment horizontal="left" vertical="center"/>
      <protection locked="0" hidden="0"/>
    </xf>
    <xf numFmtId="0" fontId="61" fillId="5" borderId="25" applyAlignment="1" applyProtection="1" pivotButton="0" quotePrefix="0" xfId="6">
      <alignment horizontal="center" vertical="center"/>
      <protection locked="0" hidden="0"/>
    </xf>
    <xf numFmtId="171" fontId="61" fillId="5" borderId="25" applyAlignment="1" pivotButton="0" quotePrefix="0" xfId="6">
      <alignment horizontal="left" vertical="center"/>
    </xf>
    <xf numFmtId="9" fontId="61" fillId="5" borderId="25" applyAlignment="1" applyProtection="1" pivotButton="0" quotePrefix="0" xfId="6">
      <alignment horizontal="left" vertical="center"/>
      <protection locked="0" hidden="0"/>
    </xf>
    <xf numFmtId="0" fontId="61" fillId="0" borderId="25" applyAlignment="1" pivotButton="0" quotePrefix="0" xfId="6">
      <alignment horizontal="left" vertical="center"/>
    </xf>
    <xf numFmtId="0" fontId="61" fillId="0" borderId="25" applyAlignment="1" pivotButton="0" quotePrefix="0" xfId="6">
      <alignment horizontal="center" vertical="center"/>
    </xf>
    <xf numFmtId="37" fontId="61" fillId="0" borderId="25" applyAlignment="1" pivotButton="0" quotePrefix="0" xfId="6">
      <alignment horizontal="left" vertical="center"/>
    </xf>
    <xf numFmtId="37" fontId="61" fillId="5" borderId="25" applyAlignment="1" pivotButton="0" quotePrefix="0" xfId="6">
      <alignment horizontal="left" vertical="center"/>
    </xf>
    <xf numFmtId="171" fontId="61" fillId="0" borderId="25" applyAlignment="1" pivotButton="0" quotePrefix="0" xfId="6">
      <alignment horizontal="left" vertical="center"/>
    </xf>
    <xf numFmtId="9" fontId="61" fillId="0" borderId="25" applyAlignment="1" pivotButton="0" quotePrefix="0" xfId="6">
      <alignment horizontal="left" vertical="center"/>
    </xf>
    <xf numFmtId="0" fontId="61" fillId="18" borderId="25" applyAlignment="1" pivotButton="0" quotePrefix="0" xfId="6">
      <alignment horizontal="left" vertical="center"/>
    </xf>
    <xf numFmtId="0" fontId="61" fillId="18" borderId="25" applyAlignment="1" pivotButton="0" quotePrefix="0" xfId="6">
      <alignment horizontal="center" vertical="center"/>
    </xf>
    <xf numFmtId="37" fontId="61" fillId="18" borderId="25" applyAlignment="1" pivotButton="0" quotePrefix="0" xfId="6">
      <alignment horizontal="left" vertical="center"/>
    </xf>
    <xf numFmtId="171" fontId="61" fillId="18" borderId="25" applyAlignment="1" pivotButton="0" quotePrefix="0" xfId="6">
      <alignment horizontal="left" vertical="center"/>
    </xf>
    <xf numFmtId="9" fontId="61" fillId="18" borderId="25" applyAlignment="1" pivotButton="0" quotePrefix="0" xfId="6">
      <alignment horizontal="left" vertical="center"/>
    </xf>
    <xf numFmtId="0" fontId="80" fillId="16" borderId="8" applyAlignment="1" pivotButton="0" quotePrefix="0" xfId="6">
      <alignment horizontal="left" vertical="center"/>
    </xf>
    <xf numFmtId="169" fontId="61" fillId="0" borderId="25" applyAlignment="1" pivotButton="0" quotePrefix="0" xfId="6">
      <alignment horizontal="left" vertical="center"/>
    </xf>
    <xf numFmtId="182" fontId="61" fillId="0" borderId="25" applyAlignment="1" pivotButton="0" quotePrefix="0" xfId="6">
      <alignment horizontal="right" vertical="center"/>
    </xf>
    <xf numFmtId="177" fontId="61" fillId="0" borderId="25" applyAlignment="1" pivotButton="0" quotePrefix="0" xfId="6">
      <alignment horizontal="left" vertical="center"/>
    </xf>
    <xf numFmtId="182" fontId="61" fillId="18" borderId="25" applyAlignment="1" pivotButton="0" quotePrefix="0" xfId="6">
      <alignment horizontal="right" vertical="center"/>
    </xf>
    <xf numFmtId="177" fontId="61" fillId="18" borderId="25" applyAlignment="1" pivotButton="0" quotePrefix="0" xfId="6">
      <alignment horizontal="left" vertical="center"/>
    </xf>
    <xf numFmtId="0" fontId="76" fillId="15" borderId="0" applyAlignment="1" pivotButton="0" quotePrefix="0" xfId="9">
      <alignment horizontal="left" vertical="center"/>
    </xf>
    <xf numFmtId="0" fontId="78" fillId="0" borderId="0" pivotButton="0" quotePrefix="0" xfId="9"/>
    <xf numFmtId="0" fontId="61" fillId="5" borderId="25" applyAlignment="1" pivotButton="0" quotePrefix="0" xfId="9">
      <alignment horizontal="left"/>
    </xf>
    <xf numFmtId="0" fontId="61" fillId="5" borderId="25" pivotButton="0" quotePrefix="0" xfId="9"/>
    <xf numFmtId="0" fontId="78" fillId="0" borderId="0" applyAlignment="1" pivotButton="0" quotePrefix="1" xfId="9">
      <alignment horizontal="left"/>
    </xf>
    <xf numFmtId="0" fontId="80" fillId="16" borderId="16" applyAlignment="1" pivotButton="0" quotePrefix="0" xfId="9">
      <alignment horizontal="left" vertical="center"/>
    </xf>
    <xf numFmtId="0" fontId="80" fillId="16" borderId="7" applyAlignment="1" pivotButton="0" quotePrefix="0" xfId="9">
      <alignment horizontal="left" vertical="center"/>
    </xf>
    <xf numFmtId="0" fontId="80" fillId="16" borderId="7" applyAlignment="1" pivotButton="0" quotePrefix="1" xfId="9">
      <alignment horizontal="left" vertical="center"/>
    </xf>
    <xf numFmtId="0" fontId="80" fillId="16" borderId="8" applyAlignment="1" pivotButton="0" quotePrefix="1" xfId="9">
      <alignment horizontal="left" vertical="center"/>
    </xf>
    <xf numFmtId="0" fontId="81" fillId="17" borderId="25" applyAlignment="1" pivotButton="0" quotePrefix="0" xfId="9">
      <alignment horizontal="center" vertical="center" wrapText="1"/>
    </xf>
    <xf numFmtId="0" fontId="81" fillId="17" borderId="25" applyAlignment="1" pivotButton="0" quotePrefix="1" xfId="9">
      <alignment horizontal="center" vertical="center" wrapText="1"/>
    </xf>
    <xf numFmtId="0" fontId="78" fillId="5" borderId="25" applyAlignment="1" pivotButton="0" quotePrefix="0" xfId="9">
      <alignment horizontal="left" vertical="center"/>
    </xf>
    <xf numFmtId="0" fontId="61" fillId="5" borderId="25" applyAlignment="1" pivotButton="0" quotePrefix="0" xfId="9">
      <alignment horizontal="left" vertical="center"/>
    </xf>
    <xf numFmtId="0" fontId="61" fillId="5" borderId="25" applyAlignment="1" pivotButton="0" quotePrefix="0" xfId="9">
      <alignment horizontal="center" vertical="center"/>
    </xf>
    <xf numFmtId="0" fontId="61" fillId="5" borderId="25" applyAlignment="1" pivotButton="0" quotePrefix="1" xfId="9">
      <alignment horizontal="right" vertical="center"/>
    </xf>
    <xf numFmtId="0" fontId="61" fillId="0" borderId="25" applyAlignment="1" applyProtection="1" pivotButton="0" quotePrefix="0" xfId="9">
      <alignment horizontal="center" vertical="center"/>
      <protection locked="0" hidden="0"/>
    </xf>
    <xf numFmtId="177" fontId="61" fillId="5" borderId="25" applyAlignment="1" pivotButton="0" quotePrefix="0" xfId="9">
      <alignment horizontal="left" vertical="center"/>
    </xf>
    <xf numFmtId="0" fontId="61" fillId="5" borderId="25" applyAlignment="1" applyProtection="1" pivotButton="0" quotePrefix="0" xfId="9">
      <alignment horizontal="center" vertical="center"/>
      <protection locked="0" hidden="0"/>
    </xf>
    <xf numFmtId="37" fontId="61" fillId="5" borderId="25" applyAlignment="1" applyProtection="1" pivotButton="0" quotePrefix="0" xfId="9">
      <alignment horizontal="left" vertical="center"/>
      <protection locked="0" hidden="0"/>
    </xf>
    <xf numFmtId="9" fontId="61" fillId="5" borderId="25" applyAlignment="1" applyProtection="1" pivotButton="0" quotePrefix="0" xfId="9">
      <alignment horizontal="left" vertical="center"/>
      <protection locked="0" hidden="0"/>
    </xf>
    <xf numFmtId="0" fontId="80" fillId="16" borderId="8" applyAlignment="1" pivotButton="0" quotePrefix="0" xfId="9">
      <alignment horizontal="left" vertical="center"/>
    </xf>
    <xf numFmtId="0" fontId="61" fillId="0" borderId="25" applyAlignment="1" pivotButton="0" quotePrefix="0" xfId="9">
      <alignment horizontal="center" vertical="center"/>
    </xf>
    <xf numFmtId="37" fontId="61" fillId="0" borderId="25" applyAlignment="1" pivotButton="0" quotePrefix="0" xfId="9">
      <alignment horizontal="left" vertical="center"/>
    </xf>
    <xf numFmtId="171" fontId="61" fillId="5" borderId="25" applyAlignment="1" pivotButton="0" quotePrefix="0" xfId="9">
      <alignment horizontal="left" vertical="center"/>
    </xf>
    <xf numFmtId="171" fontId="61" fillId="0" borderId="25" applyAlignment="1" pivotButton="0" quotePrefix="0" xfId="9">
      <alignment horizontal="left" vertical="center"/>
    </xf>
    <xf numFmtId="182" fontId="61" fillId="0" borderId="25" applyAlignment="1" pivotButton="0" quotePrefix="0" xfId="9">
      <alignment horizontal="right" vertical="center"/>
    </xf>
    <xf numFmtId="177" fontId="61" fillId="0" borderId="25" applyAlignment="1" pivotButton="0" quotePrefix="0" xfId="9">
      <alignment horizontal="left" vertical="center"/>
    </xf>
    <xf numFmtId="0" fontId="61" fillId="18" borderId="25" applyAlignment="1" pivotButton="0" quotePrefix="0" xfId="9">
      <alignment horizontal="center" vertical="center"/>
    </xf>
    <xf numFmtId="37" fontId="61" fillId="18" borderId="25" applyAlignment="1" pivotButton="0" quotePrefix="0" xfId="9">
      <alignment horizontal="left" vertical="center"/>
    </xf>
    <xf numFmtId="182" fontId="61" fillId="18" borderId="25" applyAlignment="1" pivotButton="0" quotePrefix="0" xfId="9">
      <alignment horizontal="right" vertical="center"/>
    </xf>
    <xf numFmtId="177" fontId="61" fillId="18" borderId="25" applyAlignment="1" pivotButton="0" quotePrefix="0" xfId="9">
      <alignment horizontal="left" vertical="center"/>
    </xf>
    <xf numFmtId="171" fontId="61" fillId="18" borderId="25" applyAlignment="1" pivotButton="0" quotePrefix="0" xfId="9">
      <alignment horizontal="left" vertical="center"/>
    </xf>
    <xf numFmtId="0" fontId="80" fillId="16" borderId="0" applyAlignment="1" pivotButton="0" quotePrefix="1" xfId="9">
      <alignment horizontal="left" vertical="center"/>
    </xf>
    <xf numFmtId="0" fontId="83" fillId="0" borderId="0" pivotButton="0" quotePrefix="0" xfId="9"/>
    <xf numFmtId="0" fontId="83" fillId="0" borderId="0" pivotButton="0" quotePrefix="0" xfId="0"/>
    <xf numFmtId="0" fontId="76" fillId="15" borderId="0" pivotButton="0" quotePrefix="0" xfId="0"/>
    <xf numFmtId="0" fontId="78" fillId="0" borderId="0" pivotButton="0" quotePrefix="0" xfId="0"/>
    <xf numFmtId="0" fontId="80" fillId="16" borderId="0" pivotButton="0" quotePrefix="0" xfId="0"/>
    <xf numFmtId="3" fontId="61" fillId="5" borderId="25" applyAlignment="1" applyProtection="1" pivotButton="0" quotePrefix="0" xfId="6">
      <alignment horizontal="left" vertical="center"/>
      <protection locked="0" hidden="0"/>
    </xf>
    <xf numFmtId="169" fontId="61" fillId="5" borderId="25" applyAlignment="1" pivotButton="0" quotePrefix="0" xfId="6">
      <alignment horizontal="left" vertical="center"/>
    </xf>
    <xf numFmtId="0" fontId="77" fillId="0" borderId="0" applyAlignment="1" pivotButton="0" quotePrefix="1" xfId="0">
      <alignment horizontal="left" vertical="top" wrapText="1"/>
    </xf>
    <xf numFmtId="0" fontId="20" fillId="0" borderId="0" pivotButton="0" quotePrefix="0" xfId="0"/>
    <xf numFmtId="0" fontId="69" fillId="0" borderId="0" applyAlignment="1" pivotButton="0" quotePrefix="0" xfId="0">
      <alignment wrapText="1"/>
    </xf>
    <xf numFmtId="0" fontId="0" fillId="0" borderId="0" pivotButton="0" quotePrefix="0" xfId="0"/>
    <xf numFmtId="0" fontId="0" fillId="8" borderId="0" pivotButton="0" quotePrefix="0" xfId="0"/>
    <xf numFmtId="0" fontId="54" fillId="0" borderId="0" applyAlignment="1" pivotButton="0" quotePrefix="0" xfId="0">
      <alignment vertical="top" wrapText="1"/>
    </xf>
    <xf numFmtId="0" fontId="0" fillId="8" borderId="19" pivotButton="0" quotePrefix="0" xfId="0"/>
    <xf numFmtId="0" fontId="68" fillId="9" borderId="19" pivotButton="0" quotePrefix="0" xfId="0"/>
    <xf numFmtId="0" fontId="0" fillId="0" borderId="22" pivotButton="0" quotePrefix="0" xfId="0"/>
    <xf numFmtId="0" fontId="69" fillId="0" borderId="0" pivotButton="0" quotePrefix="0" xfId="0"/>
    <xf numFmtId="0" fontId="54" fillId="0" borderId="0" applyAlignment="1" pivotButton="0" quotePrefix="0" xfId="0">
      <alignment wrapText="1"/>
    </xf>
    <xf numFmtId="0" fontId="61" fillId="5" borderId="26" applyAlignment="1" applyProtection="1" pivotButton="0" quotePrefix="0" xfId="0">
      <alignment horizontal="left" vertical="top" wrapText="1"/>
      <protection locked="0" hidden="0"/>
    </xf>
    <xf numFmtId="0" fontId="0" fillId="0" borderId="28" applyProtection="1" pivotButton="0" quotePrefix="0" xfId="0">
      <protection locked="0" hidden="0"/>
    </xf>
    <xf numFmtId="0" fontId="0" fillId="0" borderId="30" applyProtection="1" pivotButton="0" quotePrefix="0" xfId="0">
      <protection locked="0" hidden="0"/>
    </xf>
    <xf numFmtId="0" fontId="0" fillId="0" borderId="29" applyProtection="1" pivotButton="0" quotePrefix="0" xfId="0">
      <protection locked="0" hidden="0"/>
    </xf>
    <xf numFmtId="0" fontId="0" fillId="0" borderId="0" applyProtection="1" pivotButton="0" quotePrefix="0" xfId="0">
      <protection locked="0" hidden="0"/>
    </xf>
    <xf numFmtId="0" fontId="0" fillId="0" borderId="31" applyProtection="1" pivotButton="0" quotePrefix="0" xfId="0">
      <protection locked="0" hidden="0"/>
    </xf>
    <xf numFmtId="0" fontId="0" fillId="0" borderId="32" applyProtection="1" pivotButton="0" quotePrefix="0" xfId="0">
      <protection locked="0" hidden="0"/>
    </xf>
    <xf numFmtId="0" fontId="0" fillId="0" borderId="33" applyProtection="1" pivotButton="0" quotePrefix="0" xfId="0">
      <protection locked="0" hidden="0"/>
    </xf>
    <xf numFmtId="0" fontId="0" fillId="0" borderId="34" applyProtection="1" pivotButton="0" quotePrefix="0" xfId="0">
      <protection locked="0" hidden="0"/>
    </xf>
    <xf numFmtId="0" fontId="78" fillId="5" borderId="25" applyAlignment="1" pivotButton="0" quotePrefix="1" xfId="7">
      <alignment horizontal="left" vertical="center"/>
    </xf>
    <xf numFmtId="0" fontId="0" fillId="0" borderId="35" pivotButton="0" quotePrefix="0" xfId="0"/>
    <xf numFmtId="0" fontId="0" fillId="0" borderId="36" pivotButton="0" quotePrefix="0" xfId="0"/>
    <xf numFmtId="0" fontId="78" fillId="5" borderId="25" applyAlignment="1" pivotButton="0" quotePrefix="1" xfId="8">
      <alignment horizontal="left" vertical="center"/>
    </xf>
    <xf numFmtId="175" fontId="61" fillId="5" borderId="25" applyAlignment="1" applyProtection="1" pivotButton="0" quotePrefix="0" xfId="6">
      <alignment horizontal="right" vertical="center"/>
      <protection locked="0" hidden="0"/>
    </xf>
    <xf numFmtId="0" fontId="0" fillId="0" borderId="38" applyProtection="1" pivotButton="0" quotePrefix="0" xfId="0">
      <protection locked="0" hidden="0"/>
    </xf>
    <xf numFmtId="0" fontId="0" fillId="0" borderId="37" applyProtection="1" pivotButton="0" quotePrefix="0" xfId="0">
      <protection locked="0" hidden="0"/>
    </xf>
    <xf numFmtId="0" fontId="61" fillId="5" borderId="25" applyAlignment="1" applyProtection="1" pivotButton="0" quotePrefix="0" xfId="6">
      <alignment horizontal="left" vertical="center"/>
      <protection locked="0" hidden="0"/>
    </xf>
    <xf numFmtId="0" fontId="61" fillId="5" borderId="25" pivotButton="0" quotePrefix="0" xfId="0"/>
    <xf numFmtId="0" fontId="0" fillId="0" borderId="25" pivotButton="0" quotePrefix="0" xfId="0"/>
    <xf numFmtId="177" fontId="82" fillId="4" borderId="25" applyAlignment="1" pivotButton="0" quotePrefix="0" xfId="6">
      <alignment horizontal="left" vertical="center"/>
    </xf>
    <xf numFmtId="0" fontId="0" fillId="0" borderId="37" pivotButton="0" quotePrefix="0" xfId="0"/>
    <xf numFmtId="0" fontId="81" fillId="17" borderId="25" applyAlignment="1" pivotButton="0" quotePrefix="1" xfId="6">
      <alignment horizontal="center" vertical="center" wrapText="1"/>
    </xf>
    <xf numFmtId="0" fontId="0" fillId="0" borderId="38" pivotButton="0" quotePrefix="0" xfId="0"/>
    <xf numFmtId="0" fontId="61" fillId="5" borderId="26" applyAlignment="1" pivotButton="0" quotePrefix="0" xfId="0">
      <alignment horizontal="left" vertical="top" wrapText="1"/>
    </xf>
    <xf numFmtId="0" fontId="0" fillId="0" borderId="28" pivotButton="0" quotePrefix="0" xfId="0"/>
    <xf numFmtId="0" fontId="0" fillId="0" borderId="30" pivotButton="0" quotePrefix="0" xfId="0"/>
    <xf numFmtId="0" fontId="0" fillId="0" borderId="29" pivotButton="0" quotePrefix="0" xfId="0"/>
    <xf numFmtId="0" fontId="17" fillId="0" borderId="0" pivotButton="0" quotePrefix="0" xfId="6"/>
    <xf numFmtId="0" fontId="0" fillId="0" borderId="31" pivotButton="0" quotePrefix="0" xfId="0"/>
    <xf numFmtId="0" fontId="0" fillId="0" borderId="32" pivotButton="0" quotePrefix="0" xfId="0"/>
    <xf numFmtId="0" fontId="0" fillId="0" borderId="33" pivotButton="0" quotePrefix="0" xfId="0"/>
    <xf numFmtId="0" fontId="0" fillId="0" borderId="34" pivotButton="0" quotePrefix="0" xfId="0"/>
    <xf numFmtId="175" fontId="61" fillId="0" borderId="25" applyAlignment="1" pivotButton="0" quotePrefix="0" xfId="6">
      <alignment horizontal="right" vertical="center"/>
    </xf>
    <xf numFmtId="0" fontId="61" fillId="0" borderId="25" pivotButton="0" quotePrefix="0" xfId="0"/>
    <xf numFmtId="177" fontId="61" fillId="0" borderId="25" applyAlignment="1" pivotButton="0" quotePrefix="0" xfId="6">
      <alignment horizontal="right" vertical="center"/>
    </xf>
    <xf numFmtId="175" fontId="61" fillId="5" borderId="25" applyAlignment="1" pivotButton="0" quotePrefix="0" xfId="9">
      <alignment horizontal="right"/>
    </xf>
    <xf numFmtId="0" fontId="61" fillId="0" borderId="25" applyAlignment="1" pivotButton="0" quotePrefix="0" xfId="9">
      <alignment horizontal="left" vertical="center"/>
    </xf>
    <xf numFmtId="0" fontId="61" fillId="5" borderId="26" applyAlignment="1" pivotButton="0" quotePrefix="0" xfId="9">
      <alignment horizontal="left" vertical="top" wrapText="1"/>
    </xf>
    <xf numFmtId="0" fontId="1" fillId="0" borderId="0" pivotButton="0" quotePrefix="0" xfId="9"/>
    <xf numFmtId="0" fontId="61" fillId="0" borderId="25" applyAlignment="1" applyProtection="1" pivotButton="0" quotePrefix="0" xfId="9">
      <alignment horizontal="left" vertical="center"/>
      <protection locked="0" hidden="0"/>
    </xf>
    <xf numFmtId="0" fontId="61" fillId="0" borderId="25" applyAlignment="1" pivotButton="0" quotePrefix="0" xfId="6">
      <alignment horizontal="left" vertical="center"/>
    </xf>
    <xf numFmtId="0" fontId="61" fillId="5" borderId="25" applyAlignment="1" applyProtection="1" pivotButton="0" quotePrefix="0" xfId="9">
      <alignment horizontal="left" vertical="center"/>
      <protection locked="0" hidden="0"/>
    </xf>
    <xf numFmtId="0" fontId="61" fillId="18" borderId="25" applyAlignment="1" pivotButton="0" quotePrefix="0" xfId="9">
      <alignment horizontal="left" vertical="center"/>
    </xf>
    <xf numFmtId="0" fontId="61" fillId="18" borderId="25" applyAlignment="1" pivotButton="0" quotePrefix="0" xfId="6">
      <alignment horizontal="left" vertical="center"/>
    </xf>
    <xf numFmtId="0" fontId="72" fillId="0" borderId="17" applyAlignment="1" pivotButton="0" quotePrefix="0" xfId="0">
      <alignment horizontal="left" vertical="center" indent="1"/>
    </xf>
    <xf numFmtId="0" fontId="46" fillId="12" borderId="18" applyAlignment="1" pivotButton="0" quotePrefix="0" xfId="0">
      <alignment vertical="top" wrapText="1"/>
    </xf>
    <xf numFmtId="0" fontId="54" fillId="0" borderId="17" applyAlignment="1" pivotButton="0" quotePrefix="0" xfId="0">
      <alignment vertical="top" wrapText="1"/>
    </xf>
    <xf numFmtId="0" fontId="74" fillId="0" borderId="39" pivotButton="0" quotePrefix="0" xfId="0"/>
    <xf numFmtId="0" fontId="0" fillId="0" borderId="24" pivotButton="0" quotePrefix="0" xfId="0"/>
    <xf numFmtId="0" fontId="0" fillId="0" borderId="0" applyAlignment="1" pivotButton="0" quotePrefix="0" xfId="0">
      <alignment vertical="top" wrapText="1"/>
    </xf>
    <xf numFmtId="0" fontId="57" fillId="13" borderId="0" applyAlignment="1" pivotButton="0" quotePrefix="0" xfId="0">
      <alignment horizontal="center" vertical="center"/>
    </xf>
    <xf numFmtId="0" fontId="56" fillId="7" borderId="0" applyAlignment="1" pivotButton="0" quotePrefix="0" xfId="0">
      <alignment horizontal="center" vertical="center"/>
    </xf>
    <xf numFmtId="0" fontId="62" fillId="7" borderId="0" applyAlignment="1" pivotButton="0" quotePrefix="0" xfId="0">
      <alignment horizontal="center" vertical="center"/>
    </xf>
    <xf numFmtId="0" fontId="64" fillId="11" borderId="0" applyAlignment="1" pivotButton="0" quotePrefix="0" xfId="0">
      <alignment horizontal="left" vertical="center"/>
    </xf>
    <xf numFmtId="0" fontId="62" fillId="7" borderId="0" applyAlignment="1" pivotButton="0" quotePrefix="0" xfId="0">
      <alignment horizontal="left" vertical="center"/>
    </xf>
    <xf numFmtId="0" fontId="66" fillId="0" borderId="0" pivotButton="0" quotePrefix="0" xfId="0"/>
    <xf numFmtId="0" fontId="85" fillId="0" borderId="0" pivotButton="0" quotePrefix="0" xfId="0"/>
    <xf numFmtId="0" fontId="84" fillId="0" borderId="0" pivotButton="0" quotePrefix="0" xfId="13"/>
    <xf numFmtId="0" fontId="86" fillId="0" borderId="0" pivotButton="0" quotePrefix="0" xfId="0"/>
    <xf numFmtId="0" fontId="87" fillId="0" borderId="0" pivotButton="0" quotePrefix="0" xfId="0"/>
    <xf numFmtId="17" fontId="86" fillId="0" borderId="0" pivotButton="0" quotePrefix="0" xfId="0"/>
    <xf numFmtId="183" fontId="86" fillId="0" borderId="0" pivotButton="0" quotePrefix="0" xfId="0"/>
    <xf numFmtId="14" fontId="86" fillId="0" borderId="0" pivotButton="0" quotePrefix="0" xfId="0"/>
    <xf numFmtId="3" fontId="86" fillId="0" borderId="0" pivotButton="0" quotePrefix="0" xfId="0"/>
    <xf numFmtId="0" fontId="88" fillId="0" borderId="0" pivotButton="0" quotePrefix="0" xfId="0"/>
    <xf numFmtId="0" fontId="86" fillId="0" borderId="0" applyAlignment="1" pivotButton="0" quotePrefix="0" xfId="0">
      <alignment wrapText="1"/>
    </xf>
    <xf numFmtId="3" fontId="89" fillId="0" borderId="0" pivotButton="0" quotePrefix="0" xfId="0"/>
    <xf numFmtId="0" fontId="89" fillId="0" borderId="0" pivotButton="0" quotePrefix="0" xfId="0"/>
    <xf numFmtId="15" fontId="90" fillId="0" borderId="0" pivotButton="0" quotePrefix="0" xfId="0"/>
    <xf numFmtId="183" fontId="90" fillId="0" borderId="0" pivotButton="0" quotePrefix="0" xfId="0"/>
    <xf numFmtId="3" fontId="1" fillId="0" borderId="0" pivotButton="0" quotePrefix="0" xfId="0"/>
    <xf numFmtId="0" fontId="91" fillId="0" borderId="0" pivotButton="0" quotePrefix="0" xfId="0"/>
    <xf numFmtId="0" fontId="92" fillId="0" borderId="0" pivotButton="0" quotePrefix="0" xfId="0"/>
    <xf numFmtId="0" fontId="79" fillId="0" borderId="0" pivotButton="0" quotePrefix="0" xfId="0"/>
    <xf numFmtId="0" fontId="90" fillId="0" borderId="0" pivotButton="0" quotePrefix="0" xfId="0"/>
    <xf numFmtId="0" fontId="93" fillId="0" borderId="0" pivotButton="0" quotePrefix="0" xfId="0"/>
    <xf numFmtId="0" fontId="94" fillId="0" borderId="0" pivotButton="0" quotePrefix="0" xfId="0"/>
    <xf numFmtId="14" fontId="1" fillId="0" borderId="0" pivotButton="0" quotePrefix="0" xfId="0"/>
    <xf numFmtId="183" fontId="1" fillId="0" borderId="0" pivotButton="0" quotePrefix="0" xfId="0"/>
    <xf numFmtId="0" fontId="95" fillId="0" borderId="0" pivotButton="0" quotePrefix="0" xfId="0"/>
    <xf numFmtId="0" fontId="96" fillId="0" borderId="0" pivotButton="0" quotePrefix="0" xfId="0"/>
    <xf numFmtId="0" fontId="93" fillId="0" borderId="0" applyAlignment="1" pivotButton="0" quotePrefix="0" xfId="0">
      <alignment wrapText="1"/>
    </xf>
    <xf numFmtId="0" fontId="54" fillId="0" borderId="18" applyAlignment="1" pivotButton="0" quotePrefix="0" xfId="0">
      <alignment vertical="top" wrapText="1"/>
    </xf>
    <xf numFmtId="0" fontId="41" fillId="7" borderId="18" pivotButton="0" quotePrefix="0" xfId="0"/>
    <xf numFmtId="0" fontId="69" fillId="0" borderId="18" applyAlignment="1" pivotButton="0" quotePrefix="0" xfId="0">
      <alignment wrapText="1"/>
    </xf>
    <xf numFmtId="0" fontId="54" fillId="0" borderId="18" applyAlignment="1" pivotButton="0" quotePrefix="0" xfId="0">
      <alignment wrapText="1"/>
    </xf>
    <xf numFmtId="179" fontId="0" fillId="0" borderId="0" pivotButton="0" quotePrefix="0" xfId="0"/>
    <xf numFmtId="178" fontId="0" fillId="0" borderId="0" pivotButton="0" quotePrefix="0" xfId="0"/>
    <xf numFmtId="181" fontId="0" fillId="0" borderId="0" pivotButton="0" quotePrefix="0" xfId="0"/>
    <xf numFmtId="179" fontId="0" fillId="11" borderId="0" pivotButton="0" quotePrefix="0" xfId="0"/>
    <xf numFmtId="178" fontId="0" fillId="11" borderId="0" pivotButton="0" quotePrefix="0" xfId="0"/>
    <xf numFmtId="0" fontId="77" fillId="0" borderId="18" applyAlignment="1" pivotButton="0" quotePrefix="1" xfId="0">
      <alignment horizontal="left" vertical="top" wrapText="1"/>
    </xf>
    <xf numFmtId="171" fontId="61" fillId="5" borderId="25" applyAlignment="1" applyProtection="1" pivotButton="0" quotePrefix="0" xfId="0">
      <alignment horizontal="right" vertical="center"/>
      <protection locked="0" hidden="0"/>
    </xf>
    <xf numFmtId="171" fontId="61" fillId="0" borderId="25" applyAlignment="1" pivotButton="0" quotePrefix="0" xfId="0">
      <alignment horizontal="right" vertical="center"/>
    </xf>
    <xf numFmtId="177" fontId="61" fillId="5" borderId="25" applyAlignment="1" applyProtection="1" pivotButton="0" quotePrefix="0" xfId="0">
      <alignment horizontal="right" vertical="center"/>
      <protection locked="0" hidden="0"/>
    </xf>
    <xf numFmtId="182" fontId="61" fillId="0" borderId="25" applyAlignment="1" pivotButton="0" quotePrefix="0" xfId="0">
      <alignment horizontal="right" vertical="center"/>
    </xf>
    <xf numFmtId="177" fontId="61" fillId="0" borderId="25" applyAlignment="1" pivotButton="0" quotePrefix="0" xfId="0">
      <alignment horizontal="right" vertical="center"/>
    </xf>
    <xf numFmtId="167" fontId="61" fillId="5" borderId="25" applyAlignment="1" applyProtection="1" pivotButton="0" quotePrefix="0" xfId="0">
      <alignment horizontal="right" vertical="center"/>
      <protection locked="0" hidden="0"/>
    </xf>
    <xf numFmtId="171" fontId="82" fillId="4" borderId="25" applyAlignment="1" pivotButton="0" quotePrefix="0" xfId="0">
      <alignment horizontal="right" vertical="center"/>
    </xf>
    <xf numFmtId="177" fontId="82" fillId="4" borderId="25" applyAlignment="1" pivotButton="0" quotePrefix="0" xfId="0">
      <alignment horizontal="right" vertical="center"/>
    </xf>
    <xf numFmtId="182" fontId="61" fillId="18" borderId="25" applyAlignment="1" pivotButton="0" quotePrefix="0" xfId="0">
      <alignment horizontal="right" vertical="center"/>
    </xf>
    <xf numFmtId="171" fontId="61" fillId="18" borderId="25" applyAlignment="1" pivotButton="0" quotePrefix="0" xfId="0">
      <alignment horizontal="right" vertical="center"/>
    </xf>
    <xf numFmtId="177" fontId="61" fillId="18" borderId="25" applyAlignment="1" pivotButton="0" quotePrefix="0" xfId="0">
      <alignment horizontal="right" vertical="center"/>
    </xf>
    <xf numFmtId="177" fontId="61" fillId="5" borderId="25" applyAlignment="1" applyProtection="1" pivotButton="0" quotePrefix="0" xfId="7">
      <alignment horizontal="right" vertical="center"/>
      <protection locked="0" hidden="0"/>
    </xf>
    <xf numFmtId="171" fontId="61" fillId="0" borderId="25" applyAlignment="1" applyProtection="1" pivotButton="0" quotePrefix="0" xfId="7">
      <alignment horizontal="right" vertical="center"/>
      <protection locked="0" hidden="0"/>
    </xf>
    <xf numFmtId="169" fontId="82" fillId="4" borderId="25" applyAlignment="1" applyProtection="1" pivotButton="0" quotePrefix="0" xfId="7">
      <alignment horizontal="right" vertical="center"/>
      <protection locked="0" hidden="0"/>
    </xf>
    <xf numFmtId="171" fontId="61" fillId="5" borderId="25" applyAlignment="1" applyProtection="1" pivotButton="0" quotePrefix="0" xfId="7">
      <alignment horizontal="right" vertical="center"/>
      <protection locked="0" hidden="0"/>
    </xf>
    <xf numFmtId="175" fontId="82" fillId="4" borderId="25" applyAlignment="1" applyProtection="1" pivotButton="0" quotePrefix="0" xfId="7">
      <alignment horizontal="right" vertical="center"/>
      <protection locked="0" hidden="0"/>
    </xf>
    <xf numFmtId="169" fontId="61" fillId="5" borderId="25" applyAlignment="1" pivotButton="0" quotePrefix="0" xfId="7">
      <alignment horizontal="left" vertical="center"/>
    </xf>
    <xf numFmtId="169" fontId="1" fillId="0" borderId="0" pivotButton="0" quotePrefix="0" xfId="7"/>
    <xf numFmtId="177" fontId="61" fillId="0" borderId="25" applyAlignment="1" pivotButton="0" quotePrefix="0" xfId="7">
      <alignment horizontal="right" vertical="center"/>
    </xf>
    <xf numFmtId="171" fontId="61" fillId="0" borderId="25" applyAlignment="1" pivotButton="0" quotePrefix="0" xfId="7">
      <alignment horizontal="right" vertical="center"/>
    </xf>
    <xf numFmtId="169" fontId="82" fillId="4" borderId="25" applyAlignment="1" pivotButton="0" quotePrefix="0" xfId="7">
      <alignment horizontal="right" vertical="center"/>
    </xf>
    <xf numFmtId="177" fontId="61" fillId="5" borderId="25" applyAlignment="1" pivotButton="0" quotePrefix="0" xfId="7">
      <alignment horizontal="right" vertical="center"/>
    </xf>
    <xf numFmtId="182" fontId="61" fillId="0" borderId="25" applyAlignment="1" pivotButton="0" quotePrefix="0" xfId="7">
      <alignment horizontal="left" vertical="center"/>
    </xf>
    <xf numFmtId="167" fontId="61" fillId="5" borderId="25" applyAlignment="1" pivotButton="0" quotePrefix="0" xfId="7">
      <alignment horizontal="right" vertical="center"/>
    </xf>
    <xf numFmtId="175" fontId="82" fillId="4" borderId="25" applyAlignment="1" pivotButton="0" quotePrefix="0" xfId="7">
      <alignment horizontal="right" vertical="center"/>
    </xf>
    <xf numFmtId="171" fontId="1" fillId="0" borderId="0" pivotButton="0" quotePrefix="0" xfId="7"/>
    <xf numFmtId="177" fontId="61" fillId="18" borderId="25" applyAlignment="1" pivotButton="0" quotePrefix="0" xfId="7">
      <alignment horizontal="right" vertical="center"/>
    </xf>
    <xf numFmtId="171" fontId="61" fillId="18" borderId="25" applyAlignment="1" pivotButton="0" quotePrefix="0" xfId="7">
      <alignment horizontal="right" vertical="center"/>
    </xf>
    <xf numFmtId="182" fontId="61" fillId="18" borderId="25" applyAlignment="1" pivotButton="0" quotePrefix="0" xfId="7">
      <alignment horizontal="left" vertical="center"/>
    </xf>
    <xf numFmtId="169" fontId="61" fillId="5" borderId="25" applyAlignment="1" pivotButton="0" quotePrefix="0" xfId="8">
      <alignment horizontal="right" vertical="center"/>
    </xf>
    <xf numFmtId="167" fontId="61" fillId="5" borderId="25" applyAlignment="1" pivotButton="0" quotePrefix="0" xfId="8">
      <alignment horizontal="right" vertical="center"/>
    </xf>
    <xf numFmtId="169" fontId="61" fillId="0" borderId="25" applyAlignment="1" pivotButton="0" quotePrefix="0" xfId="8">
      <alignment horizontal="right" vertical="center"/>
    </xf>
    <xf numFmtId="167" fontId="61" fillId="5" borderId="25" applyAlignment="1" applyProtection="1" pivotButton="0" quotePrefix="0" xfId="8">
      <alignment horizontal="right" vertical="center"/>
      <protection locked="0" hidden="0"/>
    </xf>
    <xf numFmtId="169" fontId="82" fillId="4" borderId="25" applyAlignment="1" pivotButton="0" quotePrefix="0" xfId="8">
      <alignment horizontal="left" vertical="center"/>
    </xf>
    <xf numFmtId="167" fontId="16" fillId="0" borderId="0" applyAlignment="1" pivotButton="0" quotePrefix="0" xfId="8">
      <alignment horizontal="right"/>
    </xf>
    <xf numFmtId="169" fontId="61" fillId="18" borderId="25" applyAlignment="1" pivotButton="0" quotePrefix="0" xfId="8">
      <alignment horizontal="right" vertical="center"/>
    </xf>
    <xf numFmtId="175" fontId="61" fillId="5" borderId="25" applyAlignment="1" applyProtection="1" pivotButton="0" quotePrefix="0" xfId="6">
      <alignment horizontal="right" vertical="center"/>
      <protection locked="0" hidden="0"/>
    </xf>
    <xf numFmtId="177" fontId="61" fillId="5" borderId="25" applyAlignment="1" pivotButton="0" quotePrefix="0" xfId="6">
      <alignment horizontal="left" vertical="center"/>
    </xf>
    <xf numFmtId="177" fontId="82" fillId="4" borderId="25" applyAlignment="1" pivotButton="0" quotePrefix="0" xfId="6">
      <alignment horizontal="left" vertical="center"/>
    </xf>
    <xf numFmtId="175" fontId="61" fillId="0" borderId="25" applyAlignment="1" pivotButton="0" quotePrefix="0" xfId="6">
      <alignment horizontal="right" vertical="center"/>
    </xf>
    <xf numFmtId="177" fontId="61" fillId="0" borderId="25" applyAlignment="1" pivotButton="0" quotePrefix="0" xfId="6">
      <alignment horizontal="right" vertical="center"/>
    </xf>
    <xf numFmtId="169" fontId="61" fillId="5" borderId="25" applyAlignment="1" pivotButton="0" quotePrefix="0" xfId="6">
      <alignment horizontal="left" vertical="center"/>
    </xf>
    <xf numFmtId="171" fontId="61" fillId="0" borderId="25" applyAlignment="1" pivotButton="0" quotePrefix="0" xfId="6">
      <alignment horizontal="left" vertical="center"/>
    </xf>
    <xf numFmtId="171" fontId="61" fillId="18" borderId="25" applyAlignment="1" pivotButton="0" quotePrefix="0" xfId="6">
      <alignment horizontal="left" vertical="center"/>
    </xf>
    <xf numFmtId="171" fontId="61" fillId="5" borderId="25" applyAlignment="1" pivotButton="0" quotePrefix="0" xfId="6">
      <alignment horizontal="left" vertical="center"/>
    </xf>
    <xf numFmtId="169" fontId="61" fillId="0" borderId="25" applyAlignment="1" pivotButton="0" quotePrefix="0" xfId="6">
      <alignment horizontal="left" vertical="center"/>
    </xf>
    <xf numFmtId="182" fontId="61" fillId="0" borderId="25" applyAlignment="1" pivotButton="0" quotePrefix="0" xfId="6">
      <alignment horizontal="right" vertical="center"/>
    </xf>
    <xf numFmtId="177" fontId="61" fillId="0" borderId="25" applyAlignment="1" pivotButton="0" quotePrefix="0" xfId="6">
      <alignment horizontal="left" vertical="center"/>
    </xf>
    <xf numFmtId="182" fontId="61" fillId="18" borderId="25" applyAlignment="1" pivotButton="0" quotePrefix="0" xfId="6">
      <alignment horizontal="right" vertical="center"/>
    </xf>
    <xf numFmtId="177" fontId="61" fillId="18" borderId="25" applyAlignment="1" pivotButton="0" quotePrefix="0" xfId="6">
      <alignment horizontal="left" vertical="center"/>
    </xf>
    <xf numFmtId="177" fontId="61" fillId="5" borderId="25" applyAlignment="1" pivotButton="0" quotePrefix="0" xfId="9">
      <alignment horizontal="left" vertical="center"/>
    </xf>
    <xf numFmtId="171" fontId="61" fillId="5" borderId="25" applyAlignment="1" pivotButton="0" quotePrefix="0" xfId="9">
      <alignment horizontal="left" vertical="center"/>
    </xf>
    <xf numFmtId="171" fontId="61" fillId="0" borderId="25" applyAlignment="1" pivotButton="0" quotePrefix="0" xfId="9">
      <alignment horizontal="left" vertical="center"/>
    </xf>
    <xf numFmtId="182" fontId="61" fillId="0" borderId="25" applyAlignment="1" pivotButton="0" quotePrefix="0" xfId="9">
      <alignment horizontal="right" vertical="center"/>
    </xf>
    <xf numFmtId="177" fontId="61" fillId="0" borderId="25" applyAlignment="1" pivotButton="0" quotePrefix="0" xfId="9">
      <alignment horizontal="left" vertical="center"/>
    </xf>
    <xf numFmtId="182" fontId="61" fillId="18" borderId="25" applyAlignment="1" pivotButton="0" quotePrefix="0" xfId="9">
      <alignment horizontal="right" vertical="center"/>
    </xf>
    <xf numFmtId="177" fontId="61" fillId="18" borderId="25" applyAlignment="1" pivotButton="0" quotePrefix="0" xfId="9">
      <alignment horizontal="left" vertical="center"/>
    </xf>
    <xf numFmtId="171" fontId="61" fillId="18" borderId="25" applyAlignment="1" pivotButton="0" quotePrefix="0" xfId="9">
      <alignment horizontal="left" vertical="center"/>
    </xf>
    <xf numFmtId="175" fontId="61" fillId="5" borderId="25" applyAlignment="1" pivotButton="0" quotePrefix="0" xfId="9">
      <alignment horizontal="right"/>
    </xf>
    <xf numFmtId="181" fontId="45" fillId="8" borderId="19" applyAlignment="1" pivotButton="0" quotePrefix="0" xfId="0">
      <alignment vertical="center"/>
    </xf>
    <xf numFmtId="178" fontId="45" fillId="0" borderId="17" applyAlignment="1" pivotButton="0" quotePrefix="0" xfId="0">
      <alignment vertical="center"/>
    </xf>
    <xf numFmtId="179" fontId="45" fillId="0" borderId="17" applyAlignment="1" pivotButton="0" quotePrefix="0" xfId="0">
      <alignment vertical="center"/>
    </xf>
    <xf numFmtId="179" fontId="47" fillId="0" borderId="17" applyAlignment="1" pivotButton="0" quotePrefix="0" xfId="0">
      <alignment vertical="center"/>
    </xf>
    <xf numFmtId="180" fontId="45" fillId="0" borderId="17" applyAlignment="1" pivotButton="0" quotePrefix="0" xfId="0">
      <alignment vertical="center"/>
    </xf>
    <xf numFmtId="180" fontId="47" fillId="0" borderId="17" applyAlignment="1" pivotButton="0" quotePrefix="0" xfId="0">
      <alignment vertical="center"/>
    </xf>
    <xf numFmtId="178" fontId="45" fillId="8" borderId="19" applyAlignment="1" pivotButton="0" quotePrefix="0" xfId="0">
      <alignment vertical="center"/>
    </xf>
    <xf numFmtId="167" fontId="45" fillId="8" borderId="19" applyAlignment="1" pivotButton="0" quotePrefix="0" xfId="0">
      <alignment vertical="center"/>
    </xf>
    <xf numFmtId="179" fontId="48" fillId="0" borderId="17" applyAlignment="1" pivotButton="0" quotePrefix="0" xfId="0">
      <alignment vertical="center"/>
    </xf>
    <xf numFmtId="178" fontId="45" fillId="0" borderId="17" pivotButton="0" quotePrefix="0" xfId="0"/>
    <xf numFmtId="179" fontId="45" fillId="8" borderId="19" applyAlignment="1" pivotButton="0" quotePrefix="0" xfId="0">
      <alignment horizontal="center"/>
    </xf>
    <xf numFmtId="167" fontId="45" fillId="9" borderId="17" applyAlignment="1" pivotButton="0" quotePrefix="0" xfId="0">
      <alignment vertical="center"/>
    </xf>
    <xf numFmtId="179" fontId="45" fillId="0" borderId="17" pivotButton="0" quotePrefix="0" xfId="0"/>
    <xf numFmtId="167" fontId="45" fillId="8" borderId="19" pivotButton="0" quotePrefix="0" xfId="0"/>
    <xf numFmtId="167" fontId="45" fillId="0" borderId="17" pivotButton="0" quotePrefix="0" xfId="0"/>
    <xf numFmtId="179" fontId="47" fillId="0" borderId="17" pivotButton="0" quotePrefix="0" xfId="0"/>
    <xf numFmtId="179" fontId="49" fillId="0" borderId="17" pivotButton="0" quotePrefix="0" xfId="0"/>
    <xf numFmtId="179" fontId="45" fillId="8" borderId="17" applyAlignment="1" pivotButton="0" quotePrefix="0" xfId="0">
      <alignment horizontal="center"/>
    </xf>
    <xf numFmtId="179" fontId="49" fillId="0" borderId="17" applyAlignment="1" pivotButton="0" quotePrefix="0" xfId="0">
      <alignment vertical="center"/>
    </xf>
    <xf numFmtId="0" fontId="72" fillId="0" borderId="18" applyAlignment="1" pivotButton="0" quotePrefix="0" xfId="0">
      <alignment horizontal="left" vertical="center" indent="1"/>
    </xf>
    <xf numFmtId="178" fontId="45" fillId="8" borderId="17" applyAlignment="1" pivotButton="0" quotePrefix="0" xfId="0">
      <alignment vertical="center"/>
    </xf>
    <xf numFmtId="176" fontId="50" fillId="6" borderId="20" applyAlignment="1" pivotButton="0" quotePrefix="0" xfId="0">
      <alignment horizontal="left"/>
    </xf>
    <xf numFmtId="177" fontId="51" fillId="6" borderId="0" pivotButton="0" quotePrefix="0" xfId="0"/>
    <xf numFmtId="0" fontId="42" fillId="0" borderId="18" pivotButton="0" quotePrefix="0" xfId="0"/>
    <xf numFmtId="172" fontId="14" fillId="0" borderId="0" pivotButton="0" quotePrefix="0" xfId="3"/>
    <xf numFmtId="172" fontId="67" fillId="7" borderId="0" applyAlignment="1" pivotButton="0" quotePrefix="0" xfId="3">
      <alignment horizontal="center" vertical="center" wrapText="1"/>
    </xf>
    <xf numFmtId="169" fontId="0" fillId="0" borderId="0" pivotButton="0" quotePrefix="0" xfId="0"/>
    <xf numFmtId="174" fontId="0" fillId="0" borderId="0" pivotButton="0" quotePrefix="0" xfId="0"/>
    <xf numFmtId="175" fontId="0" fillId="0" borderId="0" pivotButton="0" quotePrefix="0" xfId="0"/>
    <xf numFmtId="0" fontId="45" fillId="0" borderId="0" pivotButton="0" quotePrefix="0" xfId="0"/>
    <xf numFmtId="174" fontId="45" fillId="0" borderId="0" pivotButton="0" quotePrefix="0" xfId="0"/>
    <xf numFmtId="170" fontId="14" fillId="0" borderId="0" applyAlignment="1" pivotButton="0" quotePrefix="0" xfId="0">
      <alignment horizontal="right"/>
    </xf>
    <xf numFmtId="170" fontId="67" fillId="7" borderId="15" applyAlignment="1" pivotButton="0" quotePrefix="0" xfId="0">
      <alignment horizontal="center" vertical="center" wrapText="1"/>
    </xf>
    <xf numFmtId="168" fontId="2" fillId="0" borderId="0" pivotButton="0" quotePrefix="0" xfId="1"/>
    <xf numFmtId="169" fontId="2" fillId="0" borderId="0" pivotButton="0" quotePrefix="0" xfId="0"/>
    <xf numFmtId="170" fontId="2" fillId="0" borderId="0" applyAlignment="1" pivotButton="0" quotePrefix="0" xfId="0">
      <alignment horizontal="right"/>
    </xf>
    <xf numFmtId="170" fontId="2" fillId="0" borderId="0" pivotButton="0" quotePrefix="0" xfId="0"/>
    <xf numFmtId="168" fontId="14" fillId="0" borderId="0" pivotButton="0" quotePrefix="0" xfId="1"/>
    <xf numFmtId="169" fontId="14" fillId="0" borderId="0" applyAlignment="1" pivotButton="0" quotePrefix="0" xfId="10">
      <alignment horizontal="right"/>
    </xf>
    <xf numFmtId="169" fontId="14" fillId="0" borderId="0" pivotButton="0" quotePrefix="0" xfId="0"/>
    <xf numFmtId="169" fontId="14" fillId="0" borderId="0" applyAlignment="1" pivotButton="0" quotePrefix="0" xfId="0">
      <alignment vertical="top" wrapText="1"/>
    </xf>
    <xf numFmtId="171" fontId="2" fillId="0" borderId="0" pivotButton="0" quotePrefix="0" xfId="3"/>
    <xf numFmtId="172" fontId="2" fillId="0" borderId="0" pivotButton="0" quotePrefix="0" xfId="3"/>
    <xf numFmtId="172" fontId="2" fillId="0" borderId="0" applyAlignment="1" pivotButton="0" quotePrefix="0" xfId="3">
      <alignment horizontal="center"/>
    </xf>
    <xf numFmtId="173" fontId="2" fillId="0" borderId="0" pivotButton="0" quotePrefix="0" xfId="0"/>
    <xf numFmtId="171" fontId="14" fillId="0" borderId="0" pivotButton="0" quotePrefix="0" xfId="3"/>
    <xf numFmtId="172" fontId="14" fillId="0" borderId="0" applyAlignment="1" pivotButton="0" quotePrefix="0" xfId="3">
      <alignment horizontal="center"/>
    </xf>
    <xf numFmtId="0" fontId="0" fillId="0" borderId="18" applyAlignment="1" pivotButton="0" quotePrefix="0" xfId="0">
      <alignment vertical="top" wrapText="1"/>
    </xf>
    <xf numFmtId="0" fontId="0" fillId="0" borderId="39" pivotButton="0" quotePrefix="0" xfId="0"/>
    <xf numFmtId="0" fontId="56" fillId="7" borderId="18" applyAlignment="1" pivotButton="0" quotePrefix="0" xfId="0">
      <alignment horizontal="center" vertical="center"/>
    </xf>
    <xf numFmtId="0" fontId="57" fillId="13" borderId="18" applyAlignment="1" pivotButton="0" quotePrefix="0" xfId="0">
      <alignment horizontal="center" vertical="center"/>
    </xf>
    <xf numFmtId="0" fontId="62" fillId="7" borderId="18" applyAlignment="1" pivotButton="0" quotePrefix="0" xfId="0">
      <alignment horizontal="center" vertical="center"/>
    </xf>
    <xf numFmtId="0" fontId="62" fillId="7" borderId="18" applyAlignment="1" pivotButton="0" quotePrefix="0" xfId="0">
      <alignment horizontal="left" vertical="center"/>
    </xf>
    <xf numFmtId="0" fontId="64" fillId="11" borderId="18" applyAlignment="1" pivotButton="0" quotePrefix="0" xfId="0">
      <alignment horizontal="left" vertical="center"/>
    </xf>
    <xf numFmtId="178" fontId="61" fillId="11" borderId="21" applyAlignment="1" pivotButton="0" quotePrefix="0" xfId="0">
      <alignment horizontal="right" vertical="center"/>
    </xf>
    <xf numFmtId="178" fontId="61" fillId="0" borderId="21" applyAlignment="1" pivotButton="0" quotePrefix="0" xfId="0">
      <alignment horizontal="right" vertical="center"/>
    </xf>
    <xf numFmtId="178" fontId="61" fillId="8" borderId="21" applyAlignment="1" pivotButton="0" quotePrefix="0" xfId="0">
      <alignment horizontal="right" vertical="center"/>
    </xf>
    <xf numFmtId="178" fontId="61" fillId="14" borderId="21" applyAlignment="1" pivotButton="0" quotePrefix="0" xfId="0">
      <alignment horizontal="right" vertical="center"/>
    </xf>
    <xf numFmtId="183" fontId="86" fillId="0" borderId="0" pivotButton="0" quotePrefix="0" xfId="0"/>
    <xf numFmtId="183" fontId="90" fillId="0" borderId="0" pivotButton="0" quotePrefix="0" xfId="0"/>
    <xf numFmtId="183" fontId="1" fillId="0" borderId="0" pivotButton="0" quotePrefix="0" xfId="0"/>
    <xf numFmtId="0" fontId="97" fillId="0" borderId="0" pivotButton="0" quotePrefix="0" xfId="0"/>
    <xf numFmtId="0" fontId="98" fillId="0" borderId="0" pivotButton="0" quotePrefix="0" xfId="0"/>
    <xf numFmtId="0" fontId="99" fillId="19" borderId="43" applyAlignment="1" pivotButton="0" quotePrefix="0" xfId="0">
      <alignment horizontal="center" vertical="center"/>
    </xf>
    <xf numFmtId="0" fontId="100" fillId="0" borderId="0" applyAlignment="1" pivotButton="0" quotePrefix="0" xfId="0">
      <alignment horizontal="center" vertical="center"/>
    </xf>
    <xf numFmtId="0" fontId="100" fillId="0" borderId="0" applyAlignment="1" pivotButton="0" quotePrefix="0" xfId="0">
      <alignment horizontal="left" vertical="center"/>
    </xf>
    <xf numFmtId="0" fontId="100" fillId="20" borderId="0" applyAlignment="1" pivotButton="0" quotePrefix="0" xfId="0">
      <alignment horizontal="left" vertical="center"/>
    </xf>
    <xf numFmtId="3" fontId="100" fillId="20" borderId="0" applyAlignment="1" pivotButton="0" quotePrefix="0" xfId="0">
      <alignment horizontal="center" vertical="center"/>
    </xf>
    <xf numFmtId="0" fontId="100" fillId="20" borderId="0" applyAlignment="1" pivotButton="0" quotePrefix="0" xfId="0">
      <alignment horizontal="center" vertical="center"/>
    </xf>
    <xf numFmtId="184" fontId="100" fillId="0" borderId="0" applyAlignment="1" pivotButton="0" quotePrefix="0" xfId="0">
      <alignment horizontal="center" vertical="center"/>
    </xf>
    <xf numFmtId="185" fontId="100" fillId="0" borderId="0" applyAlignment="1" pivotButton="0" quotePrefix="0" xfId="0">
      <alignment horizontal="center" vertical="center"/>
    </xf>
    <xf numFmtId="0" fontId="100" fillId="21" borderId="0" applyAlignment="1" pivotButton="0" quotePrefix="0" xfId="0">
      <alignment horizontal="center" vertical="center"/>
    </xf>
    <xf numFmtId="0" fontId="100" fillId="21" borderId="0" applyAlignment="1" pivotButton="0" quotePrefix="0" xfId="0">
      <alignment horizontal="left" vertical="center"/>
    </xf>
    <xf numFmtId="184" fontId="100" fillId="21" borderId="0" applyAlignment="1" pivotButton="0" quotePrefix="0" xfId="0">
      <alignment horizontal="center" vertical="center"/>
    </xf>
    <xf numFmtId="185" fontId="100" fillId="21" borderId="0" applyAlignment="1" pivotButton="0" quotePrefix="0" xfId="0">
      <alignment horizontal="center" vertical="center"/>
    </xf>
  </cellXfs>
  <cellStyles count="14">
    <cellStyle name="Normal" xfId="0" builtinId="0"/>
    <cellStyle name="Comma" xfId="1" builtinId="3"/>
    <cellStyle name="Comma 3" xfId="2"/>
    <cellStyle name="Currency" xfId="3" builtinId="4"/>
    <cellStyle name="Normal 2" xfId="4"/>
    <cellStyle name="Normal 3" xfId="5"/>
    <cellStyle name="Normal_99 Appeal Restaurant" xfId="6"/>
    <cellStyle name="Normal_99 Grids Restaurant" xfId="7"/>
    <cellStyle name="Normal_Blank" xfId="8"/>
    <cellStyle name="Normal_BOCC Worksheet" xfId="9"/>
    <cellStyle name="Normal_Inc Grid" xfId="10"/>
    <cellStyle name="Normal_Restaurant" xfId="11"/>
    <cellStyle name="Percent" xfId="12" builtinId="5"/>
    <cellStyle name="Hyperlink" xfId="13" builtinId="8"/>
  </cellStyles>
  <dxfs count="4">
    <dxf>
      <fill>
        <patternFill patternType="solid">
          <fgColor rgb="FFF3F6F8"/>
        </patternFill>
      </fill>
    </dxf>
    <dxf>
      <fill>
        <patternFill patternType="solid">
          <fgColor rgb="FFF3F6F8"/>
        </patternFill>
      </fill>
    </dxf>
    <dxf>
      <font>
        <color rgb="FF9C0006"/>
      </font>
      <fill>
        <patternFill>
          <bgColor rgb="FFFFC7CE"/>
        </patternFill>
      </fill>
    </dxf>
    <dxf>
      <font>
        <color rgb="FFFFFFFF"/>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externalLink" Target="/xl/externalLinks/externalLink1.xml" Id="rId25" /><Relationship Type="http://schemas.openxmlformats.org/officeDocument/2006/relationships/externalLink" Target="/xl/externalLinks/externalLink2.xml" Id="rId26" /><Relationship Type="http://schemas.openxmlformats.org/officeDocument/2006/relationships/externalLink" Target="/xl/externalLinks/externalLink3.xml" Id="rId27" /><Relationship Type="http://schemas.openxmlformats.org/officeDocument/2006/relationships/externalLink" Target="/xl/externalLinks/externalLink4.xml" Id="rId28" /><Relationship Type="http://schemas.openxmlformats.org/officeDocument/2006/relationships/styles" Target="styles.xml" Id="rId29" /><Relationship Type="http://schemas.openxmlformats.org/officeDocument/2006/relationships/theme" Target="theme/theme1.xml" Id="rId30" /><Relationship Type="http://schemas.microsoft.com/office/2006/relationships/vbaProject" Target="vbaProject.bin" Id="rId31" /></Relationships>
</file>

<file path=xl/comments/comment1.xml><?xml version="1.0" encoding="utf-8"?>
<comments xmlns="http://schemas.openxmlformats.org/spreadsheetml/2006/main">
  <authors>
    <author>Workbook</author>
  </authors>
  <commentList>
    <comment ref="D4" authorId="0" shapeId="0">
      <text>
        <t>Pick the city so the Zoning dropdown below only shows that city's real zones instead of all 104 values across every city. Leave blank (or "Other / Not Listed") to see the full list.</t>
      </text>
    </comment>
    <comment ref="B8" authorId="0" shapeId="0">
      <text>
        <t>Interim list pulled from existing Sales/Income records -- not the real county zoning table yet. See the Zoning Codes tab.</t>
      </text>
    </comment>
    <comment ref="B13" authorId="0" shapeId="0">
      <text>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text>
    </comment>
  </commentList>
</comments>
</file>

<file path=xl/comments/comment2.xml><?xml version="1.0" encoding="utf-8"?>
<comments xmlns="http://schemas.openxmlformats.org/spreadsheetml/2006/main">
  <authors>
    <author>Debra K. Coak</author>
    <author>Workbook</author>
  </authors>
  <commentList>
    <comment ref="B1" authorId="0" shapeId="0">
      <text>
        <t xml:space="preserve">To Save Grid
1)Click Save button
2)Click File SaveAs
    new filename
   </t>
      </text>
    </comment>
    <comment ref="Y20" authorId="1" shapeId="0">
      <text>
        <t>Which ranked match to show here? 1 = closest match by size, 2 = 2nd closest, etc. Defaults to 1 (top matches in order) -- change it to swap in a different comp. See the Comp Picker tab for the full ranked list before picking.</t>
      </text>
    </comment>
    <comment ref="Y23" authorId="1" shapeId="0">
      <text>
        <t>Which ranked match to show here? 1 = closest match by size, 2 = 2nd closest, etc. Defaults to 2 (top matches in order) -- change it to swap in a different comp. See the Comp Picker tab for the full ranked list before picking.</t>
      </text>
    </comment>
    <comment ref="Y26"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3.xml><?xml version="1.0" encoding="utf-8"?>
<comments xmlns="http://schemas.openxmlformats.org/spreadsheetml/2006/main">
  <authors>
    <author>Workbook</author>
    <author>DEBRA K COAK</author>
  </authors>
  <commentList>
    <comment ref="Y21" authorId="0" shapeId="0">
      <text>
        <t>Which ranked match to show here? 1 = closest match by size, 2 = 2nd closest, etc. Defaults to 1 (top matches in order) -- change it to swap in a different comp. See the Comp Picker tab for the full ranked list before picking.</t>
      </text>
    </comment>
    <comment ref="D23" authorId="1" shapeId="0">
      <text>
        <t xml:space="preserve"> Type adjustment here, use minus sign for deduction
</t>
      </text>
    </comment>
    <comment ref="G24" authorId="1" shapeId="0">
      <text>
        <t xml:space="preserve"> Type adjustment here, use minus sign for deduction
</t>
      </text>
    </comment>
    <comment ref="Y26" authorId="0" shapeId="0">
      <text>
        <t>Which ranked match to show here? 1 = closest match by size, 2 = 2nd closest, etc. Defaults to 2 (top matches in order) -- change it to swap in a different comp. See the Comp Picker tab for the full ranked list before picking.</t>
      </text>
    </comment>
    <comment ref="D28" authorId="1" shapeId="0">
      <text>
        <t xml:space="preserve"> Type adjustment here, use minus sign for deduction
</t>
      </text>
    </comment>
    <comment ref="G29" authorId="1" shapeId="0">
      <text>
        <t xml:space="preserve"> Type adjustment here, use minus sign for deduction
</t>
      </text>
    </comment>
    <comment ref="Y31" authorId="0" shapeId="0">
      <text>
        <t>Which ranked match to show here? 1 = closest match by size, 2 = 2nd closest, etc. Defaults to 3 (top matches in order) -- change it to swap in a different comp. See the Comp Picker tab for the full ranked list before picking.</t>
      </text>
    </comment>
    <comment ref="D33" authorId="1" shapeId="0">
      <text>
        <t xml:space="preserve"> Type adjustment here, use minus sign for deduction
</t>
      </text>
    </comment>
    <comment ref="G34" authorId="1" shapeId="0">
      <text>
        <t xml:space="preserve"> Type adjustment here, use minus sign for deduction
</t>
      </text>
    </comment>
    <comment ref="Y36" authorId="0" shapeId="0">
      <text>
        <t>Which ranked match to show here? 1 = closest match by size, 2 = 2nd closest, etc. Defaults to 4 (top matches in order) -- change it to swap in a different comp. See the Comp Picker tab for the full ranked list before picking.</t>
      </text>
    </comment>
    <comment ref="D38" authorId="1" shapeId="0">
      <text>
        <t xml:space="preserve"> Type adjustment here, use minus sign for deduction
</t>
      </text>
    </comment>
    <comment ref="G39" authorId="1" shapeId="0">
      <text>
        <t xml:space="preserve"> Type adjustment here, use minus sign for deduction
</t>
      </text>
    </comment>
  </commentList>
</comments>
</file>

<file path=xl/comments/comment4.xml><?xml version="1.0" encoding="utf-8"?>
<comments xmlns="http://schemas.openxmlformats.org/spreadsheetml/2006/main">
  <authors>
    <author>Debra K. Coak</author>
  </authors>
  <commentList>
    <comment ref="B1" authorId="0" shapeId="0">
      <text>
        <t xml:space="preserve">Click printer icon to print
</t>
      </text>
    </comment>
  </commentList>
</comments>
</file>

<file path=xl/comments/comment5.xml><?xml version="1.0" encoding="utf-8"?>
<comments xmlns="http://schemas.openxmlformats.org/spreadsheetml/2006/main">
  <authors>
    <author>DEBRA K COAK</author>
    <author>Workbook</author>
  </authors>
  <commentList>
    <comment ref="D1" authorId="0" shapeId="0">
      <text>
        <t xml:space="preserve">Double Sided Printing.
1) Page Setup in File Menu.
2) Click Options on right side.
3) Click Long Side
4) Clcik OK Twice
5) Click Print Icon on Toolbar
Change back to none when finished. 
</t>
      </text>
    </comment>
    <comment ref="Y72" authorId="1" shapeId="0">
      <text>
        <t>Which ranked match to show here? 1 = closest match by size, 2 = 2nd closest, etc. Defaults to 1 (top matches in order) -- change it to swap in a different comp. See the Comp Picker tab for the full ranked list before picking.</t>
      </text>
    </comment>
    <comment ref="Y73" authorId="1" shapeId="0">
      <text>
        <t>Which ranked match to show here? 1 = closest match by size, 2 = 2nd closest, etc. Defaults to 2 (top matches in order) -- change it to swap in a different comp. See the Comp Picker tab for the full ranked list before picking.</t>
      </text>
    </comment>
    <comment ref="Y74" authorId="1" shapeId="0">
      <text>
        <t>Which ranked match to show here? 1 = closest match by size, 2 = 2nd closest, etc. Defaults to 3 (top matches in order) -- change it to swap in a different comp. See the Comp Picker tab for the full ranked list before picking.</t>
      </text>
    </comment>
  </commentList>
</comments>
</file>

<file path=xl/comments/comment6.xml><?xml version="1.0" encoding="utf-8"?>
<comments xmlns="http://schemas.openxmlformats.org/spreadsheetml/2006/main">
  <authors>
    <author>Workbook</author>
    <author>DEBRA K COAK</author>
  </authors>
  <commentList>
    <comment ref="Y30" authorId="0" shapeId="0">
      <text>
        <t>Which ranked match to show here? 1 = closest match by size, 2 = 2nd closest, etc. Defaults to 1 (top matches in order) -- change it to swap in a different comp. See the Comp Picker tab for the full ranked list before picking.</t>
      </text>
    </comment>
    <comment ref="Y31" authorId="0" shapeId="0">
      <text>
        <t>Which ranked match to show here? 1 = closest match by size, 2 = 2nd closest, etc. Defaults to 2 (top matches in order) -- change it to swap in a different comp. See the Comp Picker tab for the full ranked list before picking.</t>
      </text>
    </comment>
    <comment ref="Y32" authorId="0" shapeId="0">
      <text>
        <t>Which ranked match to show here? 1 = closest match by size, 2 = 2nd closest, etc. Defaults to 3 (top matches in order) -- change it to swap in a different comp. See the Comp Picker tab for the full ranked list before picking.</t>
      </text>
    </comment>
    <comment ref="H46" authorId="1" shapeId="0">
      <text>
        <t xml:space="preserve"> Check desired box
</t>
      </text>
    </comment>
  </commentList>
</comments>
</file>

<file path=xl/comments/comment7.xml><?xml version="1.0" encoding="utf-8"?>
<comments xmlns="http://schemas.openxmlformats.org/spreadsheetml/2006/main">
  <authors>
    <author>Workbook</author>
  </authors>
  <commentList>
    <comment ref="B81" authorId="0" shapeId="0">
      <text>
        <t>Look this up in your MVS manual for the actual occupancy/class/quality. Leave at 0 to use the built-in lookup for the 18 verified occupancy types.</t>
      </text>
    </comment>
    <comment ref="B82" authorId="0" shapeId="0">
      <text>
        <t>Per MVS Sec.97, by occupancy/quality/class. Must be one of the tabulated values (70,60,55,50,45,40,35,30,25,20 years) -- the depreciation percent-good table is only charted at those points. Leave at 0 to use the built-in lookup.</t>
      </text>
    </comment>
    <comment ref="B83" authorId="0" shapeId="0">
      <text>
        <t>Pick whichever of these 4 general MVS sections your property most resembles: 11=Hotels/Motels, 13=Retail/Stores/Shopping Centers, 14=Industrial/Warehouse, 15=Office. Leave blank to use the section implied by the Occupancy Type dropdown above (only works for the 18 verified occupancies).</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externalLinks/_rels/externalLink1.xml.rels><Relationships xmlns="http://schemas.openxmlformats.org/package/2006/relationships"><Relationship Type="http://schemas.openxmlformats.org/officeDocument/2006/relationships/externalLinkPath" Target="../../../ASMT_FS1/VOL2/SHARE/Comm/Comm_RO/99%20base/99BAA/99%20Grids%20Office.xls" TargetMode="External" Id="rId2" /></Relationships>
</file>

<file path=xl/externalLinks/_rels/externalLink2.xml.rels><Relationships xmlns="http://schemas.openxmlformats.org/package/2006/relationships"><Relationship Type="http://schemas.openxmlformats.org/officeDocument/2006/relationships/externalLinkPath" Target="file:///S:/TEMP/99%20Blank%20Baa.xls" TargetMode="External" Id="rId1" /></Relationships>
</file>

<file path=xl/externalLinks/_rels/externalLink3.xml.rels><Relationships xmlns="http://schemas.openxmlformats.org/package/2006/relationships"><Relationship Type="http://schemas.openxmlformats.org/officeDocument/2006/relationships/externalLinkPath" Target="file:///S:/Grids/99%20Grids%20Office%20Conversion.xls" TargetMode="External" Id="rId1" /></Relationships>
</file>

<file path=xl/externalLinks/_rels/externalLink4.xml.rels><Relationships xmlns="http://schemas.openxmlformats.org/package/2006/relationships"><Relationship Type="http://schemas.openxmlformats.org/officeDocument/2006/relationships/externalLinkPath" Target="../../../ASMT_FS1/VOL2/SHARE/Comm/Comm_RO/99%20base/99BAA/99%20Appeal%20Restaurant.xls" TargetMode="External" Id="rId2" /></Relationships>
</file>

<file path=xl/externalLinks/externalLink1.xml><?xml version="1.0" encoding="utf-8"?>
<externalLink xmlns:r="http://schemas.openxmlformats.org/officeDocument/2006/relationships" xmlns="http://schemas.openxmlformats.org/spreadsheetml/2006/main">
  <externalBook r:id="rId1">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8.vml" Id="anysvml" /></Relationships>
</file>

<file path=xl/worksheets/_rels/sheet13.xml.rels><Relationships xmlns="http://schemas.openxmlformats.org/package/2006/relationships"><Relationship Type="http://schemas.openxmlformats.org/officeDocument/2006/relationships/vmlDrawing" Target="/xl/drawings/vmlDrawing9.vml" Id="anysvml" /></Relationships>
</file>

<file path=xl/worksheets/_rels/sheet14.xml.rels><Relationships xmlns="http://schemas.openxmlformats.org/package/2006/relationships"><Relationship Type="http://schemas.openxmlformats.org/officeDocument/2006/relationships/vmlDrawing" Target="/xl/drawings/vmlDrawing10.vml" Id="anysvml" /></Relationships>
</file>

<file path=xl/worksheets/_rels/sheet18.xml.rels><Relationships xmlns="http://schemas.openxmlformats.org/package/2006/relationships"><Relationship Type="http://schemas.openxmlformats.org/officeDocument/2006/relationships/hyperlink" Target="https://adamscountyco.gov/service/search-real-property/" TargetMode="External" Id="rId1" /><Relationship Type="http://schemas.openxmlformats.org/officeDocument/2006/relationships/hyperlink" Target="https://gisapp.adcogov.org/quicksearch/" TargetMode="External" Id="rId2" /><Relationship Type="http://schemas.openxmlformats.org/officeDocument/2006/relationships/hyperlink" Target="https://adamscountyco.gov/service/gis-interactive-maps/" TargetMode="External" Id="rId3" /><Relationship Type="http://schemas.openxmlformats.org/officeDocument/2006/relationships/hyperlink" Target="https://recording.adamscountyco.gov/landmarkweb/" TargetMode="External" Id="rId4" /><Relationship Type="http://schemas.openxmlformats.org/officeDocument/2006/relationships/hyperlink" Target="https://adamscountyco.gov/our-county/elected-officials/clerk-recorder/recording/land-survey-plats/" TargetMode="External" Id="rId5" /><Relationship Type="http://schemas.openxmlformats.org/officeDocument/2006/relationships/hyperlink" Target="https://adcotax.com/" TargetMode="External" Id="rId6" /><Relationship Type="http://schemas.openxmlformats.org/officeDocument/2006/relationships/hyperlink" Target="https://apps.adcogov.org/PTForeclosureSearch/?ds=1" TargetMode="External" Id="rId7" /><Relationship Type="http://schemas.openxmlformats.org/officeDocument/2006/relationships/hyperlink" Target="https://adamscountyco.gov/our-county/community-economic-development/planning-development/" TargetMode="External" Id="rId8" /><Relationship Type="http://schemas.openxmlformats.org/officeDocument/2006/relationships/hyperlink" Target="https://adamscountyco.gov/our-county/community-economic-development/planning-development/current-land-use-cases/" TargetMode="External" Id="rId9" /><Relationship Type="http://schemas.openxmlformats.org/officeDocument/2006/relationships/hyperlink" Target="https://adamscountyco.gov/our-county/community-economic-development/building-safety/building-permit/" TargetMode="External" Id="rId10" /><Relationship Type="http://schemas.openxmlformats.org/officeDocument/2006/relationships/hyperlink" Target="https://co.colorado.gov/search-business-records" TargetMode="External" Id="rId11" /><Relationship Type="http://schemas.openxmlformats.org/officeDocument/2006/relationships/hyperlink" Target="https://gis.dola.colorado.gov/CO_SpecialDistrict/" TargetMode="External" Id="rId12" /><Relationship Type="http://schemas.openxmlformats.org/officeDocument/2006/relationships/hyperlink" Target="https://gis.dola.colorado.gov/CO_SpecialDistrict/" TargetMode="External" Id="rId13" /><Relationship Type="http://schemas.openxmlformats.org/officeDocument/2006/relationships/hyperlink" Target="https://gis.dola.colorado.gov/CO_SpecialDistrict/" TargetMode="External" Id="rId14" /><Relationship Type="http://schemas.openxmlformats.org/officeDocument/2006/relationships/hyperlink" Target="https://ecmc.state.co.us/maps.html" TargetMode="External" Id="rId15" /><Relationship Type="http://schemas.openxmlformats.org/officeDocument/2006/relationships/hyperlink" Target="https://www.fema.gov/flood-maps" TargetMode="External" Id="rId16" /><Relationship Type="http://schemas.openxmlformats.org/officeDocument/2006/relationships/hyperlink" Target="https://cdphe.colorado.gov/maps-and-gis-for-health-and-environment" TargetMode="External" Id="rId17" /><Relationship Type="http://schemas.openxmlformats.org/officeDocument/2006/relationships/hyperlink" Target="https://websoilsurvey.nrcs.usda.gov/" TargetMode="External" Id="rId18" /><Relationship Type="http://schemas.openxmlformats.org/officeDocument/2006/relationships/hyperlink" Target="https://dtdapps.codot.gov/otis" TargetMode="External" Id="rId19" /><Relationship Type="http://schemas.openxmlformats.org/officeDocument/2006/relationships/hyperlink" Target="https://adamscountyco.gov/" TargetMode="External" Id="rId20" /><Relationship Type="http://schemas.openxmlformats.org/officeDocument/2006/relationships/hyperlink" Target="https://adamscountyco.gov/service/gis-interactive-maps/"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 TargetMode="External" Id="rId23" /><Relationship Type="http://schemas.openxmlformats.org/officeDocument/2006/relationships/hyperlink" Target="https://adamscountyco.gov/our-county/community-economic-development/planning-development/current-land-use-cases/" TargetMode="External" Id="rId24" /><Relationship Type="http://schemas.openxmlformats.org/officeDocument/2006/relationships/hyperlink" Target="https://adamscountyco.gov/our-county/community-economic-development/building-safety/building-permit/" TargetMode="External" Id="rId25" /><Relationship Type="http://schemas.openxmlformats.org/officeDocument/2006/relationships/hyperlink" Target="https://adamscountyco.gov/our-county/community-economic-development/advancing-adams/comprehensive-plan/" TargetMode="External" Id="rId26" /><Relationship Type="http://schemas.openxmlformats.org/officeDocument/2006/relationships/hyperlink" Target="https://adamscountyco.gov/about-adams-county/public-meetings/" TargetMode="External" Id="rId27" /><Relationship Type="http://schemas.openxmlformats.org/officeDocument/2006/relationships/hyperlink" Target="https://adamscountyco.gov/our-county/community-economic-development/planning-development/current-land-use-cases/" TargetMode="External" Id="rId28" /><Relationship Type="http://schemas.openxmlformats.org/officeDocument/2006/relationships/hyperlink" Target="https://adamscountyco.gov/about-adams-county/news/" TargetMode="External" Id="rId29" /><Relationship Type="http://schemas.openxmlformats.org/officeDocument/2006/relationships/hyperlink" Target="https://www.arvadaco.gov/" TargetMode="External" Id="rId30" /><Relationship Type="http://schemas.openxmlformats.org/officeDocument/2006/relationships/hyperlink" Target="https://www.arvadaco.gov/702/Maps-and-Property-Search" TargetMode="External" Id="rId31" /><Relationship Type="http://schemas.openxmlformats.org/officeDocument/2006/relationships/hyperlink" Target="https://www.arvadaco.gov/168/Zoning" TargetMode="External" Id="rId32" /><Relationship Type="http://schemas.openxmlformats.org/officeDocument/2006/relationships/hyperlink" Target="https://www.arvadaco.gov/1369/Planning-and-Development" TargetMode="External" Id="rId33" /><Relationship Type="http://schemas.openxmlformats.org/officeDocument/2006/relationships/hyperlink" Target="https://www.arvadaco.gov/1394/Active-Development-Projects" TargetMode="External" Id="rId34" /><Relationship Type="http://schemas.openxmlformats.org/officeDocument/2006/relationships/hyperlink" Target="https://www.arvadaco.gov/330/Permits" TargetMode="External" Id="rId35" /><Relationship Type="http://schemas.openxmlformats.org/officeDocument/2006/relationships/hyperlink" Target="https://www.arvadaco.gov/1374/2026-27-Comprehensive-Plan" TargetMode="External" Id="rId36" /><Relationship Type="http://schemas.openxmlformats.org/officeDocument/2006/relationships/hyperlink" Target="https://www.arvadaco.gov/AgendaCenter" TargetMode="External" Id="rId37" /><Relationship Type="http://schemas.openxmlformats.org/officeDocument/2006/relationships/hyperlink" Target="https://www.arvadaco.gov/245/Meetings-and-Other-Legal-Notices" TargetMode="External" Id="rId38" /><Relationship Type="http://schemas.openxmlformats.org/officeDocument/2006/relationships/hyperlink" Target="https://www.arvadaco.gov/908/News-Releases" TargetMode="External" Id="rId39" /><Relationship Type="http://schemas.openxmlformats.org/officeDocument/2006/relationships/hyperlink" Target="https://www.auroragov.org/" TargetMode="External" Id="rId40" /><Relationship Type="http://schemas.openxmlformats.org/officeDocument/2006/relationships/hyperlink" Target="https://www.auroragov.org/city_hall/maps/planning_and_zoning_maps" TargetMode="External" Id="rId41" /><Relationship Type="http://schemas.openxmlformats.org/officeDocument/2006/relationships/hyperlink" Target="https://zoning.auroragov.org/" TargetMode="External" Id="rId42" /><Relationship Type="http://schemas.openxmlformats.org/officeDocument/2006/relationships/hyperlink" Target="https://www.auroragov.org/business_services/planning" TargetMode="External" Id="rId43" /><Relationship Type="http://schemas.openxmlformats.org/officeDocument/2006/relationships/hyperlink" Target="https://coaapps.auroragov.org/ProjectStatus/search.aspx" TargetMode="External" Id="rId44" /><Relationship Type="http://schemas.openxmlformats.org/officeDocument/2006/relationships/hyperlink" Target="https://www.auroragov.org/business_services/building_division/permits" TargetMode="External" Id="rId45" /><Relationship Type="http://schemas.openxmlformats.org/officeDocument/2006/relationships/hyperlink" Target="https://www.auroragov.org/business_services/planning/projects__plans___studies/comprehensive_plan" TargetMode="External" Id="rId46" /><Relationship Type="http://schemas.openxmlformats.org/officeDocument/2006/relationships/hyperlink" Target="https://www.auroragov.org/city_hall/mayor___city_council/council_meetings" TargetMode="External" Id="rId47" /><Relationship Type="http://schemas.openxmlformats.org/officeDocument/2006/relationships/hyperlink" Target="https://www.auroragov.org/city_hall/public_records/legal_notices/public_hearings" TargetMode="External" Id="rId48" /><Relationship Type="http://schemas.openxmlformats.org/officeDocument/2006/relationships/hyperlink" Target="https://www.auroragov.org/news/whats_new" TargetMode="External" Id="rId49" /><Relationship Type="http://schemas.openxmlformats.org/officeDocument/2006/relationships/hyperlink" Target="https://www.bennettco.gov/" TargetMode="External" Id="rId50" /><Relationship Type="http://schemas.openxmlformats.org/officeDocument/2006/relationships/hyperlink" Target="https://www.bennettco.gov/business/page/bennett-zoning-map" TargetMode="External" Id="rId51" /><Relationship Type="http://schemas.openxmlformats.org/officeDocument/2006/relationships/hyperlink" Target="https://www.bennettco.gov/planning-economic-development/page/zoning-and-subdivision-regulations" TargetMode="External" Id="rId52" /><Relationship Type="http://schemas.openxmlformats.org/officeDocument/2006/relationships/hyperlink" Target="https://www.bennettco.gov/planning-economic-development/page/planning-and-zoning" TargetMode="External" Id="rId53" /><Relationship Type="http://schemas.openxmlformats.org/officeDocument/2006/relationships/hyperlink" Target="https://www.bennettco.gov/projects" TargetMode="External" Id="rId54" /><Relationship Type="http://schemas.openxmlformats.org/officeDocument/2006/relationships/hyperlink" Target="https://www.bennettco.gov/community-development/page/building-department" TargetMode="External" Id="rId55" /><Relationship Type="http://schemas.openxmlformats.org/officeDocument/2006/relationships/hyperlink" Target="https://www.bennettco.gov/planning-economic-development/page/master-plans-and-guiding-documents" TargetMode="External" Id="rId56" /><Relationship Type="http://schemas.openxmlformats.org/officeDocument/2006/relationships/hyperlink" Target="https://www.bennettco.gov/meetings/recent" TargetMode="External" Id="rId57" /><Relationship Type="http://schemas.openxmlformats.org/officeDocument/2006/relationships/hyperlink" Target="https://www.bennettco.gov/town-clerk/page/public-records" TargetMode="External" Id="rId58" /><Relationship Type="http://schemas.openxmlformats.org/officeDocument/2006/relationships/hyperlink" Target="https://www.bennettco.gov/news" TargetMode="External" Id="rId59" /><Relationship Type="http://schemas.openxmlformats.org/officeDocument/2006/relationships/hyperlink" Target="https://www.brightonco.gov/" TargetMode="External" Id="rId60" /><Relationship Type="http://schemas.openxmlformats.org/officeDocument/2006/relationships/hyperlink" Target="https://www.brightonco.gov/248/Geographic-Information-Systems" TargetMode="External" Id="rId61" /><Relationship Type="http://schemas.openxmlformats.org/officeDocument/2006/relationships/hyperlink" Target="https://www.brightonco.gov/363/Land-Use-Development-Code" TargetMode="External" Id="rId62" /><Relationship Type="http://schemas.openxmlformats.org/officeDocument/2006/relationships/hyperlink" Target="https://www.brightonco.gov/224/Planning-Zoning" TargetMode="External" Id="rId63" /><Relationship Type="http://schemas.openxmlformats.org/officeDocument/2006/relationships/hyperlink" Target="https://www.brightonco.gov/1596/Interactive-Development-Map" TargetMode="External" Id="rId64" /><Relationship Type="http://schemas.openxmlformats.org/officeDocument/2006/relationships/hyperlink" Target="https://www.brightonco.gov/222/Permitting" TargetMode="External" Id="rId65" /><Relationship Type="http://schemas.openxmlformats.org/officeDocument/2006/relationships/hyperlink" Target="https://www.brightonco.gov/553/Long-Range-Planning" TargetMode="External" Id="rId66" /><Relationship Type="http://schemas.openxmlformats.org/officeDocument/2006/relationships/hyperlink" Target="https://www.brightonco.gov/agendacenter" TargetMode="External" Id="rId67" /><Relationship Type="http://schemas.openxmlformats.org/officeDocument/2006/relationships/hyperlink" Target="https://www.brightonco.gov/453/Legal-Notices" TargetMode="External" Id="rId68" /><Relationship Type="http://schemas.openxmlformats.org/officeDocument/2006/relationships/hyperlink" Target="https://www.brightonco.gov/175/News" TargetMode="External" Id="rId69" /><Relationship Type="http://schemas.openxmlformats.org/officeDocument/2006/relationships/hyperlink" Target="https://www.c3gov.com/Home" TargetMode="External" Id="rId70" /><Relationship Type="http://schemas.openxmlformats.org/officeDocument/2006/relationships/hyperlink" Target="https://www.c3gov.com/Residents/Maps-Data-GIS" TargetMode="External" Id="rId71" /><Relationship Type="http://schemas.openxmlformats.org/officeDocument/2006/relationships/hyperlink" Target="https://www.c3gov.com/Government/City-Codes/Land-Development-Code" TargetMode="External" Id="rId72" /><Relationship Type="http://schemas.openxmlformats.org/officeDocument/2006/relationships/hyperlink" Target="https://www.c3gov.com/Government/Departments-Divisions/Community-Development" TargetMode="External" Id="rId73" /><Relationship Type="http://schemas.openxmlformats.org/officeDocument/2006/relationships/hyperlink" Target="https://www.c3gov.com/Business-Development/Development-Projects-Map" TargetMode="External" Id="rId74" /><Relationship Type="http://schemas.openxmlformats.org/officeDocument/2006/relationships/hyperlink" Target="https://www.c3gov.com/Business-Development/Building-Permits-Inspections" TargetMode="External" Id="rId75" /><Relationship Type="http://schemas.openxmlformats.org/officeDocument/2006/relationships/hyperlink" Target="https://www.c3gov.com/Government/City-Charter-Master-Plans/Comprehensive-Plan" TargetMode="External" Id="rId76" /><Relationship Type="http://schemas.openxmlformats.org/officeDocument/2006/relationships/hyperlink" Target="https://www.c3gov.com/Site-Footer/Footer-Widgets/Quick-Links/Meeting-Agendas-and-Schedules" TargetMode="External" Id="rId77" /><Relationship Type="http://schemas.openxmlformats.org/officeDocument/2006/relationships/hyperlink" Target="https://www.c3gov.com/Government/Departments-Divisions/City-Clerks-Office/Legal-Notices-Ordinances" TargetMode="External" Id="rId78" /><Relationship Type="http://schemas.openxmlformats.org/officeDocument/2006/relationships/hyperlink" Target="https://www.c3gov.com/Government/Media-News/News-Announcements" TargetMode="External" Id="rId79" /><Relationship Type="http://schemas.openxmlformats.org/officeDocument/2006/relationships/hyperlink" Target="https://www.fedheights.org/" TargetMode="External" Id="rId80" /><Relationship Type="http://schemas.openxmlformats.org/officeDocument/2006/relationships/hyperlink" Target="https://www.fedheights.org/index.asp?SEC=D1A883BE-0C29-4602-8CC9-5D6A08DA5503" TargetMode="External" Id="rId81" /><Relationship Type="http://schemas.openxmlformats.org/officeDocument/2006/relationships/hyperlink" Target="https://www.fedheights.org/index.asp?SEC=D7AA9940-8607-468A-8215-7308DD3BF799" TargetMode="External" Id="rId82" /><Relationship Type="http://schemas.openxmlformats.org/officeDocument/2006/relationships/hyperlink" Target="https://www.fedheights.org/planning" TargetMode="External" Id="rId83" /><Relationship Type="http://schemas.openxmlformats.org/officeDocument/2006/relationships/hyperlink" Target="https://www.fedheights.org/index.asp?SEC=%7B76F23E1D-0819-4BAB-BD73-23D6092E8A3B%7D&amp;persistdesign=none" TargetMode="External" Id="rId84" /><Relationship Type="http://schemas.openxmlformats.org/officeDocument/2006/relationships/hyperlink" Target="https://www.fedheights.org/index.asp?SEC=D1CB6EB6-9C4B-4FA8-B119-EF1785E54CB6" TargetMode="External" Id="rId85" /><Relationship Type="http://schemas.openxmlformats.org/officeDocument/2006/relationships/hyperlink" Target="https://www.fedheights.org/index.asp?SEC=%7B5CF1D2C4-3E29-4A1A-BBFA-2BE19B3ABFD0%7D" TargetMode="External" Id="rId86" /><Relationship Type="http://schemas.openxmlformats.org/officeDocument/2006/relationships/hyperlink" Target="https://www.fedheights.org/index.asp?SEC=%7BE66D34DF-8290-4807-83DA-3AF56D110C00%7D" TargetMode="External" Id="rId87" /><Relationship Type="http://schemas.openxmlformats.org/officeDocument/2006/relationships/hyperlink" Target="https://www.fedheights.org/index.asp?SEC=%7B13723B89-BA4A-47C1-9634-50363F8CD1D2%7D&amp;persistdesign=none" TargetMode="External" Id="rId88" /><Relationship Type="http://schemas.openxmlformats.org/officeDocument/2006/relationships/hyperlink" Target="https://www.fedheights.org/index.asp?SEC=407F7286-34E9-495F-B5F7-88E905D7C9A5" TargetMode="External" Id="rId89" /><Relationship Type="http://schemas.openxmlformats.org/officeDocument/2006/relationships/hyperlink" Target="https://www.lochbuie.org/" TargetMode="External" Id="rId90" /><Relationship Type="http://schemas.openxmlformats.org/officeDocument/2006/relationships/hyperlink" Target="https://www.lochbuie.org/community-dev/page/interactive-land-use-map" TargetMode="External" Id="rId91" /><Relationship Type="http://schemas.openxmlformats.org/officeDocument/2006/relationships/hyperlink" Target="https://www.lochbuie.org/administration/page/zoning-map" TargetMode="External" Id="rId92" /><Relationship Type="http://schemas.openxmlformats.org/officeDocument/2006/relationships/hyperlink" Target="https://www.lochbuie.org/community-dev/page/current-planning" TargetMode="External" Id="rId93" /><Relationship Type="http://schemas.openxmlformats.org/officeDocument/2006/relationships/hyperlink" Target="https://www.lochbuie.org/projects" TargetMode="External" Id="rId94" /><Relationship Type="http://schemas.openxmlformats.org/officeDocument/2006/relationships/hyperlink" Target="https://www.lochbuie.org/community-dev/page/building-permits-and-inspections" TargetMode="External" Id="rId95" /><Relationship Type="http://schemas.openxmlformats.org/officeDocument/2006/relationships/hyperlink" Target="https://www.lochbuie.org/community-dev/page/documents" TargetMode="External" Id="rId96" /><Relationship Type="http://schemas.openxmlformats.org/officeDocument/2006/relationships/hyperlink" Target="https://www.lochbuie.org/meetings" TargetMode="External" Id="rId97" /><Relationship Type="http://schemas.openxmlformats.org/officeDocument/2006/relationships/hyperlink" Target="https://www.lochbuie.org/publicnotice" TargetMode="External" Id="rId98" /><Relationship Type="http://schemas.openxmlformats.org/officeDocument/2006/relationships/hyperlink" Target="https://www.lochbuie.org/news" TargetMode="External" Id="rId99" /><Relationship Type="http://schemas.openxmlformats.org/officeDocument/2006/relationships/hyperlink" Target="https://www.northglenn.org/" TargetMode="External" Id="rId100" /><Relationship Type="http://schemas.openxmlformats.org/officeDocument/2006/relationships/hyperlink" Target="https://biz.northglenn.org/quickzone" TargetMode="External" Id="rId101" /><Relationship Type="http://schemas.openxmlformats.org/officeDocument/2006/relationships/hyperlink" Target="https://www.northglenn.org/government/land_use_zoning/new_code_northglenn.php" TargetMode="External" Id="rId102" /><Relationship Type="http://schemas.openxmlformats.org/officeDocument/2006/relationships/hyperlink" Target="https://www.northglenn.org/government/departments/planning_development/index.php" TargetMode="External" Id="rId103" /><Relationship Type="http://schemas.openxmlformats.org/officeDocument/2006/relationships/hyperlink" Target="https://www.northglenn.org/government/project_updates/" TargetMode="External" Id="rId104" /><Relationship Type="http://schemas.openxmlformats.org/officeDocument/2006/relationships/hyperlink" Target="https://www.northglenn.org/government/departments/building/pull_a_permit.php" TargetMode="External" Id="rId105" /><Relationship Type="http://schemas.openxmlformats.org/officeDocument/2006/relationships/hyperlink" Target="https://www.northglenn.org/government/land_use_zoning/comprehensive_plan.php" TargetMode="External" Id="rId106" /><Relationship Type="http://schemas.openxmlformats.org/officeDocument/2006/relationships/hyperlink" Target="https://webdocs.northglenn.org/" TargetMode="External" Id="rId107" /><Relationship Type="http://schemas.openxmlformats.org/officeDocument/2006/relationships/hyperlink" Target="https://webdocs.northglenn.org/" TargetMode="External" Id="rId108" /><Relationship Type="http://schemas.openxmlformats.org/officeDocument/2006/relationships/hyperlink" Target="https://www.northglenn.org/newslist.php" TargetMode="External" Id="rId109" /><Relationship Type="http://schemas.openxmlformats.org/officeDocument/2006/relationships/hyperlink" Target="https://www.thorntonco.gov/" TargetMode="External" Id="rId110" /><Relationship Type="http://schemas.openxmlformats.org/officeDocument/2006/relationships/hyperlink" Target="https://cityofthornton.maps.arcgis.com/apps/webappviewer/index.html?id=643abe02e8b8446586b6eb6d8ed43f84" TargetMode="External" Id="rId111" /><Relationship Type="http://schemas.openxmlformats.org/officeDocument/2006/relationships/hyperlink" Target="https://www.thorntonco.gov/business-development/city-development/current-planning-zoning/zoning-districts-uses-and-regulations" TargetMode="External" Id="rId112" /><Relationship Type="http://schemas.openxmlformats.org/officeDocument/2006/relationships/hyperlink" Target="https://www.thorntonco.gov/business-development/city-development" TargetMode="External" Id="rId113" /><Relationship Type="http://schemas.openxmlformats.org/officeDocument/2006/relationships/hyperlink" Target="https://www.thorntonco.gov/business-development/active-development" TargetMode="External" Id="rId114" /><Relationship Type="http://schemas.openxmlformats.org/officeDocument/2006/relationships/hyperlink" Target="https://www.thorntonco.gov/business-development/city-development/building-permits-inspections" TargetMode="External" Id="rId115" /><Relationship Type="http://schemas.openxmlformats.org/officeDocument/2006/relationships/hyperlink" Target="https://www.thorntonco.gov/business-development/city-development/long-range-planning/plans/thornton-comprehensive-plan" TargetMode="External" Id="rId116" /><Relationship Type="http://schemas.openxmlformats.org/officeDocument/2006/relationships/hyperlink" Target="https://www.thorntonco.gov/government/mayor-council/upcoming-meetings" TargetMode="External" Id="rId117" /><Relationship Type="http://schemas.openxmlformats.org/officeDocument/2006/relationships/hyperlink" Target="https://www.thorntonco.gov/government/public-notices" TargetMode="External" Id="rId118" /><Relationship Type="http://schemas.openxmlformats.org/officeDocument/2006/relationships/hyperlink" Target="https://www.thorntonco.gov/news" TargetMode="External" Id="rId119" /><Relationship Type="http://schemas.openxmlformats.org/officeDocument/2006/relationships/hyperlink" Target="https://www.westminsterco.gov/" TargetMode="External" Id="rId120" /><Relationship Type="http://schemas.openxmlformats.org/officeDocument/2006/relationships/hyperlink" Target="https://www.westminsterco.gov/471/Maps" TargetMode="External" Id="rId121" /><Relationship Type="http://schemas.openxmlformats.org/officeDocument/2006/relationships/hyperlink" Target="https://www.westminsterco.gov/727/Zoning" TargetMode="External" Id="rId122" /><Relationship Type="http://schemas.openxmlformats.org/officeDocument/2006/relationships/hyperlink" Target="https://www.westminsterco.gov/707/Planning" TargetMode="External" Id="rId123" /><Relationship Type="http://schemas.openxmlformats.org/officeDocument/2006/relationships/hyperlink" Target="https://www.westminsterco.gov/855/Current-Development-Project-Map" TargetMode="External" Id="rId124" /><Relationship Type="http://schemas.openxmlformats.org/officeDocument/2006/relationships/hyperlink" Target="https://www.westminsterco.gov/617/Apply-for-a-Permit-Project" TargetMode="External" Id="rId125" /><Relationship Type="http://schemas.openxmlformats.org/officeDocument/2006/relationships/hyperlink" Target="https://www.westminsterco.gov/DocumentCenter/View/5605/Comprehensive-Plan_November2025-LR" TargetMode="External" Id="rId126" /><Relationship Type="http://schemas.openxmlformats.org/officeDocument/2006/relationships/hyperlink" Target="https://www.westminsterco.gov/AgendaCenter" TargetMode="External" Id="rId127" /><Relationship Type="http://schemas.openxmlformats.org/officeDocument/2006/relationships/hyperlink" Target="https://www.westminsterco.gov/1098/Public-Notices" TargetMode="External" Id="rId128" /><Relationship Type="http://schemas.openxmlformats.org/officeDocument/2006/relationships/hyperlink" Target="https://www.westminsterco.gov/m/NewsFlash" TargetMode="External" Id="rId129" /></Relationships>
</file>

<file path=xl/worksheets/_rels/sheet19.xml.rels><Relationships xmlns="http://schemas.openxmlformats.org/package/2006/relationships"><Relationship Type="http://schemas.openxmlformats.org/officeDocument/2006/relationships/hyperlink" Target="https://adamscountyco.gov/about-adams-county/cities-towns/" TargetMode="External" Id="rId1" /><Relationship Type="http://schemas.openxmlformats.org/officeDocument/2006/relationships/hyperlink" Target="https://adamscountyco.gov/service/search-real-property/" TargetMode="External" Id="rId2" /><Relationship Type="http://schemas.openxmlformats.org/officeDocument/2006/relationships/hyperlink" Target="https://gisapp.adcogov.org/quicksearch/" TargetMode="External" Id="rId3" /><Relationship Type="http://schemas.openxmlformats.org/officeDocument/2006/relationships/hyperlink" Target="https://adamscountyco.gov/our-county/elected-officials/assessor/" TargetMode="External" Id="rId4" /><Relationship Type="http://schemas.openxmlformats.org/officeDocument/2006/relationships/hyperlink" Target="https://adamscountyco.gov/our-county/elected-officials/assessor/maps-data/" TargetMode="External" Id="rId5" /><Relationship Type="http://schemas.openxmlformats.org/officeDocument/2006/relationships/hyperlink" Target="https://adamscountyco.gov/service/gis-interactive-maps/" TargetMode="External" Id="rId6" /><Relationship Type="http://schemas.openxmlformats.org/officeDocument/2006/relationships/hyperlink" Target="https://adamscountyco.gov/our-county/information-technology-innovation/geographic-information-systems/" TargetMode="External" Id="rId7" /><Relationship Type="http://schemas.openxmlformats.org/officeDocument/2006/relationships/hyperlink" Target="https://adamscountyco.gov/service/find-public-records-recorded-documents/" TargetMode="External" Id="rId8" /><Relationship Type="http://schemas.openxmlformats.org/officeDocument/2006/relationships/hyperlink" Target="https://recording.adamscountyco.gov/landmarkweb/" TargetMode="External" Id="rId9" /><Relationship Type="http://schemas.openxmlformats.org/officeDocument/2006/relationships/hyperlink" Target="https://adamscountyco.gov/our-county/elected-officials/clerk-recorder/recording/" TargetMode="External" Id="rId10" /><Relationship Type="http://schemas.openxmlformats.org/officeDocument/2006/relationships/hyperlink" Target="https://adamscountyco.gov/our-county/elected-officials/clerk-recorder/recording/land-survey-plats/" TargetMode="External" Id="rId11" /><Relationship Type="http://schemas.openxmlformats.org/officeDocument/2006/relationships/hyperlink" Target="https://adamscountyco.gov/our-county/elected-officials/clerk-recorder/recording/public-document-postings/" TargetMode="External" Id="rId12" /><Relationship Type="http://schemas.openxmlformats.org/officeDocument/2006/relationships/hyperlink" Target="https://adcotax.com/" TargetMode="External" Id="rId13" /><Relationship Type="http://schemas.openxmlformats.org/officeDocument/2006/relationships/hyperlink" Target="https://adamscountyco.gov/our-county/elected-officials/treasurer-public-trustee/treasurer-division/" TargetMode="External" Id="rId14" /><Relationship Type="http://schemas.openxmlformats.org/officeDocument/2006/relationships/hyperlink" Target="https://adamscountyco.gov/our-county/elected-officials/treasurer-public-trustee/treasurer-division/property-tax-information/" TargetMode="External" Id="rId15" /><Relationship Type="http://schemas.openxmlformats.org/officeDocument/2006/relationships/hyperlink" Target="https://adamscountyco.gov/our-county/elected-officials/treasurer-public-trustee/treasurer-division/tax-lien-sale/" TargetMode="External" Id="rId16" /><Relationship Type="http://schemas.openxmlformats.org/officeDocument/2006/relationships/hyperlink" Target="https://adamscountyco.gov/our-county/elected-officials/treasurer-public-trustee/treasurer-division/tax-lien-sale/treasurers-deed/" TargetMode="External" Id="rId17" /><Relationship Type="http://schemas.openxmlformats.org/officeDocument/2006/relationships/hyperlink" Target="https://adamscountyco.gov/our-county/elected-officials/treasurer-public-trustee/public-trustee-division/" TargetMode="External" Id="rId18" /><Relationship Type="http://schemas.openxmlformats.org/officeDocument/2006/relationships/hyperlink" Target="https://apps.adcogov.org/PTForeclosureSearch/?ds=1" TargetMode="External" Id="rId19" /><Relationship Type="http://schemas.openxmlformats.org/officeDocument/2006/relationships/hyperlink" Target="https://apps.adcogov.org/PTForeclosureSearch/reports" TargetMode="External" Id="rId20" /><Relationship Type="http://schemas.openxmlformats.org/officeDocument/2006/relationships/hyperlink" Target="https://adamscountyco.gov/our-county/community-economic-development/planning-development/" TargetMode="External" Id="rId21" /><Relationship Type="http://schemas.openxmlformats.org/officeDocument/2006/relationships/hyperlink" Target="https://adamscountyco.gov/our-county/community-economic-development/planning-development/development-standards-regulations/" TargetMode="External" Id="rId22" /><Relationship Type="http://schemas.openxmlformats.org/officeDocument/2006/relationships/hyperlink" Target="https://adamscountyco.gov/our-county/community-economic-development/planning-development/current-land-use-cases/" TargetMode="External" Id="rId23" /><Relationship Type="http://schemas.openxmlformats.org/officeDocument/2006/relationships/hyperlink" Target="https://adamscountyco.gov/our-county/community-economic-development/advancing-adams/comprehensive-plan/" TargetMode="External" Id="rId24" /><Relationship Type="http://schemas.openxmlformats.org/officeDocument/2006/relationships/hyperlink" Target="https://adamscountyco.gov/our-county/community-economic-development/planning-development/long-range-planning/" TargetMode="External" Id="rId25" /><Relationship Type="http://schemas.openxmlformats.org/officeDocument/2006/relationships/hyperlink" Target="https://adamscountyco.gov/our-county/community-economic-development/permits-licensing/" TargetMode="External" Id="rId26" /><Relationship Type="http://schemas.openxmlformats.org/officeDocument/2006/relationships/hyperlink" Target="https://adamscountyco.gov/our-county/community-economic-development/building-safety/building-permit/" TargetMode="External" Id="rId27" /><Relationship Type="http://schemas.openxmlformats.org/officeDocument/2006/relationships/hyperlink" Target="https://adamscountyco.gov/service/apply-for-a-building-permit/" TargetMode="External" Id="rId28" /><Relationship Type="http://schemas.openxmlformats.org/officeDocument/2006/relationships/hyperlink" Target="https://adamscountyco.gov/our-county/community-economic-development/building-safety/permit-fees-contractor-registration/" TargetMode="External" Id="rId29" /><Relationship Type="http://schemas.openxmlformats.org/officeDocument/2006/relationships/hyperlink" Target="https://adamscountyco.gov/our-county/community-economic-development/submittal-checklists/" TargetMode="External" Id="rId30" /><Relationship Type="http://schemas.openxmlformats.org/officeDocument/2006/relationships/hyperlink" Target="https://adamscountyco.gov/our-county/community-economic-development/permits-licensing/codes-information/" TargetMode="External" Id="rId31" /><Relationship Type="http://schemas.openxmlformats.org/officeDocument/2006/relationships/hyperlink" Target="https://adamscountyco.gov/our-county/community-economic-development/online-resources/" TargetMode="External" Id="rId32" /><Relationship Type="http://schemas.openxmlformats.org/officeDocument/2006/relationships/hyperlink" Target="https://adamscountyco.gov/our-county/public-works/" TargetMode="External" Id="rId33" /><Relationship Type="http://schemas.openxmlformats.org/officeDocument/2006/relationships/hyperlink" Target="https://adamscountyco.gov/about-adams-county/public-meetings/" TargetMode="External" Id="rId34" /><Relationship Type="http://schemas.openxmlformats.org/officeDocument/2006/relationships/hyperlink" Target="https://adamscountyco.gov/our-county/elected-officials/board-of-county-commissioners/current-meeting-agendas-archives/" TargetMode="External" Id="rId35" /><Relationship Type="http://schemas.openxmlformats.org/officeDocument/2006/relationships/hyperlink" Target="https://adamscountyco.gov/about-adams-county/news/" TargetMode="External" Id="rId36" /><Relationship Type="http://schemas.openxmlformats.org/officeDocument/2006/relationships/hyperlink" Target="https://adamscountyco.gov/our-county/community-economic-development/planning-development/news-updates/" TargetMode="External" Id="rId37" /><Relationship Type="http://schemas.openxmlformats.org/officeDocument/2006/relationships/hyperlink" Target="https://www.arvadaco.gov/" TargetMode="External" Id="rId38" /><Relationship Type="http://schemas.openxmlformats.org/officeDocument/2006/relationships/hyperlink" Target="https://www.arvadaco.gov/702/Maps-and-Property-Search" TargetMode="External" Id="rId39" /><Relationship Type="http://schemas.openxmlformats.org/officeDocument/2006/relationships/hyperlink" Target="https://www.arvadaco.gov/168/Zoning" TargetMode="External" Id="rId40" /><Relationship Type="http://schemas.openxmlformats.org/officeDocument/2006/relationships/hyperlink" Target="https://www.arvadaco.gov/1369/Planning-and-Development" TargetMode="External" Id="rId41" /><Relationship Type="http://schemas.openxmlformats.org/officeDocument/2006/relationships/hyperlink" Target="https://www.arvadaco.gov/1397/Land-Development-Code" TargetMode="External" Id="rId42" /><Relationship Type="http://schemas.openxmlformats.org/officeDocument/2006/relationships/hyperlink" Target="https://www.arvadaco.gov/1394/Active-Development-Projects" TargetMode="External" Id="rId43" /><Relationship Type="http://schemas.openxmlformats.org/officeDocument/2006/relationships/hyperlink" Target="https://www.arvadaco.gov/1393/Development-Review-Process" TargetMode="External" Id="rId44" /><Relationship Type="http://schemas.openxmlformats.org/officeDocument/2006/relationships/hyperlink" Target="https://www.arvadaco.gov/363/Documents-and-Downloads" TargetMode="External" Id="rId45" /><Relationship Type="http://schemas.openxmlformats.org/officeDocument/2006/relationships/hyperlink" Target="https://www.arvadaco.gov/330/Permits" TargetMode="External" Id="rId46" /><Relationship Type="http://schemas.openxmlformats.org/officeDocument/2006/relationships/hyperlink" Target="https://www.arvadaco.gov/332/Building-Permits" TargetMode="External" Id="rId47" /><Relationship Type="http://schemas.openxmlformats.org/officeDocument/2006/relationships/hyperlink" Target="https://www.arvadaco.gov/593/eTRAKiT-Help/permithelp" TargetMode="External" Id="rId48" /><Relationship Type="http://schemas.openxmlformats.org/officeDocument/2006/relationships/hyperlink" Target="https://www.arvadaco.gov/627/Researching-Permits" TargetMode="External" Id="rId49" /><Relationship Type="http://schemas.openxmlformats.org/officeDocument/2006/relationships/hyperlink" Target="https://www.arvadaco.gov/1374/2026-27-Comprehensive-Plan" TargetMode="External" Id="rId50" /><Relationship Type="http://schemas.openxmlformats.org/officeDocument/2006/relationships/hyperlink" Target="https://www.arvadaco.gov/304/City-Plans" TargetMode="External" Id="rId51" /><Relationship Type="http://schemas.openxmlformats.org/officeDocument/2006/relationships/hyperlink" Target="https://www.arvadaco.gov/276/Planning-Commission" TargetMode="External" Id="rId52" /><Relationship Type="http://schemas.openxmlformats.org/officeDocument/2006/relationships/hyperlink" Target="https://www.arvadaco.gov/AgendaCenter" TargetMode="External" Id="rId53" /><Relationship Type="http://schemas.openxmlformats.org/officeDocument/2006/relationships/hyperlink" Target="https://www.arvadaco.gov/245/Meetings-and-Other-Legal-Notices" TargetMode="External" Id="rId54" /><Relationship Type="http://schemas.openxmlformats.org/officeDocument/2006/relationships/hyperlink" Target="https://www.arvadaco.gov/908/News-Releases" TargetMode="External" Id="rId55" /><Relationship Type="http://schemas.openxmlformats.org/officeDocument/2006/relationships/hyperlink" Target="https://www.arvadaco.gov/247/Records-and-Requests" TargetMode="External" Id="rId56" /><Relationship Type="http://schemas.openxmlformats.org/officeDocument/2006/relationships/hyperlink" Target="https://www.auroragov.org/" TargetMode="External" Id="rId57" /><Relationship Type="http://schemas.openxmlformats.org/officeDocument/2006/relationships/hyperlink" Target="https://www.auroragov.org/city_hall/maps/planning_and_zoning_maps" TargetMode="External" Id="rId58" /><Relationship Type="http://schemas.openxmlformats.org/officeDocument/2006/relationships/hyperlink" Target="https://ags.auroragov.org/aurora/rest/services/OpenData/MapServer" TargetMode="External" Id="rId59" /><Relationship Type="http://schemas.openxmlformats.org/officeDocument/2006/relationships/hyperlink" Target="https://zoning.auroragov.org/" TargetMode="External" Id="rId60" /><Relationship Type="http://schemas.openxmlformats.org/officeDocument/2006/relationships/hyperlink" Target="https://www.auroragov.org/business_services/planning" TargetMode="External" Id="rId61" /><Relationship Type="http://schemas.openxmlformats.org/officeDocument/2006/relationships/hyperlink" Target="https://www.auroragov.org/city_hall/departments/planning___development_services" TargetMode="External" Id="rId62" /><Relationship Type="http://schemas.openxmlformats.org/officeDocument/2006/relationships/hyperlink" Target="https://www.auroragov.org/business_services/development_center/codes_rules/building___zoning_code/unified_development_ordinance" TargetMode="External" Id="rId63" /><Relationship Type="http://schemas.openxmlformats.org/officeDocument/2006/relationships/hyperlink" Target="https://www.auroragov.org/business_services/development_center/codes_rules/building___zoning_code" TargetMode="External" Id="rId64" /><Relationship Type="http://schemas.openxmlformats.org/officeDocument/2006/relationships/hyperlink" Target="https://coaapps.auroragov.org/ProjectStatus/search.aspx" TargetMode="External" Id="rId65" /><Relationship Type="http://schemas.openxmlformats.org/officeDocument/2006/relationships/hyperlink" Target="https://www.auroragov.org/business_services/development_center/development_process/forms_and_applications" TargetMode="External" Id="rId66" /><Relationship Type="http://schemas.openxmlformats.org/officeDocument/2006/relationships/hyperlink" Target="https://www.auroragov.org/business_services/planning/projects__plans___studies" TargetMode="External" Id="rId67" /><Relationship Type="http://schemas.openxmlformats.org/officeDocument/2006/relationships/hyperlink" Target="https://www.auroragov.org/business_services/planning/projects__plans___studies/comprehensive_plan" TargetMode="External" Id="rId68" /><Relationship Type="http://schemas.openxmlformats.org/officeDocument/2006/relationships/hyperlink" Target="https://www.auroragov.org/residents/neighborhood_planning" TargetMode="External" Id="rId69" /><Relationship Type="http://schemas.openxmlformats.org/officeDocument/2006/relationships/hyperlink" Target="https://www.auroragov.org/business_services/building_division/permits" TargetMode="External" Id="rId70" /><Relationship Type="http://schemas.openxmlformats.org/officeDocument/2006/relationships/hyperlink" Target="https://www.auroragov.org/business_services/development_center/permitting" TargetMode="External" Id="rId71" /><Relationship Type="http://schemas.openxmlformats.org/officeDocument/2006/relationships/hyperlink" Target="https://www.auroragov.org/business_services/aurora4biz" TargetMode="External" Id="rId72" /><Relationship Type="http://schemas.openxmlformats.org/officeDocument/2006/relationships/hyperlink" Target="https://www.auroragov.org/city_hall/boards___commissions/planning___zoning_commission" TargetMode="External" Id="rId73" /><Relationship Type="http://schemas.openxmlformats.org/officeDocument/2006/relationships/hyperlink" Target="https://www.auroragov.org/city_hall/mayor___city_council/council_meetings" TargetMode="External" Id="rId74" /><Relationship Type="http://schemas.openxmlformats.org/officeDocument/2006/relationships/hyperlink" Target="https://www.auroragov.org/city_hall/public_records/legal_notices/public_hearings" TargetMode="External" Id="rId75" /><Relationship Type="http://schemas.openxmlformats.org/officeDocument/2006/relationships/hyperlink" Target="https://www.auroragov.org/city_hall/public_records" TargetMode="External" Id="rId76" /><Relationship Type="http://schemas.openxmlformats.org/officeDocument/2006/relationships/hyperlink" Target="https://www.auroragov.org/news/whats_new" TargetMode="External" Id="rId77" /><Relationship Type="http://schemas.openxmlformats.org/officeDocument/2006/relationships/hyperlink" Target="https://www.bennettco.gov/" TargetMode="External" Id="rId78" /><Relationship Type="http://schemas.openxmlformats.org/officeDocument/2006/relationships/hyperlink" Target="https://www.bennettco.gov/business/page/bennett-zoning-map" TargetMode="External" Id="rId79" /><Relationship Type="http://schemas.openxmlformats.org/officeDocument/2006/relationships/hyperlink" Target="https://www.bennettco.gov/planning-economic-development/page/planning-and-zoning" TargetMode="External" Id="rId80" /><Relationship Type="http://schemas.openxmlformats.org/officeDocument/2006/relationships/hyperlink" Target="https://www.bennettco.gov/planning-economic-development" TargetMode="External" Id="rId81" /><Relationship Type="http://schemas.openxmlformats.org/officeDocument/2006/relationships/hyperlink" Target="https://www.bennettco.gov/planning-economic-development/page/zoning-and-subdivision-regulations" TargetMode="External" Id="rId82" /><Relationship Type="http://schemas.openxmlformats.org/officeDocument/2006/relationships/hyperlink" Target="https://www.bennettco.gov/development" TargetMode="External" Id="rId83" /><Relationship Type="http://schemas.openxmlformats.org/officeDocument/2006/relationships/hyperlink" Target="https://www.bennettco.gov/projects" TargetMode="External" Id="rId84" /><Relationship Type="http://schemas.openxmlformats.org/officeDocument/2006/relationships/hyperlink" Target="https://www.bennettco.gov/planning-economic-development/page/applicant-guides" TargetMode="External" Id="rId85" /><Relationship Type="http://schemas.openxmlformats.org/officeDocument/2006/relationships/hyperlink" Target="https://www.bennettco.gov/community-development/page/self-service-guide-permits-and-zoning" TargetMode="External" Id="rId86" /><Relationship Type="http://schemas.openxmlformats.org/officeDocument/2006/relationships/hyperlink" Target="https://www.bennettco.gov/community-development/page/building-department" TargetMode="External" Id="rId87" /><Relationship Type="http://schemas.openxmlformats.org/officeDocument/2006/relationships/hyperlink" Target="https://www.bennettco.gov/community-development/page/how-obtain-permit" TargetMode="External" Id="rId88" /><Relationship Type="http://schemas.openxmlformats.org/officeDocument/2006/relationships/hyperlink" Target="https://www.bennettco.gov/planning-economic-development/page/master-plans-and-guiding-documents" TargetMode="External" Id="rId89" /><Relationship Type="http://schemas.openxmlformats.org/officeDocument/2006/relationships/hyperlink" Target="https://www.bennettco.gov/planning-and-zoning-commission" TargetMode="External" Id="rId90" /><Relationship Type="http://schemas.openxmlformats.org/officeDocument/2006/relationships/hyperlink" Target="https://www.bennettco.gov/meetings/recent" TargetMode="External" Id="rId91" /><Relationship Type="http://schemas.openxmlformats.org/officeDocument/2006/relationships/hyperlink" Target="https://www.bennettco.gov/town-clerk/page/public-records" TargetMode="External" Id="rId92" /><Relationship Type="http://schemas.openxmlformats.org/officeDocument/2006/relationships/hyperlink" Target="https://www.bennettco.gov/news" TargetMode="External" Id="rId93" /><Relationship Type="http://schemas.openxmlformats.org/officeDocument/2006/relationships/hyperlink" Target="https://www.brightonco.gov/" TargetMode="External" Id="rId94" /><Relationship Type="http://schemas.openxmlformats.org/officeDocument/2006/relationships/hyperlink" Target="https://www.brightonco.gov/248/Geographic-Information-Systems" TargetMode="External" Id="rId95" /><Relationship Type="http://schemas.openxmlformats.org/officeDocument/2006/relationships/hyperlink" Target="https://www.brightonco.gov/224/Planning-Zoning" TargetMode="External" Id="rId96" /><Relationship Type="http://schemas.openxmlformats.org/officeDocument/2006/relationships/hyperlink" Target="https://www.brightonco.gov/363/Land-Use-Development-Code" TargetMode="External" Id="rId97" /><Relationship Type="http://schemas.openxmlformats.org/officeDocument/2006/relationships/hyperlink" Target="https://www.brightonco.gov/1142/Land-Use-Development-Applications" TargetMode="External" Id="rId98" /><Relationship Type="http://schemas.openxmlformats.org/officeDocument/2006/relationships/hyperlink" Target="https://www.brightonco.gov/1596/Interactive-Development-Map" TargetMode="External" Id="rId99" /><Relationship Type="http://schemas.openxmlformats.org/officeDocument/2006/relationships/hyperlink" Target="https://www.brightonco.gov/1146/Development-Resources" TargetMode="External" Id="rId100" /><Relationship Type="http://schemas.openxmlformats.org/officeDocument/2006/relationships/hyperlink" Target="https://www.brightonco.gov/222/Permitting" TargetMode="External" Id="rId101" /><Relationship Type="http://schemas.openxmlformats.org/officeDocument/2006/relationships/hyperlink" Target="https://www.brightonco.gov/1194/Codes" TargetMode="External" Id="rId102" /><Relationship Type="http://schemas.openxmlformats.org/officeDocument/2006/relationships/hyperlink" Target="https://www.brightonco.gov/553/Long-Range-Planning" TargetMode="External" Id="rId103" /><Relationship Type="http://schemas.openxmlformats.org/officeDocument/2006/relationships/hyperlink" Target="https://www.brightonco.gov/197/Planning-Commission" TargetMode="External" Id="rId104" /><Relationship Type="http://schemas.openxmlformats.org/officeDocument/2006/relationships/hyperlink" Target="https://www.brightonco.gov/agendacenter" TargetMode="External" Id="rId105" /><Relationship Type="http://schemas.openxmlformats.org/officeDocument/2006/relationships/hyperlink" Target="https://www.brightonco.gov/453/Legal-Notices" TargetMode="External" Id="rId106" /><Relationship Type="http://schemas.openxmlformats.org/officeDocument/2006/relationships/hyperlink" Target="https://www.brightonco.gov/175/News" TargetMode="External" Id="rId107" /><Relationship Type="http://schemas.openxmlformats.org/officeDocument/2006/relationships/hyperlink" Target="https://www.brightonco.gov/notifyme" TargetMode="External" Id="rId108" /><Relationship Type="http://schemas.openxmlformats.org/officeDocument/2006/relationships/hyperlink" Target="https://www.c3gov.com/Home" TargetMode="External" Id="rId109" /><Relationship Type="http://schemas.openxmlformats.org/officeDocument/2006/relationships/hyperlink" Target="https://www.c3gov.com/Residents/Maps-Data-GIS" TargetMode="External" Id="rId110" /><Relationship Type="http://schemas.openxmlformats.org/officeDocument/2006/relationships/hyperlink" Target="https://www.c3gov.com/Government/City-Codes/Land-Development-Code" TargetMode="External" Id="rId111" /><Relationship Type="http://schemas.openxmlformats.org/officeDocument/2006/relationships/hyperlink" Target="https://www.c3gov.com/Government/City-Codes/Land-Development-Code/Land-Development-Code-Transition" TargetMode="External" Id="rId112" /><Relationship Type="http://schemas.openxmlformats.org/officeDocument/2006/relationships/hyperlink" Target="https://www.c3gov.com/Business-Development/Developing-in-Commerce-City/Land-Use-Standards" TargetMode="External" Id="rId113" /><Relationship Type="http://schemas.openxmlformats.org/officeDocument/2006/relationships/hyperlink" Target="https://www.c3gov.com/Government/Departments-Divisions/Community-Development" TargetMode="External" Id="rId114" /><Relationship Type="http://schemas.openxmlformats.org/officeDocument/2006/relationships/hyperlink" Target="https://www.c3gov.com/Business-Development/Developing-in-Commerce-City" TargetMode="External" Id="rId115" /><Relationship Type="http://schemas.openxmlformats.org/officeDocument/2006/relationships/hyperlink" Target="https://www.c3gov.com/Business-Development/Developing-in-Commerce-City/Land-Use-Approvals" TargetMode="External" Id="rId116" /><Relationship Type="http://schemas.openxmlformats.org/officeDocument/2006/relationships/hyperlink" Target="https://www.c3gov.com/Business-Development/Development-Projects-Map" TargetMode="External" Id="rId117" /><Relationship Type="http://schemas.openxmlformats.org/officeDocument/2006/relationships/hyperlink" Target="https://www.c3gov.com/Business-Development/Building-Permits-Inspections" TargetMode="External" Id="rId118" /><Relationship Type="http://schemas.openxmlformats.org/officeDocument/2006/relationships/hyperlink" Target="https://www.c3gov.com/Business-Development/eTRAKiT-Portal" TargetMode="External" Id="rId119" /><Relationship Type="http://schemas.openxmlformats.org/officeDocument/2006/relationships/hyperlink" Target="https://www.c3gov.com/Government/City-Charter-Master-Plans/Comprehensive-Plan" TargetMode="External" Id="rId120" /><Relationship Type="http://schemas.openxmlformats.org/officeDocument/2006/relationships/hyperlink" Target="https://www.c3gov.com/Government/Boards-Commissions/Planning-Commission" TargetMode="External" Id="rId121" /><Relationship Type="http://schemas.openxmlformats.org/officeDocument/2006/relationships/hyperlink" Target="https://www.c3gov.com/Site-Footer/Footer-Widgets/Quick-Links/Meeting-Agendas-and-Schedules" TargetMode="External" Id="rId122" /><Relationship Type="http://schemas.openxmlformats.org/officeDocument/2006/relationships/hyperlink" Target="https://www.c3gov.com/Government/Departments-Divisions/City-Clerks-Office/Legal-Notices-Ordinances" TargetMode="External" Id="rId123" /><Relationship Type="http://schemas.openxmlformats.org/officeDocument/2006/relationships/hyperlink" Target="https://www.c3gov.com/Government/Media-News/News-Announcements" TargetMode="External" Id="rId124" /><Relationship Type="http://schemas.openxmlformats.org/officeDocument/2006/relationships/hyperlink" Target="https://www.fedheights.org/" TargetMode="External" Id="rId125" /><Relationship Type="http://schemas.openxmlformats.org/officeDocument/2006/relationships/hyperlink" Target="https://www.fedheights.org/index.asp?SEC=D1A883BE-0C29-4602-8CC9-5D6A08DA5503" TargetMode="External" Id="rId126" /><Relationship Type="http://schemas.openxmlformats.org/officeDocument/2006/relationships/hyperlink" Target="https://www.fedheights.org/index.asp?SEC=D7AA9940-8607-468A-8215-7308DD3BF799" TargetMode="External" Id="rId127" /><Relationship Type="http://schemas.openxmlformats.org/officeDocument/2006/relationships/hyperlink" Target="https://www.fedheights.org/planning" TargetMode="External" Id="rId128" /><Relationship Type="http://schemas.openxmlformats.org/officeDocument/2006/relationships/hyperlink" Target="https://www.fedheights.org/index.asp?SEC=E0D5E6BC-02A8-4AEF-88A1-9093297C3662" TargetMode="External" Id="rId129" /><Relationship Type="http://schemas.openxmlformats.org/officeDocument/2006/relationships/hyperlink" Target="https://www.fedheights.org/index.asp?SEC=D1CB6EB6-9C4B-4FA8-B119-EF1785E54CB6" TargetMode="External" Id="rId130" /><Relationship Type="http://schemas.openxmlformats.org/officeDocument/2006/relationships/hyperlink" Target="https://www.fedheights.org/index.asp?SEC=%7BCB7135BC-846F-468B-B85D-0ECE8B03FFCD%7D&amp;persistdesign=none" TargetMode="External" Id="rId131" /><Relationship Type="http://schemas.openxmlformats.org/officeDocument/2006/relationships/hyperlink" Target="https://www.fedheights.org/index.asp?SEC=%7B76F23E1D-0819-4BAB-BD73-23D6092E8A3B%7D&amp;persistdesign=none" TargetMode="External" Id="rId132" /><Relationship Type="http://schemas.openxmlformats.org/officeDocument/2006/relationships/hyperlink" Target="https://www.fedheights.org/index.asp?SEC=%7B5CF1D2C4-3E29-4A1A-BBFA-2BE19B3ABFD0%7D" TargetMode="External" Id="rId133" /><Relationship Type="http://schemas.openxmlformats.org/officeDocument/2006/relationships/hyperlink" Target="https://www.fedheights.org/index.asp?SEC=%7BE66D34DF-8290-4807-83DA-3AF56D110C00%7D" TargetMode="External" Id="rId134" /><Relationship Type="http://schemas.openxmlformats.org/officeDocument/2006/relationships/hyperlink" Target="https://www.fedheights.org/index.asp?SEC=%7B13723B89-BA4A-47C1-9634-50363F8CD1D2%7D&amp;persistdesign=none" TargetMode="External" Id="rId135" /><Relationship Type="http://schemas.openxmlformats.org/officeDocument/2006/relationships/hyperlink" Target="https://www.fedheights.org/index.asp?SEC=407F7286-34E9-495F-B5F7-88E905D7C9A5" TargetMode="External" Id="rId136" /><Relationship Type="http://schemas.openxmlformats.org/officeDocument/2006/relationships/hyperlink" Target="https://www.fedheights.org/index.asp?SEC=%7B2E7DCCA1-1FEF-4EA7-8AE7-6C3F92D19EF3%7D&amp;persistdesign=none" TargetMode="External" Id="rId137" /><Relationship Type="http://schemas.openxmlformats.org/officeDocument/2006/relationships/hyperlink" Target="https://www.lochbuie.org/" TargetMode="External" Id="rId138" /><Relationship Type="http://schemas.openxmlformats.org/officeDocument/2006/relationships/hyperlink" Target="https://www.lochbuie.org/community-dev/page/interactive-land-use-map" TargetMode="External" Id="rId139" /><Relationship Type="http://schemas.openxmlformats.org/officeDocument/2006/relationships/hyperlink" Target="https://www.lochbuie.org/community-dev/page/maps" TargetMode="External" Id="rId140" /><Relationship Type="http://schemas.openxmlformats.org/officeDocument/2006/relationships/hyperlink" Target="https://www.lochbuie.org/administration/page/zoning-map" TargetMode="External" Id="rId141" /><Relationship Type="http://schemas.openxmlformats.org/officeDocument/2006/relationships/hyperlink" Target="https://www.lochbuie.org/community-dev/page/current-planning" TargetMode="External" Id="rId142" /><Relationship Type="http://schemas.openxmlformats.org/officeDocument/2006/relationships/hyperlink" Target="https://www.lochbuie.org/community-dev" TargetMode="External" Id="rId143" /><Relationship Type="http://schemas.openxmlformats.org/officeDocument/2006/relationships/hyperlink" Target="https://www.lochbuie.org/community-dev/page/land-use-applications" TargetMode="External" Id="rId144" /><Relationship Type="http://schemas.openxmlformats.org/officeDocument/2006/relationships/hyperlink" Target="https://www.lochbuie.org/community-dev/page/development-resources" TargetMode="External" Id="rId145" /><Relationship Type="http://schemas.openxmlformats.org/officeDocument/2006/relationships/hyperlink" Target="https://www.lochbuie.org/projects" TargetMode="External" Id="rId146" /><Relationship Type="http://schemas.openxmlformats.org/officeDocument/2006/relationships/hyperlink" Target="https://www.lochbuie.org/community-dev/page/building-permits-and-inspections" TargetMode="External" Id="rId147" /><Relationship Type="http://schemas.openxmlformats.org/officeDocument/2006/relationships/hyperlink" Target="https://www.lochbuie.org/community-dev/page/documents" TargetMode="External" Id="rId148" /><Relationship Type="http://schemas.openxmlformats.org/officeDocument/2006/relationships/hyperlink" Target="https://www.lochbuie.org/community-dev/page/long-range-planning" TargetMode="External" Id="rId149" /><Relationship Type="http://schemas.openxmlformats.org/officeDocument/2006/relationships/hyperlink" Target="https://www.lochbuie.org/publicnotice/page/ordinances" TargetMode="External" Id="rId150" /><Relationship Type="http://schemas.openxmlformats.org/officeDocument/2006/relationships/hyperlink" Target="https://www.lochbuie.org/meetings" TargetMode="External" Id="rId151" /><Relationship Type="http://schemas.openxmlformats.org/officeDocument/2006/relationships/hyperlink" Target="https://www.lochbuie.org/publicnotice" TargetMode="External" Id="rId152" /><Relationship Type="http://schemas.openxmlformats.org/officeDocument/2006/relationships/hyperlink" Target="https://www.lochbuie.org/news" TargetMode="External" Id="rId153" /><Relationship Type="http://schemas.openxmlformats.org/officeDocument/2006/relationships/hyperlink" Target="https://www.lochbuie.org/portal" TargetMode="External" Id="rId154" /><Relationship Type="http://schemas.openxmlformats.org/officeDocument/2006/relationships/hyperlink" Target="https://www.northglenn.org/" TargetMode="External" Id="rId155" /><Relationship Type="http://schemas.openxmlformats.org/officeDocument/2006/relationships/hyperlink" Target="https://www.northglenn.org/government/departments/planning_development/index.php" TargetMode="External" Id="rId156" /><Relationship Type="http://schemas.openxmlformats.org/officeDocument/2006/relationships/hyperlink" Target="https://www.northglenn.org/government/land_use_zoning/index.php" TargetMode="External" Id="rId157" /><Relationship Type="http://schemas.openxmlformats.org/officeDocument/2006/relationships/hyperlink" Target="https://www.northglenn.org/government/land_use_zoning/zoning_map.php" TargetMode="External" Id="rId158" /><Relationship Type="http://schemas.openxmlformats.org/officeDocument/2006/relationships/hyperlink" Target="https://biz.northglenn.org/quickzone" TargetMode="External" Id="rId159" /><Relationship Type="http://schemas.openxmlformats.org/officeDocument/2006/relationships/hyperlink" Target="https://www.northglenn.org/government/land_use_zoning/new_code_northglenn.php" TargetMode="External" Id="rId160" /><Relationship Type="http://schemas.openxmlformats.org/officeDocument/2006/relationships/hyperlink" Target="https://www.northglenn.org/government/land_use_zoning/land_use_applications.php" TargetMode="External" Id="rId161" /><Relationship Type="http://schemas.openxmlformats.org/officeDocument/2006/relationships/hyperlink" Target="https://www.northglenn.org/government/departments/planning_development/development_review_process.php" TargetMode="External" Id="rId162" /><Relationship Type="http://schemas.openxmlformats.org/officeDocument/2006/relationships/hyperlink" Target="https://www.northglenn.org/government/project_updates/" TargetMode="External" Id="rId163" /><Relationship Type="http://schemas.openxmlformats.org/officeDocument/2006/relationships/hyperlink" Target="https://www.northglenn.org/services/licenses_and_permits/index.php" TargetMode="External" Id="rId164" /><Relationship Type="http://schemas.openxmlformats.org/officeDocument/2006/relationships/hyperlink" Target="https://www.northglenn.org/government/departments/building/pull_a_permit.php" TargetMode="External" Id="rId165" /><Relationship Type="http://schemas.openxmlformats.org/officeDocument/2006/relationships/hyperlink" Target="https://www.northglenn.org/government/land_use_zoning/comprehensive_plan.php" TargetMode="External" Id="rId166" /><Relationship Type="http://schemas.openxmlformats.org/officeDocument/2006/relationships/hyperlink" Target="https://www.northglenn.org/government/land_use_zoning/area_plans/index.php" TargetMode="External" Id="rId167" /><Relationship Type="http://schemas.openxmlformats.org/officeDocument/2006/relationships/hyperlink" Target="https://www.northglenn.org/government/boards_commissions/planning_commission.php" TargetMode="External" Id="rId168" /><Relationship Type="http://schemas.openxmlformats.org/officeDocument/2006/relationships/hyperlink" Target="https://webdocs.northglenn.org/" TargetMode="External" Id="rId169" /><Relationship Type="http://schemas.openxmlformats.org/officeDocument/2006/relationships/hyperlink" Target="https://www.northglenn.org/newslist.php" TargetMode="External" Id="rId170" /><Relationship Type="http://schemas.openxmlformats.org/officeDocument/2006/relationships/hyperlink" Target="https://www.northglenn.org/community/communications/textmygov.php" TargetMode="External" Id="rId171" /><Relationship Type="http://schemas.openxmlformats.org/officeDocument/2006/relationships/hyperlink" Target="https://www.thorntonco.gov/" TargetMode="External" Id="rId172" /><Relationship Type="http://schemas.openxmlformats.org/officeDocument/2006/relationships/hyperlink" Target="https://www.thorntonco.gov/business-development/city-development" TargetMode="External" Id="rId173" /><Relationship Type="http://schemas.openxmlformats.org/officeDocument/2006/relationships/hyperlink" Target="https://www.thorntonco.gov/business-development/city-development/current-planning-zoning" TargetMode="External" Id="rId174" /><Relationship Type="http://schemas.openxmlformats.org/officeDocument/2006/relationships/hyperlink" Target="https://www.thorntonco.gov/business-development/city-development/current-planning-zoning/zoning-districts-uses-and-regulations" TargetMode="External" Id="rId175" /><Relationship Type="http://schemas.openxmlformats.org/officeDocument/2006/relationships/hyperlink" Target="https://cityofthornton.maps.arcgis.com/apps/webappviewer/index.html?id=643abe02e8b8446586b6eb6d8ed43f84" TargetMode="External" Id="rId176" /><Relationship Type="http://schemas.openxmlformats.org/officeDocument/2006/relationships/hyperlink" Target="https://data-cityofthornton.opendata.arcgis.com/" TargetMode="External" Id="rId177" /><Relationship Type="http://schemas.openxmlformats.org/officeDocument/2006/relationships/hyperlink" Target="https://cityviewportal.thorntonco.gov/Planning/Locator" TargetMode="External" Id="rId178" /><Relationship Type="http://schemas.openxmlformats.org/officeDocument/2006/relationships/hyperlink" Target="https://www.thorntonco.gov/business-development/active-development" TargetMode="External" Id="rId179" /><Relationship Type="http://schemas.openxmlformats.org/officeDocument/2006/relationships/hyperlink" Target="https://www.thorntonco.gov/business-development/city-development/current-planning-zoning/development-applications" TargetMode="External" Id="rId180" /><Relationship Type="http://schemas.openxmlformats.org/officeDocument/2006/relationships/hyperlink" Target="https://www.thorntonco.gov/business-development/city-development/development-engineering-construction" TargetMode="External" Id="rId181" /><Relationship Type="http://schemas.openxmlformats.org/officeDocument/2006/relationships/hyperlink" Target="https://www.thorntonco.gov/business-development/city-development/building-permits-inspections" TargetMode="External" Id="rId182" /><Relationship Type="http://schemas.openxmlformats.org/officeDocument/2006/relationships/hyperlink" Target="https://cityviewportal.thorntonco.gov/Permit/LocatorSubmittals" TargetMode="External" Id="rId183" /><Relationship Type="http://schemas.openxmlformats.org/officeDocument/2006/relationships/hyperlink" Target="https://permits.thorntonco.gov/" TargetMode="External" Id="rId184" /><Relationship Type="http://schemas.openxmlformats.org/officeDocument/2006/relationships/hyperlink" Target="https://www.thorntonco.gov/business-development/city-development/long-range-planning" TargetMode="External" Id="rId185" /><Relationship Type="http://schemas.openxmlformats.org/officeDocument/2006/relationships/hyperlink" Target="https://www.thorntonco.gov/business-development/city-development/long-range-planning/plans/thornton-comprehensive-plan" TargetMode="External" Id="rId186" /><Relationship Type="http://schemas.openxmlformats.org/officeDocument/2006/relationships/hyperlink" Target="https://www.thorntonco.gov/business-development/city-development/long-range-planning/current-projects" TargetMode="External" Id="rId187" /><Relationship Type="http://schemas.openxmlformats.org/officeDocument/2006/relationships/hyperlink" Target="https://www.thorntonco.gov/government/boards-commissions/planning-commission-board-adjustment" TargetMode="External" Id="rId188" /><Relationship Type="http://schemas.openxmlformats.org/officeDocument/2006/relationships/hyperlink" Target="https://www.thorntonco.gov/government/mayor-council/upcoming-meetings" TargetMode="External" Id="rId189" /><Relationship Type="http://schemas.openxmlformats.org/officeDocument/2006/relationships/hyperlink" Target="https://www.thorntonco.gov/government/public-notices" TargetMode="External" Id="rId190" /><Relationship Type="http://schemas.openxmlformats.org/officeDocument/2006/relationships/hyperlink" Target="https://www.thorntonco.gov/news" TargetMode="External" Id="rId191" /><Relationship Type="http://schemas.openxmlformats.org/officeDocument/2006/relationships/hyperlink" Target="https://talerts.thorntonco.gov/" TargetMode="External" Id="rId192" /><Relationship Type="http://schemas.openxmlformats.org/officeDocument/2006/relationships/hyperlink" Target="https://www.westminsterco.gov/" TargetMode="External" Id="rId193" /><Relationship Type="http://schemas.openxmlformats.org/officeDocument/2006/relationships/hyperlink" Target="https://www.westminsterco.gov/471/Maps" TargetMode="External" Id="rId194" /><Relationship Type="http://schemas.openxmlformats.org/officeDocument/2006/relationships/hyperlink" Target="https://www.westminsterco.gov/727/Zoning" TargetMode="External" Id="rId195" /><Relationship Type="http://schemas.openxmlformats.org/officeDocument/2006/relationships/hyperlink" Target="https://www.westminsterco.gov/707/Planning" TargetMode="External" Id="rId196" /><Relationship Type="http://schemas.openxmlformats.org/officeDocument/2006/relationships/hyperlink" Target="https://www.westminsterco.gov/703/Develop-in-Westminster" TargetMode="External" Id="rId197" /><Relationship Type="http://schemas.openxmlformats.org/officeDocument/2006/relationships/hyperlink" Target="https://www.westminsterco.gov/855/Current-Development-Project-Map" TargetMode="External" Id="rId198" /><Relationship Type="http://schemas.openxmlformats.org/officeDocument/2006/relationships/hyperlink" Target="https://www.westminsterco.gov/1060/Redevelopment" TargetMode="External" Id="rId199" /><Relationship Type="http://schemas.openxmlformats.org/officeDocument/2006/relationships/hyperlink" Target="https://www.westminsterco.gov/833/Permits-Licenses" TargetMode="External" Id="rId200" /><Relationship Type="http://schemas.openxmlformats.org/officeDocument/2006/relationships/hyperlink" Target="https://www.westminsterco.gov/617/Apply-for-a-Permit-Project" TargetMode="External" Id="rId201" /><Relationship Type="http://schemas.openxmlformats.org/officeDocument/2006/relationships/hyperlink" Target="https://www.westminsterco.gov/DocumentCenter/View/5605/Comprehensive-Plan_November2025-LR" TargetMode="External" Id="rId202" /><Relationship Type="http://schemas.openxmlformats.org/officeDocument/2006/relationships/hyperlink" Target="https://www.westminsterco.gov/747/City-Standards-Specifications" TargetMode="External" Id="rId203" /><Relationship Type="http://schemas.openxmlformats.org/officeDocument/2006/relationships/hyperlink" Target="https://www.westminsterco.gov/639/Code-Enforcement" TargetMode="External" Id="rId204" /><Relationship Type="http://schemas.openxmlformats.org/officeDocument/2006/relationships/hyperlink" Target="https://www.westminsterco.gov/614/Planning-Commission" TargetMode="External" Id="rId205" /><Relationship Type="http://schemas.openxmlformats.org/officeDocument/2006/relationships/hyperlink" Target="https://www.westminsterco.gov/AgendaCenter" TargetMode="External" Id="rId206" /><Relationship Type="http://schemas.openxmlformats.org/officeDocument/2006/relationships/hyperlink" Target="https://www.westminsterco.gov/1098/Public-Notices" TargetMode="External" Id="rId207" /><Relationship Type="http://schemas.openxmlformats.org/officeDocument/2006/relationships/hyperlink" Target="https://www.westminsterco.gov/m/NewsFlash" TargetMode="External" Id="rId208" /><Relationship Type="http://schemas.openxmlformats.org/officeDocument/2006/relationships/hyperlink" Target="https://www.westminsterco.gov/565/Public-Records-Request" TargetMode="External" Id="rId209" /><Relationship Type="http://schemas.openxmlformats.org/officeDocument/2006/relationships/hyperlink" Target="https://adamscountyco.gov/about-adams-county/public-meetings/" TargetMode="External" Id="rId210" /><Relationship Type="http://schemas.openxmlformats.org/officeDocument/2006/relationships/hyperlink" Target="https://adamscountyco.gov/our-county/community-economic-development/planning-development/current-land-use-cases/" TargetMode="External" Id="rId211" /><Relationship Type="http://schemas.openxmlformats.org/officeDocument/2006/relationships/hyperlink" Target="https://adamscountyco.gov/our-county/elected-officials/board-of-county-commissioners/current-meeting-agendas-archives/" TargetMode="External" Id="rId212" /><Relationship Type="http://schemas.openxmlformats.org/officeDocument/2006/relationships/hyperlink" Target="https://adamscountyco.gov/about-adams-county/public-meetings/archived-hearing-agendas-audio/" TargetMode="External" Id="rId213" /><Relationship Type="http://schemas.openxmlformats.org/officeDocument/2006/relationships/hyperlink" Target="https://adamscountyco.gov/about-adams-county/news/" TargetMode="External" Id="rId214" /><Relationship Type="http://schemas.openxmlformats.org/officeDocument/2006/relationships/hyperlink" Target="https://adamscountyco.gov/our-county/community-economic-development/planning-development/news-updates/" TargetMode="External" Id="rId215" /><Relationship Type="http://schemas.openxmlformats.org/officeDocument/2006/relationships/hyperlink" Target="https://adamscountyco.gov/our-county/elected-officials/clerk-recorder/recording/public-document-postings/" TargetMode="External" Id="rId216" /><Relationship Type="http://schemas.openxmlformats.org/officeDocument/2006/relationships/hyperlink" Target="https://www.arvadaco.gov/AgendaCenter" TargetMode="External" Id="rId217" /><Relationship Type="http://schemas.openxmlformats.org/officeDocument/2006/relationships/hyperlink" Target="https://www.arvadaco.gov/245/Meetings-and-Other-Legal-Notices" TargetMode="External" Id="rId218" /><Relationship Type="http://schemas.openxmlformats.org/officeDocument/2006/relationships/hyperlink" Target="https://www.arvadaco.gov/908/News-Releases" TargetMode="External" Id="rId219" /><Relationship Type="http://schemas.openxmlformats.org/officeDocument/2006/relationships/hyperlink" Target="https://www.auroragov.org/city_hall/boards___commissions/planning___zoning_commission" TargetMode="External" Id="rId220" /><Relationship Type="http://schemas.openxmlformats.org/officeDocument/2006/relationships/hyperlink" Target="https://www.auroragov.org/city_hall/mayor___city_council/council_meetings" TargetMode="External" Id="rId221" /><Relationship Type="http://schemas.openxmlformats.org/officeDocument/2006/relationships/hyperlink" Target="https://www.auroragov.org/city_hall/public_records/legal_notices/public_hearings" TargetMode="External" Id="rId222" /><Relationship Type="http://schemas.openxmlformats.org/officeDocument/2006/relationships/hyperlink" Target="https://www.auroragov.org/news/whats_new" TargetMode="External" Id="rId223" /><Relationship Type="http://schemas.openxmlformats.org/officeDocument/2006/relationships/hyperlink" Target="https://www.bennettco.gov/meetings/recent" TargetMode="External" Id="rId224" /><Relationship Type="http://schemas.openxmlformats.org/officeDocument/2006/relationships/hyperlink" Target="https://www.bennettco.gov/planning-and-zoning-commission" TargetMode="External" Id="rId225" /><Relationship Type="http://schemas.openxmlformats.org/officeDocument/2006/relationships/hyperlink" Target="https://www.bennettco.gov/news" TargetMode="External" Id="rId226" /><Relationship Type="http://schemas.openxmlformats.org/officeDocument/2006/relationships/hyperlink" Target="https://www.brightonco.gov/agendacenter" TargetMode="External" Id="rId227" /><Relationship Type="http://schemas.openxmlformats.org/officeDocument/2006/relationships/hyperlink" Target="https://www.brightonco.gov/453/Legal-Notices" TargetMode="External" Id="rId228" /><Relationship Type="http://schemas.openxmlformats.org/officeDocument/2006/relationships/hyperlink" Target="https://www.brightonco.gov/175/News" TargetMode="External" Id="rId229" /><Relationship Type="http://schemas.openxmlformats.org/officeDocument/2006/relationships/hyperlink" Target="https://www.brightonco.gov/notifyme" TargetMode="External" Id="rId230" /><Relationship Type="http://schemas.openxmlformats.org/officeDocument/2006/relationships/hyperlink" Target="https://www.c3gov.com/Site-Footer/Footer-Widgets/Quick-Links/Meeting-Agendas-and-Schedules" TargetMode="External" Id="rId231" /><Relationship Type="http://schemas.openxmlformats.org/officeDocument/2006/relationships/hyperlink" Target="https://www.c3gov.com/Government/Departments-Divisions/City-Clerks-Office/Legal-Notices-Ordinances" TargetMode="External" Id="rId232" /><Relationship Type="http://schemas.openxmlformats.org/officeDocument/2006/relationships/hyperlink" Target="https://www.c3gov.com/Government/Media-News/News-Announcements" TargetMode="External" Id="rId233" /><Relationship Type="http://schemas.openxmlformats.org/officeDocument/2006/relationships/hyperlink" Target="https://www.fedheights.org/index.asp?SEC=%7BE66D34DF-8290-4807-83DA-3AF56D110C00%7D" TargetMode="External" Id="rId234" /><Relationship Type="http://schemas.openxmlformats.org/officeDocument/2006/relationships/hyperlink" Target="https://www.fedheights.org/index.asp?SEC=407F7286-34E9-495F-B5F7-88E905D7C9A5" TargetMode="External" Id="rId235" /><Relationship Type="http://schemas.openxmlformats.org/officeDocument/2006/relationships/hyperlink" Target="https://www.fedheights.org/index.asp?SEC=%7B2E7DCCA1-1FEF-4EA7-8AE7-6C3F92D19EF3%7D&amp;persistdesign=none" TargetMode="External" Id="rId236" /><Relationship Type="http://schemas.openxmlformats.org/officeDocument/2006/relationships/hyperlink" Target="https://www.lochbuie.org/meetings" TargetMode="External" Id="rId237" /><Relationship Type="http://schemas.openxmlformats.org/officeDocument/2006/relationships/hyperlink" Target="https://www.lochbuie.org/publicnotice" TargetMode="External" Id="rId238" /><Relationship Type="http://schemas.openxmlformats.org/officeDocument/2006/relationships/hyperlink" Target="https://www.lochbuie.org/news" TargetMode="External" Id="rId239" /><Relationship Type="http://schemas.openxmlformats.org/officeDocument/2006/relationships/hyperlink" Target="https://webdocs.northglenn.org/" TargetMode="External" Id="rId240" /><Relationship Type="http://schemas.openxmlformats.org/officeDocument/2006/relationships/hyperlink" Target="https://www.northglenn.org/newslist.php" TargetMode="External" Id="rId241" /><Relationship Type="http://schemas.openxmlformats.org/officeDocument/2006/relationships/hyperlink" Target="https://www.northglenn.org/community/communications/textmygov.php" TargetMode="External" Id="rId242" /><Relationship Type="http://schemas.openxmlformats.org/officeDocument/2006/relationships/hyperlink" Target="https://www.thorntonco.gov/government/mayor-council/upcoming-meetings" TargetMode="External" Id="rId243" /><Relationship Type="http://schemas.openxmlformats.org/officeDocument/2006/relationships/hyperlink" Target="https://www.thorntonco.gov/government/public-notices" TargetMode="External" Id="rId244" /><Relationship Type="http://schemas.openxmlformats.org/officeDocument/2006/relationships/hyperlink" Target="https://www.thorntonco.gov/news" TargetMode="External" Id="rId245" /><Relationship Type="http://schemas.openxmlformats.org/officeDocument/2006/relationships/hyperlink" Target="https://talerts.thorntonco.gov/" TargetMode="External" Id="rId246" /><Relationship Type="http://schemas.openxmlformats.org/officeDocument/2006/relationships/hyperlink" Target="https://www.westminsterco.gov/AgendaCenter" TargetMode="External" Id="rId247" /><Relationship Type="http://schemas.openxmlformats.org/officeDocument/2006/relationships/hyperlink" Target="https://www.westminsterco.gov/1098/Public-Notices" TargetMode="External" Id="rId248" /><Relationship Type="http://schemas.openxmlformats.org/officeDocument/2006/relationships/hyperlink" Target="https://www.westminsterco.gov/m/NewsFlash" TargetMode="External" Id="rId249" /><Relationship Type="http://schemas.openxmlformats.org/officeDocument/2006/relationships/hyperlink" Target="https://sentinelcolorado.com/" TargetMode="External" Id="rId250" /><Relationship Type="http://schemas.openxmlformats.org/officeDocument/2006/relationships/hyperlink" Target="https://i-70scout.com/blog/" TargetMode="External" Id="rId251" /><Relationship Type="http://schemas.openxmlformats.org/officeDocument/2006/relationships/hyperlink" Target="https://arvadapress.presspatron.com/" TargetMode="External" Id="rId252" /><Relationship Type="http://schemas.openxmlformats.org/officeDocument/2006/relationships/hyperlink" Target="https://local.coloradocommunitymedia.com/" TargetMode="External" Id="rId253" /><Relationship Type="http://schemas.openxmlformats.org/officeDocument/2006/relationships/hyperlink" Target="https://westminster-window-colorado-trust.beehiiv.com/" TargetMode="External" Id="rId254" /><Relationship Type="http://schemas.openxmlformats.org/officeDocument/2006/relationships/hyperlink" Target="https://co.colorado.gov/search-business-records" TargetMode="External" Id="rId255" /><Relationship Type="http://schemas.openxmlformats.org/officeDocument/2006/relationships/hyperlink" Target="https://www.sos.state.co.us/ucc/pages/home.xhtml" TargetMode="External" Id="rId256" /><Relationship Type="http://schemas.openxmlformats.org/officeDocument/2006/relationships/hyperlink" Target="https://gis.dola.colorado.gov/CO_SpecialDistrict/" TargetMode="External" Id="rId257" /><Relationship Type="http://schemas.openxmlformats.org/officeDocument/2006/relationships/hyperlink" Target="https://dola.colorado.gov/dlg_lgis_ui_pu/" TargetMode="External" Id="rId258" /><Relationship Type="http://schemas.openxmlformats.org/officeDocument/2006/relationships/hyperlink" Target="https://dola.colorado.gov/dlg_lgis_ui_pu/publicLGTaxEntities.jsf" TargetMode="External" Id="rId259" /><Relationship Type="http://schemas.openxmlformats.org/officeDocument/2006/relationships/hyperlink" Target="https://gis.dola.colorado.gov/CO_Muni/" TargetMode="External" Id="rId260" /><Relationship Type="http://schemas.openxmlformats.org/officeDocument/2006/relationships/hyperlink" Target="https://demography.dola.colorado.gov/assets/html/gis_data.html" TargetMode="External" Id="rId261" /><Relationship Type="http://schemas.openxmlformats.org/officeDocument/2006/relationships/hyperlink" Target="https://demography.dola.colorado.gov/assets/lookups/dashboard_lookup.html" TargetMode="External" Id="rId262" /><Relationship Type="http://schemas.openxmlformats.org/officeDocument/2006/relationships/hyperlink" Target="https://geodata.colorado.gov/" TargetMode="External" Id="rId263" /><Relationship Type="http://schemas.openxmlformats.org/officeDocument/2006/relationships/hyperlink" Target="https://gis.colorado.gov/viewer/?page=Home" TargetMode="External" Id="rId264" /><Relationship Type="http://schemas.openxmlformats.org/officeDocument/2006/relationships/hyperlink" Target="https://drcog.org/data-maps-modeling" TargetMode="External" Id="rId265" /><Relationship Type="http://schemas.openxmlformats.org/officeDocument/2006/relationships/hyperlink" Target="https://dwr.state.co.us/Tools" TargetMode="External" Id="rId266" /><Relationship Type="http://schemas.openxmlformats.org/officeDocument/2006/relationships/hyperlink" Target="https://dwr.state.co.us/Tools/WellPermits" TargetMode="External" Id="rId267" /><Relationship Type="http://schemas.openxmlformats.org/officeDocument/2006/relationships/hyperlink" Target="https://ecmc.state.co.us/maps.html" TargetMode="External" Id="rId268" /><Relationship Type="http://schemas.openxmlformats.org/officeDocument/2006/relationships/hyperlink" Target="https://ecmc.state.co.us/data.html" TargetMode="External" Id="rId269" /><Relationship Type="http://schemas.openxmlformats.org/officeDocument/2006/relationships/hyperlink" Target="https://cdphe.colorado.gov/maps-and-gis-for-health-and-environment" TargetMode="External" Id="rId270" /><Relationship Type="http://schemas.openxmlformats.org/officeDocument/2006/relationships/hyperlink" Target="https://cdphe.colorado.gov/hm/gis-data" TargetMode="External" Id="rId271" /><Relationship Type="http://schemas.openxmlformats.org/officeDocument/2006/relationships/hyperlink" Target="https://cdphe.colorado.gov/hm/if-site-contaminated" TargetMode="External" Id="rId272" /><Relationship Type="http://schemas.openxmlformats.org/officeDocument/2006/relationships/hyperlink" Target="https://cdphe.colorado.gov/clean-water-gis-maps" TargetMode="External" Id="rId273" /><Relationship Type="http://schemas.openxmlformats.org/officeDocument/2006/relationships/hyperlink" Target="https://cdphe.colorado.gov/pfas/mapping" TargetMode="External" Id="rId274" /><Relationship Type="http://schemas.openxmlformats.org/officeDocument/2006/relationships/hyperlink" Target="https://www.fema.gov/flood-maps" TargetMode="External" Id="rId275" /><Relationship Type="http://schemas.openxmlformats.org/officeDocument/2006/relationships/hyperlink" Target="https://msc.fema.gov/portal/search" TargetMode="External" Id="rId276" /><Relationship Type="http://schemas.openxmlformats.org/officeDocument/2006/relationships/hyperlink" Target="https://www.fema.gov/flood-maps/national-flood-hazard-layer" TargetMode="External" Id="rId277" /><Relationship Type="http://schemas.openxmlformats.org/officeDocument/2006/relationships/hyperlink" Target="https://www.epa.gov/cleanups/cleanups-my-community" TargetMode="External" Id="rId278" /><Relationship Type="http://schemas.openxmlformats.org/officeDocument/2006/relationships/hyperlink" Target="https://map22.epa.gov/cimc/" TargetMode="External" Id="rId279" /><Relationship Type="http://schemas.openxmlformats.org/officeDocument/2006/relationships/hyperlink" Target="https://www.epa.gov/superfund/search-superfund-sites-where-you-live" TargetMode="External" Id="rId280" /><Relationship Type="http://schemas.openxmlformats.org/officeDocument/2006/relationships/hyperlink" Target="https://websoilsurvey.nrcs.usda.gov/" TargetMode="External" Id="rId281" /><Relationship Type="http://schemas.openxmlformats.org/officeDocument/2006/relationships/hyperlink" Target="https://www.fws.gov/program/national-wetlands-inventory/wetlands-mapper" TargetMode="External" Id="rId282" /><Relationship Type="http://schemas.openxmlformats.org/officeDocument/2006/relationships/hyperlink" Target="https://dtdapps.codot.gov/otis" TargetMode="External" Id="rId283" /><Relationship Type="http://schemas.openxmlformats.org/officeDocument/2006/relationships/hyperlink" Target="https://dtdapps.codot.gov/otis/HighwayData" TargetMode="External" Id="rId284" /><Relationship Type="http://schemas.openxmlformats.org/officeDocument/2006/relationships/hyperlink" Target="https://dtdapps.codot.gov/otis/TrafficData" TargetMode="External" Id="rId285" /><Relationship Type="http://schemas.openxmlformats.org/officeDocument/2006/relationships/hyperlink" Target="https://www.historycolorado.org/compass-information" TargetMode="External" Id="rId286" /><Relationship Type="http://schemas.openxmlformats.org/officeDocument/2006/relationships/hyperlink" Target="https://www.historycolorado.org/national-state-register-listed-properties" TargetMode="External" Id="rId287" /><Relationship Type="http://schemas.openxmlformats.org/officeDocument/2006/relationships/hyperlink" Target="https://dre.colorado.gov/hoa-center" TargetMode="External" Id="rId288" /><Relationship Type="http://schemas.openxmlformats.org/officeDocument/2006/relationships/hyperlink" Target="https://dre.colorado.gov/hoa-registration-services" TargetMode="External" Id="rId289" /><Relationship Type="http://schemas.openxmlformats.org/officeDocument/2006/relationships/hyperlink" Target="https://co.colorado.gov/verify-status-professionals-license" TargetMode="External" Id="rId290" /><Relationship Type="http://schemas.openxmlformats.org/officeDocument/2006/relationships/hyperlink" Target="https://secure.slb.colorado.gov/" TargetMode="External" Id="rId291" /><Relationship Type="http://schemas.openxmlformats.org/officeDocument/2006/relationships/hyperlink" Target="https://www.blm.gov/maps/frequently-requested/colorado/gis-datasets" TargetMode="External" Id="rId292" /><Relationship Type="http://schemas.openxmlformats.org/officeDocument/2006/relationships/hyperlink" Target="https://adamscountyco.gov/service/search-real-property/" TargetMode="External" Id="rId293" /><Relationship Type="http://schemas.openxmlformats.org/officeDocument/2006/relationships/hyperlink" Target="https://gis.dola.colorado.gov/CO_Muni/" TargetMode="External" Id="rId294" /><Relationship Type="http://schemas.openxmlformats.org/officeDocument/2006/relationships/hyperlink" Target="https://gisapp.adcogov.org/quicksearch/" TargetMode="External" Id="rId295" /><Relationship Type="http://schemas.openxmlformats.org/officeDocument/2006/relationships/hyperlink" Target="https://recording.adamscountyco.gov/landmarkweb/" TargetMode="External" Id="rId296" /><Relationship Type="http://schemas.openxmlformats.org/officeDocument/2006/relationships/hyperlink" Target="https://recording.adamscountyco.gov/landmarkweb/" TargetMode="External" Id="rId297" /><Relationship Type="http://schemas.openxmlformats.org/officeDocument/2006/relationships/hyperlink" Target="https://adamscountyco.gov/service/find-public-records-recorded-documents/" TargetMode="External" Id="rId298" /><Relationship Type="http://schemas.openxmlformats.org/officeDocument/2006/relationships/hyperlink" Target="https://adcotax.com/" TargetMode="External" Id="rId299" /><Relationship Type="http://schemas.openxmlformats.org/officeDocument/2006/relationships/hyperlink" Target="https://adamscountyco.gov/our-county/elected-officials/treasurer-public-trustee/treasurer-division/tax-lien-sale/" TargetMode="External" Id="rId300" /><Relationship Type="http://schemas.openxmlformats.org/officeDocument/2006/relationships/hyperlink" Target="https://apps.adcogov.org/PTForeclosureSearch/?ds=1" TargetMode="External" Id="rId301" /><Relationship Type="http://schemas.openxmlformats.org/officeDocument/2006/relationships/hyperlink" Target="https://adamscountyco.gov/our-county/elected-officials/clerk-recorder/recording/land-survey-plats/" TargetMode="External" Id="rId302" /><Relationship Type="http://schemas.openxmlformats.org/officeDocument/2006/relationships/hyperlink" Target="https://gis.dola.colorado.gov/CO_SpecialDistrict/" TargetMode="External" Id="rId303" /><Relationship Type="http://schemas.openxmlformats.org/officeDocument/2006/relationships/hyperlink" Target="https://dwr.state.co.us/Tools" TargetMode="External" Id="rId304" /><Relationship Type="http://schemas.openxmlformats.org/officeDocument/2006/relationships/hyperlink" Target="https://msc.fema.gov/portal/search" TargetMode="External" Id="rId305" /><Relationship Type="http://schemas.openxmlformats.org/officeDocument/2006/relationships/hyperlink" Target="https://websoilsurvey.nrcs.usda.gov/" TargetMode="External" Id="rId306" /><Relationship Type="http://schemas.openxmlformats.org/officeDocument/2006/relationships/hyperlink" Target="https://www.fws.gov/program/national-wetlands-inventory/wetlands-mapper" TargetMode="External" Id="rId307" /><Relationship Type="http://schemas.openxmlformats.org/officeDocument/2006/relationships/hyperlink" Target="https://cdphe.colorado.gov/hm/gis-data" TargetMode="External" Id="rId308" /><Relationship Type="http://schemas.openxmlformats.org/officeDocument/2006/relationships/hyperlink" Target="https://ecmc.state.co.us/maps.html" TargetMode="External" Id="rId309" /><Relationship Type="http://schemas.openxmlformats.org/officeDocument/2006/relationships/hyperlink" Target="https://dtdapps.codot.gov/otis" TargetMode="External" Id="rId310" /><Relationship Type="http://schemas.openxmlformats.org/officeDocument/2006/relationships/hyperlink" Target="https://www.historycolorado.org/national-state-register-listed-properties" TargetMode="External" Id="rId311" /><Relationship Type="http://schemas.openxmlformats.org/officeDocument/2006/relationships/hyperlink" Target="https://dre.colorado.gov/hoa-center" TargetMode="External" Id="rId312" /><Relationship Type="http://schemas.openxmlformats.org/officeDocument/2006/relationships/hyperlink" Target="https://co.colorado.gov/search-business-records" TargetMode="External" Id="rId313" /></Relationships>
</file>

<file path=xl/worksheets/_rels/sheet23.xml.rels><Relationships xmlns="http://schemas.openxmlformats.org/package/2006/relationships"><Relationship Type="http://schemas.openxmlformats.org/officeDocument/2006/relationships/hyperlink" Target="https://www.dropbox.com/scl/fo/4xaxocqxgv9gn6b6w4v84/ACpXrFmqmKmsZW8cGBItERk?rlkey=8f1h2afk2umpzhb3pwcuwikou&amp;st=2m9odqaz&amp;dl=0" TargetMode="External" Id="rId1" /><Relationship Type="http://schemas.openxmlformats.org/officeDocument/2006/relationships/hyperlink" Target="https://www.dropbox.com/scl/fo/8llhpnnfsifme6rrq1xzt/AJN_cHWHcUTy5NMqBuvDmK4?rlkey=92zlvwaec6yi7x2209x5c14nf&amp;st=bongf4hf&amp;dl=0" TargetMode="External" Id="rId2" /><Relationship Type="http://schemas.openxmlformats.org/officeDocument/2006/relationships/hyperlink" Target="https://www.dropbox.com/scl/fo/gypby5fzmu7byus90iu9q/AHMPbbdZQaScR4d4SbxBrD4?rlkey=fo2dg8abe7fdviq5m2dgfxp3g&amp;st=g5qqh2bo&amp;dl=0" TargetMode="External" Id="rId3" /><Relationship Type="http://schemas.openxmlformats.org/officeDocument/2006/relationships/hyperlink" Target="https://www.dropbox.com/scl/fo/zag8ck7ap07k341rqp1pe/AJdF_9WYCwZ_vCWNTll3coQ?rlkey=5xrtclp5ogcsuuyxewlpqkqyo&amp;st=vupt093d&amp;dl=0" TargetMode="External" Id="rId4" /><Relationship Type="http://schemas.openxmlformats.org/officeDocument/2006/relationships/hyperlink" Target="https://www.dropbox.com/scl/fo/eqs0mi7fura72bug36mtf/AEaPFDzilEZzDanov3JiLkQ?rlkey=bsw6gay3pdp6o03pdqr3omsm8&amp;st=us7zqk1k&amp;dl=0" TargetMode="External" Id="rId5" /><Relationship Type="http://schemas.openxmlformats.org/officeDocument/2006/relationships/hyperlink" Target="https://buellco.com/listing/310-steele-st/" TargetMode="External" Id="rId6" /><Relationship Type="http://schemas.openxmlformats.org/officeDocument/2006/relationships/hyperlink" Target="https://www.dropbox.com/scl/fo/eqs0mi7fura72bug36mtf/AEaPFDzilEZzDanov3JiLkQ?rlkey=bsw6gay3pdp6o03pdqr3omsm8&amp;st=us7zqk1k&amp;dl=0" TargetMode="External" Id="rId7" /><Relationship Type="http://schemas.openxmlformats.org/officeDocument/2006/relationships/hyperlink" Target="https://buellco.com/listing/310-steele-st/" TargetMode="External" Id="rId8" /><Relationship Type="http://schemas.openxmlformats.org/officeDocument/2006/relationships/hyperlink" Target="https://www.dropbox.com/scl/fo/0dfz3nys5kwv7mofmg8xl/ADKy9O9f8LV0EVCNMWy_Jn8?rlkey=2bjxh7uclcnnwi848kcuqtq67&amp;st=b1v1t9bj&amp;dl=0" TargetMode="External" Id="rId9" /><Relationship Type="http://schemas.openxmlformats.org/officeDocument/2006/relationships/hyperlink" Target="https://www.dropbox.com/scl/fo/5oen4ywdvqpvbwgdnrmrw/AAtvbp3j0hgRwBrC0s9P3-M?rlkey=n2gg145396n1qevnk7cjjintu&amp;st=5fts4mat&amp;dl=0" TargetMode="External" Id="rId10" /><Relationship Type="http://schemas.openxmlformats.org/officeDocument/2006/relationships/hyperlink" Target="https://www.dropbox.com/scl/fo/uy2xmm8r5078llf2hjb6z/ACu1Z7rKe0QK0Uxhkdizc4w?rlkey=ank694f8859b5naopnmth5wfi&amp;st=bxd36pg8&amp;dl=0" TargetMode="External" Id="rId11" /><Relationship Type="http://schemas.openxmlformats.org/officeDocument/2006/relationships/hyperlink" Target="https://www.dropbox.com/scl/fo/fw9cd2axalefmo98fmmyj/AEUgwcrhgB9ztV0NUzyzftY?rlkey=2pg25wmi04c67torc4a86fsde&amp;st=sg2fgiiq&amp;dl=0" TargetMode="External" Id="rId12" /><Relationship Type="http://schemas.openxmlformats.org/officeDocument/2006/relationships/hyperlink" Target="https://www.dropbox.com/scl/fo/59zhyn2l3zcvka98dtkdp/AI95_GuHJBVfRgiHfSqtf8E?rlkey=2cmrx71c6ye63szgsffi4pao4&amp;st=3m590ugb&amp;dl=0" TargetMode="External" Id="rId13" /><Relationship Type="http://schemas.openxmlformats.org/officeDocument/2006/relationships/hyperlink" Target="https://www.dropbox.com/scl/fo/eryvklpzvfdk8t0aufj67/AIyacsZ0JzXngDSJGfD0XSs?rlkey=7nmffcn1rih0mjxxtiph643rb&amp;st=fkuofsq6&amp;dl=0" TargetMode="External" Id="rId14" /><Relationship Type="http://schemas.openxmlformats.org/officeDocument/2006/relationships/hyperlink" Target="https://www.dropbox.com/scl/fo/o99wfsnsoapto0bcb6mb5/AJHyOB0tuez-R430_ExmcMY?rlkey=fp7hygjnzs7jq8wzvnpxsjvi5&amp;st=k3ifr3ej&amp;dl=0" TargetMode="External" Id="rId15" /><Relationship Type="http://schemas.openxmlformats.org/officeDocument/2006/relationships/hyperlink" Target="https://www.dropbox.com/scl/fo/3fx4v2xcmatxkasf29ia4/AMjvPQZX2yqvMuPmdr7FbaE?rlkey=yuwec52mukhqn9kv2o6bigq9h&amp;st=x4ld0txk&amp;dl=0" TargetMode="External" Id="rId16" /><Relationship Type="http://schemas.openxmlformats.org/officeDocument/2006/relationships/hyperlink" Target="https://businessden.com/2020/11/02/cherry-creek-wine-shop-owner-pays-3-3m-for-coveted-building-next-door/" TargetMode="External" Id="rId17" /><Relationship Type="http://schemas.openxmlformats.org/officeDocument/2006/relationships/hyperlink" Target="https://www.dropbox.com/scl/fi/0eiqc5juwc4n0jh1j5myk/DSC03206.JPG?rlkey=ip1veqgroq46zvnqxqq1k87en&amp;st=dbkb8hev&amp;dl=0" TargetMode="External" Id="rId18" /><Relationship Type="http://schemas.openxmlformats.org/officeDocument/2006/relationships/hyperlink" Target="https://www.dropbox.com/scl/fo/qbcd04do41rxt8tiefj1z/ALMayo1BP-mu13_XFymTf6E?rlkey=m0x5678vlnwmxv1as3ggpwtxk&amp;st=bq528v1k&amp;dl=0" TargetMode="External" Id="rId19" /><Relationship Type="http://schemas.openxmlformats.org/officeDocument/2006/relationships/hyperlink" Target="https://www.dropbox.com/scl/fo/gw0hg9e85okyunnb7vp93/AF1u-Ym7dmnvQqCxHawS8NQ?rlkey=1hb5y815kyycpkdpurq1uyylm&amp;st=cncv260a&amp;dl=0" TargetMode="External" Id="rId20" /><Relationship Type="http://schemas.openxmlformats.org/officeDocument/2006/relationships/hyperlink" Target="https://www.dropbox.com/scl/fo/1jwcagm70ospkdf5olcx4/AB1-Uutxa5bPLHiunp4wkTo?rlkey=af72j73bf08md0jpv47h1agcd&amp;st=6txvtb9g&amp;dl=0" TargetMode="External" Id="rId21" /><Relationship Type="http://schemas.openxmlformats.org/officeDocument/2006/relationships/hyperlink" Target="https://www.dropbox.com/scl/fo/nf0m5zcyvb5rbihpqb31b/AD4fY5L8dibsj3fA0TnpzjU?rlkey=afvdgehixvevbk21am34gnuid&amp;st=vvdew37c&amp;dl=0" TargetMode="External" Id="rId22" /><Relationship Type="http://schemas.openxmlformats.org/officeDocument/2006/relationships/hyperlink" Target="https://www.dropbox.com/scl/fo/19ob6t6bsfnv31g92rp1v/AAaaH2NkdSuJ9Yjfu-aa7FY?rlkey=vemuqzhkjugz50jygpy8bf7oe&amp;st=pnhygp9c&amp;dl=0" TargetMode="External" Id="rId23" /><Relationship Type="http://schemas.openxmlformats.org/officeDocument/2006/relationships/hyperlink" Target="https://www.dropbox.com/scl/fo/szednjhq5eqjxzgqk8pen/AFIT3ASSeufg7BoCQEXwdYM?rlkey=kv61rmbk5uudsymyy8eyz6tz7&amp;st=ge65mycb&amp;dl=0" TargetMode="External" Id="rId24" /><Relationship Type="http://schemas.openxmlformats.org/officeDocument/2006/relationships/hyperlink" Target="https://www.dropbox.com/scl/fo/70aguetv9as7cbrzt2en1/APY4EfZJgY3pzURJuj7Ufjg?rlkey=kub7ojd1ou0a1tvsplevpqp2i&amp;st=7cn34g8z&amp;dl=0" TargetMode="External" Id="rId25" /><Relationship Type="http://schemas.openxmlformats.org/officeDocument/2006/relationships/hyperlink" Target="https://www.dropbox.com/scl/fo/rd49ehvd1j844w2xlcv4s/ALD0TyL6am14F045kapbwh8?rlkey=q709m416gjwp9w3etmwe3b1kr&amp;st=recwayb0&amp;dl=0" TargetMode="External" Id="rId26" /><Relationship Type="http://schemas.openxmlformats.org/officeDocument/2006/relationships/hyperlink" Target="https://www.dropbox.com/scl/fo/tfc6kj3ib7ifd2qkg0c9c/AA1s6dt7p3ltvpNAfoLhUyU?rlkey=x877nhacb0te40ngqfiiw7dkm&amp;st=y7hezaji&amp;dl=0" TargetMode="External" Id="rId27" /><Relationship Type="http://schemas.openxmlformats.org/officeDocument/2006/relationships/hyperlink" Target="https://www.dropbox.com/scl/fo/2fcg39ebtwtkear5xtst3/AB2InigZds8OeWnAPglF9Ww?rlkey=n6nlbk0xn6k73xnhzs73xxn58&amp;st=x2ag8eqp&amp;dl=0" TargetMode="External" Id="rId28" /><Relationship Type="http://schemas.openxmlformats.org/officeDocument/2006/relationships/hyperlink" Target="https://www.dropbox.com/scl/fo/tgsw0msn9w225tyy029ag/AJ6peCHtQOcmmdqid_eW8Qg?rlkey=drerd269zoddj597x6kk0321w&amp;st=820kawfr&amp;dl=0" TargetMode="External" Id="rId29" /><Relationship Type="http://schemas.openxmlformats.org/officeDocument/2006/relationships/hyperlink" Target="https://www.dropbox.com/scl/fo/37bzft22elixs6kbxnl82/AJ3LhDyGiYLy1TA4AGnjyGw?rlkey=fqjxnqzbw0gbdqw4r2m0shxte&amp;st=4d4nemrz&amp;dl=0" TargetMode="External" Id="rId30" /><Relationship Type="http://schemas.openxmlformats.org/officeDocument/2006/relationships/hyperlink" Target="https://www.dropbox.com/scl/fo/70aguetv9as7cbrzt2en1/APY4EfZJgY3pzURJuj7Ufjg?rlkey=kub7ojd1ou0a1tvsplevpqp2i&amp;st=r92ymv49&amp;dl=0" TargetMode="External" Id="rId31" /><Relationship Type="http://schemas.openxmlformats.org/officeDocument/2006/relationships/hyperlink" Target="https://www.dropbox.com/scl/fo/u7rvuixecuym4iy157oxr/AKuPAZlnwyqkTrYmaxkmH4U?rlkey=5jss54warf3frzxp8jyhh4tyc&amp;st=3cxzrdg3&amp;dl=0" TargetMode="External" Id="rId32" /><Relationship Type="http://schemas.openxmlformats.org/officeDocument/2006/relationships/hyperlink" Target="https://www.dropbox.com/scl/fo/dmxknqn3pmieu7134u548/AG37VdwwCYxPaxS9PtOFf-w?rlkey=dfy5zdtm6mp945txjvcfobmo2&amp;st=lb9wfe99&amp;dl=0" TargetMode="External" Id="rId33" /><Relationship Type="http://schemas.openxmlformats.org/officeDocument/2006/relationships/hyperlink" Target="https://www.dropbox.com/scl/fo/ahe437padrpgdilohdny7/AHXAQorrN--T2XwcnJgkrMI?rlkey=424m798acs9yrbh2jc0u1ynub&amp;st=xx2gsw9e&amp;dl=0" TargetMode="External" Id="rId34" /><Relationship Type="http://schemas.openxmlformats.org/officeDocument/2006/relationships/hyperlink" Target="https://www.dropbox.com/scl/fo/x67r3lp392vc56u98fjn3/AKEFx2ctJo8R7c8uN2pmdPQ?rlkey=5zru3rtwdcttj7uvbnf1o41o6&amp;st=dd1aeb5t&amp;dl=0" TargetMode="External" Id="rId35" /><Relationship Type="http://schemas.openxmlformats.org/officeDocument/2006/relationships/hyperlink" Target="https://www.dropbox.com/scl/fo/fazfntdgro1hcwb01da54/AM4WPevH1Dgqe-CS88X-FLw?rlkey=g0an1ogm2vakodmulm20oscsr&amp;st=p8zzq44c&amp;dl=0" TargetMode="External" Id="rId36" /></Relationships>
</file>

<file path=xl/worksheets/sheet1.xml><?xml version="1.0" encoding="utf-8"?>
<worksheet xmlns="http://schemas.openxmlformats.org/spreadsheetml/2006/main">
  <sheetPr>
    <tabColor rgb="FF17324D"/>
    <outlinePr summaryBelow="1" summaryRight="1"/>
    <pageSetUpPr/>
  </sheetPr>
  <dimension ref="B1:L39"/>
  <sheetViews>
    <sheetView showGridLines="0" workbookViewId="0">
      <selection activeCell="C5" sqref="C5"/>
    </sheetView>
  </sheetViews>
  <sheetFormatPr baseColWidth="10" defaultColWidth="9" defaultRowHeight="12"/>
  <cols>
    <col width="2" customWidth="1" style="518" min="1" max="1"/>
    <col width="34" customWidth="1" style="518" min="2" max="2"/>
    <col width="15" customWidth="1" style="518" min="3" max="12"/>
  </cols>
  <sheetData>
    <row r="1" ht="22" customHeight="1" s="518">
      <c r="B1" s="187" t="inlineStr">
        <is>
          <t>SUBJECT PROPERTY — MASTER INPUT</t>
        </is>
      </c>
      <c r="C1" s="187" t="n"/>
      <c r="D1" s="187" t="n"/>
      <c r="E1" s="187" t="n"/>
      <c r="F1" s="187" t="n"/>
      <c r="G1" s="187" t="n"/>
      <c r="H1" s="187" t="n"/>
      <c r="I1" s="187" t="n"/>
      <c r="J1" s="187" t="n"/>
      <c r="K1" s="187" t="n"/>
      <c r="L1" s="187" t="n"/>
    </row>
    <row r="2" ht="42" customHeight="1" s="518">
      <c r="B2" s="608" t="inlineStr">
        <is>
          <t>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row>
    <row r="4" ht="13" customHeight="1" s="518">
      <c r="B4" s="166" t="inlineStr">
        <is>
          <t>Property Address</t>
        </is>
      </c>
      <c r="C4" s="521" t="inlineStr">
        <is>
          <t>6941 E 80th Ave</t>
        </is>
      </c>
      <c r="D4" t="n"/>
    </row>
    <row r="5" ht="13" customHeight="1" s="518">
      <c r="B5" s="166" t="inlineStr">
        <is>
          <t>City</t>
        </is>
      </c>
      <c r="C5" s="519" t="inlineStr">
        <is>
          <t>COMMERCE CITY</t>
        </is>
      </c>
    </row>
    <row r="6" ht="13" customHeight="1" s="518">
      <c r="B6" s="166" t="inlineStr">
        <is>
          <t>Site / Land Size (SF)</t>
        </is>
      </c>
      <c r="C6" s="189">
        <f>2.243*43560</f>
        <v/>
      </c>
    </row>
    <row r="7" ht="13" customHeight="1" s="518">
      <c r="B7" s="166" t="inlineStr">
        <is>
          <t>Zoning</t>
        </is>
      </c>
      <c r="C7" s="521" t="inlineStr">
        <is>
          <t>C-1-Com</t>
        </is>
      </c>
    </row>
    <row r="8" ht="13" customHeight="1" s="518">
      <c r="B8" s="166" t="inlineStr">
        <is>
          <t>Number of Buildings (1-10)</t>
        </is>
      </c>
      <c r="C8" s="189" t="n">
        <v>1</v>
      </c>
    </row>
    <row r="9" ht="13" customHeight="1" s="518">
      <c r="B9" s="166" t="inlineStr">
        <is>
          <t>Size Match Tolerance (+/-)</t>
        </is>
      </c>
      <c r="C9" s="192" t="n">
        <v>0.25</v>
      </c>
    </row>
    <row r="10" ht="13" customHeight="1" s="518">
      <c r="B10" s="166" t="inlineStr">
        <is>
          <t>Total Building SF (all buildings)</t>
        </is>
      </c>
      <c r="C10" s="189">
        <f>SUM(C15:L15)</f>
        <v/>
      </c>
    </row>
    <row r="11" ht="20" customHeight="1" s="518">
      <c r="B11" s="609" t="inlineStr">
        <is>
          <t>BUILDING CHARACTERISTICS  (one column per building; fill only as many as Number of Buildings)</t>
        </is>
      </c>
    </row>
    <row r="12" ht="15" customHeight="1" s="518">
      <c r="B12" s="166" t="n"/>
      <c r="C12" s="166" t="inlineStr">
        <is>
          <t>Building 1</t>
        </is>
      </c>
      <c r="D12" s="166" t="inlineStr">
        <is>
          <t>Building 2</t>
        </is>
      </c>
      <c r="E12" s="166" t="inlineStr">
        <is>
          <t>Building 3</t>
        </is>
      </c>
      <c r="F12" s="166" t="inlineStr">
        <is>
          <t>Building 4</t>
        </is>
      </c>
      <c r="G12" s="166" t="inlineStr">
        <is>
          <t>Building 5</t>
        </is>
      </c>
      <c r="H12" s="166" t="inlineStr">
        <is>
          <t>Building 6</t>
        </is>
      </c>
      <c r="I12" s="166" t="inlineStr">
        <is>
          <t>Building 7</t>
        </is>
      </c>
      <c r="J12" s="166" t="inlineStr">
        <is>
          <t>Building 8</t>
        </is>
      </c>
      <c r="K12" s="166" t="inlineStr">
        <is>
          <t>Building 9</t>
        </is>
      </c>
      <c r="L12" s="166" t="inlineStr">
        <is>
          <t>Building 10</t>
        </is>
      </c>
    </row>
    <row r="13" ht="13" customHeight="1" s="518">
      <c r="B13" s="166" t="inlineStr">
        <is>
          <t>OCC Code</t>
        </is>
      </c>
      <c r="C13" s="521" t="inlineStr">
        <is>
          <t>304 - Bank</t>
        </is>
      </c>
      <c r="D13" s="521" t="n"/>
      <c r="E13" s="521" t="n"/>
      <c r="F13" s="521" t="n"/>
      <c r="G13" s="521" t="n"/>
      <c r="H13" s="521" t="n"/>
      <c r="I13" s="521" t="n"/>
      <c r="J13" s="521" t="n"/>
      <c r="K13" s="521" t="n"/>
      <c r="L13" s="521" t="n"/>
    </row>
    <row r="14" ht="13" customHeight="1" s="518">
      <c r="B14" s="166" t="inlineStr">
        <is>
          <t>Code (parsed, auto)</t>
        </is>
      </c>
      <c r="C14" s="191">
        <f>IFERROR(VALUE(LEFT(C13,FIND(" - ",C13)-1)),"")</f>
        <v/>
      </c>
      <c r="D14" s="191">
        <f>IFERROR(VALUE(LEFT(D13,FIND(" - ",D13)-1)),"")</f>
        <v/>
      </c>
      <c r="E14" s="191">
        <f>IFERROR(VALUE(LEFT(E13,FIND(" - ",E13)-1)),"")</f>
        <v/>
      </c>
      <c r="F14" s="191">
        <f>IFERROR(VALUE(LEFT(F13,FIND(" - ",F13)-1)),"")</f>
        <v/>
      </c>
      <c r="G14" s="191">
        <f>IFERROR(VALUE(LEFT(G13,FIND(" - ",G13)-1)),"")</f>
        <v/>
      </c>
      <c r="H14" s="191">
        <f>IFERROR(VALUE(LEFT(H13,FIND(" - ",H13)-1)),"")</f>
        <v/>
      </c>
      <c r="I14" s="191">
        <f>IFERROR(VALUE(LEFT(I13,FIND(" - ",I13)-1)),"")</f>
        <v/>
      </c>
      <c r="J14" s="191">
        <f>IFERROR(VALUE(LEFT(J13,FIND(" - ",J13)-1)),"")</f>
        <v/>
      </c>
      <c r="K14" s="191">
        <f>IFERROR(VALUE(LEFT(K13,FIND(" - ",K13)-1)),"")</f>
        <v/>
      </c>
      <c r="L14" s="191">
        <f>IFERROR(VALUE(LEFT(L13,FIND(" - ",L13)-1)),"")</f>
        <v/>
      </c>
    </row>
    <row r="15" ht="13" customHeight="1" s="518">
      <c r="B15" s="166" t="inlineStr">
        <is>
          <t>Building Size (SF)</t>
        </is>
      </c>
      <c r="C15" s="189" t="n">
        <v>17178</v>
      </c>
      <c r="D15" s="189" t="n"/>
      <c r="E15" s="189" t="n"/>
      <c r="F15" s="189" t="n"/>
      <c r="G15" s="189" t="n"/>
      <c r="H15" s="189" t="n"/>
      <c r="I15" s="189" t="n"/>
      <c r="J15" s="189" t="n"/>
      <c r="K15" s="189" t="n"/>
      <c r="L15" s="189" t="n"/>
    </row>
    <row r="16" ht="13" customHeight="1" s="518">
      <c r="B16" s="166" t="inlineStr">
        <is>
          <t>Condition</t>
        </is>
      </c>
      <c r="C16" s="521" t="inlineStr">
        <is>
          <t>Typical</t>
        </is>
      </c>
      <c r="D16" s="521" t="n"/>
      <c r="E16" s="521" t="n"/>
      <c r="F16" s="521" t="n"/>
      <c r="G16" s="521" t="n"/>
      <c r="H16" s="521" t="n"/>
      <c r="I16" s="521" t="n"/>
      <c r="J16" s="521" t="n"/>
      <c r="K16" s="521" t="n"/>
      <c r="L16" s="521" t="n"/>
    </row>
    <row r="17" ht="13" customHeight="1" s="518">
      <c r="B17" s="166" t="inlineStr">
        <is>
          <t>Quality</t>
        </is>
      </c>
      <c r="C17" s="521" t="inlineStr">
        <is>
          <t>Average</t>
        </is>
      </c>
      <c r="D17" s="521" t="n"/>
      <c r="E17" s="521" t="n"/>
      <c r="F17" s="521" t="n"/>
      <c r="G17" s="521" t="n"/>
      <c r="H17" s="521" t="n"/>
      <c r="I17" s="521" t="n"/>
      <c r="J17" s="521" t="n"/>
      <c r="K17" s="521" t="n"/>
      <c r="L17" s="521" t="n"/>
    </row>
    <row r="18" ht="13" customHeight="1" s="518">
      <c r="B18" s="166" t="inlineStr">
        <is>
          <t>Year Built (YOC)</t>
        </is>
      </c>
      <c r="C18" s="189" t="n">
        <v>1960</v>
      </c>
      <c r="D18" s="189" t="n"/>
      <c r="E18" s="189" t="n"/>
      <c r="F18" s="189" t="n"/>
      <c r="G18" s="189" t="n"/>
      <c r="H18" s="189" t="n"/>
      <c r="I18" s="189" t="n"/>
      <c r="J18" s="189" t="n"/>
      <c r="K18" s="189" t="n"/>
      <c r="L18" s="189" t="n"/>
    </row>
    <row r="19" ht="13" customHeight="1" s="518">
      <c r="B19" s="166" t="inlineStr">
        <is>
          <t>Actual Age (yrs, auto)</t>
        </is>
      </c>
      <c r="C19" s="191">
        <f>IF(C18="","",Year-C18)</f>
        <v/>
      </c>
      <c r="D19" s="191">
        <f>IF(D18="","",Year-D18)</f>
        <v/>
      </c>
      <c r="E19" s="191">
        <f>IF(E18="","",Year-E18)</f>
        <v/>
      </c>
      <c r="F19" s="191">
        <f>IF(F18="","",Year-F18)</f>
        <v/>
      </c>
      <c r="G19" s="191">
        <f>IF(G18="","",Year-G18)</f>
        <v/>
      </c>
      <c r="H19" s="191">
        <f>IF(H18="","",Year-H18)</f>
        <v/>
      </c>
      <c r="I19" s="191">
        <f>IF(I18="","",Year-I18)</f>
        <v/>
      </c>
      <c r="J19" s="191">
        <f>IF(J18="","",Year-J18)</f>
        <v/>
      </c>
      <c r="K19" s="191">
        <f>IF(K18="","",Year-K18)</f>
        <v/>
      </c>
      <c r="L19" s="191">
        <f>IF(L18="","",Year-L18)</f>
        <v/>
      </c>
    </row>
    <row r="20" ht="13" customHeight="1" s="518">
      <c r="B20" s="166" t="inlineStr">
        <is>
          <t>Units / Keys (# - for MF / hotel)</t>
        </is>
      </c>
      <c r="C20" s="189" t="n"/>
      <c r="D20" s="189" t="n"/>
      <c r="E20" s="189" t="n"/>
      <c r="F20" s="189" t="n"/>
      <c r="G20" s="189" t="n"/>
      <c r="H20" s="189" t="n"/>
      <c r="I20" s="189" t="n"/>
      <c r="J20" s="189" t="n"/>
      <c r="K20" s="189" t="n"/>
      <c r="L20" s="189" t="n"/>
    </row>
    <row r="21" ht="20" customHeight="1" s="518">
      <c r="B21" s="609" t="inlineStr">
        <is>
          <t>AUTOMATED COMP MATCHING</t>
        </is>
      </c>
    </row>
    <row r="22" ht="13" customHeight="1" s="518">
      <c r="B22" s="166" t="inlineStr">
        <is>
          <t>Matching Sales Comps found:</t>
        </is>
      </c>
      <c r="C22" s="191">
        <f>COUNT(Sales!AI2:AI941)</f>
        <v/>
      </c>
    </row>
    <row r="23" ht="26" customHeight="1" s="518">
      <c r="B23" s="610" t="inlineStr">
        <is>
          <t>-&gt; The closest matches auto-populate WO, BAA Market, BOCC, and Appeal (Best Match #1 = closest by size to Building 1). This count is for reference.</t>
        </is>
      </c>
    </row>
    <row r="25" ht="13" customHeight="1" s="518">
      <c r="B25" s="166" t="inlineStr">
        <is>
          <t>Matching Expense Comps found:</t>
        </is>
      </c>
      <c r="C25" s="191">
        <f>COUNT('Expense Database'!AN4:AN197)</f>
        <v/>
      </c>
    </row>
    <row r="26" ht="26" customHeight="1" s="518">
      <c r="B26" s="610" t="inlineStr">
        <is>
          <t>-&gt; The 5 closest matches auto-populate the Top Expense Comps table below.</t>
        </is>
      </c>
    </row>
    <row r="28" ht="13" customHeight="1" s="518">
      <c r="B28" s="166" t="inlineStr">
        <is>
          <t>Matching Rent Comps (Income tab):</t>
        </is>
      </c>
      <c r="C28" s="521" t="inlineStr">
        <is>
          <t>Not yet automated</t>
        </is>
      </c>
    </row>
    <row r="30" ht="13" customHeight="1" s="518">
      <c r="B30" s="166" t="inlineStr">
        <is>
          <t>Land Comps:</t>
        </is>
      </c>
      <c r="C30" s="521" t="inlineStr">
        <is>
          <t>Pending</t>
        </is>
      </c>
    </row>
    <row r="33" ht="15" customHeight="1" s="518">
      <c r="B33" s="193" t="inlineStr">
        <is>
          <t>Top Expense Comps (auto, best match first)</t>
        </is>
      </c>
      <c r="C33" s="194" t="n"/>
      <c r="D33" s="194" t="n"/>
      <c r="E33" s="194" t="n"/>
      <c r="F33" s="194" t="n"/>
    </row>
    <row r="34" ht="13" customHeight="1" s="518">
      <c r="B34" s="195" t="inlineStr">
        <is>
          <t>Address</t>
        </is>
      </c>
      <c r="C34" s="195" t="inlineStr">
        <is>
          <t>City</t>
        </is>
      </c>
      <c r="D34" s="195" t="inlineStr">
        <is>
          <t>Bldg SF</t>
        </is>
      </c>
      <c r="E34" s="195" t="inlineStr">
        <is>
          <t>Year</t>
        </is>
      </c>
      <c r="F34" s="195" t="inlineStr">
        <is>
          <t>NOI ($/SF)</t>
        </is>
      </c>
    </row>
    <row r="35">
      <c r="B35">
        <f>IF($H35="","",IFERROR(INDEX('Expense Database'!D:D,$H35),""))</f>
        <v/>
      </c>
      <c r="C35">
        <f>IF($H35="","",IFERROR(INDEX('Expense Database'!E:E,$H35),""))</f>
        <v/>
      </c>
      <c r="D35">
        <f>IF($H35="","",IFERROR(INDEX('Expense Database'!J:J,$H35),""))</f>
        <v/>
      </c>
      <c r="E35">
        <f>IF($H35="","",IFERROR(INDEX('Expense Database'!K:K,$H35),""))</f>
        <v/>
      </c>
      <c r="F35">
        <f>IF($H35="","",IFERROR(INDEX('PSF Summary'!AK:AK,$H35),""))</f>
        <v/>
      </c>
      <c r="H35">
        <f>IFERROR(MATCH(_xlfn.AGGREGATE(15,6,'Expense Database'!$AO$4:$AO$197,1),'Expense Database'!$AO$4:$AO$197,0)+3,"")</f>
        <v/>
      </c>
    </row>
    <row r="36">
      <c r="B36">
        <f>IF($H36="","",IFERROR(INDEX('Expense Database'!D:D,$H36),""))</f>
        <v/>
      </c>
      <c r="C36">
        <f>IF($H36="","",IFERROR(INDEX('Expense Database'!E:E,$H36),""))</f>
        <v/>
      </c>
      <c r="D36">
        <f>IF($H36="","",IFERROR(INDEX('Expense Database'!J:J,$H36),""))</f>
        <v/>
      </c>
      <c r="E36">
        <f>IF($H36="","",IFERROR(INDEX('Expense Database'!K:K,$H36),""))</f>
        <v/>
      </c>
      <c r="F36">
        <f>IF($H36="","",IFERROR(INDEX('PSF Summary'!AK:AK,$H36),""))</f>
        <v/>
      </c>
      <c r="H36">
        <f>IFERROR(MATCH(_xlfn.AGGREGATE(15,6,'Expense Database'!$AO$4:$AO$197,2),'Expense Database'!$AO$4:$AO$197,0)+3,"")</f>
        <v/>
      </c>
    </row>
    <row r="37">
      <c r="B37">
        <f>IF($H37="","",IFERROR(INDEX('Expense Database'!D:D,$H37),""))</f>
        <v/>
      </c>
      <c r="C37">
        <f>IF($H37="","",IFERROR(INDEX('Expense Database'!E:E,$H37),""))</f>
        <v/>
      </c>
      <c r="D37">
        <f>IF($H37="","",IFERROR(INDEX('Expense Database'!J:J,$H37),""))</f>
        <v/>
      </c>
      <c r="E37">
        <f>IF($H37="","",IFERROR(INDEX('Expense Database'!K:K,$H37),""))</f>
        <v/>
      </c>
      <c r="F37">
        <f>IF($H37="","",IFERROR(INDEX('PSF Summary'!AK:AK,$H37),""))</f>
        <v/>
      </c>
      <c r="H37">
        <f>IFERROR(MATCH(_xlfn.AGGREGATE(15,6,'Expense Database'!$AO$4:$AO$197,3),'Expense Database'!$AO$4:$AO$197,0)+3,"")</f>
        <v/>
      </c>
    </row>
    <row r="38">
      <c r="B38">
        <f>IF($H38="","",IFERROR(INDEX('Expense Database'!D:D,$H38),""))</f>
        <v/>
      </c>
      <c r="C38">
        <f>IF($H38="","",IFERROR(INDEX('Expense Database'!E:E,$H38),""))</f>
        <v/>
      </c>
      <c r="D38">
        <f>IF($H38="","",IFERROR(INDEX('Expense Database'!J:J,$H38),""))</f>
        <v/>
      </c>
      <c r="E38">
        <f>IF($H38="","",IFERROR(INDEX('Expense Database'!K:K,$H38),""))</f>
        <v/>
      </c>
      <c r="F38">
        <f>IF($H38="","",IFERROR(INDEX('PSF Summary'!AK:AK,$H38),""))</f>
        <v/>
      </c>
      <c r="H38">
        <f>IFERROR(MATCH(_xlfn.AGGREGATE(15,6,'Expense Database'!$AO$4:$AO$197,4),'Expense Database'!$AO$4:$AO$197,0)+3,"")</f>
        <v/>
      </c>
    </row>
    <row r="39">
      <c r="B39">
        <f>IF($H39="","",IFERROR(INDEX('Expense Database'!D:D,$H39),""))</f>
        <v/>
      </c>
      <c r="C39">
        <f>IF($H39="","",IFERROR(INDEX('Expense Database'!E:E,$H39),""))</f>
        <v/>
      </c>
      <c r="D39">
        <f>IF($H39="","",IFERROR(INDEX('Expense Database'!J:J,$H39),""))</f>
        <v/>
      </c>
      <c r="E39">
        <f>IF($H39="","",IFERROR(INDEX('Expense Database'!K:K,$H39),""))</f>
        <v/>
      </c>
      <c r="F39">
        <f>IF($H39="","",IFERROR(INDEX('PSF Summary'!AK:AK,$H39),""))</f>
        <v/>
      </c>
      <c r="H39">
        <f>IFERROR(MATCH(_xlfn.AGGREGATE(15,6,'Expense Database'!$AO$4:$AO$197,5),'Expense Database'!$AO$4:$AO$197,0)+3,"")</f>
        <v/>
      </c>
    </row>
  </sheetData>
  <mergeCells count="5">
    <mergeCell ref="B21:F21"/>
    <mergeCell ref="B11:L11"/>
    <mergeCell ref="B2:L2"/>
    <mergeCell ref="B23:F23"/>
    <mergeCell ref="B26:F26"/>
  </mergeCells>
  <conditionalFormatting sqref="C12:L20">
    <cfRule type="expression" priority="1" dxfId="3">
      <formula>(COLUMN()-2)&gt;$C$8</formula>
    </cfRule>
  </conditionalFormatting>
  <dataValidations count="6">
    <dataValidation sqref="C13:L13" showDropDown="0" showInputMessage="0" showErrorMessage="1" allowBlank="1" type="list">
      <formula1>OCC_TABLE_LABEL</formula1>
    </dataValidation>
    <dataValidation sqref="C16:L16" showDropDown="0" showInputMessage="0" showErrorMessage="1" allowBlank="1" type="list">
      <formula1>"None,Poor,Fair,Typical,Good,Rehabilitated"</formula1>
    </dataValidation>
    <dataValidation sqref="C17:L17" showDropDown="0" showInputMessage="0" showErrorMessage="1" allowBlank="1" type="list">
      <formula1>"Low Cost,Average,Good,Excellent,Cheap"</formula1>
    </dataValidation>
    <dataValidation sqref="C8" showDropDown="0" showInputMessage="0" showErrorMessage="1" allowBlank="1" type="list">
      <formula1>"1,2,3,4,5,6,7,8,9,10"</formula1>
    </dataValidation>
    <dataValidation sqref="C5" showDropDown="0" showInputMessage="0" showErrorMessage="1" allowBlank="1" type="list">
      <formula1>"ARVADA,AURORA,BENNETT,BRIGHTON,COMMERCE CITY,FEDERAL HEIGHTS,NORTHGLENN,STRASBURG,THORNTON,WESTMINSTER,Other / Not Listed"</formula1>
    </dataValidation>
    <dataValidation sqref="C7" showDropDown="0" showInputMessage="0" showErrorMessage="1" allowBlank="1" type="list">
      <formula1>IF(OR($C$5="",$C$5="Other / Not Listed"),ZONING_TABLE,INDIRECT("ZONES_"&amp;SUBSTITUTE(SUBSTITUTE(UPPER($C$5)," ","_"),"-","_")))</formula1>
    </dataValidation>
  </dataValidations>
  <pageMargins left="0.75" right="0.75" top="1" bottom="1" header="0.5" footer="0.5"/>
  <legacyDrawing xmlns:r="http://schemas.openxmlformats.org/officeDocument/2006/relationships" r:id="anysvml"/>
</worksheet>
</file>

<file path=xl/worksheets/sheet2.xml><?xml version="1.0" encoding="utf-8"?>
<worksheet xmlns="http://schemas.openxmlformats.org/spreadsheetml/2006/main">
  <sheetPr>
    <tabColor rgb="FF17324D"/>
    <outlinePr summaryBelow="1" summaryRight="1"/>
    <pageSetUpPr/>
  </sheetPr>
  <dimension ref="B1:K57"/>
  <sheetViews>
    <sheetView showGridLines="0" workbookViewId="0">
      <selection activeCell="A1" sqref="A1"/>
    </sheetView>
  </sheetViews>
  <sheetFormatPr baseColWidth="10" defaultColWidth="9" defaultRowHeight="12"/>
  <cols>
    <col width="32" customWidth="1" style="518" min="2" max="2"/>
    <col width="9" customWidth="1" style="518" min="3" max="3"/>
    <col width="12" customWidth="1" style="518" min="4" max="4"/>
    <col width="9" customWidth="1" style="518" min="5" max="5"/>
    <col width="10" customWidth="1" style="518" min="6" max="6"/>
    <col width="12" customWidth="1" style="518" min="7" max="8"/>
    <col hidden="1" width="14" customWidth="1" style="518" min="9" max="9"/>
    <col hidden="1" width="13" customWidth="1" style="518" min="11" max="11"/>
  </cols>
  <sheetData>
    <row r="1" ht="16" customHeight="1" s="518">
      <c r="B1" s="187" t="inlineStr">
        <is>
          <t>COMP PICKER -- browse all ranked matches, then type the rank # into WO / BAA Market / BOCC / Appeal</t>
        </is>
      </c>
      <c r="C1" s="194" t="n"/>
      <c r="D1" s="194" t="n"/>
      <c r="E1" s="194" t="n"/>
      <c r="F1" s="194" t="n"/>
      <c r="G1" s="194" t="n"/>
      <c r="H1" s="194" t="n"/>
      <c r="I1" s="194" t="n"/>
    </row>
    <row r="2" ht="40" customHeight="1" s="518">
      <c r="B2" s="611" t="inlineStr">
        <is>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is>
      </c>
    </row>
    <row r="4" ht="16" customHeight="1" s="518">
      <c r="B4" s="187" t="inlineStr">
        <is>
          <t>Top Sales Comps (auto-ranked by size closeness)</t>
        </is>
      </c>
      <c r="C4" s="194" t="n"/>
      <c r="D4" s="194" t="n"/>
      <c r="E4" s="194" t="n"/>
      <c r="F4" s="194" t="n"/>
      <c r="G4" s="194" t="n"/>
      <c r="H4" s="194" t="n"/>
      <c r="I4" s="194" t="n"/>
    </row>
    <row r="5">
      <c r="B5" s="195" t="inlineStr">
        <is>
          <t>Rank</t>
        </is>
      </c>
      <c r="C5" s="195" t="inlineStr">
        <is>
          <t>Address</t>
        </is>
      </c>
      <c r="D5" s="195" t="inlineStr">
        <is>
          <t>Sale Price</t>
        </is>
      </c>
      <c r="E5" s="195" t="inlineStr">
        <is>
          <t>$ / SF</t>
        </is>
      </c>
      <c r="F5" s="195" t="inlineStr">
        <is>
          <t>NRA (SF)</t>
        </is>
      </c>
      <c r="G5" s="195" t="inlineStr">
        <is>
          <t>YOC</t>
        </is>
      </c>
      <c r="H5" s="195" t="inlineStr">
        <is>
          <t>Sale Date</t>
        </is>
      </c>
      <c r="I5" s="195" t="inlineStr">
        <is>
          <t>Parcel #</t>
        </is>
      </c>
    </row>
    <row r="6">
      <c r="B6">
        <f>IF($K6="","",1)</f>
        <v/>
      </c>
      <c r="C6">
        <f>IF($K6="","",IFERROR(INDEX(Sales!D:D,$K6),""))</f>
        <v/>
      </c>
      <c r="D6" s="612">
        <f>IF($K6="","",IFERROR(INDEX(Sales!AA:AA,$K6),""))</f>
        <v/>
      </c>
      <c r="E6" s="613">
        <f>IF(OR($D6="",$F6="",$F6=0),"",$D6/$F6)</f>
        <v/>
      </c>
      <c r="F6" s="183">
        <f>IF($K6="","",IFERROR(INDEX(Sales!L:L,$K6),""))</f>
        <v/>
      </c>
      <c r="G6">
        <f>IF($K6="","",IFERROR(INDEX(Sales!M:M,$K6),""))</f>
        <v/>
      </c>
      <c r="H6" s="614">
        <f>IF($K6="","",IFERROR(INDEX(Sales!I:I,$K6),""))</f>
        <v/>
      </c>
      <c r="I6">
        <f>IF($K6="","",IFERROR(INDEX(Sales!AC:AC,$K6),""))</f>
        <v/>
      </c>
      <c r="K6">
        <f>IFERROR(MATCH(_xlfn.AGGREGATE(15,6,Sales!$AJ$2:$AJ$941,1),Sales!$AJ$2:$AJ$941,0)+1,"")</f>
        <v/>
      </c>
    </row>
    <row r="7">
      <c r="B7">
        <f>IF($K7="","",2)</f>
        <v/>
      </c>
      <c r="C7">
        <f>IF($K7="","",IFERROR(INDEX(Sales!D:D,$K7),""))</f>
        <v/>
      </c>
      <c r="D7" s="612">
        <f>IF($K7="","",IFERROR(INDEX(Sales!AA:AA,$K7),""))</f>
        <v/>
      </c>
      <c r="E7" s="613">
        <f>IF(OR($D7="",$F7="",$F7=0),"",$D7/$F7)</f>
        <v/>
      </c>
      <c r="F7" s="183">
        <f>IF($K7="","",IFERROR(INDEX(Sales!L:L,$K7),""))</f>
        <v/>
      </c>
      <c r="G7">
        <f>IF($K7="","",IFERROR(INDEX(Sales!M:M,$K7),""))</f>
        <v/>
      </c>
      <c r="H7" s="614">
        <f>IF($K7="","",IFERROR(INDEX(Sales!I:I,$K7),""))</f>
        <v/>
      </c>
      <c r="I7">
        <f>IF($K7="","",IFERROR(INDEX(Sales!AC:AC,$K7),""))</f>
        <v/>
      </c>
      <c r="K7">
        <f>IFERROR(MATCH(_xlfn.AGGREGATE(15,6,Sales!$AJ$2:$AJ$941,2),Sales!$AJ$2:$AJ$941,0)+1,"")</f>
        <v/>
      </c>
    </row>
    <row r="8">
      <c r="B8">
        <f>IF($K8="","",3)</f>
        <v/>
      </c>
      <c r="C8">
        <f>IF($K8="","",IFERROR(INDEX(Sales!D:D,$K8),""))</f>
        <v/>
      </c>
      <c r="D8" s="612">
        <f>IF($K8="","",IFERROR(INDEX(Sales!AA:AA,$K8),""))</f>
        <v/>
      </c>
      <c r="E8" s="613">
        <f>IF(OR($D8="",$F8="",$F8=0),"",$D8/$F8)</f>
        <v/>
      </c>
      <c r="F8" s="183">
        <f>IF($K8="","",IFERROR(INDEX(Sales!L:L,$K8),""))</f>
        <v/>
      </c>
      <c r="G8">
        <f>IF($K8="","",IFERROR(INDEX(Sales!M:M,$K8),""))</f>
        <v/>
      </c>
      <c r="H8" s="614">
        <f>IF($K8="","",IFERROR(INDEX(Sales!I:I,$K8),""))</f>
        <v/>
      </c>
      <c r="I8">
        <f>IF($K8="","",IFERROR(INDEX(Sales!AC:AC,$K8),""))</f>
        <v/>
      </c>
      <c r="K8">
        <f>IFERROR(MATCH(_xlfn.AGGREGATE(15,6,Sales!$AJ$2:$AJ$941,3),Sales!$AJ$2:$AJ$941,0)+1,"")</f>
        <v/>
      </c>
    </row>
    <row r="9">
      <c r="B9">
        <f>IF($K9="","",4)</f>
        <v/>
      </c>
      <c r="C9">
        <f>IF($K9="","",IFERROR(INDEX(Sales!D:D,$K9),""))</f>
        <v/>
      </c>
      <c r="D9" s="612">
        <f>IF($K9="","",IFERROR(INDEX(Sales!AA:AA,$K9),""))</f>
        <v/>
      </c>
      <c r="E9" s="613">
        <f>IF(OR($D9="",$F9="",$F9=0),"",$D9/$F9)</f>
        <v/>
      </c>
      <c r="F9" s="183">
        <f>IF($K9="","",IFERROR(INDEX(Sales!L:L,$K9),""))</f>
        <v/>
      </c>
      <c r="G9">
        <f>IF($K9="","",IFERROR(INDEX(Sales!M:M,$K9),""))</f>
        <v/>
      </c>
      <c r="H9" s="614">
        <f>IF($K9="","",IFERROR(INDEX(Sales!I:I,$K9),""))</f>
        <v/>
      </c>
      <c r="I9">
        <f>IF($K9="","",IFERROR(INDEX(Sales!AC:AC,$K9),""))</f>
        <v/>
      </c>
      <c r="K9">
        <f>IFERROR(MATCH(_xlfn.AGGREGATE(15,6,Sales!$AJ$2:$AJ$941,4),Sales!$AJ$2:$AJ$941,0)+1,"")</f>
        <v/>
      </c>
    </row>
    <row r="10">
      <c r="B10">
        <f>IF($K10="","",5)</f>
        <v/>
      </c>
      <c r="C10">
        <f>IF($K10="","",IFERROR(INDEX(Sales!D:D,$K10),""))</f>
        <v/>
      </c>
      <c r="D10" s="612">
        <f>IF($K10="","",IFERROR(INDEX(Sales!AA:AA,$K10),""))</f>
        <v/>
      </c>
      <c r="E10" s="613">
        <f>IF(OR($D10="",$F10="",$F10=0),"",$D10/$F10)</f>
        <v/>
      </c>
      <c r="F10" s="183">
        <f>IF($K10="","",IFERROR(INDEX(Sales!L:L,$K10),""))</f>
        <v/>
      </c>
      <c r="G10">
        <f>IF($K10="","",IFERROR(INDEX(Sales!M:M,$K10),""))</f>
        <v/>
      </c>
      <c r="H10" s="614">
        <f>IF($K10="","",IFERROR(INDEX(Sales!I:I,$K10),""))</f>
        <v/>
      </c>
      <c r="I10">
        <f>IF($K10="","",IFERROR(INDEX(Sales!AC:AC,$K10),""))</f>
        <v/>
      </c>
      <c r="K10">
        <f>IFERROR(MATCH(_xlfn.AGGREGATE(15,6,Sales!$AJ$2:$AJ$941,5),Sales!$AJ$2:$AJ$941,0)+1,"")</f>
        <v/>
      </c>
    </row>
    <row r="11">
      <c r="B11">
        <f>IF($K11="","",6)</f>
        <v/>
      </c>
      <c r="C11">
        <f>IF($K11="","",IFERROR(INDEX(Sales!D:D,$K11),""))</f>
        <v/>
      </c>
      <c r="D11" s="612">
        <f>IF($K11="","",IFERROR(INDEX(Sales!AA:AA,$K11),""))</f>
        <v/>
      </c>
      <c r="E11" s="613">
        <f>IF(OR($D11="",$F11="",$F11=0),"",$D11/$F11)</f>
        <v/>
      </c>
      <c r="F11" s="183">
        <f>IF($K11="","",IFERROR(INDEX(Sales!L:L,$K11),""))</f>
        <v/>
      </c>
      <c r="G11">
        <f>IF($K11="","",IFERROR(INDEX(Sales!M:M,$K11),""))</f>
        <v/>
      </c>
      <c r="H11" s="614">
        <f>IF($K11="","",IFERROR(INDEX(Sales!I:I,$K11),""))</f>
        <v/>
      </c>
      <c r="I11">
        <f>IF($K11="","",IFERROR(INDEX(Sales!AC:AC,$K11),""))</f>
        <v/>
      </c>
      <c r="K11">
        <f>IFERROR(MATCH(_xlfn.AGGREGATE(15,6,Sales!$AJ$2:$AJ$941,6),Sales!$AJ$2:$AJ$941,0)+1,"")</f>
        <v/>
      </c>
    </row>
    <row r="12">
      <c r="B12">
        <f>IF($K12="","",7)</f>
        <v/>
      </c>
      <c r="C12">
        <f>IF($K12="","",IFERROR(INDEX(Sales!D:D,$K12),""))</f>
        <v/>
      </c>
      <c r="D12" s="612">
        <f>IF($K12="","",IFERROR(INDEX(Sales!AA:AA,$K12),""))</f>
        <v/>
      </c>
      <c r="E12" s="613">
        <f>IF(OR($D12="",$F12="",$F12=0),"",$D12/$F12)</f>
        <v/>
      </c>
      <c r="F12" s="183">
        <f>IF($K12="","",IFERROR(INDEX(Sales!L:L,$K12),""))</f>
        <v/>
      </c>
      <c r="G12">
        <f>IF($K12="","",IFERROR(INDEX(Sales!M:M,$K12),""))</f>
        <v/>
      </c>
      <c r="H12" s="614">
        <f>IF($K12="","",IFERROR(INDEX(Sales!I:I,$K12),""))</f>
        <v/>
      </c>
      <c r="I12">
        <f>IF($K12="","",IFERROR(INDEX(Sales!AC:AC,$K12),""))</f>
        <v/>
      </c>
      <c r="K12">
        <f>IFERROR(MATCH(_xlfn.AGGREGATE(15,6,Sales!$AJ$2:$AJ$941,7),Sales!$AJ$2:$AJ$941,0)+1,"")</f>
        <v/>
      </c>
    </row>
    <row r="13">
      <c r="B13">
        <f>IF($K13="","",8)</f>
        <v/>
      </c>
      <c r="C13">
        <f>IF($K13="","",IFERROR(INDEX(Sales!D:D,$K13),""))</f>
        <v/>
      </c>
      <c r="D13" s="612">
        <f>IF($K13="","",IFERROR(INDEX(Sales!AA:AA,$K13),""))</f>
        <v/>
      </c>
      <c r="E13" s="613">
        <f>IF(OR($D13="",$F13="",$F13=0),"",$D13/$F13)</f>
        <v/>
      </c>
      <c r="F13" s="183">
        <f>IF($K13="","",IFERROR(INDEX(Sales!L:L,$K13),""))</f>
        <v/>
      </c>
      <c r="G13">
        <f>IF($K13="","",IFERROR(INDEX(Sales!M:M,$K13),""))</f>
        <v/>
      </c>
      <c r="H13" s="614">
        <f>IF($K13="","",IFERROR(INDEX(Sales!I:I,$K13),""))</f>
        <v/>
      </c>
      <c r="I13">
        <f>IF($K13="","",IFERROR(INDEX(Sales!AC:AC,$K13),""))</f>
        <v/>
      </c>
      <c r="K13">
        <f>IFERROR(MATCH(_xlfn.AGGREGATE(15,6,Sales!$AJ$2:$AJ$941,8),Sales!$AJ$2:$AJ$941,0)+1,"")</f>
        <v/>
      </c>
    </row>
    <row r="14">
      <c r="B14">
        <f>IF($K14="","",9)</f>
        <v/>
      </c>
      <c r="C14">
        <f>IF($K14="","",IFERROR(INDEX(Sales!D:D,$K14),""))</f>
        <v/>
      </c>
      <c r="D14" s="612">
        <f>IF($K14="","",IFERROR(INDEX(Sales!AA:AA,$K14),""))</f>
        <v/>
      </c>
      <c r="E14" s="613">
        <f>IF(OR($D14="",$F14="",$F14=0),"",$D14/$F14)</f>
        <v/>
      </c>
      <c r="F14" s="183">
        <f>IF($K14="","",IFERROR(INDEX(Sales!L:L,$K14),""))</f>
        <v/>
      </c>
      <c r="G14">
        <f>IF($K14="","",IFERROR(INDEX(Sales!M:M,$K14),""))</f>
        <v/>
      </c>
      <c r="H14" s="614">
        <f>IF($K14="","",IFERROR(INDEX(Sales!I:I,$K14),""))</f>
        <v/>
      </c>
      <c r="I14">
        <f>IF($K14="","",IFERROR(INDEX(Sales!AC:AC,$K14),""))</f>
        <v/>
      </c>
      <c r="K14">
        <f>IFERROR(MATCH(_xlfn.AGGREGATE(15,6,Sales!$AJ$2:$AJ$941,9),Sales!$AJ$2:$AJ$941,0)+1,"")</f>
        <v/>
      </c>
    </row>
    <row r="15">
      <c r="B15">
        <f>IF($K15="","",10)</f>
        <v/>
      </c>
      <c r="C15">
        <f>IF($K15="","",IFERROR(INDEX(Sales!D:D,$K15),""))</f>
        <v/>
      </c>
      <c r="D15" s="612">
        <f>IF($K15="","",IFERROR(INDEX(Sales!AA:AA,$K15),""))</f>
        <v/>
      </c>
      <c r="E15" s="613">
        <f>IF(OR($D15="",$F15="",$F15=0),"",$D15/$F15)</f>
        <v/>
      </c>
      <c r="F15" s="183">
        <f>IF($K15="","",IFERROR(INDEX(Sales!L:L,$K15),""))</f>
        <v/>
      </c>
      <c r="G15">
        <f>IF($K15="","",IFERROR(INDEX(Sales!M:M,$K15),""))</f>
        <v/>
      </c>
      <c r="H15" s="614">
        <f>IF($K15="","",IFERROR(INDEX(Sales!I:I,$K15),""))</f>
        <v/>
      </c>
      <c r="I15">
        <f>IF($K15="","",IFERROR(INDEX(Sales!AC:AC,$K15),""))</f>
        <v/>
      </c>
      <c r="K15">
        <f>IFERROR(MATCH(_xlfn.AGGREGATE(15,6,Sales!$AJ$2:$AJ$941,10),Sales!$AJ$2:$AJ$941,0)+1,"")</f>
        <v/>
      </c>
    </row>
    <row r="16">
      <c r="B16">
        <f>IF($K16="","",11)</f>
        <v/>
      </c>
      <c r="C16">
        <f>IF($K16="","",IFERROR(INDEX(Sales!D:D,$K16),""))</f>
        <v/>
      </c>
      <c r="D16" s="612">
        <f>IF($K16="","",IFERROR(INDEX(Sales!AA:AA,$K16),""))</f>
        <v/>
      </c>
      <c r="E16" s="613">
        <f>IF(OR($D16="",$F16="",$F16=0),"",$D16/$F16)</f>
        <v/>
      </c>
      <c r="F16" s="183">
        <f>IF($K16="","",IFERROR(INDEX(Sales!L:L,$K16),""))</f>
        <v/>
      </c>
      <c r="G16">
        <f>IF($K16="","",IFERROR(INDEX(Sales!M:M,$K16),""))</f>
        <v/>
      </c>
      <c r="H16" s="614">
        <f>IF($K16="","",IFERROR(INDEX(Sales!I:I,$K16),""))</f>
        <v/>
      </c>
      <c r="I16">
        <f>IF($K16="","",IFERROR(INDEX(Sales!AC:AC,$K16),""))</f>
        <v/>
      </c>
      <c r="K16">
        <f>IFERROR(MATCH(_xlfn.AGGREGATE(15,6,Sales!$AJ$2:$AJ$941,11),Sales!$AJ$2:$AJ$941,0)+1,"")</f>
        <v/>
      </c>
    </row>
    <row r="17">
      <c r="B17">
        <f>IF($K17="","",12)</f>
        <v/>
      </c>
      <c r="C17">
        <f>IF($K17="","",IFERROR(INDEX(Sales!D:D,$K17),""))</f>
        <v/>
      </c>
      <c r="D17" s="612">
        <f>IF($K17="","",IFERROR(INDEX(Sales!AA:AA,$K17),""))</f>
        <v/>
      </c>
      <c r="E17" s="613">
        <f>IF(OR($D17="",$F17="",$F17=0),"",$D17/$F17)</f>
        <v/>
      </c>
      <c r="F17" s="183">
        <f>IF($K17="","",IFERROR(INDEX(Sales!L:L,$K17),""))</f>
        <v/>
      </c>
      <c r="G17">
        <f>IF($K17="","",IFERROR(INDEX(Sales!M:M,$K17),""))</f>
        <v/>
      </c>
      <c r="H17" s="614">
        <f>IF($K17="","",IFERROR(INDEX(Sales!I:I,$K17),""))</f>
        <v/>
      </c>
      <c r="I17">
        <f>IF($K17="","",IFERROR(INDEX(Sales!AC:AC,$K17),""))</f>
        <v/>
      </c>
      <c r="K17">
        <f>IFERROR(MATCH(_xlfn.AGGREGATE(15,6,Sales!$AJ$2:$AJ$941,12),Sales!$AJ$2:$AJ$941,0)+1,"")</f>
        <v/>
      </c>
    </row>
    <row r="18">
      <c r="B18">
        <f>IF($K18="","",13)</f>
        <v/>
      </c>
      <c r="C18">
        <f>IF($K18="","",IFERROR(INDEX(Sales!D:D,$K18),""))</f>
        <v/>
      </c>
      <c r="D18" s="612">
        <f>IF($K18="","",IFERROR(INDEX(Sales!AA:AA,$K18),""))</f>
        <v/>
      </c>
      <c r="E18" s="613">
        <f>IF(OR($D18="",$F18="",$F18=0),"",$D18/$F18)</f>
        <v/>
      </c>
      <c r="F18" s="183">
        <f>IF($K18="","",IFERROR(INDEX(Sales!L:L,$K18),""))</f>
        <v/>
      </c>
      <c r="G18">
        <f>IF($K18="","",IFERROR(INDEX(Sales!M:M,$K18),""))</f>
        <v/>
      </c>
      <c r="H18" s="614">
        <f>IF($K18="","",IFERROR(INDEX(Sales!I:I,$K18),""))</f>
        <v/>
      </c>
      <c r="I18">
        <f>IF($K18="","",IFERROR(INDEX(Sales!AC:AC,$K18),""))</f>
        <v/>
      </c>
      <c r="K18">
        <f>IFERROR(MATCH(_xlfn.AGGREGATE(15,6,Sales!$AJ$2:$AJ$941,13),Sales!$AJ$2:$AJ$941,0)+1,"")</f>
        <v/>
      </c>
    </row>
    <row r="19">
      <c r="B19">
        <f>IF($K19="","",14)</f>
        <v/>
      </c>
      <c r="C19">
        <f>IF($K19="","",IFERROR(INDEX(Sales!D:D,$K19),""))</f>
        <v/>
      </c>
      <c r="D19" s="612">
        <f>IF($K19="","",IFERROR(INDEX(Sales!AA:AA,$K19),""))</f>
        <v/>
      </c>
      <c r="E19" s="613">
        <f>IF(OR($D19="",$F19="",$F19=0),"",$D19/$F19)</f>
        <v/>
      </c>
      <c r="F19" s="183">
        <f>IF($K19="","",IFERROR(INDEX(Sales!L:L,$K19),""))</f>
        <v/>
      </c>
      <c r="G19">
        <f>IF($K19="","",IFERROR(INDEX(Sales!M:M,$K19),""))</f>
        <v/>
      </c>
      <c r="H19" s="614">
        <f>IF($K19="","",IFERROR(INDEX(Sales!I:I,$K19),""))</f>
        <v/>
      </c>
      <c r="I19">
        <f>IF($K19="","",IFERROR(INDEX(Sales!AC:AC,$K19),""))</f>
        <v/>
      </c>
      <c r="K19">
        <f>IFERROR(MATCH(_xlfn.AGGREGATE(15,6,Sales!$AJ$2:$AJ$941,14),Sales!$AJ$2:$AJ$941,0)+1,"")</f>
        <v/>
      </c>
    </row>
    <row r="20">
      <c r="B20">
        <f>IF($K20="","",15)</f>
        <v/>
      </c>
      <c r="C20">
        <f>IF($K20="","",IFERROR(INDEX(Sales!D:D,$K20),""))</f>
        <v/>
      </c>
      <c r="D20" s="612">
        <f>IF($K20="","",IFERROR(INDEX(Sales!AA:AA,$K20),""))</f>
        <v/>
      </c>
      <c r="E20" s="613">
        <f>IF(OR($D20="",$F20="",$F20=0),"",$D20/$F20)</f>
        <v/>
      </c>
      <c r="F20" s="183">
        <f>IF($K20="","",IFERROR(INDEX(Sales!L:L,$K20),""))</f>
        <v/>
      </c>
      <c r="G20">
        <f>IF($K20="","",IFERROR(INDEX(Sales!M:M,$K20),""))</f>
        <v/>
      </c>
      <c r="H20" s="614">
        <f>IF($K20="","",IFERROR(INDEX(Sales!I:I,$K20),""))</f>
        <v/>
      </c>
      <c r="I20">
        <f>IF($K20="","",IFERROR(INDEX(Sales!AC:AC,$K20),""))</f>
        <v/>
      </c>
      <c r="K20">
        <f>IFERROR(MATCH(_xlfn.AGGREGATE(15,6,Sales!$AJ$2:$AJ$941,15),Sales!$AJ$2:$AJ$941,0)+1,"")</f>
        <v/>
      </c>
    </row>
    <row r="22">
      <c r="B22" s="185" t="inlineStr">
        <is>
          <t>Stats (of the matches actually found above)</t>
        </is>
      </c>
    </row>
    <row r="23">
      <c r="B23" s="186" t="inlineStr">
        <is>
          <t>Count</t>
        </is>
      </c>
      <c r="D23" s="615">
        <f>IF(COUNT(D6:D20)=0,"",COUNT(D6:D20))</f>
        <v/>
      </c>
      <c r="E23" s="616">
        <f>IF(COUNT(E6:E20)=0,"",COUNT(E6:E20))</f>
        <v/>
      </c>
    </row>
    <row r="24">
      <c r="B24" s="186" t="inlineStr">
        <is>
          <t>Min</t>
        </is>
      </c>
      <c r="D24" s="615">
        <f>IF(COUNT(D6:D20)=0,"",MIN(D6:D20))</f>
        <v/>
      </c>
      <c r="E24" s="616">
        <f>IF(COUNT(E6:E20)=0,"",MIN(E6:E20))</f>
        <v/>
      </c>
    </row>
    <row r="25">
      <c r="B25" s="186" t="inlineStr">
        <is>
          <t>Max</t>
        </is>
      </c>
      <c r="D25" s="615">
        <f>IF(COUNT(D6:D20)=0,"",MAX(D6:D20))</f>
        <v/>
      </c>
      <c r="E25" s="616">
        <f>IF(COUNT(E6:E20)=0,"",MAX(E6:E20))</f>
        <v/>
      </c>
    </row>
    <row r="26">
      <c r="B26" s="186" t="inlineStr">
        <is>
          <t>Range (Max-Min)</t>
        </is>
      </c>
      <c r="D26" s="615">
        <f>IF(COUNT(D6:D20)=0,"",MAX(D6:D20)-MIN(D6:D20))</f>
        <v/>
      </c>
      <c r="E26" s="616">
        <f>IF(COUNT(E6:E20)=0,"",MAX(E6:E20)-MIN(E6:E20))</f>
        <v/>
      </c>
    </row>
    <row r="27">
      <c r="B27" s="186" t="inlineStr">
        <is>
          <t>Median</t>
        </is>
      </c>
      <c r="D27" s="615">
        <f>IF(COUNT(D6:D20)=0,"",MEDIAN(D6:D20))</f>
        <v/>
      </c>
      <c r="E27" s="616">
        <f>IF(COUNT(E6:E20)=0,"",MEDIAN(E6:E20))</f>
        <v/>
      </c>
    </row>
    <row r="28">
      <c r="B28" s="186" t="inlineStr">
        <is>
          <t>Average</t>
        </is>
      </c>
      <c r="D28" s="615">
        <f>IF(COUNT(D6:D20)=0,"",AVERAGE(D6:D20))</f>
        <v/>
      </c>
      <c r="E28" s="616">
        <f>IF(COUNT(E6:E20)=0,"",AVERAGE(E6:E20))</f>
        <v/>
      </c>
    </row>
    <row r="29">
      <c r="B29" s="186" t="inlineStr">
        <is>
          <t>Std Dev</t>
        </is>
      </c>
      <c r="D29" s="615">
        <f>IF(COUNT(D6:D20)&lt;2,"",STDEV(D6:D20))</f>
        <v/>
      </c>
      <c r="E29" s="616">
        <f>IF(COUNT(E6:E20)&lt;2,"",STDEV(E6:E20))</f>
        <v/>
      </c>
    </row>
    <row r="32" ht="15" customHeight="1" s="518">
      <c r="B32" s="198" t="inlineStr">
        <is>
          <t>Top Expense Comps (auto-ranked by size closeness)</t>
        </is>
      </c>
      <c r="C32" s="194" t="n"/>
      <c r="D32" s="194" t="n"/>
      <c r="E32" s="194" t="n"/>
      <c r="F32" s="194" t="n"/>
      <c r="G32" s="194" t="n"/>
    </row>
    <row r="33">
      <c r="B33" s="195" t="inlineStr">
        <is>
          <t>Rank</t>
        </is>
      </c>
      <c r="C33" s="195" t="inlineStr">
        <is>
          <t>Address</t>
        </is>
      </c>
      <c r="D33" s="195" t="inlineStr">
        <is>
          <t>City</t>
        </is>
      </c>
      <c r="E33" s="195" t="inlineStr">
        <is>
          <t>Bldg SF</t>
        </is>
      </c>
      <c r="F33" s="195" t="inlineStr">
        <is>
          <t>Year</t>
        </is>
      </c>
      <c r="G33" s="195" t="inlineStr">
        <is>
          <t>NOI ($/SF)</t>
        </is>
      </c>
    </row>
    <row r="34">
      <c r="B34">
        <f>IF($I34="","",1)</f>
        <v/>
      </c>
      <c r="C34">
        <f>IF($I34="","",IFERROR(INDEX('Expense Database'!D:D,$I34),""))</f>
        <v/>
      </c>
      <c r="D34">
        <f>IF($I34="","",IFERROR(INDEX('Expense Database'!E:E,$I34),""))</f>
        <v/>
      </c>
      <c r="E34" s="183">
        <f>IF($I34="","",IFERROR(INDEX('Expense Database'!J:J,$I34),""))</f>
        <v/>
      </c>
      <c r="F34">
        <f>IF($I34="","",IFERROR(INDEX('Expense Database'!K:K,$I34),""))</f>
        <v/>
      </c>
      <c r="G34" s="613">
        <f>IF($I34="","",IFERROR(INDEX('PSF Summary'!AK:AK,$I34),""))</f>
        <v/>
      </c>
      <c r="I34">
        <f>IFERROR(MATCH(_xlfn.AGGREGATE(15,6,'Expense Database'!$AO$4:$AO$197,1),'Expense Database'!$AO$4:$AO$197,0)+3,"")</f>
        <v/>
      </c>
    </row>
    <row r="35">
      <c r="B35">
        <f>IF($I35="","",2)</f>
        <v/>
      </c>
      <c r="C35">
        <f>IF($I35="","",IFERROR(INDEX('Expense Database'!D:D,$I35),""))</f>
        <v/>
      </c>
      <c r="D35">
        <f>IF($I35="","",IFERROR(INDEX('Expense Database'!E:E,$I35),""))</f>
        <v/>
      </c>
      <c r="E35" s="183">
        <f>IF($I35="","",IFERROR(INDEX('Expense Database'!J:J,$I35),""))</f>
        <v/>
      </c>
      <c r="F35">
        <f>IF($I35="","",IFERROR(INDEX('Expense Database'!K:K,$I35),""))</f>
        <v/>
      </c>
      <c r="G35" s="613">
        <f>IF($I35="","",IFERROR(INDEX('PSF Summary'!AK:AK,$I35),""))</f>
        <v/>
      </c>
      <c r="I35">
        <f>IFERROR(MATCH(_xlfn.AGGREGATE(15,6,'Expense Database'!$AO$4:$AO$197,2),'Expense Database'!$AO$4:$AO$197,0)+3,"")</f>
        <v/>
      </c>
    </row>
    <row r="36">
      <c r="B36">
        <f>IF($I36="","",3)</f>
        <v/>
      </c>
      <c r="C36">
        <f>IF($I36="","",IFERROR(INDEX('Expense Database'!D:D,$I36),""))</f>
        <v/>
      </c>
      <c r="D36">
        <f>IF($I36="","",IFERROR(INDEX('Expense Database'!E:E,$I36),""))</f>
        <v/>
      </c>
      <c r="E36" s="183">
        <f>IF($I36="","",IFERROR(INDEX('Expense Database'!J:J,$I36),""))</f>
        <v/>
      </c>
      <c r="F36">
        <f>IF($I36="","",IFERROR(INDEX('Expense Database'!K:K,$I36),""))</f>
        <v/>
      </c>
      <c r="G36" s="613">
        <f>IF($I36="","",IFERROR(INDEX('PSF Summary'!AK:AK,$I36),""))</f>
        <v/>
      </c>
      <c r="I36">
        <f>IFERROR(MATCH(_xlfn.AGGREGATE(15,6,'Expense Database'!$AO$4:$AO$197,3),'Expense Database'!$AO$4:$AO$197,0)+3,"")</f>
        <v/>
      </c>
    </row>
    <row r="37">
      <c r="B37">
        <f>IF($I37="","",4)</f>
        <v/>
      </c>
      <c r="C37">
        <f>IF($I37="","",IFERROR(INDEX('Expense Database'!D:D,$I37),""))</f>
        <v/>
      </c>
      <c r="D37">
        <f>IF($I37="","",IFERROR(INDEX('Expense Database'!E:E,$I37),""))</f>
        <v/>
      </c>
      <c r="E37" s="183">
        <f>IF($I37="","",IFERROR(INDEX('Expense Database'!J:J,$I37),""))</f>
        <v/>
      </c>
      <c r="F37">
        <f>IF($I37="","",IFERROR(INDEX('Expense Database'!K:K,$I37),""))</f>
        <v/>
      </c>
      <c r="G37" s="613">
        <f>IF($I37="","",IFERROR(INDEX('PSF Summary'!AK:AK,$I37),""))</f>
        <v/>
      </c>
      <c r="I37">
        <f>IFERROR(MATCH(_xlfn.AGGREGATE(15,6,'Expense Database'!$AO$4:$AO$197,4),'Expense Database'!$AO$4:$AO$197,0)+3,"")</f>
        <v/>
      </c>
    </row>
    <row r="38">
      <c r="B38">
        <f>IF($I38="","",5)</f>
        <v/>
      </c>
      <c r="C38">
        <f>IF($I38="","",IFERROR(INDEX('Expense Database'!D:D,$I38),""))</f>
        <v/>
      </c>
      <c r="D38">
        <f>IF($I38="","",IFERROR(INDEX('Expense Database'!E:E,$I38),""))</f>
        <v/>
      </c>
      <c r="E38" s="183">
        <f>IF($I38="","",IFERROR(INDEX('Expense Database'!J:J,$I38),""))</f>
        <v/>
      </c>
      <c r="F38">
        <f>IF($I38="","",IFERROR(INDEX('Expense Database'!K:K,$I38),""))</f>
        <v/>
      </c>
      <c r="G38" s="613">
        <f>IF($I38="","",IFERROR(INDEX('PSF Summary'!AK:AK,$I38),""))</f>
        <v/>
      </c>
      <c r="I38">
        <f>IFERROR(MATCH(_xlfn.AGGREGATE(15,6,'Expense Database'!$AO$4:$AO$197,5),'Expense Database'!$AO$4:$AO$197,0)+3,"")</f>
        <v/>
      </c>
    </row>
    <row r="39">
      <c r="B39">
        <f>IF($I39="","",6)</f>
        <v/>
      </c>
      <c r="C39">
        <f>IF($I39="","",IFERROR(INDEX('Expense Database'!D:D,$I39),""))</f>
        <v/>
      </c>
      <c r="D39">
        <f>IF($I39="","",IFERROR(INDEX('Expense Database'!E:E,$I39),""))</f>
        <v/>
      </c>
      <c r="E39" s="183">
        <f>IF($I39="","",IFERROR(INDEX('Expense Database'!J:J,$I39),""))</f>
        <v/>
      </c>
      <c r="F39">
        <f>IF($I39="","",IFERROR(INDEX('Expense Database'!K:K,$I39),""))</f>
        <v/>
      </c>
      <c r="G39" s="613">
        <f>IF($I39="","",IFERROR(INDEX('PSF Summary'!AK:AK,$I39),""))</f>
        <v/>
      </c>
      <c r="I39">
        <f>IFERROR(MATCH(_xlfn.AGGREGATE(15,6,'Expense Database'!$AO$4:$AO$197,6),'Expense Database'!$AO$4:$AO$197,0)+3,"")</f>
        <v/>
      </c>
    </row>
    <row r="40">
      <c r="B40">
        <f>IF($I40="","",7)</f>
        <v/>
      </c>
      <c r="C40">
        <f>IF($I40="","",IFERROR(INDEX('Expense Database'!D:D,$I40),""))</f>
        <v/>
      </c>
      <c r="D40">
        <f>IF($I40="","",IFERROR(INDEX('Expense Database'!E:E,$I40),""))</f>
        <v/>
      </c>
      <c r="E40" s="183">
        <f>IF($I40="","",IFERROR(INDEX('Expense Database'!J:J,$I40),""))</f>
        <v/>
      </c>
      <c r="F40">
        <f>IF($I40="","",IFERROR(INDEX('Expense Database'!K:K,$I40),""))</f>
        <v/>
      </c>
      <c r="G40" s="613">
        <f>IF($I40="","",IFERROR(INDEX('PSF Summary'!AK:AK,$I40),""))</f>
        <v/>
      </c>
      <c r="I40">
        <f>IFERROR(MATCH(_xlfn.AGGREGATE(15,6,'Expense Database'!$AO$4:$AO$197,7),'Expense Database'!$AO$4:$AO$197,0)+3,"")</f>
        <v/>
      </c>
    </row>
    <row r="41">
      <c r="B41">
        <f>IF($I41="","",8)</f>
        <v/>
      </c>
      <c r="C41">
        <f>IF($I41="","",IFERROR(INDEX('Expense Database'!D:D,$I41),""))</f>
        <v/>
      </c>
      <c r="D41">
        <f>IF($I41="","",IFERROR(INDEX('Expense Database'!E:E,$I41),""))</f>
        <v/>
      </c>
      <c r="E41" s="183">
        <f>IF($I41="","",IFERROR(INDEX('Expense Database'!J:J,$I41),""))</f>
        <v/>
      </c>
      <c r="F41">
        <f>IF($I41="","",IFERROR(INDEX('Expense Database'!K:K,$I41),""))</f>
        <v/>
      </c>
      <c r="G41" s="613">
        <f>IF($I41="","",IFERROR(INDEX('PSF Summary'!AK:AK,$I41),""))</f>
        <v/>
      </c>
      <c r="I41">
        <f>IFERROR(MATCH(_xlfn.AGGREGATE(15,6,'Expense Database'!$AO$4:$AO$197,8),'Expense Database'!$AO$4:$AO$197,0)+3,"")</f>
        <v/>
      </c>
    </row>
    <row r="42">
      <c r="B42">
        <f>IF($I42="","",9)</f>
        <v/>
      </c>
      <c r="C42">
        <f>IF($I42="","",IFERROR(INDEX('Expense Database'!D:D,$I42),""))</f>
        <v/>
      </c>
      <c r="D42">
        <f>IF($I42="","",IFERROR(INDEX('Expense Database'!E:E,$I42),""))</f>
        <v/>
      </c>
      <c r="E42" s="183">
        <f>IF($I42="","",IFERROR(INDEX('Expense Database'!J:J,$I42),""))</f>
        <v/>
      </c>
      <c r="F42">
        <f>IF($I42="","",IFERROR(INDEX('Expense Database'!K:K,$I42),""))</f>
        <v/>
      </c>
      <c r="G42" s="613">
        <f>IF($I42="","",IFERROR(INDEX('PSF Summary'!AK:AK,$I42),""))</f>
        <v/>
      </c>
      <c r="I42">
        <f>IFERROR(MATCH(_xlfn.AGGREGATE(15,6,'Expense Database'!$AO$4:$AO$197,9),'Expense Database'!$AO$4:$AO$197,0)+3,"")</f>
        <v/>
      </c>
    </row>
    <row r="43">
      <c r="B43">
        <f>IF($I43="","",10)</f>
        <v/>
      </c>
      <c r="C43">
        <f>IF($I43="","",IFERROR(INDEX('Expense Database'!D:D,$I43),""))</f>
        <v/>
      </c>
      <c r="D43">
        <f>IF($I43="","",IFERROR(INDEX('Expense Database'!E:E,$I43),""))</f>
        <v/>
      </c>
      <c r="E43" s="183">
        <f>IF($I43="","",IFERROR(INDEX('Expense Database'!J:J,$I43),""))</f>
        <v/>
      </c>
      <c r="F43">
        <f>IF($I43="","",IFERROR(INDEX('Expense Database'!K:K,$I43),""))</f>
        <v/>
      </c>
      <c r="G43" s="613">
        <f>IF($I43="","",IFERROR(INDEX('PSF Summary'!AK:AK,$I43),""))</f>
        <v/>
      </c>
      <c r="I43">
        <f>IFERROR(MATCH(_xlfn.AGGREGATE(15,6,'Expense Database'!$AO$4:$AO$197,10),'Expense Database'!$AO$4:$AO$197,0)+3,"")</f>
        <v/>
      </c>
    </row>
    <row r="44">
      <c r="B44">
        <f>IF($I44="","",11)</f>
        <v/>
      </c>
      <c r="C44">
        <f>IF($I44="","",IFERROR(INDEX('Expense Database'!D:D,$I44),""))</f>
        <v/>
      </c>
      <c r="D44">
        <f>IF($I44="","",IFERROR(INDEX('Expense Database'!E:E,$I44),""))</f>
        <v/>
      </c>
      <c r="E44" s="183">
        <f>IF($I44="","",IFERROR(INDEX('Expense Database'!J:J,$I44),""))</f>
        <v/>
      </c>
      <c r="F44">
        <f>IF($I44="","",IFERROR(INDEX('Expense Database'!K:K,$I44),""))</f>
        <v/>
      </c>
      <c r="G44" s="613">
        <f>IF($I44="","",IFERROR(INDEX('PSF Summary'!AK:AK,$I44),""))</f>
        <v/>
      </c>
      <c r="I44">
        <f>IFERROR(MATCH(_xlfn.AGGREGATE(15,6,'Expense Database'!$AO$4:$AO$197,11),'Expense Database'!$AO$4:$AO$197,0)+3,"")</f>
        <v/>
      </c>
    </row>
    <row r="45">
      <c r="B45">
        <f>IF($I45="","",12)</f>
        <v/>
      </c>
      <c r="C45">
        <f>IF($I45="","",IFERROR(INDEX('Expense Database'!D:D,$I45),""))</f>
        <v/>
      </c>
      <c r="D45">
        <f>IF($I45="","",IFERROR(INDEX('Expense Database'!E:E,$I45),""))</f>
        <v/>
      </c>
      <c r="E45" s="183">
        <f>IF($I45="","",IFERROR(INDEX('Expense Database'!J:J,$I45),""))</f>
        <v/>
      </c>
      <c r="F45">
        <f>IF($I45="","",IFERROR(INDEX('Expense Database'!K:K,$I45),""))</f>
        <v/>
      </c>
      <c r="G45" s="613">
        <f>IF($I45="","",IFERROR(INDEX('PSF Summary'!AK:AK,$I45),""))</f>
        <v/>
      </c>
      <c r="I45">
        <f>IFERROR(MATCH(_xlfn.AGGREGATE(15,6,'Expense Database'!$AO$4:$AO$197,12),'Expense Database'!$AO$4:$AO$197,0)+3,"")</f>
        <v/>
      </c>
    </row>
    <row r="46">
      <c r="B46">
        <f>IF($I46="","",13)</f>
        <v/>
      </c>
      <c r="C46">
        <f>IF($I46="","",IFERROR(INDEX('Expense Database'!D:D,$I46),""))</f>
        <v/>
      </c>
      <c r="D46">
        <f>IF($I46="","",IFERROR(INDEX('Expense Database'!E:E,$I46),""))</f>
        <v/>
      </c>
      <c r="E46" s="183">
        <f>IF($I46="","",IFERROR(INDEX('Expense Database'!J:J,$I46),""))</f>
        <v/>
      </c>
      <c r="F46">
        <f>IF($I46="","",IFERROR(INDEX('Expense Database'!K:K,$I46),""))</f>
        <v/>
      </c>
      <c r="G46" s="613">
        <f>IF($I46="","",IFERROR(INDEX('PSF Summary'!AK:AK,$I46),""))</f>
        <v/>
      </c>
      <c r="I46">
        <f>IFERROR(MATCH(_xlfn.AGGREGATE(15,6,'Expense Database'!$AO$4:$AO$197,13),'Expense Database'!$AO$4:$AO$197,0)+3,"")</f>
        <v/>
      </c>
    </row>
    <row r="47">
      <c r="B47">
        <f>IF($I47="","",14)</f>
        <v/>
      </c>
      <c r="C47">
        <f>IF($I47="","",IFERROR(INDEX('Expense Database'!D:D,$I47),""))</f>
        <v/>
      </c>
      <c r="D47">
        <f>IF($I47="","",IFERROR(INDEX('Expense Database'!E:E,$I47),""))</f>
        <v/>
      </c>
      <c r="E47" s="183">
        <f>IF($I47="","",IFERROR(INDEX('Expense Database'!J:J,$I47),""))</f>
        <v/>
      </c>
      <c r="F47">
        <f>IF($I47="","",IFERROR(INDEX('Expense Database'!K:K,$I47),""))</f>
        <v/>
      </c>
      <c r="G47" s="613">
        <f>IF($I47="","",IFERROR(INDEX('PSF Summary'!AK:AK,$I47),""))</f>
        <v/>
      </c>
      <c r="I47">
        <f>IFERROR(MATCH(_xlfn.AGGREGATE(15,6,'Expense Database'!$AO$4:$AO$197,14),'Expense Database'!$AO$4:$AO$197,0)+3,"")</f>
        <v/>
      </c>
    </row>
    <row r="48">
      <c r="B48">
        <f>IF($I48="","",15)</f>
        <v/>
      </c>
      <c r="C48">
        <f>IF($I48="","",IFERROR(INDEX('Expense Database'!D:D,$I48),""))</f>
        <v/>
      </c>
      <c r="D48">
        <f>IF($I48="","",IFERROR(INDEX('Expense Database'!E:E,$I48),""))</f>
        <v/>
      </c>
      <c r="E48" s="183">
        <f>IF($I48="","",IFERROR(INDEX('Expense Database'!J:J,$I48),""))</f>
        <v/>
      </c>
      <c r="F48">
        <f>IF($I48="","",IFERROR(INDEX('Expense Database'!K:K,$I48),""))</f>
        <v/>
      </c>
      <c r="G48" s="613">
        <f>IF($I48="","",IFERROR(INDEX('PSF Summary'!AK:AK,$I48),""))</f>
        <v/>
      </c>
      <c r="I48">
        <f>IFERROR(MATCH(_xlfn.AGGREGATE(15,6,'Expense Database'!$AO$4:$AO$197,15),'Expense Database'!$AO$4:$AO$197,0)+3,"")</f>
        <v/>
      </c>
    </row>
    <row r="50">
      <c r="B50" s="185" t="inlineStr">
        <is>
          <t>Stats (of the matches actually found above)</t>
        </is>
      </c>
    </row>
    <row r="51">
      <c r="B51" s="186" t="inlineStr">
        <is>
          <t>Count</t>
        </is>
      </c>
      <c r="G51" s="616">
        <f>IF(COUNT(G34:G48)=0,"",COUNT(G34:G48))</f>
        <v/>
      </c>
    </row>
    <row r="52">
      <c r="B52" s="186" t="inlineStr">
        <is>
          <t>Min</t>
        </is>
      </c>
      <c r="G52" s="616">
        <f>IF(COUNT(G34:G48)=0,"",MIN(G34:G48))</f>
        <v/>
      </c>
    </row>
    <row r="53">
      <c r="B53" s="186" t="inlineStr">
        <is>
          <t>Max</t>
        </is>
      </c>
      <c r="G53" s="616">
        <f>IF(COUNT(G34:G48)=0,"",MAX(G34:G48))</f>
        <v/>
      </c>
    </row>
    <row r="54">
      <c r="B54" s="186" t="inlineStr">
        <is>
          <t>Range (Max-Min)</t>
        </is>
      </c>
      <c r="G54" s="616">
        <f>IF(COUNT(G34:G48)=0,"",MAX(G34:G48)-MIN(G34:G48))</f>
        <v/>
      </c>
    </row>
    <row r="55">
      <c r="B55" s="186" t="inlineStr">
        <is>
          <t>Median</t>
        </is>
      </c>
      <c r="G55" s="616">
        <f>IF(COUNT(G34:G48)=0,"",MEDIAN(G34:G48))</f>
        <v/>
      </c>
    </row>
    <row r="56">
      <c r="B56" s="186" t="inlineStr">
        <is>
          <t>Average</t>
        </is>
      </c>
      <c r="G56" s="616">
        <f>IF(COUNT(G34:G48)=0,"",AVERAGE(G34:G48))</f>
        <v/>
      </c>
    </row>
    <row r="57">
      <c r="B57" s="186" t="inlineStr">
        <is>
          <t>Std Dev</t>
        </is>
      </c>
      <c r="G57" s="616">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sheetPr codeName="Sheet6">
    <tabColor rgb="FF1F4E78"/>
    <outlinePr summaryBelow="1" summaryRight="1"/>
    <pageSetUpPr fitToPage="1"/>
  </sheetPr>
  <dimension ref="A1:O8"/>
  <sheetViews>
    <sheetView showGridLines="0" workbookViewId="0">
      <selection activeCell="C21" sqref="C21"/>
    </sheetView>
  </sheetViews>
  <sheetFormatPr baseColWidth="10" defaultColWidth="9.19921875" defaultRowHeight="14"/>
  <cols>
    <col width="16" customWidth="1" style="516" min="1" max="1"/>
    <col width="14" customWidth="1" style="516" min="2" max="2"/>
    <col width="30" customWidth="1" style="516" min="3" max="3"/>
    <col width="9.19921875" customWidth="1" style="516" min="4" max="4"/>
    <col width="9.19921875" customWidth="1" style="516" min="5" max="16384"/>
  </cols>
  <sheetData>
    <row r="1" ht="24" customHeight="1" s="518">
      <c r="A1" s="316" t="inlineStr">
        <is>
          <t>Click on the tab at the bottom to switch between worksheets</t>
        </is>
      </c>
      <c r="B1" s="317" t="n"/>
      <c r="C1" s="317" t="n"/>
      <c r="D1" s="317" t="n"/>
      <c r="E1" s="317" t="n"/>
      <c r="F1" s="317" t="n"/>
      <c r="G1" s="317" t="n"/>
      <c r="H1" s="317" t="n"/>
      <c r="I1" s="317" t="n"/>
      <c r="J1" s="317" t="n"/>
      <c r="K1" s="317" t="n"/>
      <c r="L1" s="317" t="n"/>
      <c r="M1" s="317" t="n"/>
      <c r="N1" s="317" t="n"/>
      <c r="O1" s="317" t="n"/>
    </row>
    <row r="2" ht="9" customHeight="1" s="518"/>
    <row r="3" ht="64" customHeight="1" s="518">
      <c r="A3" s="515" t="inlineStr">
        <is>
          <t>To print all sheets, click printer icon on toolbar.</t>
        </is>
      </c>
      <c r="B3" s="319" t="n"/>
      <c r="C3" s="319" t="n"/>
      <c r="D3" s="319" t="n"/>
      <c r="E3" s="319" t="n"/>
      <c r="F3" s="319" t="n"/>
      <c r="G3" s="319" t="n"/>
      <c r="H3" s="319" t="n"/>
      <c r="I3" s="319" t="n"/>
      <c r="J3" s="319" t="n"/>
      <c r="K3" s="319" t="n"/>
      <c r="L3" s="319" t="n"/>
      <c r="M3" s="319" t="n"/>
      <c r="N3" s="319" t="n"/>
      <c r="O3" s="319" t="n"/>
    </row>
    <row r="4" ht="9.5" customHeight="1" s="518"/>
    <row r="5" ht="41" customHeight="1" s="518">
      <c r="A5" s="617" t="inlineStr">
        <is>
          <t>The Appeal worksheet is now a native Excel form: type directly into the yellow fields (account, protest number, petitioner, remarks, conclusions). The property address and comparable grids fill automatically from the Subject Property tab. The old Word-form buttons have been removed.</t>
        </is>
      </c>
      <c r="D5" s="320" t="n"/>
      <c r="E5" s="320" t="n"/>
      <c r="F5" s="320" t="n"/>
      <c r="G5" s="320" t="n"/>
      <c r="H5" s="320" t="n"/>
      <c r="I5" s="320" t="n"/>
      <c r="J5" s="320" t="n"/>
      <c r="K5" s="320" t="n"/>
      <c r="L5" s="320" t="n"/>
      <c r="M5" s="320" t="n"/>
      <c r="N5" s="320" t="n"/>
      <c r="O5" s="320" t="n"/>
    </row>
    <row r="6">
      <c r="A6" s="55" t="n"/>
      <c r="B6" s="55" t="n"/>
      <c r="C6" s="55" t="n"/>
      <c r="D6" s="55" t="n"/>
      <c r="E6" s="55" t="n"/>
      <c r="F6" s="55" t="n"/>
      <c r="G6" s="55" t="n"/>
      <c r="H6" s="55" t="n"/>
      <c r="I6" s="55" t="n"/>
      <c r="J6" s="55" t="n"/>
      <c r="K6" s="55" t="n"/>
      <c r="L6" s="55" t="n"/>
      <c r="M6" s="55" t="n"/>
      <c r="N6" s="55" t="n"/>
      <c r="O6" s="55" t="n"/>
    </row>
    <row r="7" ht="15" customHeight="1" s="518">
      <c r="C7" s="321" t="inlineStr">
        <is>
          <t>Click desired sheet to work.</t>
        </is>
      </c>
      <c r="D7" s="319" t="n"/>
      <c r="E7" s="319" t="n"/>
      <c r="F7" s="319" t="n"/>
      <c r="G7" s="319" t="n"/>
      <c r="H7" s="319" t="n"/>
      <c r="I7" s="319" t="n"/>
      <c r="J7" s="319" t="n"/>
      <c r="K7" s="319" t="n"/>
      <c r="L7" s="319" t="n"/>
      <c r="M7" s="319" t="n"/>
      <c r="N7" s="319" t="n"/>
      <c r="O7" s="319" t="n"/>
    </row>
    <row r="8" ht="16" customHeight="1" s="518">
      <c r="A8" s="322" t="inlineStr">
        <is>
          <t>Appeal Year</t>
        </is>
      </c>
      <c r="B8" s="323" t="n">
        <v>2025</v>
      </c>
    </row>
  </sheetData>
  <mergeCells count="1">
    <mergeCell ref="A5:C5"/>
  </mergeCells>
  <pageMargins left="0.75" right="0.75" top="1" bottom="1" header="0.5" footer="0.5"/>
  <pageSetup orientation="portrait" fitToHeight="0" verticalDpi="300"/>
  <legacyDrawing xmlns:r="http://schemas.openxmlformats.org/officeDocument/2006/relationships" r:id="anysvml"/>
</worksheet>
</file>

<file path=xl/worksheets/sheet4.xml><?xml version="1.0" encoding="utf-8"?>
<worksheet xmlns="http://schemas.openxmlformats.org/spreadsheetml/2006/main">
  <sheetPr codeName="Sheet1" transitionEvaluation="1" transitionEntry="1">
    <tabColor rgb="FF1F4E78"/>
    <outlinePr summaryBelow="1" summaryRight="1"/>
    <pageSetUpPr fitToPage="1"/>
  </sheetPr>
  <dimension ref="A1:Z55"/>
  <sheetViews>
    <sheetView showGridLines="0" workbookViewId="0">
      <pane ySplit="4" topLeftCell="A5" activePane="bottomLeft" state="frozen"/>
      <selection pane="bottomLeft" activeCell="B24" sqref="B24"/>
    </sheetView>
  </sheetViews>
  <sheetFormatPr baseColWidth="10" defaultColWidth="9.59765625" defaultRowHeight="12"/>
  <cols>
    <col width="13.3984375" customWidth="1" style="518" min="1" max="1"/>
    <col width="27" customWidth="1" style="518" min="2" max="2"/>
    <col width="11" customWidth="1" style="518" min="3" max="3"/>
    <col width="13" customWidth="1" style="518" min="4" max="4"/>
    <col width="17" customWidth="1" style="518" min="5" max="5"/>
    <col width="13.3984375" customWidth="1" style="518" min="6" max="6"/>
    <col width="14" customWidth="1" style="518" min="7" max="7"/>
    <col width="16" customWidth="1" style="518" min="8" max="8"/>
    <col hidden="1" width="6" customWidth="1" style="518" min="25" max="25"/>
    <col hidden="1" width="13" customWidth="1" style="518" min="26" max="26"/>
  </cols>
  <sheetData>
    <row r="1" ht="23.5" customHeight="1" s="518">
      <c r="A1" s="5" t="n"/>
      <c r="B1" t="n"/>
      <c r="E1" s="1" t="inlineStr">
        <is>
          <t>y</t>
        </is>
      </c>
    </row>
    <row r="2" ht="24" customHeight="1" s="518">
      <c r="A2" s="316" t="inlineStr">
        <is>
          <t>MARKET SALES &amp; RENT COMPARABLES</t>
        </is>
      </c>
      <c r="B2" s="316" t="n"/>
      <c r="C2" s="316" t="n"/>
      <c r="D2" s="316" t="n"/>
      <c r="E2" s="316" t="n"/>
      <c r="F2" s="316" t="n"/>
      <c r="G2" s="316" t="n"/>
      <c r="H2" s="316" t="n"/>
    </row>
    <row r="3" ht="16" customHeight="1" s="518">
      <c r="A3" s="324">
        <f>TEXT([0]!Year,"0")&amp;" APPEALS"</f>
        <v/>
      </c>
      <c r="B3" s="324" t="n"/>
      <c r="C3" s="324" t="n"/>
      <c r="D3" s="324" t="n"/>
      <c r="E3" s="324" t="n"/>
      <c r="F3" s="324" t="n"/>
      <c r="G3" s="324" t="n"/>
      <c r="H3" s="324" t="n"/>
    </row>
    <row r="4" ht="16" customHeight="1" s="518">
      <c r="A4" s="325" t="inlineStr">
        <is>
          <t>PROTEST #</t>
        </is>
      </c>
      <c r="B4" s="326" t="n"/>
      <c r="C4" s="327" t="n"/>
      <c r="D4" s="325" t="n"/>
      <c r="E4" s="325" t="n"/>
      <c r="F4" s="325" t="n"/>
      <c r="G4" s="325" t="n"/>
      <c r="H4" s="325" t="n"/>
    </row>
    <row r="5" ht="18" customHeight="1" s="518">
      <c r="A5" s="14" t="n"/>
      <c r="B5" s="7" t="n"/>
      <c r="C5" s="16" t="n"/>
    </row>
    <row r="6" ht="7.25" customHeight="1" s="518" thickBot="1"/>
    <row r="7" ht="17" customHeight="1" s="518" thickTop="1">
      <c r="A7" s="328" t="inlineStr">
        <is>
          <t>SUBJECT  PROPERTY  INFORMATION</t>
        </is>
      </c>
      <c r="B7" s="329" t="n"/>
      <c r="C7" s="329" t="n"/>
      <c r="D7" s="329" t="n"/>
      <c r="E7" s="329" t="n"/>
      <c r="F7" s="329" t="n"/>
      <c r="G7" s="329" t="n"/>
      <c r="H7" s="330" t="n"/>
    </row>
    <row r="8" ht="12" customHeight="1" s="518">
      <c r="A8" s="199" t="n"/>
      <c r="B8" s="331" t="inlineStr">
        <is>
          <t>Account Number</t>
        </is>
      </c>
      <c r="C8" s="331" t="inlineStr">
        <is>
          <t>Ngbh</t>
        </is>
      </c>
      <c r="D8" s="331" t="inlineStr">
        <is>
          <t xml:space="preserve">Land Area </t>
        </is>
      </c>
      <c r="E8" s="331" t="inlineStr">
        <is>
          <t>Quality</t>
        </is>
      </c>
      <c r="F8" s="331" t="inlineStr">
        <is>
          <t>Rent / Sq Ft</t>
        </is>
      </c>
      <c r="G8" s="331" t="inlineStr">
        <is>
          <t>Subject Sale Information</t>
        </is>
      </c>
      <c r="H8" s="332" t="inlineStr">
        <is>
          <t>Parcel Number</t>
        </is>
      </c>
    </row>
    <row r="9" ht="12" customHeight="1" s="518">
      <c r="A9" s="8" t="n"/>
      <c r="B9" s="331" t="inlineStr">
        <is>
          <t>Property Address</t>
        </is>
      </c>
      <c r="C9" s="331" t="inlineStr">
        <is>
          <t>Zone</t>
        </is>
      </c>
      <c r="D9" s="331" t="inlineStr">
        <is>
          <t xml:space="preserve">L : B  Ratio </t>
        </is>
      </c>
      <c r="E9" s="331" t="inlineStr">
        <is>
          <t>Physical Condition</t>
        </is>
      </c>
      <c r="F9" s="331" t="inlineStr">
        <is>
          <t>Vacancy</t>
        </is>
      </c>
      <c r="G9" s="331" t="inlineStr">
        <is>
          <t>Last Sale Date</t>
        </is>
      </c>
      <c r="H9" s="331" t="inlineStr">
        <is>
          <t>Assigned Value / Sq Ft</t>
        </is>
      </c>
    </row>
    <row r="10" ht="12" customHeight="1" s="518">
      <c r="A10" s="10" t="n"/>
      <c r="B10" s="331" t="inlineStr">
        <is>
          <t>Property Type</t>
        </is>
      </c>
      <c r="C10" s="331" t="inlineStr">
        <is>
          <t>YOC</t>
        </is>
      </c>
      <c r="D10" s="331" t="inlineStr">
        <is>
          <t xml:space="preserve">Building Area </t>
        </is>
      </c>
      <c r="E10" s="331" t="inlineStr">
        <is>
          <t>Functional Utility</t>
        </is>
      </c>
      <c r="F10" s="331" t="inlineStr">
        <is>
          <t>Expense Ratio</t>
        </is>
      </c>
      <c r="G10" s="331" t="inlineStr">
        <is>
          <t>Last Sale Price</t>
        </is>
      </c>
      <c r="H10" s="331" t="inlineStr">
        <is>
          <t>Assigned Value</t>
        </is>
      </c>
    </row>
    <row r="11" ht="12" customHeight="1" s="518">
      <c r="A11" s="8" t="n"/>
      <c r="B11" s="333" t="n"/>
      <c r="C11" s="334" t="n"/>
      <c r="D11" s="335">
        <f>Subj_SiteSF</f>
        <v/>
      </c>
      <c r="E11" s="336">
        <f>Subj_Quality</f>
        <v/>
      </c>
      <c r="F11" s="618" t="n"/>
      <c r="G11" s="338" t="n"/>
      <c r="H11" s="618" t="n"/>
    </row>
    <row r="12" ht="12" customHeight="1" s="518">
      <c r="A12" s="8" t="n"/>
      <c r="B12" s="339">
        <f>Subj_Address</f>
        <v/>
      </c>
      <c r="C12" s="340">
        <f>Subj_Zoning</f>
        <v/>
      </c>
      <c r="D12" s="341">
        <f>IF(AND(ISNUMBER(D11),ISNUMBER(Subj_TotalBldgSF),Subj_TotalBldgSF&lt;&gt;0),ROUND(D11/Subj_TotalBldgSF,1)&amp;":1","")</f>
        <v/>
      </c>
      <c r="E12" s="336">
        <f>Subj_Condition</f>
        <v/>
      </c>
      <c r="F12" s="342" t="n"/>
      <c r="G12" s="343" t="n"/>
      <c r="H12" s="619">
        <f>IF(D13=0,0,ROUND(H13/D13,2))</f>
        <v/>
      </c>
    </row>
    <row r="13" ht="12" customHeight="1" s="518" thickBot="1">
      <c r="A13" s="11" t="n"/>
      <c r="B13" s="345">
        <f>IFERROR(INDEX(OCC_TABLE_DESC,MATCH(Subj_OccCode,OCC_TABLE_CODE,0)),"")</f>
        <v/>
      </c>
      <c r="C13" s="340">
        <f>Subj_YOC</f>
        <v/>
      </c>
      <c r="D13" s="335">
        <f>Subj_BldgSF</f>
        <v/>
      </c>
      <c r="E13" s="346" t="n"/>
      <c r="F13" s="342" t="n"/>
      <c r="G13" s="620" t="n"/>
      <c r="H13" s="620" t="n"/>
    </row>
    <row r="14" ht="6" customHeight="1" s="518" thickTop="1">
      <c r="C14" s="4" t="n"/>
      <c r="D14" s="4" t="n"/>
      <c r="F14" s="4" t="n"/>
      <c r="G14" s="4" t="n"/>
      <c r="H14" s="4" t="n"/>
    </row>
    <row r="15" ht="6" customHeight="1" s="518" thickBot="1">
      <c r="C15" s="4" t="n"/>
      <c r="D15" s="4" t="n"/>
      <c r="F15" s="4" t="n"/>
      <c r="G15" s="4" t="n"/>
      <c r="H15" s="4" t="n"/>
    </row>
    <row r="16" ht="17" customHeight="1" s="518" thickTop="1">
      <c r="A16" s="328" t="inlineStr">
        <is>
          <t>MARKET  SALE  COMPARABLES</t>
        </is>
      </c>
      <c r="B16" s="329" t="n"/>
      <c r="C16" s="329" t="n"/>
      <c r="D16" s="329" t="n"/>
      <c r="E16" s="329" t="n"/>
      <c r="F16" s="329" t="n"/>
      <c r="G16" s="329" t="n"/>
      <c r="H16" s="330" t="n"/>
    </row>
    <row r="17" ht="12" customHeight="1" s="518">
      <c r="A17" s="331" t="n"/>
      <c r="B17" s="331" t="inlineStr">
        <is>
          <t>Account Number</t>
        </is>
      </c>
      <c r="C17" s="331" t="inlineStr">
        <is>
          <t>Ngbh</t>
        </is>
      </c>
      <c r="D17" s="331" t="inlineStr">
        <is>
          <t xml:space="preserve">Land Area </t>
        </is>
      </c>
      <c r="E17" s="331" t="inlineStr">
        <is>
          <t>Quality</t>
        </is>
      </c>
      <c r="F17" s="331" t="inlineStr">
        <is>
          <t xml:space="preserve">Sale Date </t>
        </is>
      </c>
      <c r="G17" s="331" t="inlineStr">
        <is>
          <t>Adj Sale Price / Sq Ft</t>
        </is>
      </c>
      <c r="H17" s="332" t="inlineStr">
        <is>
          <t>Parcel Number</t>
        </is>
      </c>
    </row>
    <row r="18" ht="12" customHeight="1" s="518">
      <c r="A18" s="331" t="n"/>
      <c r="B18" s="331" t="inlineStr">
        <is>
          <t>Property Address</t>
        </is>
      </c>
      <c r="C18" s="331" t="inlineStr">
        <is>
          <t>Zone</t>
        </is>
      </c>
      <c r="D18" s="331" t="inlineStr">
        <is>
          <t xml:space="preserve">L : B  Ratio </t>
        </is>
      </c>
      <c r="E18" s="331" t="inlineStr">
        <is>
          <t>Physical Condition</t>
        </is>
      </c>
      <c r="F18" s="331" t="inlineStr">
        <is>
          <t xml:space="preserve">Sale Price </t>
        </is>
      </c>
      <c r="G18" s="331" t="inlineStr">
        <is>
          <t>Net Adjustments</t>
        </is>
      </c>
      <c r="H18" s="331" t="inlineStr">
        <is>
          <t>Sale Remarks</t>
        </is>
      </c>
    </row>
    <row r="19" ht="12" customHeight="1" s="518">
      <c r="A19" s="331" t="inlineStr">
        <is>
          <t>#</t>
        </is>
      </c>
      <c r="B19" s="331" t="inlineStr">
        <is>
          <t>Property Type</t>
        </is>
      </c>
      <c r="C19" s="331" t="inlineStr">
        <is>
          <t>YOC</t>
        </is>
      </c>
      <c r="D19" s="331" t="inlineStr">
        <is>
          <t xml:space="preserve">Building Area </t>
        </is>
      </c>
      <c r="E19" s="331" t="inlineStr">
        <is>
          <t>Functional Utility</t>
        </is>
      </c>
      <c r="F19" s="331" t="inlineStr">
        <is>
          <t xml:space="preserve">Adjusted Sale Price </t>
        </is>
      </c>
      <c r="G19" s="331" t="inlineStr">
        <is>
          <t>Adj Value of Comp / Sq Ft</t>
        </is>
      </c>
      <c r="H19" s="331">
        <f>"Indicated Value of Subject ("&amp;Subj_Basis&amp;")"</f>
        <v/>
      </c>
    </row>
    <row r="20" ht="12" customHeight="1" s="518">
      <c r="A20" s="326" t="n"/>
      <c r="B20" s="348">
        <f>IF(IFERROR(INDEX(Sales!C:C,$Z$20),"")="","",+" "&amp;IFERROR(INDEX(Sales!C:C,$Z$20),""))</f>
        <v/>
      </c>
      <c r="C20" s="349">
        <f>IF(IFERROR(INDEX(Sales!F:F,$Z$20),"")="","",IFERROR(INDEX(Sales!F:F,$Z$20),""))</f>
        <v/>
      </c>
      <c r="D20" s="350">
        <f>IF(IFERROR(INDEX(Sales!S:S,$Z$20),"")="","",IFERROR(INDEX(Sales!S:S,$Z$20),""))</f>
        <v/>
      </c>
      <c r="E20" s="351">
        <f>IF(IFERROR(INDEX(Sales!R:R,$Z$20),"")="","",IFERROR(VLOOKUP(IFERROR(INDEX(Sales!R:R,$Z$20),""),[0]!GRADE,2),IFERROR(INDEX(Sales!R:R,$Z$20),"")))</f>
        <v/>
      </c>
      <c r="F20" s="621">
        <f>IF(IFERROR(INDEX(Sales!I:I,$Z$20),"")="","",IFERROR(INDEX(Sales!I:I,$Z$20),""))</f>
        <v/>
      </c>
      <c r="G20" s="619">
        <f>IF(IFERROR(INDEX(Sales!H:H,$Z$20),"")="","",IFERROR(INDEX(Sales!H:H,$Z$20),""))</f>
        <v/>
      </c>
      <c r="H20" s="619">
        <f>IF(IFERROR(INDEX(Sales!AC:AC,$Z$20),"")="","",+IFERROR(INDEX(Sales!AC:AC,$Z$20),""))</f>
        <v/>
      </c>
      <c r="Y20" s="200" t="n">
        <v>1</v>
      </c>
      <c r="Z20">
        <f>IFERROR(MATCH(_xlfn.AGGREGATE(15,6,Sales!$AJ$2:$AJ$941,$Y$20),Sales!$AJ$2:$AJ$941,0)+1,"")</f>
        <v/>
      </c>
    </row>
    <row r="21" ht="12" customHeight="1" s="518">
      <c r="A21" s="353" t="inlineStr">
        <is>
          <t>Best Match #1</t>
        </is>
      </c>
      <c r="B21" s="348">
        <f>IF(IFERROR(INDEX(Sales!D:D,$Z$20),"")="","",+" "&amp;IFERROR(INDEX(Sales!D:D,$Z$20),""))</f>
        <v/>
      </c>
      <c r="C21" s="349">
        <f>IF(IFERROR(INDEX(Sales!P:P,$Z$20),"")="","",IFERROR(INDEX(Sales!P:P,$Z$20),""))</f>
        <v/>
      </c>
      <c r="D21" s="350">
        <f>IF(IFERROR(INDEX(Sales!T:T,$Z$20),"")="","",IFERROR(INDEX(Sales!T:T,$Z$20),""))</f>
        <v/>
      </c>
      <c r="E21" s="351">
        <f>IF(IFERROR(INDEX(Sales!U:U,$Z$20),"")="","",IFERROR(VLOOKUP(IFERROR(INDEX(Sales!U:U,$Z$20),""),Codes!$A$12:$B$16,2),IFERROR(INDEX(Sales!U:U,$Z$20),"")))</f>
        <v/>
      </c>
      <c r="F21" s="622">
        <f>IF(IFERROR(INDEX(Sales!Y:Y,$Z$20),"")="","",IFERROR(INDEX(Sales!Y:Y,$Z$20),""))</f>
        <v/>
      </c>
      <c r="G21" s="623" t="n"/>
      <c r="H21" s="619">
        <f>IF(IFERROR(INDEX(Sales!AB:AB,$Z$20),"")="","",IFERROR(INDEX(Sales!AB:AB,$Z$20),""))</f>
        <v/>
      </c>
    </row>
    <row r="22" ht="12" customHeight="1" s="518">
      <c r="A22" s="326" t="n"/>
      <c r="B22" s="348">
        <f>IF(IFERROR(INDEX(Sales!E:E,$Z$20),"")="","",+" "&amp;IFERROR(VLOOKUP(IFERROR(INDEX(Sales!E:E,$Z$20),""),[0]!Class,2),IFERROR(INDEX(Sales!E:E,$Z$20),"")))</f>
        <v/>
      </c>
      <c r="C22" s="349">
        <f>IF(IFERROR(INDEX(Sales!M:M,$Z$20),"")="","",IFERROR(INDEX(Sales!M:M,$Z$20),""))</f>
        <v/>
      </c>
      <c r="D22" s="350">
        <f>IF(IFERROR(INDEX(Sales!L:L,$Z$20),"")="","",IFERROR(INDEX(Sales!L:L,$Z$20),""))</f>
        <v/>
      </c>
      <c r="E22" s="351">
        <f>IF(IFERROR(INDEX(Sales!V:V,$Z$20),"")="","",IFERROR(VLOOKUP(IFERROR(INDEX(Sales!V:V,$Z$20),""),Codes!$A$1:$B$5,2),IFERROR(INDEX(Sales!V:V,$Z$20),"")))</f>
        <v/>
      </c>
      <c r="F22" s="622">
        <f>IF(IFERROR(INDEX(Sales!AA:AA,$Z$20),"")="","",IFERROR(INDEX(Sales!AA:AA,$Z$20),""))</f>
        <v/>
      </c>
      <c r="G22" s="624">
        <f>IF(G20="","",ROUND(G20*(1+G21),2))</f>
        <v/>
      </c>
      <c r="H22" s="625">
        <f>IF(G22="","",IF(Subj_Basis="Per SF",ROUND(G22*$D$13,-2),IFERROR(ROUND(INDEX(Sales!$AK:$AK,$Z$20)*(1+N(G21))*Subj_Units1,-2),ROUND(G22*$D$13,-2))))</f>
        <v/>
      </c>
    </row>
    <row r="23" ht="12" customHeight="1" s="518">
      <c r="A23" s="326" t="n"/>
      <c r="B23" s="358">
        <f>IF(IFERROR(INDEX(Sales!C:C,$Z$23),"")="","",+" "&amp;IFERROR(INDEX(Sales!C:C,$Z$23),""))</f>
        <v/>
      </c>
      <c r="C23" s="359">
        <f>IF(IFERROR(INDEX(Sales!F:F,$Z$23),"")="","",IFERROR(INDEX(Sales!F:F,$Z$23),""))</f>
        <v/>
      </c>
      <c r="D23" s="360">
        <f>IF(IFERROR(INDEX(Sales!S:S,$Z$23),"")="","",IFERROR(INDEX(Sales!S:S,$Z$23),""))</f>
        <v/>
      </c>
      <c r="E23" s="361">
        <f>IF(IFERROR(INDEX(Sales!R:R,$Z$23),"")="","",IFERROR(VLOOKUP(IFERROR(INDEX(Sales!R:R,$Z$23),""),[0]!GRADE,2),IFERROR(INDEX(Sales!R:R,$Z$23),"")))</f>
        <v/>
      </c>
      <c r="F23" s="626">
        <f>IF(IFERROR(INDEX(Sales!I:I,$Z$23),"")="","",IFERROR(INDEX(Sales!I:I,$Z$23),""))</f>
        <v/>
      </c>
      <c r="G23" s="627">
        <f>IF(IFERROR(INDEX(Sales!H:H,$Z$23),"")="","",IFERROR(INDEX(Sales!H:H,$Z$23),""))</f>
        <v/>
      </c>
      <c r="H23" s="627">
        <f>IF(IFERROR(INDEX(Sales!AC:AC,$Z$23),"")="","",+IFERROR(INDEX(Sales!AC:AC,$Z$23),""))</f>
        <v/>
      </c>
      <c r="Y23" s="200" t="n">
        <v>2</v>
      </c>
      <c r="Z23">
        <f>IFERROR(MATCH(_xlfn.AGGREGATE(15,6,Sales!$AJ$2:$AJ$941,$Y$23),Sales!$AJ$2:$AJ$941,0)+1,"")</f>
        <v/>
      </c>
    </row>
    <row r="24" ht="12" customHeight="1" s="518">
      <c r="A24" s="353" t="inlineStr">
        <is>
          <t>Best Match #2</t>
        </is>
      </c>
      <c r="B24" s="358">
        <f>IF(IFERROR(INDEX(Sales!D:D,$Z$23),"")="","",+" "&amp;IFERROR(INDEX(Sales!D:D,$Z$23),""))</f>
        <v/>
      </c>
      <c r="C24" s="359">
        <f>IF(IFERROR(INDEX(Sales!P:P,$Z$23),"")="","",IFERROR(INDEX(Sales!P:P,$Z$23),""))</f>
        <v/>
      </c>
      <c r="D24" s="360">
        <f>IF(IFERROR(INDEX(Sales!T:T,$Z$23),"")="","",IFERROR(INDEX(Sales!T:T,$Z$23),""))</f>
        <v/>
      </c>
      <c r="E24" s="361">
        <f>IF(IFERROR(INDEX(Sales!U:U,$Z$23),"")="","",IFERROR(VLOOKUP(IFERROR(INDEX(Sales!U:U,$Z$23),""),Codes!$A$12:$B$16,2),IFERROR(INDEX(Sales!U:U,$Z$23),"")))</f>
        <v/>
      </c>
      <c r="F24" s="628">
        <f>IF(IFERROR(INDEX(Sales!Y:Y,$Z$23),"")="","",IFERROR(INDEX(Sales!Y:Y,$Z$23),""))</f>
        <v/>
      </c>
      <c r="G24" s="623" t="n"/>
      <c r="H24" s="627">
        <f>IF(IFERROR(INDEX(Sales!AB:AB,$Z$23),"")="","",IFERROR(INDEX(Sales!AB:AB,$Z$23),""))</f>
        <v/>
      </c>
    </row>
    <row r="25" ht="12" customHeight="1" s="518">
      <c r="A25" s="326" t="n"/>
      <c r="B25" s="358">
        <f>IF(IFERROR(INDEX(Sales!E:E,$Z$23),"")="","",+" "&amp;IFERROR(VLOOKUP(IFERROR(INDEX(Sales!E:E,$Z$23),""),[0]!Class,2),IFERROR(INDEX(Sales!E:E,$Z$23),"")))</f>
        <v/>
      </c>
      <c r="C25" s="359">
        <f>IF(IFERROR(INDEX(Sales!M:M,$Z$23),"")="","",IFERROR(INDEX(Sales!M:M,$Z$23),""))</f>
        <v/>
      </c>
      <c r="D25" s="360">
        <f>IF(IFERROR(INDEX(Sales!L:L,$Z$23),"")="","",IFERROR(INDEX(Sales!L:L,$Z$23),""))</f>
        <v/>
      </c>
      <c r="E25" s="361">
        <f>IF(IFERROR(INDEX(Sales!V:V,$Z$23),"")="","",IFERROR(VLOOKUP(IFERROR(INDEX(Sales!V:V,$Z$23),""),Codes!$A$1:$B$5,2),IFERROR(INDEX(Sales!V:V,$Z$23),"")))</f>
        <v/>
      </c>
      <c r="F25" s="628">
        <f>IF(IFERROR(INDEX(Sales!AA:AA,$Z$23),"")="","",IFERROR(INDEX(Sales!AA:AA,$Z$23),""))</f>
        <v/>
      </c>
      <c r="G25" s="624">
        <f>IF(G23="","",ROUND(G23*(1+G24),2))</f>
        <v/>
      </c>
      <c r="H25" s="625">
        <f>IF(G25="","",IF(Subj_Basis="Per SF",ROUND(G25*$D$13,-2),IFERROR(ROUND(INDEX(Sales!$AK:$AK,$Z$23)*(1+N(G24))*Subj_Units1,-2),ROUND(G25*$D$13,-2))))</f>
        <v/>
      </c>
    </row>
    <row r="26" ht="12" customHeight="1" s="518">
      <c r="A26" s="326" t="n"/>
      <c r="B26" s="348">
        <f>IF(IFERROR(INDEX(Sales!C:C,$Z$26),"")="","",+" "&amp;IFERROR(INDEX(Sales!C:C,$Z$26),""))</f>
        <v/>
      </c>
      <c r="C26" s="349">
        <f>IF(IFERROR(INDEX(Sales!F:F,$Z$26),"")="","",IFERROR(INDEX(Sales!F:F,$Z$26),""))</f>
        <v/>
      </c>
      <c r="D26" s="350">
        <f>IF(IFERROR(INDEX(Sales!S:S,$Z$26),"")="","",IFERROR(INDEX(Sales!S:S,$Z$26),""))</f>
        <v/>
      </c>
      <c r="E26" s="351">
        <f>IF(IFERROR(INDEX(Sales!R:R,$Z$26),"")="","",IFERROR(VLOOKUP(IFERROR(INDEX(Sales!R:R,$Z$26),""),[0]!GRADE,2),IFERROR(INDEX(Sales!R:R,$Z$26),"")))</f>
        <v/>
      </c>
      <c r="F26" s="621">
        <f>IF(IFERROR(INDEX(Sales!I:I,$Z$26),"")="","",IFERROR(INDEX(Sales!I:I,$Z$26),""))</f>
        <v/>
      </c>
      <c r="G26" s="619">
        <f>IF(IFERROR(INDEX(Sales!H:H,$Z$26),"")="","",IFERROR(INDEX(Sales!H:H,$Z$26),""))</f>
        <v/>
      </c>
      <c r="H26" s="619">
        <f>IF(IFERROR(INDEX(Sales!AC:AC,$Z$26),"")="","",+IFERROR(INDEX(Sales!AC:AC,$Z$26),""))</f>
        <v/>
      </c>
      <c r="Y26" s="200" t="n">
        <v>3</v>
      </c>
      <c r="Z26">
        <f>IFERROR(MATCH(_xlfn.AGGREGATE(15,6,Sales!$AJ$2:$AJ$941,$Y$26),Sales!$AJ$2:$AJ$941,0)+1,"")</f>
        <v/>
      </c>
    </row>
    <row r="27" ht="12" customHeight="1" s="518">
      <c r="A27" s="353" t="inlineStr">
        <is>
          <t>Best Match #3</t>
        </is>
      </c>
      <c r="B27" s="348">
        <f>IF(IFERROR(INDEX(Sales!D:D,$Z$26),"")="","",+" "&amp;IFERROR(INDEX(Sales!D:D,$Z$26),""))</f>
        <v/>
      </c>
      <c r="C27" s="349">
        <f>IF(IFERROR(INDEX(Sales!P:P,$Z$26),"")="","",IFERROR(INDEX(Sales!P:P,$Z$26),""))</f>
        <v/>
      </c>
      <c r="D27" s="350">
        <f>IF(IFERROR(INDEX(Sales!T:T,$Z$26),"")="","",IFERROR(INDEX(Sales!T:T,$Z$26),""))</f>
        <v/>
      </c>
      <c r="E27" s="351">
        <f>IF(IFERROR(INDEX(Sales!U:U,$Z$26),"")="","",IFERROR(VLOOKUP(IFERROR(INDEX(Sales!U:U,$Z$26),""),Codes!$A$12:$B$16,2),IFERROR(INDEX(Sales!U:U,$Z$26),"")))</f>
        <v/>
      </c>
      <c r="F27" s="622">
        <f>IF(IFERROR(INDEX(Sales!Y:Y,$Z$26),"")="","",IFERROR(INDEX(Sales!Y:Y,$Z$26),""))</f>
        <v/>
      </c>
      <c r="G27" s="623" t="n"/>
      <c r="H27" s="619">
        <f>IF(IFERROR(INDEX(Sales!AB:AB,$Z$26),"")="","",IFERROR(INDEX(Sales!AB:AB,$Z$26),""))</f>
        <v/>
      </c>
    </row>
    <row r="28" ht="12" customHeight="1" s="518" thickBot="1">
      <c r="A28" s="326" t="n"/>
      <c r="B28" s="348">
        <f>IF(IFERROR(INDEX(Sales!E:E,$Z$26),"")="","",+" "&amp;IFERROR(VLOOKUP(IFERROR(INDEX(Sales!E:E,$Z$26),""),[0]!Class,2),IFERROR(INDEX(Sales!E:E,$Z$26),"")))</f>
        <v/>
      </c>
      <c r="C28" s="349">
        <f>IF(IFERROR(INDEX(Sales!M:M,$Z$26),"")="","",IFERROR(INDEX(Sales!M:M,$Z$26),""))</f>
        <v/>
      </c>
      <c r="D28" s="350">
        <f>IF(IFERROR(INDEX(Sales!L:L,$Z$26),"")="","",IFERROR(INDEX(Sales!L:L,$Z$26),""))</f>
        <v/>
      </c>
      <c r="E28" s="351">
        <f>IF(IFERROR(INDEX(Sales!V:V,$Z$26),"")="","",IFERROR(VLOOKUP(IFERROR(INDEX(Sales!V:V,$Z$26),""),Codes!$A$1:$B$5,2),IFERROR(INDEX(Sales!V:V,$Z$26),"")))</f>
        <v/>
      </c>
      <c r="F28" s="622">
        <f>IF(IFERROR(INDEX(Sales!AA:AA,$Z$26),"")="","",IFERROR(INDEX(Sales!AA:AA,$Z$26),""))</f>
        <v/>
      </c>
      <c r="G28" s="624">
        <f>IF(G26="","",ROUND(G26*(1+G27),2))</f>
        <v/>
      </c>
      <c r="H28" s="625">
        <f>IF(G28="","",IF(Subj_Basis="Per SF",ROUND(G28*$D$13,-2),IFERROR(ROUND(INDEX(Sales!$AK:$AK,$Z$26)*(1+N(G27))*Subj_Units1,-2),ROUND(G28*$D$13,-2))))</f>
        <v/>
      </c>
    </row>
    <row r="29" ht="10.25" customHeight="1" s="518" thickBot="1" thickTop="1"/>
    <row r="30" ht="17" customHeight="1" s="518" thickTop="1">
      <c r="A30" s="365" t="inlineStr">
        <is>
          <t>MARKET SALE REMARKS</t>
        </is>
      </c>
      <c r="B30" s="366" t="n"/>
      <c r="C30" s="366" t="n"/>
      <c r="D30" s="366" t="n"/>
      <c r="E30" s="366" t="n"/>
      <c r="F30" s="366" t="n"/>
      <c r="G30" s="366" t="n"/>
      <c r="H30" s="367" t="n"/>
    </row>
    <row r="31" ht="12" customHeight="1" s="518">
      <c r="A31" s="526" t="n"/>
      <c r="B31" s="527" t="n"/>
      <c r="C31" s="527" t="n"/>
      <c r="D31" s="527" t="n"/>
      <c r="E31" s="527" t="n"/>
      <c r="F31" s="527" t="n"/>
      <c r="G31" s="527" t="n"/>
      <c r="H31" s="528" t="n"/>
    </row>
    <row r="32" ht="12" customHeight="1" s="518">
      <c r="A32" s="529" t="n"/>
      <c r="B32" s="530" t="n"/>
      <c r="C32" s="530" t="n"/>
      <c r="D32" s="530" t="n"/>
      <c r="E32" s="530" t="n"/>
      <c r="F32" s="530" t="n"/>
      <c r="G32" s="530" t="n"/>
      <c r="H32" s="531" t="n"/>
    </row>
    <row r="33" ht="12" customHeight="1" s="518">
      <c r="A33" s="529" t="n"/>
      <c r="B33" s="530" t="n"/>
      <c r="C33" s="530" t="n"/>
      <c r="D33" s="530" t="n"/>
      <c r="E33" s="530" t="n"/>
      <c r="F33" s="530" t="n"/>
      <c r="G33" s="530" t="n"/>
      <c r="H33" s="531" t="n"/>
    </row>
    <row r="34" ht="12" customHeight="1" s="518" thickBot="1">
      <c r="A34" s="532" t="n"/>
      <c r="B34" s="533" t="n"/>
      <c r="C34" s="533" t="n"/>
      <c r="D34" s="533" t="n"/>
      <c r="E34" s="533" t="n"/>
      <c r="F34" s="533" t="n"/>
      <c r="G34" s="533" t="n"/>
      <c r="H34" s="534" t="n"/>
    </row>
    <row r="35" ht="12" customHeight="1" s="518" thickBot="1" thickTop="1"/>
    <row r="36" ht="17" customHeight="1" s="518" thickTop="1">
      <c r="A36" s="328" t="inlineStr">
        <is>
          <t>RENT  COMPARABLE  INFORMATION</t>
        </is>
      </c>
      <c r="B36" s="329" t="n"/>
      <c r="C36" s="329" t="n"/>
      <c r="D36" s="329" t="n"/>
      <c r="E36" s="329" t="n"/>
      <c r="F36" s="329" t="n"/>
      <c r="G36" s="367" t="n"/>
      <c r="H36" s="368" t="n"/>
    </row>
    <row r="37" ht="12" customHeight="1" s="518">
      <c r="A37" s="331" t="n"/>
      <c r="B37" s="331" t="inlineStr">
        <is>
          <t xml:space="preserve"> Source of Information</t>
        </is>
      </c>
      <c r="C37" s="331" t="inlineStr">
        <is>
          <t>Ngbh</t>
        </is>
      </c>
      <c r="D37" s="331" t="inlineStr">
        <is>
          <t xml:space="preserve">Land Area </t>
        </is>
      </c>
      <c r="E37" s="331" t="inlineStr">
        <is>
          <t>Quality</t>
        </is>
      </c>
      <c r="F37" s="331">
        <f>"Rent / "&amp;IF(Subj_Basis="Per Unit","Unit",IF(Subj_Basis="Per Key","Key","Sq Ft"))</f>
        <v/>
      </c>
      <c r="G37" s="331" t="n"/>
      <c r="H37" s="331" t="n"/>
    </row>
    <row r="38" ht="12" customHeight="1" s="518">
      <c r="A38" s="331" t="n"/>
      <c r="B38" s="331" t="inlineStr">
        <is>
          <t xml:space="preserve">  Location</t>
        </is>
      </c>
      <c r="C38" s="331" t="inlineStr">
        <is>
          <t>Zone</t>
        </is>
      </c>
      <c r="D38" s="331" t="inlineStr">
        <is>
          <t xml:space="preserve">L : B  Ratio </t>
        </is>
      </c>
      <c r="E38" s="331" t="n"/>
      <c r="F38" s="331" t="inlineStr">
        <is>
          <t>Vacancy</t>
        </is>
      </c>
      <c r="G38" s="331" t="inlineStr">
        <is>
          <t xml:space="preserve">Net Adjustments </t>
        </is>
      </c>
      <c r="H38" s="331" t="n"/>
    </row>
    <row r="39" ht="12" customHeight="1" s="518">
      <c r="A39" s="331" t="inlineStr">
        <is>
          <t>#</t>
        </is>
      </c>
      <c r="B39" s="331" t="inlineStr">
        <is>
          <t xml:space="preserve"> Property Type</t>
        </is>
      </c>
      <c r="C39" s="331" t="inlineStr">
        <is>
          <t>YOC</t>
        </is>
      </c>
      <c r="D39" s="331" t="inlineStr">
        <is>
          <t xml:space="preserve">Building Area </t>
        </is>
      </c>
      <c r="E39" s="331" t="n"/>
      <c r="F39" s="331" t="inlineStr">
        <is>
          <t>Expense Ratio</t>
        </is>
      </c>
      <c r="G39" s="331" t="inlineStr">
        <is>
          <t xml:space="preserve">Adjusted Rent </t>
        </is>
      </c>
      <c r="H39" s="331" t="n"/>
    </row>
    <row r="40" ht="12" customHeight="1" s="518">
      <c r="A40" s="326" t="n"/>
      <c r="B40" s="348">
        <f>IF(Income!E2="","",+Income!E2)</f>
        <v/>
      </c>
      <c r="C40" s="349">
        <f>IF(Income!H2="","",IF(Income!H2&gt;9100,+Income!H2,+"            "&amp;Income!H2))</f>
        <v/>
      </c>
      <c r="D40" s="350">
        <f>IF(Income!W2="","",Income!W2)</f>
        <v/>
      </c>
      <c r="E40" s="351">
        <f>IF(Income!Z2="","",VLOOKUP(LEFT(Income!Z2,1),[0]!GRADE,2))</f>
        <v/>
      </c>
      <c r="F40" s="619">
        <f>IF(Subj_Basis="Per SF",IF(Income!K2="","",Income!K2),IF(N(Income!AL2)&gt;0,Income!AL2,IF(Income!K2="","",Income!K2)))</f>
        <v/>
      </c>
      <c r="G40" s="338" t="n"/>
      <c r="H40" s="326" t="n"/>
    </row>
    <row r="41" ht="12" customHeight="1" s="518">
      <c r="A41" s="353" t="inlineStr">
        <is>
          <t>1</t>
        </is>
      </c>
      <c r="B41" s="348">
        <f>IF(Income!H2="","",+" "&amp;VLOOKUP(Income!H2,Codes!$G$1:$H$68,2))</f>
        <v/>
      </c>
      <c r="C41" s="349">
        <f>IF(Income!T2="","",Income!T2)</f>
        <v/>
      </c>
      <c r="D41" s="369">
        <f>IF(Income!X2="","",TEXT(Income!X2,"0.00"))</f>
        <v/>
      </c>
      <c r="E41" s="370" t="n"/>
      <c r="F41" s="371">
        <f>IF(Income!L2="","",Income!L2)</f>
        <v/>
      </c>
      <c r="G41" s="623" t="n"/>
      <c r="H41" s="326" t="n"/>
    </row>
    <row r="42" ht="12" customHeight="1" s="518">
      <c r="A42" s="326" t="n"/>
      <c r="B42" s="348">
        <f>IF(Income!G2="","",+" "&amp;VLOOKUP(Income!G2,[0]!Class,2))</f>
        <v/>
      </c>
      <c r="C42" s="349">
        <f>IF(Income!N2="","",Income!N2)</f>
        <v/>
      </c>
      <c r="D42" s="350">
        <f>IF(Income!Y2="","",Income!Y2)</f>
        <v/>
      </c>
      <c r="E42" s="370" t="n"/>
      <c r="F42" s="371">
        <f>IF(Income!M2="","",Income!M2)</f>
        <v/>
      </c>
      <c r="G42" s="624">
        <f>IF(F40="","",ROUND(F40*(1+G41),2))</f>
        <v/>
      </c>
      <c r="H42" s="326" t="n"/>
    </row>
    <row r="43" ht="12" customHeight="1" s="518">
      <c r="A43" s="326" t="n"/>
      <c r="B43" s="358">
        <f>IF(Income!E3="","",+Income!E3)</f>
        <v/>
      </c>
      <c r="C43" s="359">
        <f>IF(Income!H3="","",IF(Income!H3&gt;9100,+Income!H3,+"            "&amp;Income!H3))</f>
        <v/>
      </c>
      <c r="D43" s="360">
        <f>IF(Income!W3="","",Income!W3)</f>
        <v/>
      </c>
      <c r="E43" s="361">
        <f>IF(Income!Z3="","",VLOOKUP(LEFT(Income!Z3,1),[0]!GRADE,2))</f>
        <v/>
      </c>
      <c r="F43" s="627">
        <f>IF(Subj_Basis="Per SF",IF(Income!K3="","",Income!K3),IF(N(Income!AL3)&gt;0,Income!AL3,IF(Income!K3="","",Income!K3)))</f>
        <v/>
      </c>
      <c r="G43" s="338" t="n"/>
      <c r="H43" s="326" t="n"/>
    </row>
    <row r="44" ht="12" customHeight="1" s="518">
      <c r="A44" s="353" t="inlineStr">
        <is>
          <t>2</t>
        </is>
      </c>
      <c r="B44" s="358">
        <f>IF(Income!H3="","",+" "&amp;VLOOKUP(Income!H3,Codes!$G$1:$H$68,2))</f>
        <v/>
      </c>
      <c r="C44" s="359">
        <f>IF(Income!T3="","",Income!T3)</f>
        <v/>
      </c>
      <c r="D44" s="372">
        <f>IF(Income!X3="","",TEXT(Income!X3,"0.00"))</f>
        <v/>
      </c>
      <c r="E44" s="370" t="n"/>
      <c r="F44" s="373">
        <f>IF(Income!L3="","",Income!L3)</f>
        <v/>
      </c>
      <c r="G44" s="623" t="n"/>
      <c r="H44" s="326" t="n"/>
    </row>
    <row r="45" ht="12" customHeight="1" s="518">
      <c r="A45" s="326" t="n"/>
      <c r="B45" s="358">
        <f>IF(Income!G3="","",+" "&amp;VLOOKUP(Income!G3,[0]!Class,2))</f>
        <v/>
      </c>
      <c r="C45" s="359">
        <f>IF(Income!N3="","",Income!N3)</f>
        <v/>
      </c>
      <c r="D45" s="360">
        <f>IF(Income!Y3="","",Income!Y3)</f>
        <v/>
      </c>
      <c r="E45" s="370" t="n"/>
      <c r="F45" s="373">
        <f>IF(Income!M3="","",Income!M3)</f>
        <v/>
      </c>
      <c r="G45" s="624">
        <f>IF(F43="","",ROUND(F43*(1+G44),2))</f>
        <v/>
      </c>
      <c r="H45" s="326" t="n"/>
    </row>
    <row r="46" ht="12" customHeight="1" s="518">
      <c r="A46" s="326" t="n"/>
      <c r="B46" s="348">
        <f>IF(Income!E4="","",+Income!E4)</f>
        <v/>
      </c>
      <c r="C46" s="349">
        <f>IF(Income!H4="","",IF(Income!H4&gt;9100,+Income!H4,+"            "&amp;Income!H4))</f>
        <v/>
      </c>
      <c r="D46" s="350">
        <f>IF(Income!W4="","",Income!W4)</f>
        <v/>
      </c>
      <c r="E46" s="351">
        <f>IF(Income!Z4="","",VLOOKUP(LEFT(Income!Z4,1),[0]!GRADE,2))</f>
        <v/>
      </c>
      <c r="F46" s="619">
        <f>IF(Subj_Basis="Per SF",IF(Income!K4="","",Income!K4),IF(N(Income!AL4)&gt;0,Income!AL4,IF(Income!K4="","",Income!K4)))</f>
        <v/>
      </c>
      <c r="G46" s="338" t="n"/>
      <c r="H46" s="326" t="n"/>
    </row>
    <row r="47" ht="12" customHeight="1" s="518">
      <c r="A47" s="353" t="inlineStr">
        <is>
          <t>3</t>
        </is>
      </c>
      <c r="B47" s="348">
        <f>IF(Income!H4="","",+" "&amp;VLOOKUP(Income!H4,Codes!$G$1:$H$68,2))</f>
        <v/>
      </c>
      <c r="C47" s="349">
        <f>IF(Income!T4="","",Income!T4)</f>
        <v/>
      </c>
      <c r="D47" s="369">
        <f>IF(Income!X4="","",TEXT(Income!X4,"0.00"))</f>
        <v/>
      </c>
      <c r="E47" s="370" t="n"/>
      <c r="F47" s="371">
        <f>IF(Income!L4="","",Income!L4)</f>
        <v/>
      </c>
      <c r="G47" s="623" t="n"/>
      <c r="H47" s="326" t="n"/>
    </row>
    <row r="48" ht="12" customHeight="1" s="518" thickBot="1">
      <c r="A48" s="326" t="n"/>
      <c r="B48" s="348">
        <f>IF(Income!G4="","",+" "&amp;VLOOKUP(Income!G4,[0]!Class,2))</f>
        <v/>
      </c>
      <c r="C48" s="349">
        <f>IF(Income!N4="","",Income!N4)</f>
        <v/>
      </c>
      <c r="D48" s="350">
        <f>IF(Income!Y4="","",Income!Y4)</f>
        <v/>
      </c>
      <c r="E48" s="370" t="n"/>
      <c r="F48" s="371">
        <f>IF(Income!M4="","",Income!M4)</f>
        <v/>
      </c>
      <c r="G48" s="624">
        <f>IF(F46="","",ROUND(F46*(1+G47),2))</f>
        <v/>
      </c>
      <c r="H48" s="326" t="n"/>
    </row>
    <row r="49" ht="11.25" customHeight="1" s="518" thickTop="1"/>
    <row r="50" ht="11.25" customHeight="1" s="518" thickBot="1"/>
    <row r="51" ht="17" customHeight="1" s="518" thickTop="1">
      <c r="A51" s="365" t="inlineStr">
        <is>
          <t>RENT COMPARABLE REMARKS</t>
        </is>
      </c>
      <c r="B51" s="366" t="n"/>
      <c r="C51" s="366" t="n"/>
      <c r="D51" s="366" t="n"/>
      <c r="E51" s="366" t="n"/>
      <c r="F51" s="366" t="n"/>
      <c r="G51" s="366" t="n"/>
      <c r="H51" s="367" t="n"/>
    </row>
    <row r="52" ht="12" customHeight="1" s="518">
      <c r="A52" s="526" t="n"/>
      <c r="B52" s="527" t="n"/>
      <c r="C52" s="527" t="n"/>
      <c r="D52" s="527" t="n"/>
      <c r="E52" s="527" t="n"/>
      <c r="F52" s="527" t="n"/>
      <c r="G52" s="527" t="n"/>
      <c r="H52" s="528" t="n"/>
    </row>
    <row r="53" ht="12" customHeight="1" s="518">
      <c r="A53" s="529" t="n"/>
      <c r="B53" s="530" t="n"/>
      <c r="C53" s="530" t="n"/>
      <c r="D53" s="530" t="n"/>
      <c r="E53" s="530" t="n"/>
      <c r="F53" s="530" t="n"/>
      <c r="G53" s="530" t="n"/>
      <c r="H53" s="531" t="n"/>
    </row>
    <row r="54" ht="12" customHeight="1" s="518">
      <c r="A54" s="529" t="n"/>
      <c r="B54" s="530" t="n"/>
      <c r="C54" s="530" t="n"/>
      <c r="D54" s="530" t="n"/>
      <c r="E54" s="530" t="n"/>
      <c r="F54" s="530" t="n"/>
      <c r="G54" s="530" t="n"/>
      <c r="H54" s="531" t="n"/>
    </row>
    <row r="55" ht="12" customHeight="1" s="518" thickBot="1">
      <c r="A55" s="532" t="n"/>
      <c r="B55" s="533" t="n"/>
      <c r="C55" s="533" t="n"/>
      <c r="D55" s="533" t="n"/>
      <c r="E55" s="533" t="n"/>
      <c r="F55" s="533" t="n"/>
      <c r="G55" s="533" t="n"/>
      <c r="H55" s="534" t="n"/>
    </row>
    <row r="56" ht="5" customHeight="1" s="518" thickTop="1"/>
  </sheetData>
  <mergeCells count="2">
    <mergeCell ref="A52:H55"/>
    <mergeCell ref="A31:H34"/>
  </mergeCells>
  <printOptions horizontalCentered="1" verticalCentered="1"/>
  <pageMargins left="0.5" right="0.25" top="0.25" bottom="0.25" header="0.5" footer="0.5"/>
  <pageSetup orientation="landscape" scale="77" fitToHeight="0"/>
  <legacyDrawing xmlns:r="http://schemas.openxmlformats.org/officeDocument/2006/relationships" r:id="anysvml"/>
</worksheet>
</file>

<file path=xl/worksheets/sheet5.xml><?xml version="1.0" encoding="utf-8"?>
<worksheet xmlns="http://schemas.openxmlformats.org/spreadsheetml/2006/main">
  <sheetPr codeName="Sheet5">
    <tabColor rgb="FF1F4E78"/>
    <outlinePr summaryBelow="1" summaryRight="1"/>
    <pageSetUpPr fitToPage="1"/>
  </sheetPr>
  <dimension ref="A1:Z39"/>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width="12" customWidth="1" style="113" min="1" max="1"/>
    <col width="20" customWidth="1" style="113" min="2" max="3"/>
    <col width="22" customWidth="1" style="113" min="4" max="4"/>
    <col width="20" customWidth="1" style="113" min="5" max="5"/>
    <col width="19" customWidth="1" style="113" min="6" max="6"/>
    <col width="10" customWidth="1" style="113" min="7" max="7"/>
    <col width="11" bestFit="1" customWidth="1" style="113" min="8" max="8"/>
    <col width="19" customWidth="1" style="113" min="9" max="9"/>
    <col width="18.19921875" customWidth="1" style="113" min="10" max="10"/>
    <col width="13.59765625" customWidth="1" style="113" min="11" max="11"/>
    <col width="13.59765625" customWidth="1" style="113" min="12" max="24"/>
    <col hidden="1" width="6" customWidth="1" style="518" min="25" max="25"/>
    <col hidden="1" width="13" customWidth="1" style="518" min="26" max="26"/>
    <col width="13.59765625" customWidth="1" style="113" min="27" max="16384"/>
  </cols>
  <sheetData>
    <row r="1" ht="24" customHeight="1" s="518">
      <c r="A1" s="374" t="inlineStr">
        <is>
          <t>IMPROVED MARKET APPROACH</t>
        </is>
      </c>
      <c r="B1" s="374" t="n"/>
      <c r="C1" s="374" t="n"/>
      <c r="D1" s="374" t="n"/>
      <c r="E1" s="374" t="n"/>
      <c r="F1" s="374" t="n"/>
      <c r="G1" s="374" t="n"/>
      <c r="H1" s="374" t="n"/>
      <c r="I1" s="374" t="n"/>
      <c r="J1" s="198" t="n"/>
      <c r="K1" s="198" t="n"/>
    </row>
    <row r="3" ht="17" customHeight="1" s="518" thickBot="1">
      <c r="A3" s="375" t="inlineStr">
        <is>
          <t>SUBJECT</t>
        </is>
      </c>
      <c r="B3" s="375" t="n"/>
      <c r="C3" s="375" t="n"/>
      <c r="D3" s="375" t="n"/>
      <c r="E3" s="375" t="n"/>
      <c r="F3" s="375" t="n"/>
      <c r="G3" s="375" t="n"/>
      <c r="H3" s="375" t="n"/>
      <c r="I3" s="375" t="n"/>
    </row>
    <row r="4" ht="13.5" customHeight="1" s="518" thickTop="1">
      <c r="B4" s="376" t="inlineStr">
        <is>
          <t>Account Number</t>
        </is>
      </c>
      <c r="C4" s="376" t="inlineStr">
        <is>
          <t>Grantor</t>
        </is>
      </c>
      <c r="D4" s="376" t="inlineStr">
        <is>
          <t xml:space="preserve">Sale Price </t>
        </is>
      </c>
      <c r="E4" s="376" t="inlineStr">
        <is>
          <t>Location</t>
        </is>
      </c>
      <c r="F4" s="376" t="inlineStr">
        <is>
          <t>Age</t>
        </is>
      </c>
      <c r="G4" s="376" t="n"/>
      <c r="H4" s="376" t="n"/>
      <c r="I4" s="377" t="inlineStr">
        <is>
          <t>Value of the</t>
        </is>
      </c>
    </row>
    <row r="5">
      <c r="B5" s="376" t="inlineStr">
        <is>
          <t>Property Address</t>
        </is>
      </c>
      <c r="C5" s="376" t="inlineStr">
        <is>
          <t>Grantee</t>
        </is>
      </c>
      <c r="D5" s="376" t="inlineStr">
        <is>
          <t>Sale Price  / SF</t>
        </is>
      </c>
      <c r="E5" s="376" t="inlineStr">
        <is>
          <t>Land Size</t>
        </is>
      </c>
      <c r="F5" s="376" t="inlineStr">
        <is>
          <t>Quality</t>
        </is>
      </c>
      <c r="G5" s="376" t="n"/>
      <c r="H5" s="376" t="n"/>
      <c r="I5" s="377" t="inlineStr">
        <is>
          <t xml:space="preserve"> Subject/SF</t>
        </is>
      </c>
    </row>
    <row r="6">
      <c r="B6" s="376" t="inlineStr">
        <is>
          <t>Parcel Number</t>
        </is>
      </c>
      <c r="C6" s="376" t="inlineStr">
        <is>
          <t>Reception Number</t>
        </is>
      </c>
      <c r="D6" s="377" t="inlineStr">
        <is>
          <t>PP/Time/Mkt Cond</t>
        </is>
      </c>
      <c r="E6" s="376" t="inlineStr">
        <is>
          <t>L : B  Ratio</t>
        </is>
      </c>
      <c r="F6" s="377" t="inlineStr">
        <is>
          <t>Phy./Funct Rating</t>
        </is>
      </c>
      <c r="G6" s="377" t="n"/>
      <c r="H6" s="376" t="n"/>
      <c r="I6" s="377" t="inlineStr">
        <is>
          <t>Value</t>
        </is>
      </c>
    </row>
    <row r="7" ht="13.5" customHeight="1" s="518" thickBot="1">
      <c r="B7" s="377" t="inlineStr">
        <is>
          <t>Property Type</t>
        </is>
      </c>
      <c r="C7" s="376" t="inlineStr">
        <is>
          <t>Sale Date</t>
        </is>
      </c>
      <c r="D7" s="377" t="inlineStr">
        <is>
          <t>Adj S P  / SF</t>
        </is>
      </c>
      <c r="E7" s="376" t="inlineStr">
        <is>
          <t>Building Size</t>
        </is>
      </c>
      <c r="F7" s="376" t="inlineStr">
        <is>
          <t>Zoning</t>
        </is>
      </c>
      <c r="G7" s="376" t="inlineStr">
        <is>
          <t>Comments</t>
        </is>
      </c>
      <c r="H7" s="376" t="n"/>
      <c r="I7" s="377" t="inlineStr">
        <is>
          <t>of the Subject</t>
        </is>
      </c>
    </row>
    <row r="8" ht="14.25" customHeight="1" s="518" thickBot="1" thickTop="1">
      <c r="B8" s="326" t="n"/>
      <c r="C8" s="326" t="n"/>
      <c r="D8" s="326" t="n"/>
      <c r="E8" s="326" t="n"/>
      <c r="F8" s="326" t="n"/>
      <c r="G8" s="326" t="n"/>
      <c r="H8" s="326" t="n"/>
      <c r="I8" s="326" t="n"/>
    </row>
    <row r="9" ht="13.5" customHeight="1" s="518" thickTop="1">
      <c r="B9" s="378" t="n"/>
      <c r="C9" s="378" t="n"/>
      <c r="D9" s="629" t="n"/>
      <c r="E9" s="380" t="n"/>
      <c r="F9" s="380" t="n"/>
      <c r="G9" s="381" t="n"/>
      <c r="H9" s="381" t="n"/>
      <c r="I9" s="380" t="n"/>
    </row>
    <row r="10" ht="14" customHeight="1" s="518">
      <c r="B10" s="378" t="n"/>
      <c r="C10" s="378" t="n"/>
      <c r="D10" s="630">
        <f>D9/E12</f>
        <v/>
      </c>
      <c r="E10" s="383" t="n"/>
      <c r="F10" s="380" t="n"/>
      <c r="G10" s="381" t="n"/>
      <c r="H10" s="381" t="n"/>
      <c r="I10" s="631">
        <f>IF(E12="","",ROUND(I12/E12,2))</f>
        <v/>
      </c>
    </row>
    <row r="11" ht="14" customHeight="1" s="518">
      <c r="B11" s="385" t="n"/>
      <c r="C11" s="385" t="n"/>
      <c r="D11" s="629" t="n"/>
      <c r="E11" s="386" t="n"/>
      <c r="F11" s="380" t="n"/>
      <c r="G11" s="381" t="n"/>
      <c r="H11" s="381" t="n"/>
      <c r="I11" s="380" t="n"/>
    </row>
    <row r="12" ht="13.5" customHeight="1" s="518" thickBot="1">
      <c r="B12" s="378" t="n"/>
      <c r="C12" s="387" t="n"/>
      <c r="D12" s="632" t="n"/>
      <c r="E12" s="383" t="n"/>
      <c r="F12" s="380" t="n"/>
      <c r="G12" s="381" t="n"/>
      <c r="H12" s="381" t="n"/>
      <c r="I12" s="633" t="n"/>
    </row>
    <row r="13" ht="13.5" customHeight="1" s="518" thickTop="1">
      <c r="B13" s="326" t="n"/>
      <c r="C13" s="326" t="n"/>
      <c r="D13" s="326" t="n"/>
      <c r="E13" s="326" t="n"/>
      <c r="F13" s="326" t="n"/>
      <c r="G13" s="326" t="n"/>
      <c r="H13" s="326" t="n"/>
      <c r="I13" s="634" t="n"/>
    </row>
    <row r="14">
      <c r="I14" s="635" t="n"/>
    </row>
    <row r="15" ht="17" customHeight="1" s="518" thickBot="1">
      <c r="A15" s="375" t="inlineStr">
        <is>
          <t>COMPARABLE SALE PROPERTIES</t>
        </is>
      </c>
      <c r="B15" s="375" t="n"/>
      <c r="C15" s="375" t="n"/>
      <c r="D15" s="375" t="n"/>
      <c r="E15" s="375" t="n"/>
      <c r="F15" s="375" t="n"/>
      <c r="G15" s="375" t="n"/>
      <c r="H15" s="375" t="n"/>
      <c r="I15" s="375" t="n"/>
      <c r="J15" s="198" t="n"/>
      <c r="K15" s="198" t="n"/>
    </row>
    <row r="16" ht="13.5" customHeight="1" s="518" thickTop="1">
      <c r="A16" s="331" t="n"/>
      <c r="B16" s="376" t="inlineStr">
        <is>
          <t>Account Number</t>
        </is>
      </c>
      <c r="C16" s="376" t="inlineStr">
        <is>
          <t>Grantor</t>
        </is>
      </c>
      <c r="D16" s="376" t="inlineStr">
        <is>
          <t xml:space="preserve">Sale Price </t>
        </is>
      </c>
      <c r="E16" s="376" t="inlineStr">
        <is>
          <t>Location</t>
        </is>
      </c>
      <c r="F16" s="376" t="inlineStr">
        <is>
          <t>Age</t>
        </is>
      </c>
      <c r="G16" s="376" t="n"/>
      <c r="H16" s="376" t="n"/>
      <c r="I16" s="376" t="inlineStr">
        <is>
          <t>Indicated Value</t>
        </is>
      </c>
    </row>
    <row r="17">
      <c r="A17" s="331" t="n"/>
      <c r="B17" s="376" t="inlineStr">
        <is>
          <t>Property Address</t>
        </is>
      </c>
      <c r="C17" s="376" t="inlineStr">
        <is>
          <t>Grantee</t>
        </is>
      </c>
      <c r="D17" s="376" t="inlineStr">
        <is>
          <t>Sale Price  / SF</t>
        </is>
      </c>
      <c r="E17" s="376" t="inlineStr">
        <is>
          <t>Land Size</t>
        </is>
      </c>
      <c r="F17" s="376" t="inlineStr">
        <is>
          <t>Quality</t>
        </is>
      </c>
      <c r="G17" s="376" t="n"/>
      <c r="H17" s="376" t="inlineStr">
        <is>
          <t>Adjusted</t>
        </is>
      </c>
      <c r="I17" s="377" t="inlineStr">
        <is>
          <t>of the Subject/SF</t>
        </is>
      </c>
    </row>
    <row r="18">
      <c r="A18" s="331" t="n"/>
      <c r="B18" s="376" t="inlineStr">
        <is>
          <t>Parcel Number</t>
        </is>
      </c>
      <c r="C18" s="376" t="inlineStr">
        <is>
          <t>Reception Number</t>
        </is>
      </c>
      <c r="D18" s="377" t="inlineStr">
        <is>
          <t>PP/Time/Mkt Cond Adj</t>
        </is>
      </c>
      <c r="E18" s="376" t="inlineStr">
        <is>
          <t>L : B  Ratio</t>
        </is>
      </c>
      <c r="F18" s="377" t="inlineStr">
        <is>
          <t>Phy/Funct Rating</t>
        </is>
      </c>
      <c r="G18" s="377" t="inlineStr">
        <is>
          <t>Net</t>
        </is>
      </c>
      <c r="H18" s="376" t="inlineStr">
        <is>
          <t>Sale</t>
        </is>
      </c>
      <c r="I18" s="377" t="inlineStr">
        <is>
          <t>Indicated Value</t>
        </is>
      </c>
    </row>
    <row r="19" ht="13.5" customHeight="1" s="518" thickBot="1">
      <c r="A19" s="331" t="n"/>
      <c r="B19" s="377" t="inlineStr">
        <is>
          <t>Property Type</t>
        </is>
      </c>
      <c r="C19" s="376" t="inlineStr">
        <is>
          <t>Sale Date</t>
        </is>
      </c>
      <c r="D19" s="377" t="inlineStr">
        <is>
          <t>Adj S P  / SF</t>
        </is>
      </c>
      <c r="E19" s="376" t="inlineStr">
        <is>
          <t>Building Size/Keys</t>
        </is>
      </c>
      <c r="F19" s="376" t="inlineStr">
        <is>
          <t>Zoning</t>
        </is>
      </c>
      <c r="G19" s="377" t="inlineStr">
        <is>
          <t>Adj.</t>
        </is>
      </c>
      <c r="H19" s="376" t="inlineStr">
        <is>
          <t>Price/SF</t>
        </is>
      </c>
      <c r="I19" s="377" t="inlineStr">
        <is>
          <t>of the Subject</t>
        </is>
      </c>
    </row>
    <row r="20" ht="14.25" customHeight="1" s="518" thickBot="1" thickTop="1"/>
    <row r="21" ht="13.5" customHeight="1" s="518" thickTop="1">
      <c r="A21" s="535" t="inlineStr">
        <is>
          <t>Best Match #1</t>
        </is>
      </c>
      <c r="B21" s="391">
        <f>IF(IFERROR(INDEX(Sales!C:C,$Z$21),"")="","",+" "&amp;IFERROR(INDEX(Sales!C:C,$Z$21),""))</f>
        <v/>
      </c>
      <c r="C21" s="391">
        <f>IF(IFERROR(INDEX(Sales!AE:AE,$Z$21),"")="","",IFERROR(INDEX(Sales!AE:AE,$Z$21),""))</f>
        <v/>
      </c>
      <c r="D21" s="636">
        <f>IF(IFERROR(INDEX(Sales!AA:AA,$Z$21),"")="","",IFERROR(INDEX(Sales!AA:AA,$Z$21),""))</f>
        <v/>
      </c>
      <c r="E21" s="636">
        <f>IF(IFERROR(INDEX(Sales!F:F,$Z$21),"")="","",IFERROR(INDEX(Sales!F:F,$Z$21),""))</f>
        <v/>
      </c>
      <c r="F21" s="393">
        <f>IF(IFERROR(INDEX(Sales!M:M,$Z$21),"")="","",IFERROR(INDEX(Sales!M:M,$Z$21),""))</f>
        <v/>
      </c>
      <c r="G21" s="394" t="n"/>
      <c r="H21" s="395" t="n"/>
      <c r="I21" s="395" t="n"/>
      <c r="Y21" s="200" t="n">
        <v>1</v>
      </c>
      <c r="Z21">
        <f>IFERROR(MATCH(_xlfn.AGGREGATE(15,6,Sales!$AJ$2:$AJ$941,$Y$21),Sales!$AJ$2:$AJ$941,0)+1,"")</f>
        <v/>
      </c>
    </row>
    <row r="22" ht="14" customHeight="1" s="518">
      <c r="A22" s="536" t="n"/>
      <c r="B22" s="391">
        <f>IF(IFERROR(INDEX(Sales!D:D,$Z$21),"")="","",IFERROR(INDEX(Sales!D:D,$Z$21),""))</f>
        <v/>
      </c>
      <c r="C22" s="391">
        <f>IF(IFERROR(INDEX(Sales!AF:AF,$Z$21),"")="","",IFERROR(INDEX(Sales!AF:AF,$Z$21),""))</f>
        <v/>
      </c>
      <c r="D22" s="637">
        <f>IF(IFERROR(INDEX(Sales!H:H,$Z$21),"")="","",IFERROR(INDEX(Sales!H:H,$Z$21),""))</f>
        <v/>
      </c>
      <c r="E22" s="397">
        <f>IF(IFERROR(INDEX(Sales!S:S,$Z$21),"")="","",IFERROR(INDEX(Sales!S:S,$Z$21),""))</f>
        <v/>
      </c>
      <c r="F22" s="398">
        <f>IF(IFERROR(INDEX(Sales!R:R,$Z$21),"")="","",IFERROR(VLOOKUP(IFERROR(INDEX(Sales!R:R,$Z$21),""),[0]!GRADE,2),IFERROR(INDEX(Sales!R:R,$Z$21),"")))</f>
        <v/>
      </c>
      <c r="G22" s="395" t="n"/>
      <c r="H22" s="395" t="n"/>
      <c r="I22" s="638">
        <f>IF(H24="","",H24)</f>
        <v/>
      </c>
    </row>
    <row r="23" ht="14" customHeight="1" s="518">
      <c r="A23" s="536" t="n"/>
      <c r="B23" s="391">
        <f>IF(IFERROR(INDEX(Sales!AC:AC,$Z$21),"")="","",+IFERROR(INDEX(Sales!AC:AC,$Z$21),""))</f>
        <v/>
      </c>
      <c r="C23" s="391">
        <f>IF(IFERROR(INDEX(Sales!AD:AD,$Z$21),"")="","",IFERROR(INDEX(Sales!AD:AD,$Z$21),""))</f>
        <v/>
      </c>
      <c r="D23" s="639" t="n"/>
      <c r="E23" s="393">
        <f>IF(IFERROR(INDEX(Sales!T:T,$Z$21),"")="","",IFERROR(INDEX(Sales!T:T,$Z$21),""))</f>
        <v/>
      </c>
      <c r="F23" s="349">
        <f>IF(IFERROR(INDEX(Sales!V:V,$Z$21),"")="","",IFERROR(VLOOKUP(IFERROR(INDEX(Sales!V:V,$Z$21),""),Codes!$A$12:$B$16,2),IFERROR(INDEX(Sales!V:V,$Z$21),"")))</f>
        <v/>
      </c>
      <c r="G23" s="395" t="n"/>
      <c r="H23" s="395" t="n"/>
      <c r="I23" s="395" t="n"/>
    </row>
    <row r="24" ht="13.5" customHeight="1" s="518" thickBot="1">
      <c r="A24" s="537" t="n"/>
      <c r="B24" s="401">
        <f>IF(IFERROR(INDEX(Sales!E:E,$Z$21),"")="","",+" "&amp;IFERROR(VLOOKUP(IFERROR(INDEX(Sales!E:E,$Z$21),""),[0]!Class,2),IFERROR(INDEX(Sales!E:E,$Z$21),"")))</f>
        <v/>
      </c>
      <c r="C24" s="640">
        <f>IF(IFERROR(INDEX(Sales!I:I,$Z$21),"")="","",IFERROR(INDEX(Sales!I:I,$Z$21),""))</f>
        <v/>
      </c>
      <c r="D24" s="637">
        <f>IF(D21="","",ROUND((D21+D23)/E24,2))</f>
        <v/>
      </c>
      <c r="E24" s="397">
        <f>IF(IFERROR(INDEX(Sales!L:L,$Z$21),"")="","",IFERROR(INDEX(Sales!L:L,$Z$21),""))</f>
        <v/>
      </c>
      <c r="F24" s="393">
        <f>IF(IFERROR(INDEX(Sales!P:P,$Z$21),"")="","",IFERROR(INDEX(Sales!P:P,$Z$21),""))</f>
        <v/>
      </c>
      <c r="G24" s="641" t="n"/>
      <c r="H24" s="638">
        <f>IF(D24="","",ROUND(D24*(1+G24),2))</f>
        <v/>
      </c>
      <c r="I24" s="642">
        <f>IF(E12="","",ROUND(E12*H24,-2))</f>
        <v/>
      </c>
    </row>
    <row r="25" ht="14.25" customHeight="1" s="518" thickBot="1" thickTop="1">
      <c r="A25" s="114" t="n"/>
      <c r="G25" s="115" t="n"/>
      <c r="I25" s="643" t="n"/>
    </row>
    <row r="26" ht="13.5" customHeight="1" s="518" thickTop="1">
      <c r="A26" s="535" t="inlineStr">
        <is>
          <t>Best Match #2</t>
        </is>
      </c>
      <c r="B26" s="405">
        <f>IF(IFERROR(INDEX(Sales!C:C,$Z$26),"")="","",+" "&amp;IFERROR(INDEX(Sales!C:C,$Z$26),""))</f>
        <v/>
      </c>
      <c r="C26" s="405">
        <f>IF(IFERROR(INDEX(Sales!AE:AE,$Z$26),"")="","",IFERROR(INDEX(Sales!AE:AE,$Z$26),""))</f>
        <v/>
      </c>
      <c r="D26" s="644">
        <f>IF(IFERROR(INDEX(Sales!AA:AA,$Z$26),"")="","",IFERROR(INDEX(Sales!AA:AA,$Z$26),""))</f>
        <v/>
      </c>
      <c r="E26" s="644">
        <f>IF(IFERROR(INDEX(Sales!F:F,$Z$26),"")="","",IFERROR(INDEX(Sales!F:F,$Z$26),""))</f>
        <v/>
      </c>
      <c r="F26" s="407">
        <f>IF(IFERROR(INDEX(Sales!M:M,$Z$26),"")="","",IFERROR(INDEX(Sales!M:M,$Z$26),""))</f>
        <v/>
      </c>
      <c r="G26" s="408" t="n"/>
      <c r="H26" s="395" t="n"/>
      <c r="I26" s="395" t="n"/>
      <c r="Y26" s="200" t="n">
        <v>2</v>
      </c>
      <c r="Z26">
        <f>IFERROR(MATCH(_xlfn.AGGREGATE(15,6,Sales!$AJ$2:$AJ$941,$Y$26),Sales!$AJ$2:$AJ$941,0)+1,"")</f>
        <v/>
      </c>
    </row>
    <row r="27" ht="14" customHeight="1" s="518">
      <c r="A27" s="536" t="n"/>
      <c r="B27" s="405">
        <f>IF(IFERROR(INDEX(Sales!D:D,$Z$26),"")="","",IFERROR(INDEX(Sales!D:D,$Z$26),""))</f>
        <v/>
      </c>
      <c r="C27" s="405">
        <f>IF(IFERROR(INDEX(Sales!AF:AF,$Z$26),"")="","",IFERROR(INDEX(Sales!AF:AF,$Z$26),""))</f>
        <v/>
      </c>
      <c r="D27" s="645">
        <f>IF(IFERROR(INDEX(Sales!H:H,$Z$26),"")="","",IFERROR(INDEX(Sales!H:H,$Z$26),""))</f>
        <v/>
      </c>
      <c r="E27" s="410">
        <f>IF(IFERROR(INDEX(Sales!S:S,$Z$26),"")="","",IFERROR(INDEX(Sales!S:S,$Z$26),""))</f>
        <v/>
      </c>
      <c r="F27" s="407">
        <f>IF(IFERROR(INDEX(Sales!R:R,$Z$26),"")="","",IFERROR(VLOOKUP(IFERROR(INDEX(Sales!R:R,$Z$26),""),[0]!GRADE,2),IFERROR(INDEX(Sales!R:R,$Z$26),"")))</f>
        <v/>
      </c>
      <c r="G27" s="395" t="n"/>
      <c r="H27" s="395" t="n"/>
      <c r="I27" s="638">
        <f>IF(H29="","",H29)</f>
        <v/>
      </c>
    </row>
    <row r="28" ht="14" customHeight="1" s="518">
      <c r="A28" s="536" t="n"/>
      <c r="B28" s="405">
        <f>IF(IFERROR(INDEX(Sales!AC:AC,$Z$26),"")="","",+IFERROR(INDEX(Sales!AC:AC,$Z$26),""))</f>
        <v/>
      </c>
      <c r="C28" s="405">
        <f>IF(IFERROR(INDEX(Sales!AD:AD,$Z$26),"")="","",IFERROR(INDEX(Sales!AD:AD,$Z$26),""))</f>
        <v/>
      </c>
      <c r="D28" s="639" t="n"/>
      <c r="E28" s="407">
        <f>IF(IFERROR(INDEX(Sales!T:T,$Z$26),"")="","",IFERROR(INDEX(Sales!T:T,$Z$26),""))</f>
        <v/>
      </c>
      <c r="F28" s="407">
        <f>IF(IFERROR(INDEX(Sales!V:V,$Z$26),"")="","",IFERROR(VLOOKUP(IFERROR(INDEX(Sales!V:V,$Z$26),""),Codes!$A$12:$B$16,2),IFERROR(INDEX(Sales!V:V,$Z$26),"")))</f>
        <v/>
      </c>
      <c r="G28" s="395" t="n"/>
      <c r="H28" s="395" t="n"/>
      <c r="I28" s="395" t="n"/>
    </row>
    <row r="29" ht="13.5" customHeight="1" s="518" thickBot="1">
      <c r="A29" s="537" t="n"/>
      <c r="B29" s="411">
        <f>IF(IFERROR(INDEX(Sales!E:E,$Z$26),"")="","",+" "&amp;IFERROR(VLOOKUP(IFERROR(INDEX(Sales!E:E,$Z$26),""),[0]!Class,2),IFERROR(INDEX(Sales!E:E,$Z$26),"")))</f>
        <v/>
      </c>
      <c r="C29" s="646">
        <f>IF(IFERROR(INDEX(Sales!I:I,$Z$26),"")="","",IFERROR(INDEX(Sales!I:I,$Z$26),""))</f>
        <v/>
      </c>
      <c r="D29" s="645">
        <f>IF(D26="","",ROUND((D26+D28)/E29,2))</f>
        <v/>
      </c>
      <c r="E29" s="410">
        <f>IF(IFERROR(INDEX(Sales!L:L,$Z$26),"")="","",IFERROR(INDEX(Sales!L:L,$Z$26),""))</f>
        <v/>
      </c>
      <c r="F29" s="407">
        <f>IF(IFERROR(INDEX(Sales!P:P,$Z$26),"")="","",IFERROR(INDEX(Sales!P:P,$Z$26),""))</f>
        <v/>
      </c>
      <c r="G29" s="641" t="n"/>
      <c r="H29" s="638">
        <f>IF(D29="","",ROUND(D29*(1+G29),2))</f>
        <v/>
      </c>
      <c r="I29" s="642">
        <f>IF(E12="","",ROUND(E12*H29,-2))</f>
        <v/>
      </c>
    </row>
    <row r="30" ht="14.25" customHeight="1" s="518" thickBot="1" thickTop="1">
      <c r="A30" s="114" t="n"/>
      <c r="G30" s="115" t="n"/>
      <c r="I30" s="643" t="n"/>
    </row>
    <row r="31" ht="13.5" customHeight="1" s="518" thickTop="1">
      <c r="A31" s="535" t="inlineStr">
        <is>
          <t>Best Match #3</t>
        </is>
      </c>
      <c r="B31" s="391">
        <f>IF(IFERROR(INDEX(Sales!C:C,$Z$31),"")="","",+" "&amp;IFERROR(INDEX(Sales!C:C,$Z$31),""))</f>
        <v/>
      </c>
      <c r="C31" s="391">
        <f>IF(IFERROR(INDEX(Sales!AE:AE,$Z$31),"")="","",IFERROR(INDEX(Sales!AE:AE,$Z$31),""))</f>
        <v/>
      </c>
      <c r="D31" s="636">
        <f>IF(IFERROR(INDEX(Sales!AA:AA,$Z$31),"")="","",IFERROR(INDEX(Sales!AA:AA,$Z$31),""))</f>
        <v/>
      </c>
      <c r="E31" s="636">
        <f>IF(IFERROR(INDEX(Sales!F:F,$Z$31),"")="","",IFERROR(INDEX(Sales!F:F,$Z$31),""))</f>
        <v/>
      </c>
      <c r="F31" s="393">
        <f>IF(IFERROR(INDEX(Sales!M:M,$Z$31),"")="","",IFERROR(INDEX(Sales!M:M,$Z$31),""))</f>
        <v/>
      </c>
      <c r="G31" s="394" t="n"/>
      <c r="H31" s="395" t="n"/>
      <c r="I31" s="395" t="n"/>
      <c r="Y31" s="200" t="n">
        <v>3</v>
      </c>
      <c r="Z31">
        <f>IFERROR(MATCH(_xlfn.AGGREGATE(15,6,Sales!$AJ$2:$AJ$941,$Y$31),Sales!$AJ$2:$AJ$941,0)+1,"")</f>
        <v/>
      </c>
    </row>
    <row r="32" ht="14" customHeight="1" s="518">
      <c r="A32" s="536" t="n"/>
      <c r="B32" s="391">
        <f>IF(IFERROR(INDEX(Sales!D:D,$Z$31),"")="","",IFERROR(INDEX(Sales!D:D,$Z$31),""))</f>
        <v/>
      </c>
      <c r="C32" s="391">
        <f>IF(IFERROR(INDEX(Sales!AF:AF,$Z$31),"")="","",IFERROR(INDEX(Sales!AF:AF,$Z$31),""))</f>
        <v/>
      </c>
      <c r="D32" s="637">
        <f>IF(IFERROR(INDEX(Sales!H:H,$Z$31),"")="","",IFERROR(INDEX(Sales!H:H,$Z$31),""))</f>
        <v/>
      </c>
      <c r="E32" s="397">
        <f>IF(IFERROR(INDEX(Sales!S:S,$Z$31),"")="","",IFERROR(INDEX(Sales!S:S,$Z$31),""))</f>
        <v/>
      </c>
      <c r="F32" s="393">
        <f>IF(IFERROR(INDEX(Sales!R:R,$Z$31),"")="","",IFERROR(VLOOKUP(IFERROR(INDEX(Sales!R:R,$Z$31),""),[0]!GRADE,2),IFERROR(INDEX(Sales!R:R,$Z$31),"")))</f>
        <v/>
      </c>
      <c r="G32" s="395" t="n"/>
      <c r="H32" s="395" t="n"/>
      <c r="I32" s="638">
        <f>IF(H34="","",H34)</f>
        <v/>
      </c>
    </row>
    <row r="33" ht="14" customHeight="1" s="518">
      <c r="A33" s="536" t="n"/>
      <c r="B33" s="391">
        <f>IF(IFERROR(INDEX(Sales!AC:AC,$Z$31),"")="","",+IFERROR(INDEX(Sales!AC:AC,$Z$31),""))</f>
        <v/>
      </c>
      <c r="C33" s="391">
        <f>IF(IFERROR(INDEX(Sales!AD:AD,$Z$31),"")="","",IFERROR(INDEX(Sales!AD:AD,$Z$31),""))</f>
        <v/>
      </c>
      <c r="D33" s="639" t="n"/>
      <c r="E33" s="393">
        <f>IF(IFERROR(INDEX(Sales!T:T,$Z$31),"")="","",IFERROR(INDEX(Sales!T:T,$Z$31),""))</f>
        <v/>
      </c>
      <c r="F33" s="393">
        <f>IF(IFERROR(INDEX(Sales!V:V,$Z$31),"")="","",IFERROR(VLOOKUP(IFERROR(INDEX(Sales!V:V,$Z$31),""),Codes!$A$12:$B$16,2),IFERROR(INDEX(Sales!V:V,$Z$31),"")))</f>
        <v/>
      </c>
      <c r="G33" s="395" t="n"/>
      <c r="H33" s="395" t="n"/>
      <c r="I33" s="395" t="n"/>
      <c r="K33" s="643" t="n"/>
    </row>
    <row r="34" ht="13.5" customHeight="1" s="518" thickBot="1">
      <c r="A34" s="537" t="n"/>
      <c r="B34" s="401">
        <f>IF(IFERROR(INDEX(Sales!E:E,$Z$31),"")="","",+" "&amp;IFERROR(VLOOKUP(IFERROR(INDEX(Sales!E:E,$Z$31),""),[0]!Class,2),IFERROR(INDEX(Sales!E:E,$Z$31),"")))</f>
        <v/>
      </c>
      <c r="C34" s="640">
        <f>IF(IFERROR(INDEX(Sales!I:I,$Z$31),"")="","",IFERROR(INDEX(Sales!I:I,$Z$31),""))</f>
        <v/>
      </c>
      <c r="D34" s="637">
        <f>IF(D31="","",ROUND((D31+D33)/E34,2))</f>
        <v/>
      </c>
      <c r="E34" s="397">
        <f>IF(IFERROR(INDEX(Sales!L:L,$Z$31),"")="","",IFERROR(INDEX(Sales!L:L,$Z$31),""))</f>
        <v/>
      </c>
      <c r="F34" s="393">
        <f>IF(IFERROR(INDEX(Sales!P:P,$Z$31),"")="","",IFERROR(INDEX(Sales!P:P,$Z$31),""))</f>
        <v/>
      </c>
      <c r="G34" s="641" t="n"/>
      <c r="H34" s="638">
        <f>IF(D34="","",ROUND(D34*(1+G34),2))</f>
        <v/>
      </c>
      <c r="I34" s="642">
        <f>IF(E12="","",ROUND(E12*H34,-2))</f>
        <v/>
      </c>
    </row>
    <row r="35" ht="14.25" customHeight="1" s="518" thickBot="1" thickTop="1">
      <c r="A35" s="114" t="n"/>
      <c r="G35" s="115" t="n"/>
      <c r="I35" s="643" t="n"/>
    </row>
    <row r="36" ht="13.5" customHeight="1" s="518" thickTop="1">
      <c r="A36" s="535" t="inlineStr">
        <is>
          <t>Best Match #4</t>
        </is>
      </c>
      <c r="B36" s="405">
        <f>IF(IFERROR(INDEX(Sales!C:C,$Z$36),"")="","",+" "&amp;IFERROR(INDEX(Sales!C:C,$Z$36),""))</f>
        <v/>
      </c>
      <c r="C36" s="405">
        <f>IF(IFERROR(INDEX(Sales!AE:AE,$Z$36),"")="","",IFERROR(INDEX(Sales!AE:AE,$Z$36),""))</f>
        <v/>
      </c>
      <c r="D36" s="644">
        <f>IF(IFERROR(INDEX(Sales!AA:AA,$Z$36),"")="","",IFERROR(INDEX(Sales!AA:AA,$Z$36),""))</f>
        <v/>
      </c>
      <c r="E36" s="644">
        <f>IF(IFERROR(INDEX(Sales!F:F,$Z$36),"")="","",IFERROR(INDEX(Sales!F:F,$Z$36),""))</f>
        <v/>
      </c>
      <c r="F36" s="407">
        <f>IF(IFERROR(INDEX(Sales!M:M,$Z$36),"")="","",IFERROR(INDEX(Sales!M:M,$Z$36),""))</f>
        <v/>
      </c>
      <c r="G36" s="395" t="n"/>
      <c r="H36" s="395" t="n"/>
      <c r="I36" s="395" t="n"/>
      <c r="Y36" s="200" t="n">
        <v>4</v>
      </c>
      <c r="Z36">
        <f>IFERROR(MATCH(_xlfn.AGGREGATE(15,6,Sales!$AJ$2:$AJ$941,$Y$36),Sales!$AJ$2:$AJ$941,0)+1,"")</f>
        <v/>
      </c>
    </row>
    <row r="37" ht="14" customHeight="1" s="518">
      <c r="A37" s="536" t="n"/>
      <c r="B37" s="405">
        <f>IF(IFERROR(INDEX(Sales!D:D,$Z$36),"")="","",IFERROR(INDEX(Sales!D:D,$Z$36),""))</f>
        <v/>
      </c>
      <c r="C37" s="405">
        <f>IF(IFERROR(INDEX(Sales!AF:AF,$Z$36),"")="","",IFERROR(INDEX(Sales!AF:AF,$Z$36),""))</f>
        <v/>
      </c>
      <c r="D37" s="645">
        <f>IF(IFERROR(INDEX(Sales!H:H,$Z$36),"")="","",IFERROR(INDEX(Sales!H:H,$Z$36),""))</f>
        <v/>
      </c>
      <c r="E37" s="410">
        <f>IF(IFERROR(INDEX(Sales!S:S,$Z$36),"")="","",IFERROR(INDEX(Sales!S:S,$Z$36),""))</f>
        <v/>
      </c>
      <c r="F37" s="407">
        <f>IF(IFERROR(INDEX(Sales!R:R,$Z$36),"")="","",IFERROR(VLOOKUP(IFERROR(INDEX(Sales!R:R,$Z$36),""),[0]!GRADE,2),IFERROR(INDEX(Sales!R:R,$Z$36),"")))</f>
        <v/>
      </c>
      <c r="G37" s="395" t="n"/>
      <c r="H37" s="395" t="n"/>
      <c r="I37" s="638">
        <f>IF(H39="","",H39)</f>
        <v/>
      </c>
    </row>
    <row r="38" ht="14" customHeight="1" s="518">
      <c r="A38" s="537" t="n"/>
      <c r="B38" s="405">
        <f>IF(IFERROR(INDEX(Sales!AC:AC,$Z$36),"")="","",+IFERROR(INDEX(Sales!AC:AC,$Z$36),""))</f>
        <v/>
      </c>
      <c r="C38" s="405">
        <f>IF(IFERROR(INDEX(Sales!AD:AD,$Z$36),"")="","",IFERROR(INDEX(Sales!AD:AD,$Z$36),""))</f>
        <v/>
      </c>
      <c r="D38" s="639" t="n"/>
      <c r="E38" s="407">
        <f>IF(IFERROR(INDEX(Sales!T:T,$Z$36),"")="","",IFERROR(INDEX(Sales!T:T,$Z$36),""))</f>
        <v/>
      </c>
      <c r="F38" s="407">
        <f>IF(IFERROR(INDEX(Sales!V:V,$Z$36),"")="","",IFERROR(VLOOKUP(IFERROR(INDEX(Sales!V:V,$Z$36),""),Codes!$A$12:$B$16,2),IFERROR(INDEX(Sales!V:V,$Z$36),"")))</f>
        <v/>
      </c>
      <c r="G38" s="395" t="n"/>
      <c r="H38" s="395" t="n"/>
      <c r="I38" s="395" t="n"/>
    </row>
    <row r="39" ht="13.5" customHeight="1" s="518" thickBot="1">
      <c r="A39" s="326" t="n"/>
      <c r="B39" s="411">
        <f>IF(IFERROR(INDEX(Sales!E:E,$Z$36),"")="","",+" "&amp;IFERROR(VLOOKUP(IFERROR(INDEX(Sales!E:E,$Z$36),""),[0]!Class,2),IFERROR(INDEX(Sales!E:E,$Z$36),"")))</f>
        <v/>
      </c>
      <c r="C39" s="646">
        <f>IF(IFERROR(INDEX(Sales!I:I,$Z$36),"")="","",IFERROR(INDEX(Sales!I:I,$Z$36),""))</f>
        <v/>
      </c>
      <c r="D39" s="645">
        <f>IF(D36="","",ROUND((D36+D38)/E39,2))</f>
        <v/>
      </c>
      <c r="E39" s="410">
        <f>IF(IFERROR(INDEX(Sales!L:L,$Z$36),"")="","",IFERROR(INDEX(Sales!L:L,$Z$36),""))</f>
        <v/>
      </c>
      <c r="F39" s="407">
        <f>IF(IFERROR(INDEX(Sales!P:P,$Z$36),"")="","",IFERROR(INDEX(Sales!P:P,$Z$36),""))</f>
        <v/>
      </c>
      <c r="G39" s="641" t="n"/>
      <c r="H39" s="638">
        <f>IF(D39="","",ROUND(D39*(1+G39),2))</f>
        <v/>
      </c>
      <c r="I39" s="642">
        <f>I37*E12</f>
        <v/>
      </c>
    </row>
    <row r="40" ht="13.5" customHeight="1" s="518" thickTop="1"/>
  </sheetData>
  <mergeCells count="4">
    <mergeCell ref="A31:A34"/>
    <mergeCell ref="A21:A24"/>
    <mergeCell ref="A26:A29"/>
    <mergeCell ref="A36:A38"/>
  </mergeCells>
  <printOptions horizontalCentered="1"/>
  <pageMargins left="0.25" right="0.25" top="0.5" bottom="0.5" header="0" footer="0"/>
  <pageSetup orientation="landscape" scale="81" fitToHeight="0" verticalDpi="300"/>
  <legacyDrawing xmlns:r="http://schemas.openxmlformats.org/officeDocument/2006/relationships" r:id="anysvml"/>
</worksheet>
</file>

<file path=xl/worksheets/sheet6.xml><?xml version="1.0" encoding="utf-8"?>
<worksheet xmlns="http://schemas.openxmlformats.org/spreadsheetml/2006/main">
  <sheetPr codeName="Sheet11">
    <tabColor rgb="FF1F4E78"/>
    <outlinePr summaryBelow="1" summaryRight="1"/>
    <pageSetUpPr fitToPage="1"/>
  </sheetPr>
  <dimension ref="A1:H41"/>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width="6" customWidth="1" style="36" min="1" max="1"/>
    <col width="20" customWidth="1" style="36" min="2" max="2"/>
    <col width="19" customWidth="1" style="37" min="3" max="3"/>
    <col width="15" customWidth="1" style="518" min="4" max="4"/>
    <col width="18" customWidth="1" style="518" min="5" max="5"/>
    <col width="8" customWidth="1" style="518" min="6" max="6"/>
    <col width="13" customWidth="1" style="37" min="7" max="7"/>
    <col width="14" customWidth="1" style="36" min="8" max="8"/>
    <col width="12.3984375" customWidth="1" style="36" min="9" max="9"/>
    <col width="12.3984375" customWidth="1" style="36" min="10" max="16384"/>
  </cols>
  <sheetData>
    <row r="1" ht="32.25" customHeight="1" s="518">
      <c r="B1" t="n"/>
    </row>
    <row r="2" ht="24" customHeight="1" s="518">
      <c r="A2" s="198" t="n"/>
      <c r="B2" s="413" t="inlineStr">
        <is>
          <t>RENT COMPARABLES</t>
        </is>
      </c>
      <c r="C2" s="413" t="n"/>
      <c r="D2" s="413" t="n"/>
      <c r="E2" s="413" t="n"/>
      <c r="F2" s="413" t="n"/>
      <c r="G2" s="413" t="n"/>
      <c r="H2" s="413" t="n"/>
    </row>
    <row r="4" ht="17" customHeight="1" s="518" thickBot="1">
      <c r="B4" s="414" t="inlineStr">
        <is>
          <t>SUBJECT</t>
        </is>
      </c>
      <c r="C4" s="414" t="n"/>
      <c r="D4" s="414" t="n"/>
      <c r="E4" s="414" t="n"/>
      <c r="F4" s="414" t="n"/>
      <c r="G4" s="414" t="n"/>
      <c r="H4" s="414" t="n"/>
    </row>
    <row r="5" ht="13.5" customHeight="1" s="518" thickTop="1">
      <c r="B5" s="415" t="inlineStr">
        <is>
          <t>Schedule Number</t>
        </is>
      </c>
      <c r="C5" s="416" t="inlineStr">
        <is>
          <t>Rent/Sq.Ft.</t>
        </is>
      </c>
      <c r="D5" s="415" t="inlineStr">
        <is>
          <t>Location</t>
        </is>
      </c>
      <c r="E5" s="415" t="inlineStr">
        <is>
          <t>Age</t>
        </is>
      </c>
      <c r="F5" s="415" t="n"/>
      <c r="G5" s="415" t="n"/>
      <c r="H5" s="415" t="n"/>
    </row>
    <row r="6">
      <c r="B6" s="415" t="inlineStr">
        <is>
          <t>Property Address</t>
        </is>
      </c>
      <c r="C6" s="416" t="inlineStr">
        <is>
          <t>Vacancy</t>
        </is>
      </c>
      <c r="D6" s="415" t="inlineStr">
        <is>
          <t>Land Size</t>
        </is>
      </c>
      <c r="E6" s="415" t="inlineStr">
        <is>
          <t>Quality</t>
        </is>
      </c>
      <c r="F6" s="415" t="n"/>
      <c r="G6" s="415" t="n"/>
      <c r="H6" s="415" t="n"/>
    </row>
    <row r="7">
      <c r="B7" s="415" t="inlineStr">
        <is>
          <t>Property Name</t>
        </is>
      </c>
      <c r="C7" s="415" t="inlineStr">
        <is>
          <t>Expense / Sq. Ft.</t>
        </is>
      </c>
      <c r="D7" s="415" t="inlineStr">
        <is>
          <t>L:B Ratio</t>
        </is>
      </c>
      <c r="E7" s="415" t="inlineStr">
        <is>
          <t>Phy/Funct Rating</t>
        </is>
      </c>
      <c r="F7" s="415" t="n"/>
      <c r="G7" s="415" t="n"/>
      <c r="H7" s="415" t="n"/>
    </row>
    <row r="8" ht="13.5" customHeight="1" s="518" thickBot="1">
      <c r="B8" s="415" t="inlineStr">
        <is>
          <t>Property Type</t>
        </is>
      </c>
      <c r="C8" s="416" t="inlineStr">
        <is>
          <t>Expense Ratio</t>
        </is>
      </c>
      <c r="D8" s="415" t="inlineStr">
        <is>
          <t>Building Size</t>
        </is>
      </c>
      <c r="E8" s="415" t="inlineStr">
        <is>
          <t>Zoning</t>
        </is>
      </c>
      <c r="F8" s="415" t="inlineStr">
        <is>
          <t>Other</t>
        </is>
      </c>
      <c r="G8" s="415" t="inlineStr">
        <is>
          <t>Comments</t>
        </is>
      </c>
      <c r="H8" s="416" t="n"/>
    </row>
    <row r="9" ht="14.25" customHeight="1" s="518" thickBot="1" thickTop="1"/>
    <row r="10" ht="13.5" customHeight="1" s="518" thickTop="1">
      <c r="B10" s="417">
        <f>IF('BAA Market'!B9="","",'BAA Market'!B9)</f>
        <v/>
      </c>
      <c r="C10" s="647" t="n"/>
      <c r="D10" s="419">
        <f>IF('BAA Market'!E9="","",'BAA Market'!E9)</f>
        <v/>
      </c>
      <c r="E10" s="419">
        <f>IF('BAA Market'!F9="","",'BAA Market'!F9)</f>
        <v/>
      </c>
      <c r="F10" s="420" t="n"/>
      <c r="G10" s="421" t="n"/>
      <c r="H10" s="421" t="n"/>
    </row>
    <row r="11" ht="14" customHeight="1" s="518">
      <c r="B11" s="422">
        <f>IF('BAA Market'!B10="","",'BAA Market'!B10)</f>
        <v/>
      </c>
      <c r="C11" s="648" t="n"/>
      <c r="D11" s="424">
        <f>IF('BAA Market'!E10="","",'BAA Market'!E10)</f>
        <v/>
      </c>
      <c r="E11" s="419">
        <f>IF('BAA Market'!F10="","",'BAA Market'!F10)</f>
        <v/>
      </c>
      <c r="F11" s="420" t="n"/>
      <c r="G11" s="421" t="n"/>
      <c r="H11" s="421" t="n"/>
    </row>
    <row r="12" ht="14" customHeight="1" s="518">
      <c r="B12" s="422">
        <f>IF('BAA Market'!B11="","",'BAA Market'!B11)</f>
        <v/>
      </c>
      <c r="C12" s="647" t="n"/>
      <c r="D12" s="425">
        <f>IF('BAA Market'!E11="","",'BAA Market'!E11)</f>
        <v/>
      </c>
      <c r="E12" s="419">
        <f>IF('BAA Market'!F11="","",'BAA Market'!F11)</f>
        <v/>
      </c>
      <c r="F12" s="420" t="n"/>
      <c r="G12" s="421" t="n"/>
      <c r="H12" s="421" t="n"/>
    </row>
    <row r="13" ht="13.5" customHeight="1" s="518" thickBot="1">
      <c r="B13" s="422">
        <f>IF('BAA Market'!B12="","",'BAA Market'!B12)</f>
        <v/>
      </c>
      <c r="C13" s="648" t="n"/>
      <c r="D13" s="424">
        <f>IF('BAA Market'!E12="","",'BAA Market'!E12)</f>
        <v/>
      </c>
      <c r="E13" s="419">
        <f>IF('BAA Market'!F12="","",'BAA Market'!F12)</f>
        <v/>
      </c>
      <c r="F13" s="420" t="n"/>
      <c r="G13" s="421" t="n"/>
      <c r="H13" s="421" t="n"/>
    </row>
    <row r="14" ht="13.5" customHeight="1" s="518" thickTop="1"/>
    <row r="17" ht="17" customHeight="1" s="518" thickBot="1">
      <c r="A17" s="198" t="n"/>
      <c r="B17" s="414" t="inlineStr">
        <is>
          <t>COMPARABLE RENTAL PROPERTIES</t>
        </is>
      </c>
      <c r="C17" s="414" t="n"/>
      <c r="D17" s="414" t="n"/>
      <c r="E17" s="414" t="n"/>
      <c r="F17" s="414" t="n"/>
      <c r="G17" s="414" t="n"/>
      <c r="H17" s="414" t="n"/>
    </row>
    <row r="18" ht="13.5" customHeight="1" s="518" thickTop="1">
      <c r="A18" s="201" t="n"/>
      <c r="B18" s="415" t="n"/>
      <c r="C18" s="416" t="inlineStr">
        <is>
          <t>Rent/Sq.Ft.</t>
        </is>
      </c>
      <c r="D18" s="415" t="inlineStr">
        <is>
          <t>Location</t>
        </is>
      </c>
      <c r="E18" s="415" t="inlineStr">
        <is>
          <t>Age</t>
        </is>
      </c>
      <c r="F18" s="415" t="n"/>
      <c r="G18" s="415" t="n"/>
      <c r="H18" s="415" t="n"/>
    </row>
    <row r="19">
      <c r="A19" s="201" t="n"/>
      <c r="B19" s="415" t="inlineStr">
        <is>
          <t>OFFICE</t>
        </is>
      </c>
      <c r="C19" s="416" t="inlineStr">
        <is>
          <t>Vacancy</t>
        </is>
      </c>
      <c r="D19" s="415" t="inlineStr">
        <is>
          <t>Land Size</t>
        </is>
      </c>
      <c r="E19" s="415" t="inlineStr">
        <is>
          <t>Quality</t>
        </is>
      </c>
      <c r="F19" s="415" t="n"/>
      <c r="G19" s="415" t="n"/>
      <c r="H19" s="416" t="n"/>
    </row>
    <row r="20">
      <c r="A20" s="201" t="n"/>
      <c r="B20" s="415" t="inlineStr">
        <is>
          <t>Source</t>
        </is>
      </c>
      <c r="C20" s="415" t="inlineStr">
        <is>
          <t>Expense / Sq. Ft.</t>
        </is>
      </c>
      <c r="D20" s="415" t="inlineStr">
        <is>
          <t>L:B Ratio</t>
        </is>
      </c>
      <c r="E20" s="415" t="inlineStr">
        <is>
          <t>Phy/Funct Rating</t>
        </is>
      </c>
      <c r="F20" s="415" t="n"/>
      <c r="G20" s="416" t="inlineStr">
        <is>
          <t>Net</t>
        </is>
      </c>
      <c r="H20" s="416" t="inlineStr">
        <is>
          <t>Adjusted</t>
        </is>
      </c>
    </row>
    <row r="21" ht="13.5" customHeight="1" s="518" thickBot="1">
      <c r="A21" s="201" t="n"/>
      <c r="B21" s="415" t="inlineStr">
        <is>
          <t>Property Type</t>
        </is>
      </c>
      <c r="C21" s="416" t="inlineStr">
        <is>
          <t>Expense Ratio</t>
        </is>
      </c>
      <c r="D21" s="415" t="inlineStr">
        <is>
          <t>Building Size</t>
        </is>
      </c>
      <c r="E21" s="415" t="inlineStr">
        <is>
          <t>Zoning</t>
        </is>
      </c>
      <c r="F21" s="415" t="inlineStr">
        <is>
          <t>Other</t>
        </is>
      </c>
      <c r="G21" s="416" t="inlineStr">
        <is>
          <t>Adjustments</t>
        </is>
      </c>
      <c r="H21" s="416" t="inlineStr">
        <is>
          <t>Rent/Sq.Ft.</t>
        </is>
      </c>
    </row>
    <row r="22" ht="14.25" customHeight="1" s="518" thickBot="1" thickTop="1"/>
    <row r="23" ht="13.5" customHeight="1" s="518" thickTop="1">
      <c r="A23" s="538" t="inlineStr">
        <is>
          <t>#1</t>
        </is>
      </c>
      <c r="B23" s="426" t="n"/>
      <c r="C23" s="649">
        <f>IF(Income!K2="","",Income!K$2)</f>
        <v/>
      </c>
      <c r="D23" s="393">
        <f>IF(Income!H2="","",VLOOKUP(Income!H2,[0]!Location,2))</f>
        <v/>
      </c>
      <c r="E23" s="393">
        <f>IF(Income!N2="","",Income!N2)</f>
        <v/>
      </c>
      <c r="F23" s="428" t="n"/>
      <c r="G23" s="428" t="n"/>
      <c r="H23" s="426" t="n"/>
    </row>
    <row r="24" ht="14" customHeight="1" s="518">
      <c r="A24" s="536" t="n"/>
      <c r="B24" s="426" t="n"/>
      <c r="C24" s="429">
        <f>IF(Income!L$2="","",Income!L$2)</f>
        <v/>
      </c>
      <c r="D24" s="397">
        <f>IF(Income!W2="","",Income!W2)</f>
        <v/>
      </c>
      <c r="E24" s="393">
        <f>IF(Income!Z2="","",VLOOKUP(Income!Z2,[0]!GRADE,2))</f>
        <v/>
      </c>
      <c r="F24" s="428" t="n"/>
      <c r="G24" s="428" t="n"/>
      <c r="H24" s="426" t="n"/>
    </row>
    <row r="25" ht="14" customHeight="1" s="518">
      <c r="A25" s="536" t="n"/>
      <c r="B25" s="430">
        <f>IF(Income!E$2="","",Income!E$2)</f>
        <v/>
      </c>
      <c r="C25" s="649">
        <f>C23*(1-C24)*C26</f>
        <v/>
      </c>
      <c r="D25" s="393">
        <f>IF(Income!X2="","",Income!X2)</f>
        <v/>
      </c>
      <c r="E25" s="393">
        <f>IF(Income!AC2="","",VLOOKUP(Income!AC2,[0]!P_f,2))</f>
        <v/>
      </c>
      <c r="F25" s="428" t="n"/>
      <c r="G25" s="428" t="n"/>
      <c r="H25" s="426" t="n"/>
    </row>
    <row r="26" ht="13.5" customHeight="1" s="518" thickBot="1">
      <c r="A26" s="537" t="n"/>
      <c r="B26" s="401">
        <f>IF(Income!G$2="","",VLOOKUP(Income!G$2,[0]!Class,2))</f>
        <v/>
      </c>
      <c r="C26" s="429">
        <f>IF(Income!M2="","",Income!M$2)</f>
        <v/>
      </c>
      <c r="D26" s="397">
        <f>IF(Income!Y2="","",Income!Y2)</f>
        <v/>
      </c>
      <c r="E26" s="393">
        <f>IF(Income!T2="","",Income!T2)</f>
        <v/>
      </c>
      <c r="F26" s="648" t="n"/>
      <c r="G26" s="650" t="n"/>
      <c r="H26" s="651">
        <f>IF(C23="","",C23*(1+G26))</f>
        <v/>
      </c>
    </row>
    <row r="27" ht="14.25" customHeight="1" s="518" thickBot="1" thickTop="1">
      <c r="F27" s="652" t="n"/>
    </row>
    <row r="28" ht="13.5" customHeight="1" s="518" thickTop="1">
      <c r="A28" s="538" t="inlineStr">
        <is>
          <t>#2</t>
        </is>
      </c>
      <c r="B28" s="426" t="n"/>
      <c r="C28" s="653">
        <f>IF(Income!K3="","",Income!K3)</f>
        <v/>
      </c>
      <c r="D28" s="407">
        <f>IF(Income!H3="","",VLOOKUP(Income!H3,[0]!Location,2))</f>
        <v/>
      </c>
      <c r="E28" s="407">
        <f>IF(Income!N3="","",Income!N3)</f>
        <v/>
      </c>
      <c r="F28" s="428" t="n"/>
      <c r="G28" s="428" t="n"/>
      <c r="H28" s="426" t="n"/>
    </row>
    <row r="29" ht="14" customHeight="1" s="518">
      <c r="A29" s="536" t="n"/>
      <c r="B29" s="426" t="n"/>
      <c r="C29" s="434">
        <f>IF(Income!L3="","",Income!L3)</f>
        <v/>
      </c>
      <c r="D29" s="410">
        <f>IF(Income!W3="","",Income!W3)</f>
        <v/>
      </c>
      <c r="E29" s="407">
        <f>IF(Income!Z3="","",VLOOKUP(Income!Z3,[0]!GRADE,2))</f>
        <v/>
      </c>
      <c r="F29" s="428" t="n"/>
      <c r="G29" s="428" t="n"/>
      <c r="H29" s="426" t="n"/>
    </row>
    <row r="30" ht="14" customHeight="1" s="518">
      <c r="A30" s="536" t="n"/>
      <c r="B30" s="435">
        <f>IF(Income!E3="","",Income!E3)</f>
        <v/>
      </c>
      <c r="C30" s="653">
        <f>C28*(1-C29)*C31</f>
        <v/>
      </c>
      <c r="D30" s="407">
        <f>IF(Income!X3="","",Income!X3)</f>
        <v/>
      </c>
      <c r="E30" s="407">
        <f>IF(Income!AC3="","",VLOOKUP(Income!AC3,[0]!P_f,2))</f>
        <v/>
      </c>
      <c r="F30" s="428" t="n"/>
      <c r="G30" s="428" t="n"/>
      <c r="H30" s="426" t="n"/>
    </row>
    <row r="31" ht="13.5" customHeight="1" s="518" thickBot="1">
      <c r="A31" s="537" t="n"/>
      <c r="B31" s="411">
        <f>IF(Income!G3="","",VLOOKUP(Income!G3,[0]!Class,2))</f>
        <v/>
      </c>
      <c r="C31" s="434">
        <f>IF(Income!M3="","",Income!M3)</f>
        <v/>
      </c>
      <c r="D31" s="410">
        <f>IF(Income!Y3="","",Income!Y3)</f>
        <v/>
      </c>
      <c r="E31" s="407">
        <f>IF(Income!T3="","",Income!T3)</f>
        <v/>
      </c>
      <c r="F31" s="648" t="n"/>
      <c r="G31" s="650" t="n"/>
      <c r="H31" s="651">
        <f>IF(C28="","",C28*(1+G31))</f>
        <v/>
      </c>
    </row>
    <row r="32" ht="14.25" customHeight="1" s="518" thickBot="1" thickTop="1">
      <c r="F32" s="652" t="n"/>
    </row>
    <row r="33" ht="13.5" customHeight="1" s="518" thickTop="1">
      <c r="A33" s="538" t="inlineStr">
        <is>
          <t>#3</t>
        </is>
      </c>
      <c r="B33" s="426" t="n"/>
      <c r="C33" s="649">
        <f>IF(Income!K4="","",Income!K4)</f>
        <v/>
      </c>
      <c r="D33" s="393">
        <f>IF(Income!H4="","",VLOOKUP(Income!H4,[0]!Location,2))</f>
        <v/>
      </c>
      <c r="E33" s="393">
        <f>IF(Income!N4="","",Income!N4)</f>
        <v/>
      </c>
      <c r="F33" s="428" t="n"/>
      <c r="G33" s="428" t="n"/>
      <c r="H33" s="426" t="n"/>
    </row>
    <row r="34" ht="14" customHeight="1" s="518">
      <c r="A34" s="536" t="n"/>
      <c r="B34" s="426" t="n"/>
      <c r="C34" s="429">
        <f>IF(Income!L4="","",Income!L4)</f>
        <v/>
      </c>
      <c r="D34" s="397">
        <f>IF(Income!W4="","",Income!W4)</f>
        <v/>
      </c>
      <c r="E34" s="393">
        <f>IF(Income!Z4="","",VLOOKUP(Income!Z4,[0]!GRADE,2))</f>
        <v/>
      </c>
      <c r="F34" s="428" t="n"/>
      <c r="G34" s="428" t="n"/>
      <c r="H34" s="426" t="n"/>
    </row>
    <row r="35" ht="14" customHeight="1" s="518">
      <c r="A35" s="536" t="n"/>
      <c r="B35" s="430">
        <f>IF(Income!E4="","",Income!E4)</f>
        <v/>
      </c>
      <c r="C35" s="649">
        <f>C33*(1-C34)*C36</f>
        <v/>
      </c>
      <c r="D35" s="393">
        <f>IF(Income!X4="","",Income!X4)</f>
        <v/>
      </c>
      <c r="E35" s="393">
        <f>IF(Income!AC4="","",VLOOKUP(Income!AC4,[0]!P_f,2))</f>
        <v/>
      </c>
      <c r="F35" s="428" t="n"/>
      <c r="G35" s="428" t="n"/>
      <c r="H35" s="426" t="n"/>
    </row>
    <row r="36" ht="13.5" customHeight="1" s="518" thickBot="1">
      <c r="A36" s="537" t="n"/>
      <c r="B36" s="401">
        <f>IF(Income!G4="","",VLOOKUP(Income!G4,[0]!Class,2))</f>
        <v/>
      </c>
      <c r="C36" s="429">
        <f>IF(Income!M4="","",Income!M4)</f>
        <v/>
      </c>
      <c r="D36" s="397">
        <f>IF(Income!Y4="","",Income!Y4)</f>
        <v/>
      </c>
      <c r="E36" s="393">
        <f>IF(Income!T4="","",Income!T4)</f>
        <v/>
      </c>
      <c r="F36" s="648" t="n"/>
      <c r="G36" s="650" t="n"/>
      <c r="H36" s="651">
        <f>IF(C33="","",C33*(1+G36))</f>
        <v/>
      </c>
    </row>
    <row r="37" ht="14.25" customHeight="1" s="518" thickBot="1" thickTop="1">
      <c r="F37" s="652" t="n"/>
    </row>
    <row r="38" ht="13.5" customHeight="1" s="518" thickTop="1">
      <c r="A38" s="538" t="inlineStr">
        <is>
          <t>#4</t>
        </is>
      </c>
      <c r="B38" s="426" t="n"/>
      <c r="C38" s="653">
        <f>IF(Income!K5="","",Income!K5)</f>
        <v/>
      </c>
      <c r="D38" s="407">
        <f>IF(Income!H5="","",VLOOKUP(Income!H5,[0]!Location,2))</f>
        <v/>
      </c>
      <c r="E38" s="407">
        <f>IF(Income!N5="","",Income!N5)</f>
        <v/>
      </c>
      <c r="F38" s="428" t="n"/>
      <c r="G38" s="428" t="n"/>
      <c r="H38" s="426" t="n"/>
    </row>
    <row r="39" ht="14" customHeight="1" s="518">
      <c r="A39" s="536" t="n"/>
      <c r="B39" s="426" t="n"/>
      <c r="C39" s="434">
        <f>IF(Income!L5="","",Income!L5)</f>
        <v/>
      </c>
      <c r="D39" s="410">
        <f>IF(Income!W5="","",Income!W5)</f>
        <v/>
      </c>
      <c r="E39" s="407">
        <f>IF(Income!Z5="","",VLOOKUP(Income!Z5,[0]!GRADE,2))</f>
        <v/>
      </c>
      <c r="F39" s="428" t="n"/>
      <c r="G39" s="428" t="n"/>
      <c r="H39" s="426" t="n"/>
    </row>
    <row r="40" ht="14" customHeight="1" s="518">
      <c r="A40" s="536" t="n"/>
      <c r="B40" s="435">
        <f>IF(Income!E5="","",Income!E5)</f>
        <v/>
      </c>
      <c r="C40" s="653">
        <f>C38*(1-C39)*C41</f>
        <v/>
      </c>
      <c r="D40" s="407">
        <f>IF(Income!X5="","",Income!X5)</f>
        <v/>
      </c>
      <c r="E40" s="407">
        <f>IF(Income!AC5="","",VLOOKUP(Income!AC5,[0]!P_f,2))</f>
        <v/>
      </c>
      <c r="F40" s="428" t="n"/>
      <c r="G40" s="428" t="n"/>
      <c r="H40" s="426" t="n"/>
    </row>
    <row r="41" ht="13.5" customHeight="1" s="518" thickBot="1">
      <c r="A41" s="537" t="n"/>
      <c r="B41" s="411">
        <f>IF(Income!G5="","",VLOOKUP(Income!G5,[0]!Class,2))</f>
        <v/>
      </c>
      <c r="C41" s="434">
        <f>IF(Income!M5="","",Income!M5)</f>
        <v/>
      </c>
      <c r="D41" s="410">
        <f>IF(Income!Y5="","",Income!Y5)</f>
        <v/>
      </c>
      <c r="E41" s="407">
        <f>IF(Income!T5="","",Income!T5)</f>
        <v/>
      </c>
      <c r="F41" s="648" t="n"/>
      <c r="G41" s="650" t="n"/>
      <c r="H41" s="651">
        <f>IF(C38="","",C38*(1+G41))</f>
        <v/>
      </c>
    </row>
    <row r="42" ht="13.5" customHeight="1" s="518" thickTop="1"/>
  </sheetData>
  <mergeCells count="4">
    <mergeCell ref="A33:A36"/>
    <mergeCell ref="A38:A41"/>
    <mergeCell ref="A23:A26"/>
    <mergeCell ref="A28:A31"/>
  </mergeCells>
  <printOptions horizontalCentered="1"/>
  <pageMargins left="0.25" right="0.25" top="0.5" bottom="0.25" header="0.25" footer="0.25"/>
  <pageSetup orientation="landscape" scale="72" fitToHeight="0" horizontalDpi="300" verticalDpi="300"/>
  <legacyDrawing xmlns:r="http://schemas.openxmlformats.org/officeDocument/2006/relationships" r:id="anysvml"/>
</worksheet>
</file>

<file path=xl/worksheets/sheet7.xml><?xml version="1.0" encoding="utf-8"?>
<worksheet xmlns="http://schemas.openxmlformats.org/spreadsheetml/2006/main">
  <sheetPr codeName="Sheet21">
    <tabColor rgb="FF1F4E78"/>
    <outlinePr summaryBelow="1" summaryRight="1"/>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width="25" customWidth="1" style="553" min="1" max="1"/>
    <col width="18" customWidth="1" style="553" min="2" max="2"/>
    <col width="10" customWidth="1" style="553" min="3" max="3"/>
    <col width="17" customWidth="1" style="553" min="4" max="4"/>
    <col width="2.19921875" customWidth="1" style="553" min="5" max="5"/>
    <col width="6" customWidth="1" style="553" min="6" max="6"/>
    <col width="7" customWidth="1" style="553" min="7" max="7"/>
    <col width="10" customWidth="1" style="553" min="8" max="8"/>
    <col width="2.19921875" customWidth="1" style="553" min="9" max="9"/>
    <col width="8" customWidth="1" style="553" min="10" max="10"/>
    <col width="11" customWidth="1" style="553" min="11" max="11"/>
    <col width="8" customWidth="1" style="553" min="12" max="12"/>
    <col width="12.3984375" customWidth="1" style="553" min="13" max="13"/>
    <col width="12.3984375" customWidth="1" style="553" min="14" max="24"/>
    <col hidden="1" width="6" customWidth="1" style="518" min="25" max="25"/>
    <col hidden="1" width="13" customWidth="1" style="518" min="26" max="26"/>
    <col width="12.3984375" customWidth="1" style="553" min="27" max="16384"/>
  </cols>
  <sheetData>
    <row r="1" ht="24" customHeight="1" s="518">
      <c r="A1" s="510" t="inlineStr">
        <is>
          <t>APPEAL WORKSHEET</t>
        </is>
      </c>
      <c r="B1" s="510" t="n"/>
      <c r="C1" s="510" t="n"/>
      <c r="D1" s="510" t="n"/>
      <c r="E1" s="510" t="n"/>
      <c r="F1" s="510" t="n"/>
      <c r="G1" s="510" t="n"/>
      <c r="H1" s="510" t="n"/>
      <c r="I1" s="510" t="n"/>
      <c r="J1" s="510" t="n"/>
      <c r="K1" s="510" t="n"/>
      <c r="L1" s="510" t="n"/>
      <c r="M1" s="510" t="n"/>
    </row>
    <row r="2">
      <c r="A2" s="511" t="inlineStr">
        <is>
          <t>ACCOUNT / SCHEDULE NUMBER</t>
        </is>
      </c>
      <c r="D2" s="543" t="n"/>
      <c r="E2" s="548" t="n"/>
      <c r="F2" s="548" t="n"/>
      <c r="G2" s="548" t="n"/>
      <c r="H2" s="546" t="n"/>
    </row>
    <row r="3">
      <c r="A3" s="511" t="inlineStr">
        <is>
          <t>PROPERTY ADDRESS</t>
        </is>
      </c>
      <c r="D3" s="559">
        <f>IF(Subj_Address="","",Subj_Address)</f>
        <v/>
      </c>
      <c r="E3" s="548" t="n"/>
      <c r="F3" s="548" t="n"/>
      <c r="G3" s="548" t="n"/>
      <c r="H3" s="546" t="n"/>
    </row>
    <row r="4">
      <c r="A4" s="511" t="inlineStr">
        <is>
          <t>PROTEST NUMBER</t>
        </is>
      </c>
      <c r="D4" s="543" t="n"/>
      <c r="E4" s="548" t="n"/>
      <c r="F4" s="548" t="n"/>
      <c r="G4" s="548" t="n"/>
      <c r="H4" s="546" t="n"/>
    </row>
    <row r="5">
      <c r="A5" s="511" t="inlineStr">
        <is>
          <t>PETITIONER'S NAME</t>
        </is>
      </c>
      <c r="D5" s="543" t="n"/>
      <c r="E5" s="548" t="n"/>
      <c r="F5" s="548" t="n"/>
      <c r="G5" s="548" t="n"/>
      <c r="H5" s="546" t="n"/>
    </row>
    <row r="7">
      <c r="A7" s="511" t="inlineStr">
        <is>
          <t>ASSESSOR'S REMARKS:</t>
        </is>
      </c>
    </row>
    <row r="8">
      <c r="A8" s="549" t="n"/>
      <c r="B8" s="550" t="n"/>
      <c r="C8" s="550" t="n"/>
      <c r="D8" s="550" t="n"/>
      <c r="E8" s="550" t="n"/>
      <c r="F8" s="550" t="n"/>
      <c r="G8" s="550" t="n"/>
      <c r="H8" s="550" t="n"/>
      <c r="I8" s="550" t="n"/>
      <c r="J8" s="550" t="n"/>
      <c r="K8" s="550" t="n"/>
      <c r="L8" s="550" t="n"/>
      <c r="M8" s="551" t="n"/>
    </row>
    <row r="9">
      <c r="A9" s="552" t="n"/>
      <c r="M9" s="554" t="n"/>
    </row>
    <row r="10">
      <c r="A10" s="552" t="n"/>
      <c r="M10" s="554" t="n"/>
    </row>
    <row r="11">
      <c r="A11" s="552" t="n"/>
      <c r="M11" s="554" t="n"/>
    </row>
    <row r="12">
      <c r="A12" s="552" t="n"/>
      <c r="M12" s="554" t="n"/>
    </row>
    <row r="13">
      <c r="A13" s="552" t="n"/>
      <c r="M13" s="554" t="n"/>
    </row>
    <row r="14">
      <c r="A14" s="552" t="n"/>
      <c r="M14" s="554" t="n"/>
    </row>
    <row r="15">
      <c r="A15" s="552" t="n"/>
      <c r="M15" s="554" t="n"/>
    </row>
    <row r="16">
      <c r="A16" s="552" t="n"/>
      <c r="M16" s="554" t="n"/>
    </row>
    <row r="17">
      <c r="A17" s="552" t="n"/>
      <c r="M17" s="554" t="n"/>
    </row>
    <row r="18">
      <c r="A18" s="552" t="n"/>
      <c r="M18" s="554" t="n"/>
    </row>
    <row r="19">
      <c r="A19" s="552" t="n"/>
      <c r="M19" s="554" t="n"/>
    </row>
    <row r="20">
      <c r="A20" s="555" t="n"/>
      <c r="B20" s="556" t="n"/>
      <c r="C20" s="556" t="n"/>
      <c r="D20" s="556" t="n"/>
      <c r="E20" s="556" t="n"/>
      <c r="F20" s="556" t="n"/>
      <c r="G20" s="556" t="n"/>
      <c r="H20" s="556" t="n"/>
      <c r="I20" s="556" t="n"/>
      <c r="J20" s="556" t="n"/>
      <c r="K20" s="556" t="n"/>
      <c r="L20" s="556" t="n"/>
      <c r="M20" s="557" t="n"/>
    </row>
    <row r="22">
      <c r="A22" s="511" t="inlineStr">
        <is>
          <t>VALUE CONCLUSIONS:</t>
        </is>
      </c>
    </row>
    <row r="23">
      <c r="A23" s="549" t="n"/>
      <c r="B23" s="550" t="n"/>
      <c r="C23" s="550" t="n"/>
      <c r="D23" s="550" t="n"/>
      <c r="E23" s="550" t="n"/>
      <c r="F23" s="550" t="n"/>
      <c r="G23" s="550" t="n"/>
      <c r="H23" s="550" t="n"/>
      <c r="I23" s="550" t="n"/>
      <c r="J23" s="550" t="n"/>
      <c r="K23" s="550" t="n"/>
      <c r="L23" s="550" t="n"/>
      <c r="M23" s="551" t="n"/>
    </row>
    <row r="24">
      <c r="A24" s="552" t="n"/>
      <c r="M24" s="554" t="n"/>
    </row>
    <row r="25">
      <c r="A25" s="552" t="n"/>
      <c r="M25" s="554" t="n"/>
    </row>
    <row r="26">
      <c r="A26" s="552" t="n"/>
      <c r="M26" s="554" t="n"/>
    </row>
    <row r="27">
      <c r="A27" s="552" t="n"/>
      <c r="M27" s="554" t="n"/>
    </row>
    <row r="28">
      <c r="A28" s="552" t="n"/>
      <c r="M28" s="554" t="n"/>
    </row>
    <row r="29">
      <c r="A29" s="552" t="n"/>
      <c r="M29" s="554" t="n"/>
    </row>
    <row r="30">
      <c r="A30" s="552" t="n"/>
      <c r="M30" s="554" t="n"/>
    </row>
    <row r="31">
      <c r="A31" s="552" t="n"/>
      <c r="M31" s="554" t="n"/>
    </row>
    <row r="32">
      <c r="A32" s="552" t="n"/>
      <c r="M32" s="554" t="n"/>
    </row>
    <row r="33">
      <c r="A33" s="555" t="n"/>
      <c r="B33" s="556" t="n"/>
      <c r="C33" s="556" t="n"/>
      <c r="D33" s="556" t="n"/>
      <c r="E33" s="556" t="n"/>
      <c r="F33" s="556" t="n"/>
      <c r="G33" s="556" t="n"/>
      <c r="H33" s="556" t="n"/>
      <c r="I33" s="556" t="n"/>
      <c r="J33" s="556" t="n"/>
      <c r="K33" s="556" t="n"/>
      <c r="L33" s="556" t="n"/>
      <c r="M33" s="557" t="n"/>
    </row>
    <row r="35">
      <c r="A35" s="511" t="inlineStr">
        <is>
          <t>BASIS OF RECOMMENDATION / HEARING NOTES:</t>
        </is>
      </c>
    </row>
    <row r="36">
      <c r="A36" s="549" t="n"/>
      <c r="B36" s="550" t="n"/>
      <c r="C36" s="550" t="n"/>
      <c r="D36" s="550" t="n"/>
      <c r="E36" s="550" t="n"/>
      <c r="F36" s="550" t="n"/>
      <c r="G36" s="550" t="n"/>
      <c r="H36" s="550" t="n"/>
      <c r="I36" s="550" t="n"/>
      <c r="J36" s="550" t="n"/>
      <c r="K36" s="550" t="n"/>
      <c r="L36" s="550" t="n"/>
      <c r="M36" s="551" t="n"/>
    </row>
    <row r="37">
      <c r="A37" s="552" t="n"/>
      <c r="M37" s="554" t="n"/>
    </row>
    <row r="38">
      <c r="A38" s="552" t="n"/>
      <c r="M38" s="554" t="n"/>
    </row>
    <row r="39">
      <c r="A39" s="552" t="n"/>
      <c r="M39" s="554" t="n"/>
    </row>
    <row r="40">
      <c r="A40" s="552" t="n"/>
      <c r="M40" s="554" t="n"/>
    </row>
    <row r="41">
      <c r="A41" s="552" t="n"/>
      <c r="M41" s="554" t="n"/>
    </row>
    <row r="42">
      <c r="A42" s="552" t="n"/>
      <c r="M42" s="554" t="n"/>
    </row>
    <row r="43">
      <c r="A43" s="552" t="n"/>
      <c r="M43" s="554" t="n"/>
    </row>
    <row r="44">
      <c r="A44" s="552" t="n"/>
      <c r="M44" s="554" t="n"/>
    </row>
    <row r="45">
      <c r="A45" s="552" t="n"/>
      <c r="M45" s="554" t="n"/>
    </row>
    <row r="46">
      <c r="A46" s="555" t="n"/>
      <c r="B46" s="556" t="n"/>
      <c r="C46" s="556" t="n"/>
      <c r="D46" s="556" t="n"/>
      <c r="E46" s="556" t="n"/>
      <c r="F46" s="556" t="n"/>
      <c r="G46" s="556" t="n"/>
      <c r="H46" s="556" t="n"/>
      <c r="I46" s="556" t="n"/>
      <c r="J46" s="556" t="n"/>
      <c r="K46" s="556" t="n"/>
      <c r="L46" s="556" t="n"/>
      <c r="M46" s="557" t="n"/>
    </row>
    <row r="47">
      <c r="A47" s="512" t="inlineStr">
        <is>
          <t>VALUE REVIEW</t>
        </is>
      </c>
      <c r="B47" s="512" t="n"/>
      <c r="C47" s="512" t="n"/>
      <c r="D47" s="512" t="n"/>
      <c r="E47" s="512" t="n"/>
      <c r="F47" s="512" t="n"/>
      <c r="G47" s="512" t="n"/>
      <c r="H47" s="512" t="n"/>
      <c r="I47" s="512" t="n"/>
      <c r="J47" s="512" t="n"/>
      <c r="K47" s="512" t="n"/>
      <c r="L47" s="512" t="n"/>
      <c r="M47" s="512" t="n"/>
    </row>
    <row r="48">
      <c r="C48" s="547" t="inlineStr">
        <is>
          <t>Value Prior To Review</t>
        </is>
      </c>
      <c r="D48" s="546" t="n"/>
      <c r="E48" s="547" t="n"/>
      <c r="F48" s="547" t="inlineStr">
        <is>
          <t>Recommended Value</t>
        </is>
      </c>
      <c r="G48" s="548" t="n"/>
      <c r="H48" s="546" t="n"/>
      <c r="I48" s="331" t="n"/>
      <c r="J48" s="547" t="inlineStr">
        <is>
          <t>Value Reduction</t>
        </is>
      </c>
      <c r="K48" s="546" t="n"/>
    </row>
    <row r="49">
      <c r="A49" s="437" t="inlineStr">
        <is>
          <t>Land</t>
        </is>
      </c>
      <c r="C49" s="654" t="n"/>
      <c r="D49" s="541" t="n"/>
      <c r="E49" s="655" t="n"/>
      <c r="F49" s="654" t="n"/>
      <c r="G49" s="540" t="n"/>
      <c r="H49" s="541" t="n"/>
      <c r="I49" s="326" t="n"/>
      <c r="J49" s="656">
        <f>F49-C49</f>
        <v/>
      </c>
      <c r="K49" s="546" t="n"/>
    </row>
    <row r="50">
      <c r="A50" s="439" t="inlineStr">
        <is>
          <t>Imp(s)</t>
        </is>
      </c>
      <c r="C50" s="654" t="n"/>
      <c r="D50" s="541" t="n"/>
      <c r="E50" s="655" t="n"/>
      <c r="F50" s="654" t="n"/>
      <c r="G50" s="540" t="n"/>
      <c r="H50" s="541" t="n"/>
      <c r="I50" s="326" t="n"/>
      <c r="J50" s="656">
        <f>F50-C50</f>
        <v/>
      </c>
      <c r="K50" s="546" t="n"/>
    </row>
    <row r="51">
      <c r="A51" s="437" t="inlineStr">
        <is>
          <t>Total</t>
        </is>
      </c>
      <c r="C51" s="657">
        <f>C50+C49</f>
        <v/>
      </c>
      <c r="D51" s="546" t="n"/>
      <c r="E51" s="655" t="n"/>
      <c r="F51" s="658">
        <f>F50+F49</f>
        <v/>
      </c>
      <c r="G51" s="548" t="n"/>
      <c r="H51" s="546" t="n"/>
      <c r="I51" s="326" t="n"/>
      <c r="J51" s="656">
        <f>F51-C51</f>
        <v/>
      </c>
      <c r="K51" s="546" t="n"/>
    </row>
    <row r="54" ht="20" customHeight="1" s="518">
      <c r="A54" s="437" t="inlineStr">
        <is>
          <t>Appraiser</t>
        </is>
      </c>
      <c r="B54" s="440" t="n"/>
      <c r="C54" s="441" t="n"/>
      <c r="D54" s="442" t="n"/>
      <c r="F54" s="40" t="n"/>
    </row>
    <row r="55" ht="20" customHeight="1" s="518">
      <c r="A55" s="443" t="inlineStr">
        <is>
          <t>Supervisor</t>
        </is>
      </c>
      <c r="B55" s="440" t="n"/>
      <c r="C55" s="440" t="n"/>
      <c r="D55" s="440" t="n"/>
      <c r="E55" s="41" t="n"/>
      <c r="F55" s="41" t="n"/>
    </row>
    <row r="56" ht="20" customHeight="1" s="518">
      <c r="A56" s="444" t="inlineStr">
        <is>
          <t>Deputy Assessor</t>
        </is>
      </c>
      <c r="B56" s="440" t="n"/>
      <c r="C56" s="440" t="n"/>
      <c r="D56" s="440" t="n"/>
      <c r="E56" s="40" t="n"/>
      <c r="F56" s="40" t="n"/>
    </row>
    <row r="57" ht="20" customHeight="1" s="518"/>
    <row r="58" ht="20" customHeight="1" s="518"/>
    <row r="59" ht="20" customHeight="1" s="518"/>
    <row r="60" ht="17" customHeight="1" s="518">
      <c r="A60" s="445" t="inlineStr">
        <is>
          <t>MARKET RENT COMPARABLES</t>
        </is>
      </c>
      <c r="B60" s="446" t="n"/>
      <c r="C60" s="446" t="n"/>
      <c r="D60" s="446" t="n"/>
      <c r="E60" s="446" t="n"/>
      <c r="F60" s="446" t="n"/>
      <c r="G60" s="446" t="n"/>
      <c r="H60" s="447" t="inlineStr">
        <is>
          <t>BUILDING</t>
        </is>
      </c>
      <c r="I60" s="447" t="n"/>
      <c r="J60" s="447" t="n"/>
      <c r="K60" s="447" t="n"/>
      <c r="L60" s="448" t="inlineStr">
        <is>
          <t>EXP</t>
        </is>
      </c>
      <c r="M60" s="368" t="n"/>
    </row>
    <row r="61">
      <c r="A61" s="449" t="n"/>
      <c r="B61" s="449" t="inlineStr">
        <is>
          <t>MAP</t>
        </is>
      </c>
      <c r="C61" s="449" t="inlineStr">
        <is>
          <t>USE TYPE</t>
        </is>
      </c>
      <c r="D61" s="449" t="n"/>
      <c r="E61" s="449" t="n"/>
      <c r="F61" s="449" t="inlineStr">
        <is>
          <t>ZONE</t>
        </is>
      </c>
      <c r="G61" s="449" t="inlineStr">
        <is>
          <t>YOC</t>
        </is>
      </c>
      <c r="H61" s="547" t="inlineStr">
        <is>
          <t>SQ FT</t>
        </is>
      </c>
      <c r="I61" s="547" t="n"/>
      <c r="J61" s="547" t="inlineStr">
        <is>
          <t>RENT</t>
        </is>
      </c>
      <c r="K61" s="449" t="inlineStr">
        <is>
          <t>VACANCY</t>
        </is>
      </c>
      <c r="L61" s="547" t="inlineStr">
        <is>
          <t>RATIO</t>
        </is>
      </c>
      <c r="M61" s="331" t="n"/>
    </row>
    <row r="62">
      <c r="A62" s="42" t="n"/>
      <c r="B62" s="450" t="inlineStr">
        <is>
          <t>SUBJECT PROPERTY</t>
        </is>
      </c>
      <c r="C62" s="451" t="n"/>
      <c r="D62" s="451" t="n"/>
      <c r="E62" s="451" t="n"/>
      <c r="F62" s="452" t="n"/>
      <c r="G62" s="452" t="n"/>
      <c r="H62" s="453" t="n"/>
      <c r="I62" s="453" t="n"/>
      <c r="J62" s="453" t="n"/>
      <c r="K62" s="453" t="n"/>
      <c r="L62" s="453" t="n"/>
      <c r="M62" s="326" t="n"/>
    </row>
    <row r="63">
      <c r="A63" s="43" t="n"/>
      <c r="B63" s="542">
        <f>IF(D2="","",LEFT(D2,5))</f>
        <v/>
      </c>
      <c r="C63" s="542">
        <f>IFERROR(INDEX(OCC_TABLE_DESC,MATCH(Subj_OccCode,OCC_TABLE_CODE,0)),"")</f>
        <v/>
      </c>
      <c r="D63" s="541" t="n"/>
      <c r="E63" s="655" t="n"/>
      <c r="F63" s="455">
        <f>IF(Subj_Zoning="","",Subj_Zoning)</f>
        <v/>
      </c>
      <c r="G63" s="455">
        <f>IF(Subj_YOC="","",Subj_YOC)</f>
        <v/>
      </c>
      <c r="H63" s="513">
        <f>IF(Subj_BldgSF="","",Subj_BldgSF)</f>
        <v/>
      </c>
      <c r="I63" s="655" t="n"/>
      <c r="J63" s="659">
        <f>IF(WO!F11="","",WO!F11)</f>
        <v/>
      </c>
      <c r="K63" s="457">
        <f>IF(WO!F12="","",WO!F12)</f>
        <v/>
      </c>
      <c r="L63" s="457">
        <f>IF(WO!F13="","",WO!F13)</f>
        <v/>
      </c>
      <c r="M63" s="326" t="n"/>
    </row>
    <row r="64">
      <c r="A64" s="450" t="inlineStr">
        <is>
          <t>1)</t>
        </is>
      </c>
      <c r="B64" s="566">
        <f>IF(Income!D$2="","",MID(Income!D2,1,5))</f>
        <v/>
      </c>
      <c r="C64" s="566">
        <f>IF(Income!G$2="","",VLOOKUP(Income!G$2,[0]!Class,2))</f>
        <v/>
      </c>
      <c r="D64" s="451" t="n"/>
      <c r="E64" s="451" t="n"/>
      <c r="F64" s="459">
        <f>IF(Income!T$2="","",Income!T$2)</f>
        <v/>
      </c>
      <c r="G64" s="459">
        <f>IF(Income!N$2="","",Income!N$2)</f>
        <v/>
      </c>
      <c r="H64" s="460">
        <f>IF(Income!J$2="","",Income!J$2)</f>
        <v/>
      </c>
      <c r="I64" s="461" t="n"/>
      <c r="J64" s="660">
        <f>IF(Income!K$2="","",Income!K$2)</f>
        <v/>
      </c>
      <c r="K64" s="463">
        <f>IF(Income!L$2="","",Income!L$2)</f>
        <v/>
      </c>
      <c r="L64" s="463">
        <f>IF(Income!M$2="","",Income!M$2)</f>
        <v/>
      </c>
      <c r="M64" s="326" t="n"/>
    </row>
    <row r="65">
      <c r="A65" s="450" t="inlineStr">
        <is>
          <t>2)</t>
        </is>
      </c>
      <c r="B65" s="569">
        <f>IF(Income!D$3="","",MID(Income!D$3,1,5))</f>
        <v/>
      </c>
      <c r="C65" s="569">
        <f>IF(Income!G$3="","",VLOOKUP(Income!G$3,[0]!Class,2))</f>
        <v/>
      </c>
      <c r="D65" s="451" t="n"/>
      <c r="E65" s="451" t="n"/>
      <c r="F65" s="465">
        <f>IF(Income!T$3="","",Income!T$3)</f>
        <v/>
      </c>
      <c r="G65" s="465">
        <f>IF(Income!N$3="","",Income!N$3)</f>
        <v/>
      </c>
      <c r="H65" s="466">
        <f>IF(Income!J$3="","",Income!J$3)</f>
        <v/>
      </c>
      <c r="I65" s="461" t="n"/>
      <c r="J65" s="661">
        <f>IF(Income!K$3="","",Income!K$3)</f>
        <v/>
      </c>
      <c r="K65" s="468">
        <f>IF(Income!L$3="","",Income!L$3)</f>
        <v/>
      </c>
      <c r="L65" s="468">
        <f>IF(Income!M$3="","",Income!M$3)</f>
        <v/>
      </c>
      <c r="M65" s="326" t="n"/>
    </row>
    <row r="66">
      <c r="A66" s="450" t="inlineStr">
        <is>
          <t>3)</t>
        </is>
      </c>
      <c r="B66" s="566">
        <f>IF(Income!D$4="","",MID(Income!D$4,1,5))</f>
        <v/>
      </c>
      <c r="C66" s="566">
        <f>IF(Income!G$4="","",VLOOKUP(Income!G$4,[0]!Class,2))</f>
        <v/>
      </c>
      <c r="D66" s="451" t="n"/>
      <c r="E66" s="451" t="n"/>
      <c r="F66" s="459">
        <f>IF(Income!T$4="","",Income!T$4)</f>
        <v/>
      </c>
      <c r="G66" s="459">
        <f>IF(Income!N$4="","",Income!N$4)</f>
        <v/>
      </c>
      <c r="H66" s="460">
        <f>IF(Income!J$4="","",Income!J$4)</f>
        <v/>
      </c>
      <c r="I66" s="461" t="n"/>
      <c r="J66" s="660">
        <f>IF(Income!K$4="","",Income!K$4)</f>
        <v/>
      </c>
      <c r="K66" s="463">
        <f>IF(Income!L$4="","",Income!L$4)</f>
        <v/>
      </c>
      <c r="L66" s="463">
        <f>IF(Income!M$4="","",Income!M$4)</f>
        <v/>
      </c>
      <c r="M66" s="326" t="n"/>
    </row>
    <row r="67">
      <c r="A67" s="44" t="n"/>
      <c r="B67" s="44" t="n"/>
      <c r="C67" s="44" t="n"/>
      <c r="D67" s="44" t="n"/>
      <c r="E67" s="44" t="n"/>
    </row>
    <row r="68" ht="17" customHeight="1" s="518">
      <c r="A68" s="445" t="inlineStr">
        <is>
          <t>MARKET SALE COMPARABLES</t>
        </is>
      </c>
      <c r="B68" s="446" t="n"/>
      <c r="C68" s="446" t="n"/>
      <c r="D68" s="446" t="n"/>
      <c r="E68" s="446" t="n"/>
      <c r="F68" s="446" t="n"/>
      <c r="G68" s="446" t="n"/>
      <c r="H68" s="446" t="inlineStr">
        <is>
          <t>BUILDING</t>
        </is>
      </c>
      <c r="I68" s="446" t="n"/>
      <c r="J68" s="446" t="inlineStr">
        <is>
          <t>SALE</t>
        </is>
      </c>
      <c r="K68" s="446" t="inlineStr">
        <is>
          <t>SALE</t>
        </is>
      </c>
      <c r="L68" s="469" t="inlineStr">
        <is>
          <t>S.P./</t>
        </is>
      </c>
      <c r="M68" s="368" t="n"/>
    </row>
    <row r="69">
      <c r="A69" s="449" t="inlineStr">
        <is>
          <t>PROPERTY ADDRESS</t>
        </is>
      </c>
      <c r="B69" s="449" t="n"/>
      <c r="C69" s="449" t="n"/>
      <c r="D69" s="449" t="inlineStr">
        <is>
          <t>SCHEDULE NUMBER</t>
        </is>
      </c>
      <c r="E69" s="449" t="n"/>
      <c r="F69" s="449" t="n"/>
      <c r="G69" s="449" t="inlineStr">
        <is>
          <t>YOC</t>
        </is>
      </c>
      <c r="H69" s="449" t="inlineStr">
        <is>
          <t>SQ FT</t>
        </is>
      </c>
      <c r="I69" s="449" t="n"/>
      <c r="J69" s="449" t="inlineStr">
        <is>
          <t>DATE</t>
        </is>
      </c>
      <c r="K69" s="449" t="inlineStr">
        <is>
          <t>PRICE</t>
        </is>
      </c>
      <c r="L69" s="449" t="inlineStr">
        <is>
          <t>SQ FT</t>
        </is>
      </c>
      <c r="M69" s="331" t="n"/>
    </row>
    <row r="70">
      <c r="A70" s="43" t="n"/>
      <c r="B70" s="450" t="inlineStr">
        <is>
          <t>SUBJECT PROPERTY</t>
        </is>
      </c>
      <c r="C70" s="326" t="n"/>
      <c r="D70" s="326" t="n"/>
      <c r="E70" s="326" t="n"/>
      <c r="F70" s="326" t="n"/>
      <c r="G70" s="452" t="n"/>
      <c r="H70" s="326" t="n"/>
      <c r="I70" s="326" t="n"/>
      <c r="J70" s="326" t="n"/>
      <c r="K70" s="326" t="n"/>
      <c r="L70" s="451" t="n"/>
      <c r="M70" s="326" t="n"/>
    </row>
    <row r="71">
      <c r="A71" s="43" t="n"/>
      <c r="B71" s="542">
        <f>IF(Subj_Address="","",Subj_Address)</f>
        <v/>
      </c>
      <c r="C71" s="542" t="n"/>
      <c r="D71" s="451">
        <f>IF(D2="","",D2)</f>
        <v/>
      </c>
      <c r="E71" s="451" t="n"/>
      <c r="F71" s="451" t="n"/>
      <c r="G71" s="459">
        <f>G63</f>
        <v/>
      </c>
      <c r="H71" s="460">
        <f>H63</f>
        <v/>
      </c>
      <c r="I71" s="461" t="n"/>
      <c r="J71" s="662" t="n"/>
      <c r="K71" s="662" t="n"/>
      <c r="L71" s="663">
        <f>IF(N(H71)=0,"",ROUND(F51/H71,2))</f>
        <v/>
      </c>
      <c r="M71" s="326" t="n"/>
    </row>
    <row r="72">
      <c r="A72" s="450" t="inlineStr">
        <is>
          <t>Best Match 1)</t>
        </is>
      </c>
      <c r="B72" s="566">
        <f>IF(IFERROR(INDEX(Sales!D:D,$Z$72),"")="","",IFERROR(INDEX(Sales!D:D,$Z$72),""))</f>
        <v/>
      </c>
      <c r="C72" s="451" t="n"/>
      <c r="D72" s="566">
        <f>IF(IFERROR(INDEX(Sales!C:C,$Z$72),"")="","",IFERROR(INDEX(Sales!C:C,$Z$72),""))</f>
        <v/>
      </c>
      <c r="E72" s="451" t="n"/>
      <c r="F72" s="451" t="n"/>
      <c r="G72" s="459">
        <f>IF(IFERROR(INDEX(Sales!M:M,$Z$72),"")="","",IFERROR(INDEX(Sales!M:M,$Z$72),""))</f>
        <v/>
      </c>
      <c r="H72" s="460">
        <f>IF(IFERROR(INDEX(Sales!L:L,$Z$72),"")="","",IFERROR(INDEX(Sales!L:L,$Z$72),""))</f>
        <v/>
      </c>
      <c r="I72" s="461" t="n"/>
      <c r="J72" s="664">
        <f>IF(IFERROR(INDEX(Sales!I:I,$Z$72),"")="","",IFERROR(INDEX(Sales!I:I,$Z$72),""))</f>
        <v/>
      </c>
      <c r="K72" s="665">
        <f>IF(IFERROR(INDEX(Sales!AA:AA,$Z$72),"")="","",IFERROR(INDEX(Sales!AA:AA,$Z$72),""))</f>
        <v/>
      </c>
      <c r="L72" s="660">
        <f>IF(IFERROR(INDEX(Sales!H:H,$Z$72),"")="","",IFERROR(INDEX(Sales!H:H,$Z$72),""))</f>
        <v/>
      </c>
      <c r="M72" s="326" t="n"/>
      <c r="Y72" s="200" t="n">
        <v>1</v>
      </c>
      <c r="Z72">
        <f>IFERROR(MATCH(_xlfn.AGGREGATE(15,6,Sales!$AJ$2:$AJ$941,$Y$72),Sales!$AJ$2:$AJ$941,0)+1,"")</f>
        <v/>
      </c>
    </row>
    <row r="73">
      <c r="A73" s="450" t="inlineStr">
        <is>
          <t>Best Match 2)</t>
        </is>
      </c>
      <c r="B73" s="569">
        <f>IF(IFERROR(INDEX(Sales!D:D,$Z$73),"")="","",IFERROR(INDEX(Sales!D:D,$Z$73),""))</f>
        <v/>
      </c>
      <c r="C73" s="451" t="n"/>
      <c r="D73" s="569">
        <f>IF(IFERROR(INDEX(Sales!C:C,$Z$73),"")="","",IFERROR(INDEX(Sales!C:C,$Z$73),""))</f>
        <v/>
      </c>
      <c r="E73" s="451" t="n"/>
      <c r="F73" s="451" t="n"/>
      <c r="G73" s="465">
        <f>IF(IFERROR(INDEX(Sales!M:M,$Z$73),"")="","",IFERROR(INDEX(Sales!M:M,$Z$73),""))</f>
        <v/>
      </c>
      <c r="H73" s="466">
        <f>IF(IFERROR(INDEX(Sales!L:L,$Z$73),"")="","",IFERROR(INDEX(Sales!L:L,$Z$73),""))</f>
        <v/>
      </c>
      <c r="I73" s="461" t="n"/>
      <c r="J73" s="666">
        <f>IF(IFERROR(INDEX(Sales!I:I,$Z$73),"")="","",IFERROR(INDEX(Sales!I:I,$Z$73),""))</f>
        <v/>
      </c>
      <c r="K73" s="667">
        <f>IF(IFERROR(INDEX(Sales!AA:AA,$Z$73),"")="","",IFERROR(INDEX(Sales!AA:AA,$Z$73),""))</f>
        <v/>
      </c>
      <c r="L73" s="661">
        <f>IF(IFERROR(INDEX(Sales!H:H,$Z$73),"")="","",IFERROR(INDEX(Sales!H:H,$Z$73),""))</f>
        <v/>
      </c>
      <c r="M73" s="326" t="n"/>
      <c r="Y73" s="200" t="n">
        <v>2</v>
      </c>
      <c r="Z73">
        <f>IFERROR(MATCH(_xlfn.AGGREGATE(15,6,Sales!$AJ$2:$AJ$941,$Y$73),Sales!$AJ$2:$AJ$941,0)+1,"")</f>
        <v/>
      </c>
    </row>
    <row r="74">
      <c r="A74" s="450" t="inlineStr">
        <is>
          <t>Best Match 3)</t>
        </is>
      </c>
      <c r="B74" s="566">
        <f>IF(IFERROR(INDEX(Sales!D:D,$Z$74),"")="","",IFERROR(INDEX(Sales!D:D,$Z$74),""))</f>
        <v/>
      </c>
      <c r="C74" s="451" t="n"/>
      <c r="D74" s="566">
        <f>IF(IFERROR(INDEX(Sales!C:C,$Z$74),"")="","",IFERROR(INDEX(Sales!C:C,$Z$74),""))</f>
        <v/>
      </c>
      <c r="E74" s="451" t="n"/>
      <c r="F74" s="451" t="n"/>
      <c r="G74" s="459">
        <f>IF(IFERROR(INDEX(Sales!M:M,$Z$74),"")="","",IFERROR(INDEX(Sales!M:M,$Z$74),""))</f>
        <v/>
      </c>
      <c r="H74" s="460">
        <f>IF(IFERROR(INDEX(Sales!L:L,$Z$74),"")="","",IFERROR(INDEX(Sales!L:L,$Z$74),""))</f>
        <v/>
      </c>
      <c r="I74" s="461" t="n"/>
      <c r="J74" s="664">
        <f>IF(IFERROR(INDEX(Sales!I:I,$Z$74),"")="","",IFERROR(INDEX(Sales!I:I,$Z$74),""))</f>
        <v/>
      </c>
      <c r="K74" s="665">
        <f>IF(IFERROR(INDEX(Sales!AA:AA,$Z$74),"")="","",IFERROR(INDEX(Sales!AA:AA,$Z$74),""))</f>
        <v/>
      </c>
      <c r="L74" s="660">
        <f>IF(IFERROR(INDEX(Sales!H:H,$Z$74),"")="","",IFERROR(INDEX(Sales!H:H,$Z$74),""))</f>
        <v/>
      </c>
      <c r="M74" s="326" t="n"/>
      <c r="Y74" s="200" t="n">
        <v>3</v>
      </c>
      <c r="Z74">
        <f>IFERROR(MATCH(_xlfn.AGGREGATE(15,6,Sales!$AJ$2:$AJ$941,$Y$74),Sales!$AJ$2:$AJ$941,0)+1,"")</f>
        <v/>
      </c>
    </row>
  </sheetData>
  <mergeCells count="20">
    <mergeCell ref="F50:H50"/>
    <mergeCell ref="D2:H2"/>
    <mergeCell ref="C63:D63"/>
    <mergeCell ref="C50:D50"/>
    <mergeCell ref="J49:K49"/>
    <mergeCell ref="F48:H48"/>
    <mergeCell ref="A23:M33"/>
    <mergeCell ref="F49:H49"/>
    <mergeCell ref="C51:D51"/>
    <mergeCell ref="A8:M20"/>
    <mergeCell ref="D4:H4"/>
    <mergeCell ref="C48:D48"/>
    <mergeCell ref="D3:H3"/>
    <mergeCell ref="J50:K50"/>
    <mergeCell ref="A36:M46"/>
    <mergeCell ref="J51:K51"/>
    <mergeCell ref="D5:H5"/>
    <mergeCell ref="J48:K48"/>
    <mergeCell ref="C49:D49"/>
    <mergeCell ref="F51:H51"/>
  </mergeCells>
  <printOptions horizontalCentered="1"/>
  <pageMargins left="0.43" right="0.44" top="0.76" bottom="0.42" header="0.5" footer="0.29"/>
  <pageSetup orientation="portrait" scale="92" fitToHeight="0" horizontalDpi="300" verticalDpi="300"/>
  <rowBreaks count="1" manualBreakCount="1">
    <brk id="40" min="0" max="16383" man="1"/>
  </rowBreaks>
  <legacyDrawing xmlns:r="http://schemas.openxmlformats.org/officeDocument/2006/relationships" r:id="anysvml"/>
</worksheet>
</file>

<file path=xl/worksheets/sheet8.xml><?xml version="1.0" encoding="utf-8"?>
<worksheet xmlns="http://schemas.openxmlformats.org/spreadsheetml/2006/main">
  <sheetPr codeName="Sheet12">
    <tabColor rgb="FF1F4E78"/>
    <outlinePr summaryBelow="1" summaryRight="1"/>
    <pageSetUpPr fitToPage="1"/>
  </sheetPr>
  <dimension ref="A1:Z48"/>
  <sheetViews>
    <sheetView showGridLines="0" workbookViewId="0">
      <selection activeCell="P15" sqref="P15"/>
    </sheetView>
  </sheetViews>
  <sheetFormatPr baseColWidth="10" defaultColWidth="11.3984375" defaultRowHeight="13"/>
  <cols>
    <col width="30" customWidth="1" style="564" min="1" max="1"/>
    <col width="18" customWidth="1" style="564" min="2" max="2"/>
    <col width="10" customWidth="1" style="564" min="3" max="3"/>
    <col width="16" customWidth="1" style="564" min="4" max="4"/>
    <col width="7" customWidth="1" style="564" min="5" max="5"/>
    <col width="6" customWidth="1" style="564" min="6" max="6"/>
    <col width="11" customWidth="1" style="564" min="7" max="7"/>
    <col width="8" customWidth="1" style="564" min="8" max="8"/>
    <col width="11" customWidth="1" style="564" min="9" max="9"/>
    <col width="9" customWidth="1" style="564" min="10" max="10"/>
    <col width="8" customWidth="1" style="564" min="11" max="11"/>
    <col width="11.3984375" customWidth="1" style="564" min="12" max="12"/>
    <col width="11.3984375" customWidth="1" style="564" min="13" max="24"/>
    <col hidden="1" width="6" customWidth="1" style="518" min="25" max="25"/>
    <col hidden="1" width="13" customWidth="1" style="518" min="26" max="26"/>
    <col width="11.3984375" customWidth="1" style="564" min="27" max="16384"/>
  </cols>
  <sheetData>
    <row r="1" ht="24" customHeight="1" s="518">
      <c r="A1" s="475" t="inlineStr">
        <is>
          <t>2025 APPEAL WORKSHEET</t>
        </is>
      </c>
      <c r="B1" s="475" t="n"/>
      <c r="C1" s="475" t="n"/>
      <c r="D1" s="475" t="n"/>
      <c r="E1" s="475" t="n"/>
      <c r="F1" s="475" t="n"/>
      <c r="G1" s="475" t="n"/>
      <c r="H1" s="475" t="n"/>
      <c r="I1" s="475" t="n"/>
      <c r="J1" s="475" t="n"/>
      <c r="K1" s="475" t="n"/>
    </row>
    <row r="2" ht="16.25" customHeight="1" s="518">
      <c r="A2" s="476" t="inlineStr">
        <is>
          <t>ACCOUNT NUMBER</t>
        </is>
      </c>
      <c r="D2" s="477" t="inlineStr"/>
      <c r="E2" s="478" t="n"/>
      <c r="F2" s="478" t="n"/>
      <c r="G2" s="49" t="n"/>
      <c r="H2" s="49" t="n"/>
    </row>
    <row r="3" ht="16.25" customHeight="1" s="518">
      <c r="A3" s="476" t="inlineStr">
        <is>
          <t>PROPERTY ADDRESS</t>
        </is>
      </c>
      <c r="D3" s="477" t="inlineStr"/>
      <c r="E3" s="478" t="n"/>
      <c r="F3" s="478" t="n"/>
      <c r="G3" s="50" t="n"/>
      <c r="H3" s="50" t="n"/>
    </row>
    <row r="4" ht="16.25" customHeight="1" s="518">
      <c r="A4" s="476" t="inlineStr">
        <is>
          <t>PROTEST NUMBER</t>
        </is>
      </c>
      <c r="D4" s="477" t="inlineStr"/>
      <c r="E4" s="478" t="n"/>
      <c r="F4" s="478" t="n"/>
      <c r="G4" s="50" t="n"/>
      <c r="H4" s="50" t="n"/>
    </row>
    <row r="5" ht="16.25" customHeight="1" s="518">
      <c r="A5" s="476" t="inlineStr">
        <is>
          <t>PETITIONER'S NAME</t>
        </is>
      </c>
      <c r="D5" s="477" t="inlineStr"/>
      <c r="E5" s="478" t="n"/>
      <c r="F5" s="478" t="n"/>
      <c r="G5" s="50" t="n"/>
      <c r="H5" s="50" t="n"/>
    </row>
    <row r="7" ht="15.75" customHeight="1" s="518">
      <c r="A7" s="479" t="inlineStr">
        <is>
          <t>ASSESSOR'S REMARKS:</t>
        </is>
      </c>
    </row>
    <row r="8">
      <c r="A8" s="563" t="inlineStr"/>
      <c r="B8" s="550" t="n"/>
      <c r="C8" s="550" t="n"/>
      <c r="D8" s="550" t="n"/>
      <c r="E8" s="550" t="n"/>
      <c r="F8" s="550" t="n"/>
      <c r="G8" s="550" t="n"/>
      <c r="H8" s="550" t="n"/>
      <c r="I8" s="550" t="n"/>
      <c r="J8" s="550" t="n"/>
      <c r="K8" s="551" t="n"/>
    </row>
    <row r="9">
      <c r="A9" s="552" t="n"/>
      <c r="K9" s="554" t="n"/>
    </row>
    <row r="10">
      <c r="A10" s="552" t="n"/>
      <c r="K10" s="554" t="n"/>
    </row>
    <row r="11">
      <c r="A11" s="552" t="n"/>
      <c r="K11" s="554" t="n"/>
    </row>
    <row r="12">
      <c r="A12" s="552" t="n"/>
      <c r="K12" s="554" t="n"/>
    </row>
    <row r="13">
      <c r="A13" s="552" t="n"/>
      <c r="K13" s="554" t="n"/>
    </row>
    <row r="14">
      <c r="A14" s="552" t="n"/>
      <c r="K14" s="554" t="n"/>
    </row>
    <row r="15">
      <c r="A15" s="555" t="n"/>
      <c r="B15" s="556" t="n"/>
      <c r="C15" s="556" t="n"/>
      <c r="D15" s="556" t="n"/>
      <c r="E15" s="556" t="n"/>
      <c r="F15" s="556" t="n"/>
      <c r="G15" s="556" t="n"/>
      <c r="H15" s="556" t="n"/>
      <c r="I15" s="556" t="n"/>
      <c r="J15" s="556" t="n"/>
      <c r="K15" s="557" t="n"/>
    </row>
    <row r="18" ht="17" customHeight="1" s="518">
      <c r="A18" s="480" t="inlineStr">
        <is>
          <t>MARKET RENT COMPARABLES</t>
        </is>
      </c>
      <c r="B18" s="481" t="n"/>
      <c r="C18" s="481" t="n"/>
      <c r="D18" s="481" t="n"/>
      <c r="E18" s="481" t="n"/>
      <c r="F18" s="481" t="n"/>
      <c r="G18" s="481" t="n"/>
      <c r="H18" s="482" t="inlineStr">
        <is>
          <t>BUILDING</t>
        </is>
      </c>
      <c r="I18" s="482" t="n"/>
      <c r="J18" s="482" t="n"/>
      <c r="K18" s="483" t="inlineStr">
        <is>
          <t>EXP</t>
        </is>
      </c>
    </row>
    <row r="19" ht="15" customHeight="1" s="518">
      <c r="A19" s="484" t="n"/>
      <c r="B19" s="485" t="inlineStr">
        <is>
          <t>OFFICE</t>
        </is>
      </c>
      <c r="C19" s="484" t="inlineStr">
        <is>
          <t>USE TYPE</t>
        </is>
      </c>
      <c r="D19" s="484" t="n"/>
      <c r="E19" s="484" t="n"/>
      <c r="F19" s="484" t="inlineStr">
        <is>
          <t>ZONE</t>
        </is>
      </c>
      <c r="G19" s="485" t="inlineStr">
        <is>
          <t>YOC</t>
        </is>
      </c>
      <c r="H19" s="485" t="inlineStr">
        <is>
          <t>SQ FT</t>
        </is>
      </c>
      <c r="I19" s="484" t="inlineStr">
        <is>
          <t>RENT</t>
        </is>
      </c>
      <c r="J19" s="484" t="inlineStr">
        <is>
          <t>VACANCY</t>
        </is>
      </c>
      <c r="K19" s="485" t="inlineStr">
        <is>
          <t>RATIO</t>
        </is>
      </c>
    </row>
    <row r="20" ht="16.5" customHeight="1" s="518">
      <c r="A20" s="51" t="n"/>
      <c r="B20" s="486" t="inlineStr">
        <is>
          <t>SUBJECT PROPERTY</t>
        </is>
      </c>
      <c r="C20" s="487" t="n"/>
      <c r="D20" s="487" t="n"/>
      <c r="E20" s="487" t="n"/>
      <c r="F20" s="488" t="n"/>
      <c r="G20" s="488" t="n"/>
      <c r="H20" s="489" t="n"/>
      <c r="I20" s="489" t="n"/>
      <c r="J20" s="489" t="n"/>
      <c r="K20" s="489" t="n"/>
    </row>
    <row r="21" ht="15.5" customHeight="1" s="518">
      <c r="A21" s="52" t="n"/>
      <c r="B21" s="490">
        <f>LEFT(D2,5)</f>
        <v/>
      </c>
      <c r="C21" s="567" t="inlineStr"/>
      <c r="D21" s="541" t="n"/>
      <c r="E21" s="668" t="n"/>
      <c r="F21" s="492" t="inlineStr"/>
      <c r="G21" s="492" t="inlineStr"/>
      <c r="H21" s="493" t="inlineStr"/>
      <c r="I21" s="662" t="inlineStr"/>
      <c r="J21" s="494" t="inlineStr"/>
      <c r="K21" s="494" t="inlineStr"/>
    </row>
    <row r="22" ht="15" customHeight="1" s="518">
      <c r="A22" s="486" t="inlineStr">
        <is>
          <t>1)</t>
        </is>
      </c>
      <c r="B22" s="459">
        <f>IF(Income!D$2="","",MID(Income!D2,1,5))</f>
        <v/>
      </c>
      <c r="C22" s="566">
        <f>IF(Income!G$2="","",VLOOKUP(Income!G$2,[0]!Class,2))</f>
        <v/>
      </c>
      <c r="D22" s="546" t="n"/>
      <c r="E22" s="451" t="n"/>
      <c r="F22" s="459">
        <f>IF(Income!T$2="","",Income!T$2)</f>
        <v/>
      </c>
      <c r="G22" s="459">
        <f>IF(Income!N$2="","",Income!N$2)</f>
        <v/>
      </c>
      <c r="H22" s="460">
        <f>IF(Income!J$2="","",Income!J$2)</f>
        <v/>
      </c>
      <c r="I22" s="660">
        <f>IF(Income!K$2="","",Income!K$2)</f>
        <v/>
      </c>
      <c r="J22" s="463">
        <f>IF(Income!L$2="","",Income!L$2)</f>
        <v/>
      </c>
      <c r="K22" s="463">
        <f>IF(Income!M$2="","",Income!M$2)</f>
        <v/>
      </c>
    </row>
    <row r="23" ht="15" customHeight="1" s="518">
      <c r="A23" s="486" t="inlineStr">
        <is>
          <t>2)</t>
        </is>
      </c>
      <c r="B23" s="465">
        <f>IF(Income!D$3="","",MID(Income!D$3,1,5))</f>
        <v/>
      </c>
      <c r="C23" s="569">
        <f>IF(Income!G$3="","",VLOOKUP(Income!G$3,[0]!Class,2))</f>
        <v/>
      </c>
      <c r="D23" s="546" t="n"/>
      <c r="E23" s="451" t="n"/>
      <c r="F23" s="465">
        <f>IF(Income!T$3="","",Income!T$3)</f>
        <v/>
      </c>
      <c r="G23" s="465">
        <f>IF(Income!N$3="","",Income!N$3)</f>
        <v/>
      </c>
      <c r="H23" s="466">
        <f>IF(Income!J$3="","",Income!J$3)</f>
        <v/>
      </c>
      <c r="I23" s="661">
        <f>IF(Income!K$3="","",Income!K$3)</f>
        <v/>
      </c>
      <c r="J23" s="468">
        <f>IF(Income!L$3="","",Income!L$3)</f>
        <v/>
      </c>
      <c r="K23" s="468">
        <f>IF(Income!M$3="","",Income!M$3)</f>
        <v/>
      </c>
    </row>
    <row r="24" ht="15" customHeight="1" s="518">
      <c r="A24" s="486" t="inlineStr">
        <is>
          <t>3)</t>
        </is>
      </c>
      <c r="B24" s="459">
        <f>IF(Income!D$4="","",MID(Income!D$4,1,5))</f>
        <v/>
      </c>
      <c r="C24" s="566">
        <f>IF(Income!G$4="","",VLOOKUP(Income!G$4,[0]!Class,2))</f>
        <v/>
      </c>
      <c r="D24" s="546" t="n"/>
      <c r="E24" s="451" t="n"/>
      <c r="F24" s="459">
        <f>IF(Income!T$4="","",Income!T$4)</f>
        <v/>
      </c>
      <c r="G24" s="459">
        <f>IF(Income!N$4="","",Income!N$4)</f>
        <v/>
      </c>
      <c r="H24" s="460">
        <f>IF(Income!J$4="","",Income!J$4)</f>
        <v/>
      </c>
      <c r="I24" s="660">
        <f>IF(Income!K$4="","",Income!K$4)</f>
        <v/>
      </c>
      <c r="J24" s="463">
        <f>IF(Income!L$4="","",Income!L$4)</f>
        <v/>
      </c>
      <c r="K24" s="463">
        <f>IF(Income!M$4="","",Income!M$4)</f>
        <v/>
      </c>
    </row>
    <row r="25" ht="15.75" customHeight="1" s="518">
      <c r="A25" s="53" t="n"/>
      <c r="B25" s="53" t="n"/>
      <c r="C25" s="53" t="n"/>
      <c r="D25" s="53" t="n"/>
      <c r="E25" s="53" t="n"/>
    </row>
    <row r="26" ht="17" customHeight="1" s="518">
      <c r="A26" s="480" t="inlineStr">
        <is>
          <t>MARKET SALE COMPARABLES</t>
        </is>
      </c>
      <c r="B26" s="481" t="n"/>
      <c r="C26" s="481" t="n"/>
      <c r="D26" s="481" t="n"/>
      <c r="E26" s="481" t="n"/>
      <c r="F26" s="481" t="n"/>
      <c r="G26" s="481" t="n"/>
      <c r="H26" s="481" t="inlineStr">
        <is>
          <t>BUILDING</t>
        </is>
      </c>
      <c r="I26" s="481" t="inlineStr">
        <is>
          <t>SALE</t>
        </is>
      </c>
      <c r="J26" s="481" t="inlineStr">
        <is>
          <t>SALE</t>
        </is>
      </c>
      <c r="K26" s="495" t="inlineStr">
        <is>
          <t>S.P./</t>
        </is>
      </c>
    </row>
    <row r="27" ht="15" customHeight="1" s="518">
      <c r="A27" s="484" t="n"/>
      <c r="B27" s="484" t="inlineStr">
        <is>
          <t>PROPERTY ADDRESS</t>
        </is>
      </c>
      <c r="C27" s="484" t="n"/>
      <c r="D27" s="484" t="inlineStr">
        <is>
          <t>ACCOUNT NUMBER</t>
        </is>
      </c>
      <c r="E27" s="484" t="n"/>
      <c r="F27" s="484" t="n"/>
      <c r="G27" s="484" t="inlineStr">
        <is>
          <t>YOC</t>
        </is>
      </c>
      <c r="H27" s="484" t="inlineStr">
        <is>
          <t>SQ FT</t>
        </is>
      </c>
      <c r="I27" s="484" t="inlineStr">
        <is>
          <t>DATE</t>
        </is>
      </c>
      <c r="J27" s="484" t="inlineStr">
        <is>
          <t>PRICE</t>
        </is>
      </c>
      <c r="K27" s="484" t="inlineStr">
        <is>
          <t>SQ FT</t>
        </is>
      </c>
    </row>
    <row r="28" ht="16.5" customHeight="1" s="518">
      <c r="A28" s="52" t="n"/>
      <c r="B28" s="486" t="inlineStr">
        <is>
          <t>SUBJECT PROPERTY</t>
        </is>
      </c>
      <c r="C28" s="326" t="n"/>
      <c r="D28" s="326" t="n"/>
      <c r="E28" s="326" t="n"/>
      <c r="F28" s="326" t="n"/>
      <c r="G28" s="488" t="n"/>
      <c r="H28" s="326" t="n"/>
      <c r="I28" s="326" t="n"/>
      <c r="J28" s="326" t="n"/>
      <c r="K28" s="487" t="n"/>
    </row>
    <row r="29" ht="15.5" customHeight="1" s="518">
      <c r="A29" s="52" t="n"/>
      <c r="B29" s="565">
        <f>D3</f>
        <v/>
      </c>
      <c r="C29" s="541" t="n"/>
      <c r="D29" s="562">
        <f>D2</f>
        <v/>
      </c>
      <c r="E29" s="548" t="n"/>
      <c r="F29" s="546" t="n"/>
      <c r="G29" s="496">
        <f>G21</f>
        <v/>
      </c>
      <c r="H29" s="497">
        <f>H21</f>
        <v/>
      </c>
      <c r="I29" s="669" t="n"/>
      <c r="J29" s="669" t="n"/>
      <c r="K29" s="670">
        <f>IF(OR(N(H29)=0,N(D48)=0),"",ROUND(D48/H29,2))</f>
        <v/>
      </c>
    </row>
    <row r="30" ht="15" customHeight="1" s="518">
      <c r="A30" s="486" t="inlineStr">
        <is>
          <t>Best Match 1)</t>
        </is>
      </c>
      <c r="B30" s="562">
        <f>IF(IFERROR(INDEX(Sales!D:D,$Z$30),"")="","",IFERROR(INDEX(Sales!D:D,$Z$30),""))</f>
        <v/>
      </c>
      <c r="C30" s="546" t="n"/>
      <c r="D30" s="562">
        <f>IF(IFERROR(INDEX(Sales!C:C,$Z$30),"")="","",IFERROR(INDEX(Sales!C:C,$Z$30),""))</f>
        <v/>
      </c>
      <c r="E30" s="548" t="n"/>
      <c r="F30" s="546" t="n"/>
      <c r="G30" s="496">
        <f>IF(IFERROR(INDEX(Sales!M:M,$Z$30),"")="","",IFERROR(INDEX(Sales!M:M,$Z$30),""))</f>
        <v/>
      </c>
      <c r="H30" s="497">
        <f>IF(IFERROR(INDEX(Sales!L:L,$Z$30),"")="","",IFERROR(INDEX(Sales!L:L,$Z$30),""))</f>
        <v/>
      </c>
      <c r="I30" s="671">
        <f>IF(IFERROR(INDEX(Sales!I:I,$Z$30),"")="","",IFERROR(INDEX(Sales!I:I,$Z$30),""))</f>
        <v/>
      </c>
      <c r="J30" s="672">
        <f>IF(IFERROR(INDEX(Sales!AA:AA,$Z$30),"")="","",IFERROR(INDEX(Sales!AA:AA,$Z$30),""))</f>
        <v/>
      </c>
      <c r="K30" s="670">
        <f>IF(IFERROR(INDEX(Sales!H:H,$Z$30),"")="","",IFERROR(INDEX(Sales!H:H,$Z$30),""))</f>
        <v/>
      </c>
      <c r="Y30" s="200" t="n">
        <v>1</v>
      </c>
      <c r="Z30">
        <f>IFERROR(MATCH(_xlfn.AGGREGATE(15,6,Sales!$AJ$2:$AJ$941,$Y$30),Sales!$AJ$2:$AJ$941,0)+1,"")</f>
        <v/>
      </c>
    </row>
    <row r="31" ht="15" customHeight="1" s="518">
      <c r="A31" s="486" t="inlineStr">
        <is>
          <t>Best Match 2)</t>
        </is>
      </c>
      <c r="B31" s="568">
        <f>IF(IFERROR(INDEX(Sales!D:D,$Z$31),"")="","",IFERROR(INDEX(Sales!D:D,$Z$31),""))</f>
        <v/>
      </c>
      <c r="C31" s="546" t="n"/>
      <c r="D31" s="568">
        <f>IF(IFERROR(INDEX(Sales!C:C,$Z$31),"")="","",IFERROR(INDEX(Sales!C:C,$Z$31),""))</f>
        <v/>
      </c>
      <c r="E31" s="548" t="n"/>
      <c r="F31" s="546" t="n"/>
      <c r="G31" s="502">
        <f>IF(IFERROR(INDEX(Sales!M:M,$Z$31),"")="","",IFERROR(INDEX(Sales!M:M,$Z$31),""))</f>
        <v/>
      </c>
      <c r="H31" s="503">
        <f>IF(IFERROR(INDEX(Sales!L:L,$Z$31),"")="","",IFERROR(INDEX(Sales!L:L,$Z$31),""))</f>
        <v/>
      </c>
      <c r="I31" s="673">
        <f>IF(IFERROR(INDEX(Sales!I:I,$Z$31),"")="","",IFERROR(INDEX(Sales!I:I,$Z$31),""))</f>
        <v/>
      </c>
      <c r="J31" s="674">
        <f>IF(IFERROR(INDEX(Sales!AA:AA,$Z$31),"")="","",IFERROR(INDEX(Sales!AA:AA,$Z$31),""))</f>
        <v/>
      </c>
      <c r="K31" s="675">
        <f>IF(IFERROR(INDEX(Sales!H:H,$Z$31),"")="","",IFERROR(INDEX(Sales!H:H,$Z$31),""))</f>
        <v/>
      </c>
      <c r="Y31" s="200" t="n">
        <v>2</v>
      </c>
      <c r="Z31">
        <f>IFERROR(MATCH(_xlfn.AGGREGATE(15,6,Sales!$AJ$2:$AJ$941,$Y$31),Sales!$AJ$2:$AJ$941,0)+1,"")</f>
        <v/>
      </c>
    </row>
    <row r="32" ht="15" customHeight="1" s="518">
      <c r="A32" s="486" t="inlineStr">
        <is>
          <t>Best Match 3)</t>
        </is>
      </c>
      <c r="B32" s="562">
        <f>IF(IFERROR(INDEX(Sales!D:D,$Z$32),"")="","",IFERROR(INDEX(Sales!D:D,$Z$32),""))</f>
        <v/>
      </c>
      <c r="C32" s="546" t="n"/>
      <c r="D32" s="562">
        <f>IF(IFERROR(INDEX(Sales!C:C,$Z$32),"")="","",IFERROR(INDEX(Sales!C:C,$Z$32),""))</f>
        <v/>
      </c>
      <c r="E32" s="548" t="n"/>
      <c r="F32" s="546" t="n"/>
      <c r="G32" s="496">
        <f>IF(IFERROR(INDEX(Sales!M:M,$Z$32),"")="","",IFERROR(INDEX(Sales!M:M,$Z$32),""))</f>
        <v/>
      </c>
      <c r="H32" s="497">
        <f>IF(IFERROR(INDEX(Sales!L:L,$Z$32),"")="","",IFERROR(INDEX(Sales!L:L,$Z$32),""))</f>
        <v/>
      </c>
      <c r="I32" s="671">
        <f>IF(IFERROR(INDEX(Sales!I:I,$Z$32),"")="","",IFERROR(INDEX(Sales!I:I,$Z$32),""))</f>
        <v/>
      </c>
      <c r="J32" s="672">
        <f>IF(IFERROR(INDEX(Sales!AA:AA,$Z$32),"")="","",IFERROR(INDEX(Sales!AA:AA,$Z$32),""))</f>
        <v/>
      </c>
      <c r="K32" s="670">
        <f>IF(IFERROR(INDEX(Sales!H:H,$Z$32),"")="","",IFERROR(INDEX(Sales!H:H,$Z$32),""))</f>
        <v/>
      </c>
      <c r="Y32" s="200" t="n">
        <v>3</v>
      </c>
      <c r="Z32">
        <f>IFERROR(MATCH(_xlfn.AGGREGATE(15,6,Sales!$AJ$2:$AJ$941,$Y$32),Sales!$AJ$2:$AJ$941,0)+1,"")</f>
        <v/>
      </c>
    </row>
    <row r="34" ht="15.75" customHeight="1" s="518">
      <c r="A34" s="476" t="inlineStr">
        <is>
          <t>VALUE CONCLUSIONS:</t>
        </is>
      </c>
    </row>
    <row r="35">
      <c r="A35" s="563" t="inlineStr"/>
      <c r="B35" s="550" t="n"/>
      <c r="C35" s="550" t="n"/>
      <c r="D35" s="550" t="n"/>
      <c r="E35" s="550" t="n"/>
      <c r="F35" s="550" t="n"/>
      <c r="G35" s="550" t="n"/>
      <c r="H35" s="550" t="n"/>
      <c r="I35" s="550" t="n"/>
      <c r="J35" s="550" t="n"/>
      <c r="K35" s="551" t="n"/>
    </row>
    <row r="36">
      <c r="A36" s="552" t="n"/>
      <c r="K36" s="554" t="n"/>
    </row>
    <row r="37">
      <c r="A37" s="552" t="n"/>
      <c r="K37" s="554" t="n"/>
    </row>
    <row r="38">
      <c r="A38" s="552" t="n"/>
      <c r="K38" s="554" t="n"/>
    </row>
    <row r="39">
      <c r="A39" s="552" t="n"/>
      <c r="K39" s="554" t="n"/>
    </row>
    <row r="40">
      <c r="A40" s="552" t="n"/>
      <c r="K40" s="554" t="n"/>
    </row>
    <row r="41">
      <c r="A41" s="552" t="n"/>
      <c r="K41" s="554" t="n"/>
    </row>
    <row r="42">
      <c r="A42" s="555" t="n"/>
      <c r="B42" s="556" t="n"/>
      <c r="C42" s="556" t="n"/>
      <c r="D42" s="556" t="n"/>
      <c r="E42" s="556" t="n"/>
      <c r="F42" s="556" t="n"/>
      <c r="G42" s="556" t="n"/>
      <c r="H42" s="556" t="n"/>
      <c r="I42" s="556" t="n"/>
      <c r="J42" s="556" t="n"/>
      <c r="K42" s="557" t="n"/>
    </row>
    <row r="44" ht="17" customHeight="1" s="518">
      <c r="A44" s="507" t="inlineStr">
        <is>
          <t>VALUE ALLOCATION OF SUBJECT PROPERTY:</t>
        </is>
      </c>
      <c r="B44" s="368" t="n"/>
      <c r="C44" s="368" t="n"/>
      <c r="D44" s="368" t="n"/>
      <c r="E44" s="368" t="n"/>
      <c r="F44" s="368" t="n"/>
      <c r="G44" s="368" t="n"/>
      <c r="H44" s="368" t="n"/>
      <c r="I44" s="368" t="n"/>
      <c r="J44" s="368" t="n"/>
      <c r="K44" s="368" t="n"/>
    </row>
    <row r="46" ht="14" customHeight="1" s="518">
      <c r="A46" s="476" t="inlineStr">
        <is>
          <t>LAND VALUE:</t>
        </is>
      </c>
      <c r="D46" s="676" t="inlineStr"/>
      <c r="E46" s="546" t="n"/>
      <c r="G46" s="508" t="inlineStr">
        <is>
          <t>NO CHANGE</t>
        </is>
      </c>
      <c r="H46" t="n"/>
      <c r="I46" s="508" t="inlineStr">
        <is>
          <t>REDUCTION</t>
        </is>
      </c>
    </row>
    <row r="47" ht="14" customHeight="1" s="518">
      <c r="A47" s="476" t="inlineStr">
        <is>
          <t>IMPROVEMENT VALUE:</t>
        </is>
      </c>
      <c r="D47" s="676" t="inlineStr"/>
      <c r="E47" s="546" t="n"/>
      <c r="G47" s="508" t="inlineStr">
        <is>
          <t>NO CHANGE</t>
        </is>
      </c>
      <c r="I47" s="508" t="inlineStr">
        <is>
          <t>REDUCTION</t>
        </is>
      </c>
    </row>
    <row r="48" ht="14" customHeight="1" s="518">
      <c r="A48" s="476" t="inlineStr">
        <is>
          <t>TOTAL VALUE:</t>
        </is>
      </c>
      <c r="D48" s="676" t="inlineStr"/>
      <c r="E48" s="546" t="n"/>
      <c r="G48" s="509" t="n"/>
      <c r="I48" s="509" t="n"/>
    </row>
  </sheetData>
  <mergeCells count="17">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 ref="D48:E48"/>
    <mergeCell ref="A35:K42"/>
    <mergeCell ref="C23:D23"/>
  </mergeCells>
  <printOptions horizontalCentered="1"/>
  <pageMargins left="0.25" right="0.25" top="0.5" bottom="0.5" header="0" footer="0"/>
  <pageSetup orientation="portrait" scale="97" fitToHeight="0" verticalDpi="300"/>
  <legacyDrawing xmlns:r="http://schemas.openxmlformats.org/officeDocument/2006/relationships" r:id="anysvml"/>
</worksheet>
</file>

<file path=xl/worksheets/sheet9.xml><?xml version="1.0" encoding="utf-8"?>
<worksheet xmlns="http://schemas.openxmlformats.org/spreadsheetml/2006/main">
  <sheetPr>
    <outlinePr summaryBelow="1" summaryRight="1"/>
    <pageSetUpPr/>
  </sheetPr>
  <dimension ref="B1:M5104"/>
  <sheetViews>
    <sheetView topLeftCell="A3610" workbookViewId="0">
      <selection activeCell="A1" sqref="A1"/>
    </sheetView>
  </sheetViews>
  <sheetFormatPr baseColWidth="10" defaultColWidth="9" defaultRowHeight="12"/>
  <cols>
    <col width="52" customWidth="1" style="518" min="2" max="2"/>
    <col width="30" customWidth="1" style="518" min="3" max="3"/>
    <col width="44" customWidth="1" style="518" min="4" max="4"/>
    <col width="8" customWidth="1" style="518" min="5" max="5"/>
    <col width="10" customWidth="1" style="518" min="6" max="6"/>
    <col width="11" customWidth="1" style="518" min="7" max="7"/>
    <col width="10" customWidth="1" style="518" min="8" max="8"/>
    <col width="14" customWidth="1" style="518" min="9" max="9"/>
    <col width="26" customWidth="1" style="518" min="10" max="10"/>
    <col width="10" customWidth="1" style="518" min="11" max="13"/>
  </cols>
  <sheetData>
    <row r="1">
      <c r="B1" s="168" t="inlineStr">
        <is>
          <t>MARSHALL AND SWIFT (MVS) REFERENCE ENGINE -- June 2024 Ed. (Sec.99/98 multiplier inserts dated Jan 2025). COMPLETE occupancy coverage: every Class/Quality cost table in calculator Sections 11-18.</t>
        </is>
      </c>
    </row>
    <row r="2">
      <c r="B2" t="inlineStr">
        <is>
          <t>ALL WORKING INPUTS LIVE ON THE 'COST APPROACH' TAB -- this sheet is locked MVS reference/lookup data only. Go to Cost Approach to value a property.</t>
        </is>
      </c>
    </row>
    <row r="4">
      <c r="B4" t="inlineStr">
        <is>
          <t>CURRENT RESULT  (mirrors the 'Cost Approach' tab)</t>
        </is>
      </c>
    </row>
    <row r="5">
      <c r="B5" t="inlineStr">
        <is>
          <t>Total Replacement Cost New (RCN)</t>
        </is>
      </c>
      <c r="C5">
        <f>'Cost Approach'!G51</f>
        <v/>
      </c>
    </row>
    <row r="6">
      <c r="B6" t="inlineStr">
        <is>
          <t>Depreciated Value of Improvements</t>
        </is>
      </c>
      <c r="C6">
        <f>'Cost Approach'!G64</f>
        <v/>
      </c>
    </row>
    <row r="7">
      <c r="B7" t="inlineStr">
        <is>
          <t>Plus: Land Value</t>
        </is>
      </c>
      <c r="C7">
        <f>'Cost Approach'!G67</f>
        <v/>
      </c>
    </row>
    <row r="8">
      <c r="B8" t="inlineStr">
        <is>
          <t>INDICATED VALUE BY COST APPROACH</t>
        </is>
      </c>
      <c r="C8">
        <f>'Cost Approach'!G70</f>
        <v/>
      </c>
    </row>
    <row r="11">
      <c r="B11" s="168" t="inlineStr">
        <is>
          <t>MVS QUICK-REFERENCE TABLES -- DO NOT EDIT  (sourced &amp;amp; verified from the licensed MVS June 2024 edition; Sec.99/98 multiplier inserts dated Jan 2025)</t>
        </is>
      </c>
    </row>
    <row r="13">
      <c r="B13" s="168" t="inlineStr">
        <is>
          <t>REFERENCE 1 -- Class of Construction Indicators (MVS Section 1, pp.4-9)</t>
        </is>
      </c>
    </row>
    <row r="14">
      <c r="B14" t="inlineStr">
        <is>
          <t>Class</t>
        </is>
      </c>
      <c r="C14" t="inlineStr">
        <is>
          <t>Frame</t>
        </is>
      </c>
      <c r="D14" t="inlineStr">
        <is>
          <t>Floor</t>
        </is>
      </c>
      <c r="E14" t="inlineStr">
        <is>
          <t>Roof</t>
        </is>
      </c>
      <c r="F14" t="inlineStr">
        <is>
          <t>Walls</t>
        </is>
      </c>
    </row>
    <row r="15">
      <c r="B15" t="inlineStr">
        <is>
          <t>A</t>
        </is>
      </c>
      <c r="C15" t="inlineStr">
        <is>
          <t>Structural steel columns and beams, fireproofed with masonry, concrete, plaster, or other noncombustible material.</t>
        </is>
      </c>
      <c r="D15" t="inlineStr">
        <is>
          <t>Concrete or concrete on steel deck, fireproofed.</t>
        </is>
      </c>
      <c r="E15" t="inlineStr">
        <is>
          <t>Formed concrete, precast slabs, concrete or gypsum on steel deck, fireproofed.</t>
        </is>
      </c>
      <c r="F15" t="inlineStr">
        <is>
          <t>Nonbearing curtain walls, masonry, concrete, metal and glass panels, stone, steel studs and masonry, tile or stucco, etc.</t>
        </is>
      </c>
    </row>
    <row r="16">
      <c r="B16" t="inlineStr">
        <is>
          <t>B</t>
        </is>
      </c>
      <c r="C16" t="inlineStr">
        <is>
          <t>Reinforced concrete columns and beams.</t>
        </is>
      </c>
      <c r="D16" t="inlineStr">
        <is>
          <t>Concrete or concrete on steel deck, fireproofed.</t>
        </is>
      </c>
      <c r="E16" t="inlineStr">
        <is>
          <t>Formed concrete, precast slabs, concrete or gypsum on steel deck, fireproofed.</t>
        </is>
      </c>
      <c r="F16" t="inlineStr">
        <is>
          <t>Nonbearing curtain walls, masonry, concrete, metal and glass panels, stone, steel studs and masonry, tile or stucco, etc.</t>
        </is>
      </c>
    </row>
    <row r="17">
      <c r="B17" t="inlineStr">
        <is>
          <t>C</t>
        </is>
      </c>
      <c r="C17" t="inlineStr">
        <is>
          <t>Masonry or concrete load-bearing walls with or without pilasters. Masonry, concrete or curtain walls with full or partial open steel, wood, or concrete frame.</t>
        </is>
      </c>
      <c r="D17" t="inlineStr">
        <is>
          <t>Wood or concrete plank on wood or steel floor joists, or concrete slab on grade.</t>
        </is>
      </c>
      <c r="E17" t="inlineStr">
        <is>
          <t>Wood or steel joists with wood or steel deck. Concrete plank.</t>
        </is>
      </c>
      <c r="F17" t="inlineStr">
        <is>
          <t>Brick, concrete block, or tile masonry, tilt-up, formed concrete, nonbearing curtain walls.</t>
        </is>
      </c>
    </row>
    <row r="18">
      <c r="B18" t="inlineStr">
        <is>
          <t>D</t>
        </is>
      </c>
      <c r="C18" t="inlineStr">
        <is>
          <t>Wood or steel studs in bearing wall, full or partial open wood or steel frame, primarily combustible construction.</t>
        </is>
      </c>
      <c r="D18" t="inlineStr">
        <is>
          <t>Wood or steel floor joists or concrete slab on grade.</t>
        </is>
      </c>
      <c r="E18" t="inlineStr">
        <is>
          <t>Wood or steel joists with wood or steel deck.</t>
        </is>
      </c>
      <c r="F18" t="inlineStr">
        <is>
          <t>Almost any material except bearing or curtain walls of solid masonry or concrete. Generally combustible construction.</t>
        </is>
      </c>
    </row>
    <row r="19">
      <c r="B19" t="inlineStr">
        <is>
          <t>S</t>
        </is>
      </c>
      <c r="C19" t="inlineStr">
        <is>
          <t>Metal bents, columns, girders, purlins and girts without fireproofing, incombustible construction.</t>
        </is>
      </c>
      <c r="D19" t="inlineStr">
        <is>
          <t>Wood or steel deck on steel floor joists, or concrete slab on grade.</t>
        </is>
      </c>
      <c r="E19" t="inlineStr">
        <is>
          <t>Steel or wood deck on steel joists.</t>
        </is>
      </c>
      <c r="F19" t="inlineStr">
        <is>
          <t>Metal skin or sandwich panels. Generally incombustible.</t>
        </is>
      </c>
    </row>
    <row r="21">
      <c r="B21" s="168" t="inlineStr">
        <is>
          <t>REFERENCE 2 -- Quality Tier Definitions (MVS Section 1, pp.10-12)</t>
        </is>
      </c>
    </row>
    <row r="22">
      <c r="B22" t="inlineStr">
        <is>
          <t>Quality</t>
        </is>
      </c>
      <c r="C22" t="inlineStr">
        <is>
          <t>Description</t>
        </is>
      </c>
    </row>
    <row r="23">
      <c r="B23" t="inlineStr">
        <is>
          <t>Low Cost</t>
        </is>
      </c>
      <c r="C23" t="inlineStr">
        <is>
          <t>Constructed to minimum code requirements, little regard for architectural appearance, minimum investment, little ornamentation, minimal/low-quality interior finish.</t>
        </is>
      </c>
    </row>
    <row r="24">
      <c r="B24" t="inlineStr">
        <is>
          <t>Average</t>
        </is>
      </c>
      <c r="C24" t="inlineStr">
        <is>
          <t>Largest group of buildings constructed (~50% of all buildings). Designed for maximum economic potential without pride-of-ownership amenities. Good standard code construction, simple ornamentation and finishes.</t>
        </is>
      </c>
    </row>
    <row r="25">
      <c r="B25" t="inlineStr">
        <is>
          <t>Good</t>
        </is>
      </c>
      <c r="C25" t="inlineStr">
        <is>
          <t>Designed for good appearance, comfort and convenience with an element of prestige. Higher-quality ornamental treatment, interiors designed for upper-class rentals, better lighting and mechanical work.</t>
        </is>
      </c>
    </row>
    <row r="26">
      <c r="B26" t="inlineStr">
        <is>
          <t>Excellent</t>
        </is>
      </c>
      <c r="C26" t="inlineStr">
        <is>
          <t>Prestige buildings. Part of cost is attributable to pride of ownership. Expensive finishes and fixtures; built for established professionals/institutions or high-profile tenants.</t>
        </is>
      </c>
    </row>
    <row r="28">
      <c r="B28" s="305" t="inlineStr">
        <is>
          <t>REFERENCE 3 -- Occupancy Base Cost Tables (Calculator Method, $/SF) -- every Class/Quality occupancy cost table in MVS calculator Sections 11-18</t>
        </is>
      </c>
    </row>
    <row r="29">
      <c r="B29" s="306" t="inlineStr">
        <is>
          <t>Occupancy Name</t>
        </is>
      </c>
      <c r="C29" s="306" t="inlineStr">
        <is>
          <t>MVS Code</t>
        </is>
      </c>
      <c r="D29" s="306" t="inlineStr">
        <is>
          <t>Section</t>
        </is>
      </c>
      <c r="E29" s="306" t="inlineStr">
        <is>
          <t>Page</t>
        </is>
      </c>
      <c r="F29" s="306" t="inlineStr">
        <is>
          <t>Class</t>
        </is>
      </c>
      <c r="G29" s="306" t="inlineStr">
        <is>
          <t>Quality</t>
        </is>
      </c>
      <c r="H29" s="306" t="inlineStr">
        <is>
          <t>$/SF</t>
        </is>
      </c>
      <c r="I29" s="306" t="inlineStr">
        <is>
          <t>Lookup Key</t>
        </is>
      </c>
      <c r="J29" s="306" t="inlineStr">
        <is>
          <t>Citation</t>
        </is>
      </c>
    </row>
    <row r="30">
      <c r="B30" t="inlineStr">
        <is>
          <t>Homes For the Elderly</t>
        </is>
      </c>
      <c r="C30" t="inlineStr">
        <is>
          <t>330</t>
        </is>
      </c>
      <c r="D30" t="inlineStr">
        <is>
          <t>11</t>
        </is>
      </c>
      <c r="E30" t="inlineStr">
        <is>
          <t>13</t>
        </is>
      </c>
      <c r="F30" t="inlineStr">
        <is>
          <t>A</t>
        </is>
      </c>
      <c r="G30" t="inlineStr">
        <is>
          <t>Good</t>
        </is>
      </c>
      <c r="H30" t="n">
        <v>304</v>
      </c>
      <c r="I30">
        <f>B30&amp;"|"&amp;F30&amp;"|"&amp;G30</f>
        <v/>
      </c>
      <c r="J30" t="inlineStr">
        <is>
          <t>MVS Sec.11 p.13</t>
        </is>
      </c>
    </row>
    <row r="31">
      <c r="B31" t="inlineStr">
        <is>
          <t>Homes For the Elderly</t>
        </is>
      </c>
      <c r="C31" t="inlineStr">
        <is>
          <t>330</t>
        </is>
      </c>
      <c r="D31" t="inlineStr">
        <is>
          <t>11</t>
        </is>
      </c>
      <c r="E31" t="inlineStr">
        <is>
          <t>13</t>
        </is>
      </c>
      <c r="F31" t="inlineStr">
        <is>
          <t>A</t>
        </is>
      </c>
      <c r="G31" t="inlineStr">
        <is>
          <t>Average</t>
        </is>
      </c>
      <c r="H31" t="n">
        <v>238</v>
      </c>
      <c r="I31">
        <f>B31&amp;"|"&amp;F31&amp;"|"&amp;G31</f>
        <v/>
      </c>
      <c r="J31" t="inlineStr">
        <is>
          <t>MVS Sec.11 p.13</t>
        </is>
      </c>
    </row>
    <row r="32">
      <c r="B32" t="inlineStr">
        <is>
          <t>Homes For the Elderly</t>
        </is>
      </c>
      <c r="C32" t="inlineStr">
        <is>
          <t>330</t>
        </is>
      </c>
      <c r="D32" t="inlineStr">
        <is>
          <t>11</t>
        </is>
      </c>
      <c r="E32" t="inlineStr">
        <is>
          <t>13</t>
        </is>
      </c>
      <c r="F32" t="inlineStr">
        <is>
          <t>A</t>
        </is>
      </c>
      <c r="G32" t="inlineStr">
        <is>
          <t>Low Cost</t>
        </is>
      </c>
      <c r="H32" t="n">
        <v>189</v>
      </c>
      <c r="I32">
        <f>B32&amp;"|"&amp;F32&amp;"|"&amp;G32</f>
        <v/>
      </c>
      <c r="J32" t="inlineStr">
        <is>
          <t>MVS Sec.11 p.13</t>
        </is>
      </c>
    </row>
    <row r="33">
      <c r="B33" t="inlineStr">
        <is>
          <t>Homes For the Elderly</t>
        </is>
      </c>
      <c r="C33" t="inlineStr">
        <is>
          <t>330</t>
        </is>
      </c>
      <c r="D33" t="inlineStr">
        <is>
          <t>11</t>
        </is>
      </c>
      <c r="E33" t="inlineStr">
        <is>
          <t>13</t>
        </is>
      </c>
      <c r="F33" t="inlineStr">
        <is>
          <t>B</t>
        </is>
      </c>
      <c r="G33" t="inlineStr">
        <is>
          <t>Good</t>
        </is>
      </c>
      <c r="H33" t="n">
        <v>274</v>
      </c>
      <c r="I33">
        <f>B33&amp;"|"&amp;F33&amp;"|"&amp;G33</f>
        <v/>
      </c>
      <c r="J33" t="inlineStr">
        <is>
          <t>MVS Sec.11 p.13</t>
        </is>
      </c>
    </row>
    <row r="34">
      <c r="B34" t="inlineStr">
        <is>
          <t>Homes For the Elderly</t>
        </is>
      </c>
      <c r="C34" t="inlineStr">
        <is>
          <t>330</t>
        </is>
      </c>
      <c r="D34" t="inlineStr">
        <is>
          <t>11</t>
        </is>
      </c>
      <c r="E34" t="inlineStr">
        <is>
          <t>13</t>
        </is>
      </c>
      <c r="F34" t="inlineStr">
        <is>
          <t>B</t>
        </is>
      </c>
      <c r="G34" t="inlineStr">
        <is>
          <t>Average</t>
        </is>
      </c>
      <c r="H34" t="n">
        <v>214</v>
      </c>
      <c r="I34">
        <f>B34&amp;"|"&amp;F34&amp;"|"&amp;G34</f>
        <v/>
      </c>
      <c r="J34" t="inlineStr">
        <is>
          <t>MVS Sec.11 p.13</t>
        </is>
      </c>
    </row>
    <row r="35">
      <c r="B35" t="inlineStr">
        <is>
          <t>Homes For the Elderly</t>
        </is>
      </c>
      <c r="C35" t="inlineStr">
        <is>
          <t>330</t>
        </is>
      </c>
      <c r="D35" t="inlineStr">
        <is>
          <t>11</t>
        </is>
      </c>
      <c r="E35" t="inlineStr">
        <is>
          <t>13</t>
        </is>
      </c>
      <c r="F35" t="inlineStr">
        <is>
          <t>B</t>
        </is>
      </c>
      <c r="G35" t="inlineStr">
        <is>
          <t>Low Cost</t>
        </is>
      </c>
      <c r="H35" t="n">
        <v>169</v>
      </c>
      <c r="I35">
        <f>B35&amp;"|"&amp;F35&amp;"|"&amp;G35</f>
        <v/>
      </c>
      <c r="J35" t="inlineStr">
        <is>
          <t>MVS Sec.11 p.13</t>
        </is>
      </c>
    </row>
    <row r="36">
      <c r="B36" t="inlineStr">
        <is>
          <t>Homes For the Elderly</t>
        </is>
      </c>
      <c r="C36" t="inlineStr">
        <is>
          <t>330</t>
        </is>
      </c>
      <c r="D36" t="inlineStr">
        <is>
          <t>11</t>
        </is>
      </c>
      <c r="E36" t="inlineStr">
        <is>
          <t>13</t>
        </is>
      </c>
      <c r="F36" t="inlineStr">
        <is>
          <t>C</t>
        </is>
      </c>
      <c r="G36" t="inlineStr">
        <is>
          <t>Good</t>
        </is>
      </c>
      <c r="H36" t="n">
        <v>229</v>
      </c>
      <c r="I36">
        <f>B36&amp;"|"&amp;F36&amp;"|"&amp;G36</f>
        <v/>
      </c>
      <c r="J36" t="inlineStr">
        <is>
          <t>MVS Sec.11 p.13</t>
        </is>
      </c>
    </row>
    <row r="37">
      <c r="B37" t="inlineStr">
        <is>
          <t>Homes For the Elderly</t>
        </is>
      </c>
      <c r="C37" t="inlineStr">
        <is>
          <t>330</t>
        </is>
      </c>
      <c r="D37" t="inlineStr">
        <is>
          <t>11</t>
        </is>
      </c>
      <c r="E37" t="inlineStr">
        <is>
          <t>13</t>
        </is>
      </c>
      <c r="F37" t="inlineStr">
        <is>
          <t>C</t>
        </is>
      </c>
      <c r="G37" t="inlineStr">
        <is>
          <t>Average</t>
        </is>
      </c>
      <c r="H37" t="n">
        <v>173</v>
      </c>
      <c r="I37">
        <f>B37&amp;"|"&amp;F37&amp;"|"&amp;G37</f>
        <v/>
      </c>
      <c r="J37" t="inlineStr">
        <is>
          <t>MVS Sec.11 p.13</t>
        </is>
      </c>
    </row>
    <row r="38">
      <c r="B38" t="inlineStr">
        <is>
          <t>Homes For the Elderly</t>
        </is>
      </c>
      <c r="C38" t="inlineStr">
        <is>
          <t>330</t>
        </is>
      </c>
      <c r="D38" t="inlineStr">
        <is>
          <t>11</t>
        </is>
      </c>
      <c r="E38" t="inlineStr">
        <is>
          <t>13</t>
        </is>
      </c>
      <c r="F38" t="inlineStr">
        <is>
          <t>C</t>
        </is>
      </c>
      <c r="G38" t="inlineStr">
        <is>
          <t>Low Cost</t>
        </is>
      </c>
      <c r="H38" t="n">
        <v>131</v>
      </c>
      <c r="I38">
        <f>B38&amp;"|"&amp;F38&amp;"|"&amp;G38</f>
        <v/>
      </c>
      <c r="J38" t="inlineStr">
        <is>
          <t>MVS Sec.11 p.13</t>
        </is>
      </c>
    </row>
    <row r="39">
      <c r="B39" t="inlineStr">
        <is>
          <t>Homes For the Elderly</t>
        </is>
      </c>
      <c r="C39" t="inlineStr">
        <is>
          <t>330</t>
        </is>
      </c>
      <c r="D39" t="inlineStr">
        <is>
          <t>11</t>
        </is>
      </c>
      <c r="E39" t="inlineStr">
        <is>
          <t>13</t>
        </is>
      </c>
      <c r="F39" t="inlineStr">
        <is>
          <t>D</t>
        </is>
      </c>
      <c r="G39" t="inlineStr">
        <is>
          <t>Good</t>
        </is>
      </c>
      <c r="H39" t="n">
        <v>222</v>
      </c>
      <c r="I39">
        <f>B39&amp;"|"&amp;F39&amp;"|"&amp;G39</f>
        <v/>
      </c>
      <c r="J39" t="inlineStr">
        <is>
          <t>MVS Sec.11 p.13</t>
        </is>
      </c>
    </row>
    <row r="40">
      <c r="B40" t="inlineStr">
        <is>
          <t>Homes For the Elderly</t>
        </is>
      </c>
      <c r="C40" t="inlineStr">
        <is>
          <t>330</t>
        </is>
      </c>
      <c r="D40" t="inlineStr">
        <is>
          <t>11</t>
        </is>
      </c>
      <c r="E40" t="inlineStr">
        <is>
          <t>13</t>
        </is>
      </c>
      <c r="F40" t="inlineStr">
        <is>
          <t>D</t>
        </is>
      </c>
      <c r="G40" t="inlineStr">
        <is>
          <t>Average</t>
        </is>
      </c>
      <c r="H40" t="n">
        <v>167</v>
      </c>
      <c r="I40">
        <f>B40&amp;"|"&amp;F40&amp;"|"&amp;G40</f>
        <v/>
      </c>
      <c r="J40" t="inlineStr">
        <is>
          <t>MVS Sec.11 p.13</t>
        </is>
      </c>
    </row>
    <row r="41">
      <c r="B41" t="inlineStr">
        <is>
          <t>Homes For the Elderly</t>
        </is>
      </c>
      <c r="C41" t="inlineStr">
        <is>
          <t>330</t>
        </is>
      </c>
      <c r="D41" t="inlineStr">
        <is>
          <t>11</t>
        </is>
      </c>
      <c r="E41" t="inlineStr">
        <is>
          <t>13</t>
        </is>
      </c>
      <c r="F41" t="inlineStr">
        <is>
          <t>D</t>
        </is>
      </c>
      <c r="G41" t="inlineStr">
        <is>
          <t>Low Cost</t>
        </is>
      </c>
      <c r="H41" t="n">
        <v>125</v>
      </c>
      <c r="I41">
        <f>B41&amp;"|"&amp;F41&amp;"|"&amp;G41</f>
        <v/>
      </c>
      <c r="J41" t="inlineStr">
        <is>
          <t>MVS Sec.11 p.13</t>
        </is>
      </c>
    </row>
    <row r="42">
      <c r="B42" t="inlineStr">
        <is>
          <t>Homes For the Elderly</t>
        </is>
      </c>
      <c r="C42" t="inlineStr">
        <is>
          <t>330</t>
        </is>
      </c>
      <c r="D42" t="inlineStr">
        <is>
          <t>11</t>
        </is>
      </c>
      <c r="E42" t="inlineStr">
        <is>
          <t>13</t>
        </is>
      </c>
      <c r="F42" t="inlineStr">
        <is>
          <t>S</t>
        </is>
      </c>
      <c r="G42" t="inlineStr">
        <is>
          <t>Good</t>
        </is>
      </c>
      <c r="H42" t="n">
        <v>216</v>
      </c>
      <c r="I42">
        <f>B42&amp;"|"&amp;F42&amp;"|"&amp;G42</f>
        <v/>
      </c>
      <c r="J42" t="inlineStr">
        <is>
          <t>MVS Sec.11 p.13</t>
        </is>
      </c>
    </row>
    <row r="43">
      <c r="B43" t="inlineStr">
        <is>
          <t>Homes For the Elderly</t>
        </is>
      </c>
      <c r="C43" t="inlineStr">
        <is>
          <t>330</t>
        </is>
      </c>
      <c r="D43" t="inlineStr">
        <is>
          <t>11</t>
        </is>
      </c>
      <c r="E43" t="inlineStr">
        <is>
          <t>13</t>
        </is>
      </c>
      <c r="F43" t="inlineStr">
        <is>
          <t>S</t>
        </is>
      </c>
      <c r="G43" t="inlineStr">
        <is>
          <t>Average</t>
        </is>
      </c>
      <c r="H43" t="n">
        <v>160</v>
      </c>
      <c r="I43">
        <f>B43&amp;"|"&amp;F43&amp;"|"&amp;G43</f>
        <v/>
      </c>
      <c r="J43" t="inlineStr">
        <is>
          <t>MVS Sec.11 p.13</t>
        </is>
      </c>
    </row>
    <row r="44">
      <c r="B44" t="inlineStr">
        <is>
          <t>Dormitories</t>
        </is>
      </c>
      <c r="C44" t="inlineStr">
        <is>
          <t>321</t>
        </is>
      </c>
      <c r="D44" t="inlineStr">
        <is>
          <t>11</t>
        </is>
      </c>
      <c r="E44" t="inlineStr">
        <is>
          <t>14</t>
        </is>
      </c>
      <c r="F44" t="inlineStr">
        <is>
          <t>A</t>
        </is>
      </c>
      <c r="G44" t="inlineStr">
        <is>
          <t>Excellent</t>
        </is>
      </c>
      <c r="H44" t="n">
        <v>431</v>
      </c>
      <c r="I44">
        <f>B44&amp;"|"&amp;F44&amp;"|"&amp;G44</f>
        <v/>
      </c>
      <c r="J44" t="inlineStr">
        <is>
          <t>MVS Sec.11 p.14</t>
        </is>
      </c>
    </row>
    <row r="45">
      <c r="B45" t="inlineStr">
        <is>
          <t>Dormitories</t>
        </is>
      </c>
      <c r="C45" t="inlineStr">
        <is>
          <t>321</t>
        </is>
      </c>
      <c r="D45" t="inlineStr">
        <is>
          <t>11</t>
        </is>
      </c>
      <c r="E45" t="inlineStr">
        <is>
          <t>14</t>
        </is>
      </c>
      <c r="F45" t="inlineStr">
        <is>
          <t>A</t>
        </is>
      </c>
      <c r="G45" t="inlineStr">
        <is>
          <t>Very Good</t>
        </is>
      </c>
      <c r="H45" t="n">
        <v>354</v>
      </c>
      <c r="I45">
        <f>B45&amp;"|"&amp;F45&amp;"|"&amp;G45</f>
        <v/>
      </c>
      <c r="J45" t="inlineStr">
        <is>
          <t>MVS Sec.11 p.14</t>
        </is>
      </c>
    </row>
    <row r="46">
      <c r="B46" t="inlineStr">
        <is>
          <t>Dormitories</t>
        </is>
      </c>
      <c r="C46" t="inlineStr">
        <is>
          <t>321</t>
        </is>
      </c>
      <c r="D46" t="inlineStr">
        <is>
          <t>11</t>
        </is>
      </c>
      <c r="E46" t="inlineStr">
        <is>
          <t>14</t>
        </is>
      </c>
      <c r="F46" t="inlineStr">
        <is>
          <t>A</t>
        </is>
      </c>
      <c r="G46" t="inlineStr">
        <is>
          <t>Good</t>
        </is>
      </c>
      <c r="H46" t="n">
        <v>291</v>
      </c>
      <c r="I46">
        <f>B46&amp;"|"&amp;F46&amp;"|"&amp;G46</f>
        <v/>
      </c>
      <c r="J46" t="inlineStr">
        <is>
          <t>MVS Sec.11 p.14</t>
        </is>
      </c>
    </row>
    <row r="47">
      <c r="B47" t="inlineStr">
        <is>
          <t>Dormitories</t>
        </is>
      </c>
      <c r="C47" t="inlineStr">
        <is>
          <t>321</t>
        </is>
      </c>
      <c r="D47" t="inlineStr">
        <is>
          <t>11</t>
        </is>
      </c>
      <c r="E47" t="inlineStr">
        <is>
          <t>14</t>
        </is>
      </c>
      <c r="F47" t="inlineStr">
        <is>
          <t>A</t>
        </is>
      </c>
      <c r="G47" t="inlineStr">
        <is>
          <t>Average</t>
        </is>
      </c>
      <c r="H47" t="n">
        <v>229</v>
      </c>
      <c r="I47">
        <f>B47&amp;"|"&amp;F47&amp;"|"&amp;G47</f>
        <v/>
      </c>
      <c r="J47" t="inlineStr">
        <is>
          <t>MVS Sec.11 p.14</t>
        </is>
      </c>
    </row>
    <row r="48">
      <c r="B48" t="inlineStr">
        <is>
          <t>Dormitories</t>
        </is>
      </c>
      <c r="C48" t="inlineStr">
        <is>
          <t>321</t>
        </is>
      </c>
      <c r="D48" t="inlineStr">
        <is>
          <t>11</t>
        </is>
      </c>
      <c r="E48" t="inlineStr">
        <is>
          <t>14</t>
        </is>
      </c>
      <c r="F48" t="inlineStr">
        <is>
          <t>A</t>
        </is>
      </c>
      <c r="G48" t="inlineStr">
        <is>
          <t>Low Cost</t>
        </is>
      </c>
      <c r="H48" t="n">
        <v>182</v>
      </c>
      <c r="I48">
        <f>B48&amp;"|"&amp;F48&amp;"|"&amp;G48</f>
        <v/>
      </c>
      <c r="J48" t="inlineStr">
        <is>
          <t>MVS Sec.11 p.14</t>
        </is>
      </c>
    </row>
    <row r="49">
      <c r="B49" t="inlineStr">
        <is>
          <t>Dormitories</t>
        </is>
      </c>
      <c r="C49" t="inlineStr">
        <is>
          <t>321</t>
        </is>
      </c>
      <c r="D49" t="inlineStr">
        <is>
          <t>11</t>
        </is>
      </c>
      <c r="E49" t="inlineStr">
        <is>
          <t>14</t>
        </is>
      </c>
      <c r="F49" t="inlineStr">
        <is>
          <t>B</t>
        </is>
      </c>
      <c r="G49" t="inlineStr">
        <is>
          <t>Excellent</t>
        </is>
      </c>
      <c r="H49" t="n">
        <v>388</v>
      </c>
      <c r="I49">
        <f>B49&amp;"|"&amp;F49&amp;"|"&amp;G49</f>
        <v/>
      </c>
      <c r="J49" t="inlineStr">
        <is>
          <t>MVS Sec.11 p.14</t>
        </is>
      </c>
    </row>
    <row r="50">
      <c r="B50" t="inlineStr">
        <is>
          <t>Dormitories</t>
        </is>
      </c>
      <c r="C50" t="inlineStr">
        <is>
          <t>321</t>
        </is>
      </c>
      <c r="D50" t="inlineStr">
        <is>
          <t>11</t>
        </is>
      </c>
      <c r="E50" t="inlineStr">
        <is>
          <t>14</t>
        </is>
      </c>
      <c r="F50" t="inlineStr">
        <is>
          <t>B</t>
        </is>
      </c>
      <c r="G50" t="inlineStr">
        <is>
          <t>Very Good</t>
        </is>
      </c>
      <c r="H50" t="n">
        <v>319</v>
      </c>
      <c r="I50">
        <f>B50&amp;"|"&amp;F50&amp;"|"&amp;G50</f>
        <v/>
      </c>
      <c r="J50" t="inlineStr">
        <is>
          <t>MVS Sec.11 p.14</t>
        </is>
      </c>
    </row>
    <row r="51">
      <c r="B51" t="inlineStr">
        <is>
          <t>Dormitories</t>
        </is>
      </c>
      <c r="C51" t="inlineStr">
        <is>
          <t>321</t>
        </is>
      </c>
      <c r="D51" t="inlineStr">
        <is>
          <t>11</t>
        </is>
      </c>
      <c r="E51" t="inlineStr">
        <is>
          <t>14</t>
        </is>
      </c>
      <c r="F51" t="inlineStr">
        <is>
          <t>B</t>
        </is>
      </c>
      <c r="G51" t="inlineStr">
        <is>
          <t>Good</t>
        </is>
      </c>
      <c r="H51" t="n">
        <v>262</v>
      </c>
      <c r="I51">
        <f>B51&amp;"|"&amp;F51&amp;"|"&amp;G51</f>
        <v/>
      </c>
      <c r="J51" t="inlineStr">
        <is>
          <t>MVS Sec.11 p.14</t>
        </is>
      </c>
    </row>
    <row r="52">
      <c r="B52" t="inlineStr">
        <is>
          <t>Dormitories</t>
        </is>
      </c>
      <c r="C52" t="inlineStr">
        <is>
          <t>321</t>
        </is>
      </c>
      <c r="D52" t="inlineStr">
        <is>
          <t>11</t>
        </is>
      </c>
      <c r="E52" t="inlineStr">
        <is>
          <t>14</t>
        </is>
      </c>
      <c r="F52" t="inlineStr">
        <is>
          <t>B</t>
        </is>
      </c>
      <c r="G52" t="inlineStr">
        <is>
          <t>Average</t>
        </is>
      </c>
      <c r="H52" t="n">
        <v>205</v>
      </c>
      <c r="I52">
        <f>B52&amp;"|"&amp;F52&amp;"|"&amp;G52</f>
        <v/>
      </c>
      <c r="J52" t="inlineStr">
        <is>
          <t>MVS Sec.11 p.14</t>
        </is>
      </c>
    </row>
    <row r="53">
      <c r="B53" t="inlineStr">
        <is>
          <t>Dormitories</t>
        </is>
      </c>
      <c r="C53" t="inlineStr">
        <is>
          <t>321</t>
        </is>
      </c>
      <c r="D53" t="inlineStr">
        <is>
          <t>11</t>
        </is>
      </c>
      <c r="E53" t="inlineStr">
        <is>
          <t>14</t>
        </is>
      </c>
      <c r="F53" t="inlineStr">
        <is>
          <t>B</t>
        </is>
      </c>
      <c r="G53" t="inlineStr">
        <is>
          <t>Low Cost</t>
        </is>
      </c>
      <c r="H53" t="n">
        <v>163</v>
      </c>
      <c r="I53">
        <f>B53&amp;"|"&amp;F53&amp;"|"&amp;G53</f>
        <v/>
      </c>
      <c r="J53" t="inlineStr">
        <is>
          <t>MVS Sec.11 p.14</t>
        </is>
      </c>
    </row>
    <row r="54">
      <c r="B54" t="inlineStr">
        <is>
          <t>Dormitories</t>
        </is>
      </c>
      <c r="C54" t="inlineStr">
        <is>
          <t>321</t>
        </is>
      </c>
      <c r="D54" t="inlineStr">
        <is>
          <t>11</t>
        </is>
      </c>
      <c r="E54" t="inlineStr">
        <is>
          <t>14</t>
        </is>
      </c>
      <c r="F54" t="inlineStr">
        <is>
          <t>C</t>
        </is>
      </c>
      <c r="G54" t="inlineStr">
        <is>
          <t>Excellent</t>
        </is>
      </c>
      <c r="H54" t="n">
        <v>357</v>
      </c>
      <c r="I54">
        <f>B54&amp;"|"&amp;F54&amp;"|"&amp;G54</f>
        <v/>
      </c>
      <c r="J54" t="inlineStr">
        <is>
          <t>MVS Sec.11 p.14</t>
        </is>
      </c>
    </row>
    <row r="55">
      <c r="B55" t="inlineStr">
        <is>
          <t>Dormitories</t>
        </is>
      </c>
      <c r="C55" t="inlineStr">
        <is>
          <t>321</t>
        </is>
      </c>
      <c r="D55" t="inlineStr">
        <is>
          <t>11</t>
        </is>
      </c>
      <c r="E55" t="inlineStr">
        <is>
          <t>14</t>
        </is>
      </c>
      <c r="F55" t="inlineStr">
        <is>
          <t>C</t>
        </is>
      </c>
      <c r="G55" t="inlineStr">
        <is>
          <t>Very Good</t>
        </is>
      </c>
      <c r="H55" t="n">
        <v>284</v>
      </c>
      <c r="I55">
        <f>B55&amp;"|"&amp;F55&amp;"|"&amp;G55</f>
        <v/>
      </c>
      <c r="J55" t="inlineStr">
        <is>
          <t>MVS Sec.11 p.14</t>
        </is>
      </c>
    </row>
    <row r="56">
      <c r="B56" t="inlineStr">
        <is>
          <t>Dormitories</t>
        </is>
      </c>
      <c r="C56" t="inlineStr">
        <is>
          <t>321</t>
        </is>
      </c>
      <c r="D56" t="inlineStr">
        <is>
          <t>11</t>
        </is>
      </c>
      <c r="E56" t="inlineStr">
        <is>
          <t>14</t>
        </is>
      </c>
      <c r="F56" t="inlineStr">
        <is>
          <t>C</t>
        </is>
      </c>
      <c r="G56" t="inlineStr">
        <is>
          <t>Good</t>
        </is>
      </c>
      <c r="H56" t="n">
        <v>215</v>
      </c>
      <c r="I56">
        <f>B56&amp;"|"&amp;F56&amp;"|"&amp;G56</f>
        <v/>
      </c>
      <c r="J56" t="inlineStr">
        <is>
          <t>MVS Sec.11 p.14</t>
        </is>
      </c>
    </row>
    <row r="57">
      <c r="B57" t="inlineStr">
        <is>
          <t>Dormitories</t>
        </is>
      </c>
      <c r="C57" t="inlineStr">
        <is>
          <t>321</t>
        </is>
      </c>
      <c r="D57" t="inlineStr">
        <is>
          <t>11</t>
        </is>
      </c>
      <c r="E57" t="inlineStr">
        <is>
          <t>14</t>
        </is>
      </c>
      <c r="F57" t="inlineStr">
        <is>
          <t>C</t>
        </is>
      </c>
      <c r="G57" t="inlineStr">
        <is>
          <t>Average</t>
        </is>
      </c>
      <c r="H57" t="n">
        <v>161</v>
      </c>
      <c r="I57">
        <f>B57&amp;"|"&amp;F57&amp;"|"&amp;G57</f>
        <v/>
      </c>
      <c r="J57" t="inlineStr">
        <is>
          <t>MVS Sec.11 p.14</t>
        </is>
      </c>
    </row>
    <row r="58">
      <c r="B58" t="inlineStr">
        <is>
          <t>Dormitories</t>
        </is>
      </c>
      <c r="C58" t="inlineStr">
        <is>
          <t>321</t>
        </is>
      </c>
      <c r="D58" t="inlineStr">
        <is>
          <t>11</t>
        </is>
      </c>
      <c r="E58" t="inlineStr">
        <is>
          <t>14</t>
        </is>
      </c>
      <c r="F58" t="inlineStr">
        <is>
          <t>C</t>
        </is>
      </c>
      <c r="G58" t="inlineStr">
        <is>
          <t>Low Cost</t>
        </is>
      </c>
      <c r="H58" t="n">
        <v>123</v>
      </c>
      <c r="I58">
        <f>B58&amp;"|"&amp;F58&amp;"|"&amp;G58</f>
        <v/>
      </c>
      <c r="J58" t="inlineStr">
        <is>
          <t>MVS Sec.11 p.14</t>
        </is>
      </c>
    </row>
    <row r="59">
      <c r="B59" t="inlineStr">
        <is>
          <t>Dormitories</t>
        </is>
      </c>
      <c r="C59" t="inlineStr">
        <is>
          <t>321</t>
        </is>
      </c>
      <c r="D59" t="inlineStr">
        <is>
          <t>11</t>
        </is>
      </c>
      <c r="E59" t="inlineStr">
        <is>
          <t>14</t>
        </is>
      </c>
      <c r="F59" t="inlineStr">
        <is>
          <t>D</t>
        </is>
      </c>
      <c r="G59" t="inlineStr">
        <is>
          <t>Excellent</t>
        </is>
      </c>
      <c r="H59" t="n">
        <v>349</v>
      </c>
      <c r="I59">
        <f>B59&amp;"|"&amp;F59&amp;"|"&amp;G59</f>
        <v/>
      </c>
      <c r="J59" t="inlineStr">
        <is>
          <t>MVS Sec.11 p.14</t>
        </is>
      </c>
    </row>
    <row r="60">
      <c r="B60" t="inlineStr">
        <is>
          <t>Dormitories</t>
        </is>
      </c>
      <c r="C60" t="inlineStr">
        <is>
          <t>321</t>
        </is>
      </c>
      <c r="D60" t="inlineStr">
        <is>
          <t>11</t>
        </is>
      </c>
      <c r="E60" t="inlineStr">
        <is>
          <t>14</t>
        </is>
      </c>
      <c r="F60" t="inlineStr">
        <is>
          <t>D</t>
        </is>
      </c>
      <c r="G60" t="inlineStr">
        <is>
          <t>Very Good</t>
        </is>
      </c>
      <c r="H60" t="n">
        <v>275</v>
      </c>
      <c r="I60">
        <f>B60&amp;"|"&amp;F60&amp;"|"&amp;G60</f>
        <v/>
      </c>
      <c r="J60" t="inlineStr">
        <is>
          <t>MVS Sec.11 p.14</t>
        </is>
      </c>
    </row>
    <row r="61">
      <c r="B61" t="inlineStr">
        <is>
          <t>Dormitories</t>
        </is>
      </c>
      <c r="C61" t="inlineStr">
        <is>
          <t>321</t>
        </is>
      </c>
      <c r="D61" t="inlineStr">
        <is>
          <t>11</t>
        </is>
      </c>
      <c r="E61" t="inlineStr">
        <is>
          <t>14</t>
        </is>
      </c>
      <c r="F61" t="inlineStr">
        <is>
          <t>D</t>
        </is>
      </c>
      <c r="G61" t="inlineStr">
        <is>
          <t>Good</t>
        </is>
      </c>
      <c r="H61" t="n">
        <v>201</v>
      </c>
      <c r="I61">
        <f>B61&amp;"|"&amp;F61&amp;"|"&amp;G61</f>
        <v/>
      </c>
      <c r="J61" t="inlineStr">
        <is>
          <t>MVS Sec.11 p.14</t>
        </is>
      </c>
    </row>
    <row r="62">
      <c r="B62" t="inlineStr">
        <is>
          <t>Dormitories</t>
        </is>
      </c>
      <c r="C62" t="inlineStr">
        <is>
          <t>321</t>
        </is>
      </c>
      <c r="D62" t="inlineStr">
        <is>
          <t>11</t>
        </is>
      </c>
      <c r="E62" t="inlineStr">
        <is>
          <t>14</t>
        </is>
      </c>
      <c r="F62" t="inlineStr">
        <is>
          <t>D</t>
        </is>
      </c>
      <c r="G62" t="inlineStr">
        <is>
          <t>Average</t>
        </is>
      </c>
      <c r="H62" t="n">
        <v>152</v>
      </c>
      <c r="I62">
        <f>B62&amp;"|"&amp;F62&amp;"|"&amp;G62</f>
        <v/>
      </c>
      <c r="J62" t="inlineStr">
        <is>
          <t>MVS Sec.11 p.14</t>
        </is>
      </c>
    </row>
    <row r="63">
      <c r="B63" t="inlineStr">
        <is>
          <t>Dormitories</t>
        </is>
      </c>
      <c r="C63" t="inlineStr">
        <is>
          <t>321</t>
        </is>
      </c>
      <c r="D63" t="inlineStr">
        <is>
          <t>11</t>
        </is>
      </c>
      <c r="E63" t="inlineStr">
        <is>
          <t>14</t>
        </is>
      </c>
      <c r="F63" t="inlineStr">
        <is>
          <t>D</t>
        </is>
      </c>
      <c r="G63" t="inlineStr">
        <is>
          <t>Low Cost</t>
        </is>
      </c>
      <c r="H63" t="n">
        <v>115</v>
      </c>
      <c r="I63">
        <f>B63&amp;"|"&amp;F63&amp;"|"&amp;G63</f>
        <v/>
      </c>
      <c r="J63" t="inlineStr">
        <is>
          <t>MVS Sec.11 p.14</t>
        </is>
      </c>
    </row>
    <row r="64">
      <c r="B64" t="inlineStr">
        <is>
          <t>Dormitories</t>
        </is>
      </c>
      <c r="C64" t="inlineStr">
        <is>
          <t>321</t>
        </is>
      </c>
      <c r="D64" t="inlineStr">
        <is>
          <t>11</t>
        </is>
      </c>
      <c r="E64" t="inlineStr">
        <is>
          <t>14</t>
        </is>
      </c>
      <c r="F64" t="inlineStr">
        <is>
          <t>S</t>
        </is>
      </c>
      <c r="G64" t="inlineStr">
        <is>
          <t>Average</t>
        </is>
      </c>
      <c r="H64" t="n">
        <v>147</v>
      </c>
      <c r="I64">
        <f>B64&amp;"|"&amp;F64&amp;"|"&amp;G64</f>
        <v/>
      </c>
      <c r="J64" t="inlineStr">
        <is>
          <t>MVS Sec.11 p.14</t>
        </is>
      </c>
    </row>
    <row r="65">
      <c r="B65" t="inlineStr">
        <is>
          <t>Luxury Apartments (High-Rise)</t>
        </is>
      </c>
      <c r="C65" t="inlineStr">
        <is>
          <t>984</t>
        </is>
      </c>
      <c r="D65" t="inlineStr">
        <is>
          <t>11</t>
        </is>
      </c>
      <c r="E65" t="inlineStr">
        <is>
          <t>15</t>
        </is>
      </c>
      <c r="F65" t="inlineStr">
        <is>
          <t>A</t>
        </is>
      </c>
      <c r="G65" t="inlineStr">
        <is>
          <t>Good</t>
        </is>
      </c>
      <c r="H65" t="n">
        <v>404</v>
      </c>
      <c r="I65">
        <f>B65&amp;"|"&amp;F65&amp;"|"&amp;G65</f>
        <v/>
      </c>
      <c r="J65" t="inlineStr">
        <is>
          <t>MVS Sec.11 p.15</t>
        </is>
      </c>
    </row>
    <row r="66">
      <c r="B66" t="inlineStr">
        <is>
          <t>Luxury Apartments (High-Rise)</t>
        </is>
      </c>
      <c r="C66" t="inlineStr">
        <is>
          <t>984</t>
        </is>
      </c>
      <c r="D66" t="inlineStr">
        <is>
          <t>11</t>
        </is>
      </c>
      <c r="E66" t="inlineStr">
        <is>
          <t>15</t>
        </is>
      </c>
      <c r="F66" t="inlineStr">
        <is>
          <t>A</t>
        </is>
      </c>
      <c r="G66" t="inlineStr">
        <is>
          <t>Average</t>
        </is>
      </c>
      <c r="H66" t="n">
        <v>324</v>
      </c>
      <c r="I66">
        <f>B66&amp;"|"&amp;F66&amp;"|"&amp;G66</f>
        <v/>
      </c>
      <c r="J66" t="inlineStr">
        <is>
          <t>MVS Sec.11 p.15</t>
        </is>
      </c>
    </row>
    <row r="67">
      <c r="B67" t="inlineStr">
        <is>
          <t>Luxury Apartments (High-Rise)</t>
        </is>
      </c>
      <c r="C67" t="inlineStr">
        <is>
          <t>984</t>
        </is>
      </c>
      <c r="D67" t="inlineStr">
        <is>
          <t>11</t>
        </is>
      </c>
      <c r="E67" t="inlineStr">
        <is>
          <t>15</t>
        </is>
      </c>
      <c r="F67" t="inlineStr">
        <is>
          <t>B</t>
        </is>
      </c>
      <c r="G67" t="inlineStr">
        <is>
          <t>Good</t>
        </is>
      </c>
      <c r="H67" t="n">
        <v>357</v>
      </c>
      <c r="I67">
        <f>B67&amp;"|"&amp;F67&amp;"|"&amp;G67</f>
        <v/>
      </c>
      <c r="J67" t="inlineStr">
        <is>
          <t>MVS Sec.11 p.15</t>
        </is>
      </c>
    </row>
    <row r="68">
      <c r="B68" t="inlineStr">
        <is>
          <t>Luxury Apartments (High-Rise)</t>
        </is>
      </c>
      <c r="C68" t="inlineStr">
        <is>
          <t>984</t>
        </is>
      </c>
      <c r="D68" t="inlineStr">
        <is>
          <t>11</t>
        </is>
      </c>
      <c r="E68" t="inlineStr">
        <is>
          <t>15</t>
        </is>
      </c>
      <c r="F68" t="inlineStr">
        <is>
          <t>B</t>
        </is>
      </c>
      <c r="G68" t="inlineStr">
        <is>
          <t>Average</t>
        </is>
      </c>
      <c r="H68" t="n">
        <v>288</v>
      </c>
      <c r="I68">
        <f>B68&amp;"|"&amp;F68&amp;"|"&amp;G68</f>
        <v/>
      </c>
      <c r="J68" t="inlineStr">
        <is>
          <t>MVS Sec.11 p.15</t>
        </is>
      </c>
    </row>
    <row r="69">
      <c r="B69" t="inlineStr">
        <is>
          <t>Luxury Apartments (High-Rise)</t>
        </is>
      </c>
      <c r="C69" t="inlineStr">
        <is>
          <t>984</t>
        </is>
      </c>
      <c r="D69" t="inlineStr">
        <is>
          <t>11</t>
        </is>
      </c>
      <c r="E69" t="inlineStr">
        <is>
          <t>15</t>
        </is>
      </c>
      <c r="F69" t="inlineStr">
        <is>
          <t>C</t>
        </is>
      </c>
      <c r="G69" t="inlineStr">
        <is>
          <t>Excellent</t>
        </is>
      </c>
      <c r="H69" t="n">
        <v>355</v>
      </c>
      <c r="I69">
        <f>B69&amp;"|"&amp;F69&amp;"|"&amp;G69</f>
        <v/>
      </c>
      <c r="J69" t="inlineStr">
        <is>
          <t>MVS Sec.11 p.15</t>
        </is>
      </c>
    </row>
    <row r="70">
      <c r="B70" t="inlineStr">
        <is>
          <t>Luxury Apartments (High-Rise)</t>
        </is>
      </c>
      <c r="C70" t="inlineStr">
        <is>
          <t>984</t>
        </is>
      </c>
      <c r="D70" t="inlineStr">
        <is>
          <t>11</t>
        </is>
      </c>
      <c r="E70" t="inlineStr">
        <is>
          <t>15</t>
        </is>
      </c>
      <c r="F70" t="inlineStr">
        <is>
          <t>C</t>
        </is>
      </c>
      <c r="G70" t="inlineStr">
        <is>
          <t>Good</t>
        </is>
      </c>
      <c r="H70" t="n">
        <v>278</v>
      </c>
      <c r="I70">
        <f>B70&amp;"|"&amp;F70&amp;"|"&amp;G70</f>
        <v/>
      </c>
      <c r="J70" t="inlineStr">
        <is>
          <t>MVS Sec.11 p.15</t>
        </is>
      </c>
    </row>
    <row r="71">
      <c r="B71" t="inlineStr">
        <is>
          <t>Luxury Apartments (High-Rise)</t>
        </is>
      </c>
      <c r="C71" t="inlineStr">
        <is>
          <t>984</t>
        </is>
      </c>
      <c r="D71" t="inlineStr">
        <is>
          <t>11</t>
        </is>
      </c>
      <c r="E71" t="inlineStr">
        <is>
          <t>15</t>
        </is>
      </c>
      <c r="F71" t="inlineStr">
        <is>
          <t>C</t>
        </is>
      </c>
      <c r="G71" t="inlineStr">
        <is>
          <t>Average</t>
        </is>
      </c>
      <c r="H71" t="n">
        <v>227</v>
      </c>
      <c r="I71">
        <f>B71&amp;"|"&amp;F71&amp;"|"&amp;G71</f>
        <v/>
      </c>
      <c r="J71" t="inlineStr">
        <is>
          <t>MVS Sec.11 p.15</t>
        </is>
      </c>
    </row>
    <row r="72">
      <c r="B72" t="inlineStr">
        <is>
          <t>Luxury Apartments (High-Rise)</t>
        </is>
      </c>
      <c r="C72" t="inlineStr">
        <is>
          <t>984</t>
        </is>
      </c>
      <c r="D72" t="inlineStr">
        <is>
          <t>11</t>
        </is>
      </c>
      <c r="E72" t="inlineStr">
        <is>
          <t>15</t>
        </is>
      </c>
      <c r="F72" t="inlineStr">
        <is>
          <t>DMASVEN</t>
        </is>
      </c>
      <c r="G72" t="inlineStr">
        <is>
          <t>Excellent</t>
        </is>
      </c>
      <c r="H72" t="n">
        <v>347</v>
      </c>
      <c r="I72">
        <f>B72&amp;"|"&amp;F72&amp;"|"&amp;G72</f>
        <v/>
      </c>
      <c r="J72" t="inlineStr">
        <is>
          <t>MVS Sec.11 p.15</t>
        </is>
      </c>
    </row>
    <row r="73">
      <c r="B73" t="inlineStr">
        <is>
          <t>Luxury Apartments (High-Rise)</t>
        </is>
      </c>
      <c r="C73" t="inlineStr">
        <is>
          <t>984</t>
        </is>
      </c>
      <c r="D73" t="inlineStr">
        <is>
          <t>11</t>
        </is>
      </c>
      <c r="E73" t="inlineStr">
        <is>
          <t>15</t>
        </is>
      </c>
      <c r="F73" t="inlineStr">
        <is>
          <t>DMASVEN</t>
        </is>
      </c>
      <c r="G73" t="inlineStr">
        <is>
          <t>Good</t>
        </is>
      </c>
      <c r="H73" t="n">
        <v>272</v>
      </c>
      <c r="I73">
        <f>B73&amp;"|"&amp;F73&amp;"|"&amp;G73</f>
        <v/>
      </c>
      <c r="J73" t="inlineStr">
        <is>
          <t>MVS Sec.11 p.15</t>
        </is>
      </c>
    </row>
    <row r="74">
      <c r="B74" t="inlineStr">
        <is>
          <t>Luxury Apartments (High-Rise)</t>
        </is>
      </c>
      <c r="C74" t="inlineStr">
        <is>
          <t>984</t>
        </is>
      </c>
      <c r="D74" t="inlineStr">
        <is>
          <t>11</t>
        </is>
      </c>
      <c r="E74" t="inlineStr">
        <is>
          <t>15</t>
        </is>
      </c>
      <c r="F74" t="inlineStr">
        <is>
          <t>DMASVEN</t>
        </is>
      </c>
      <c r="G74" t="inlineStr">
        <is>
          <t>Average</t>
        </is>
      </c>
      <c r="H74" t="n">
        <v>221</v>
      </c>
      <c r="I74">
        <f>B74&amp;"|"&amp;F74&amp;"|"&amp;G74</f>
        <v/>
      </c>
      <c r="J74" t="inlineStr">
        <is>
          <t>MVS Sec.11 p.15</t>
        </is>
      </c>
    </row>
    <row r="75">
      <c r="B75" t="inlineStr">
        <is>
          <t>Luxury Apartments (High-Rise)</t>
        </is>
      </c>
      <c r="C75" t="inlineStr">
        <is>
          <t>984</t>
        </is>
      </c>
      <c r="D75" t="inlineStr">
        <is>
          <t>11</t>
        </is>
      </c>
      <c r="E75" t="inlineStr">
        <is>
          <t>15</t>
        </is>
      </c>
      <c r="F75" t="inlineStr">
        <is>
          <t>D</t>
        </is>
      </c>
      <c r="G75" t="inlineStr">
        <is>
          <t>Excellent</t>
        </is>
      </c>
      <c r="H75" t="n">
        <v>341</v>
      </c>
      <c r="I75">
        <f>B75&amp;"|"&amp;F75&amp;"|"&amp;G75</f>
        <v/>
      </c>
      <c r="J75" t="inlineStr">
        <is>
          <t>MVS Sec.11 p.15</t>
        </is>
      </c>
    </row>
    <row r="76">
      <c r="B76" t="inlineStr">
        <is>
          <t>Luxury Apartments (High-Rise)</t>
        </is>
      </c>
      <c r="C76" t="inlineStr">
        <is>
          <t>984</t>
        </is>
      </c>
      <c r="D76" t="inlineStr">
        <is>
          <t>11</t>
        </is>
      </c>
      <c r="E76" t="inlineStr">
        <is>
          <t>15</t>
        </is>
      </c>
      <c r="F76" t="inlineStr">
        <is>
          <t>D</t>
        </is>
      </c>
      <c r="G76" t="inlineStr">
        <is>
          <t>Good</t>
        </is>
      </c>
      <c r="H76" t="n">
        <v>266</v>
      </c>
      <c r="I76">
        <f>B76&amp;"|"&amp;F76&amp;"|"&amp;G76</f>
        <v/>
      </c>
      <c r="J76" t="inlineStr">
        <is>
          <t>MVS Sec.11 p.15</t>
        </is>
      </c>
    </row>
    <row r="77">
      <c r="B77" t="inlineStr">
        <is>
          <t>Luxury Apartments (High-Rise)</t>
        </is>
      </c>
      <c r="C77" t="inlineStr">
        <is>
          <t>984</t>
        </is>
      </c>
      <c r="D77" t="inlineStr">
        <is>
          <t>11</t>
        </is>
      </c>
      <c r="E77" t="inlineStr">
        <is>
          <t>15</t>
        </is>
      </c>
      <c r="F77" t="inlineStr">
        <is>
          <t>D</t>
        </is>
      </c>
      <c r="G77" t="inlineStr">
        <is>
          <t>Average</t>
        </is>
      </c>
      <c r="H77" t="n">
        <v>216</v>
      </c>
      <c r="I77">
        <f>B77&amp;"|"&amp;F77&amp;"|"&amp;G77</f>
        <v/>
      </c>
      <c r="J77" t="inlineStr">
        <is>
          <t>MVS Sec.11 p.15</t>
        </is>
      </c>
    </row>
    <row r="78">
      <c r="B78" t="inlineStr">
        <is>
          <t>Shell Luxury Apartment Buildings</t>
        </is>
      </c>
      <c r="C78" t="inlineStr">
        <is>
          <t>777</t>
        </is>
      </c>
      <c r="D78" t="inlineStr">
        <is>
          <t>11</t>
        </is>
      </c>
      <c r="E78" t="inlineStr">
        <is>
          <t>16</t>
        </is>
      </c>
      <c r="F78" t="inlineStr">
        <is>
          <t>A</t>
        </is>
      </c>
      <c r="G78" t="inlineStr">
        <is>
          <t>Good</t>
        </is>
      </c>
      <c r="H78" t="n">
        <v>219</v>
      </c>
      <c r="I78">
        <f>B78&amp;"|"&amp;F78&amp;"|"&amp;G78</f>
        <v/>
      </c>
      <c r="J78" t="inlineStr">
        <is>
          <t>MVS Sec.11 p.16</t>
        </is>
      </c>
    </row>
    <row r="79">
      <c r="B79" t="inlineStr">
        <is>
          <t>Shell Luxury Apartment Buildings</t>
        </is>
      </c>
      <c r="C79" t="inlineStr">
        <is>
          <t>777</t>
        </is>
      </c>
      <c r="D79" t="inlineStr">
        <is>
          <t>11</t>
        </is>
      </c>
      <c r="E79" t="inlineStr">
        <is>
          <t>16</t>
        </is>
      </c>
      <c r="F79" t="inlineStr">
        <is>
          <t>A</t>
        </is>
      </c>
      <c r="G79" t="inlineStr">
        <is>
          <t>Average</t>
        </is>
      </c>
      <c r="H79" t="n">
        <v>172</v>
      </c>
      <c r="I79">
        <f>B79&amp;"|"&amp;F79&amp;"|"&amp;G79</f>
        <v/>
      </c>
      <c r="J79" t="inlineStr">
        <is>
          <t>MVS Sec.11 p.16</t>
        </is>
      </c>
    </row>
    <row r="80">
      <c r="B80" t="inlineStr">
        <is>
          <t>Shell Luxury Apartment Buildings</t>
        </is>
      </c>
      <c r="C80" t="inlineStr">
        <is>
          <t>777</t>
        </is>
      </c>
      <c r="D80" t="inlineStr">
        <is>
          <t>11</t>
        </is>
      </c>
      <c r="E80" t="inlineStr">
        <is>
          <t>16</t>
        </is>
      </c>
      <c r="F80" t="inlineStr">
        <is>
          <t>B</t>
        </is>
      </c>
      <c r="G80" t="inlineStr">
        <is>
          <t>Good</t>
        </is>
      </c>
      <c r="H80" t="n">
        <v>186</v>
      </c>
      <c r="I80">
        <f>B80&amp;"|"&amp;F80&amp;"|"&amp;G80</f>
        <v/>
      </c>
      <c r="J80" t="inlineStr">
        <is>
          <t>MVS Sec.11 p.16</t>
        </is>
      </c>
    </row>
    <row r="81">
      <c r="B81" t="inlineStr">
        <is>
          <t>Shell Luxury Apartment Buildings</t>
        </is>
      </c>
      <c r="C81" t="inlineStr">
        <is>
          <t>777</t>
        </is>
      </c>
      <c r="D81" t="inlineStr">
        <is>
          <t>11</t>
        </is>
      </c>
      <c r="E81" t="inlineStr">
        <is>
          <t>16</t>
        </is>
      </c>
      <c r="F81" t="inlineStr">
        <is>
          <t>B</t>
        </is>
      </c>
      <c r="G81" t="inlineStr">
        <is>
          <t>Average</t>
        </is>
      </c>
      <c r="H81" t="n">
        <v>147</v>
      </c>
      <c r="I81">
        <f>B81&amp;"|"&amp;F81&amp;"|"&amp;G81</f>
        <v/>
      </c>
      <c r="J81" t="inlineStr">
        <is>
          <t>MVS Sec.11 p.16</t>
        </is>
      </c>
    </row>
    <row r="82">
      <c r="B82" t="inlineStr">
        <is>
          <t>Shell Luxury Apartment Buildings</t>
        </is>
      </c>
      <c r="C82" t="inlineStr">
        <is>
          <t>777</t>
        </is>
      </c>
      <c r="D82" t="inlineStr">
        <is>
          <t>11</t>
        </is>
      </c>
      <c r="E82" t="inlineStr">
        <is>
          <t>17</t>
        </is>
      </c>
      <c r="F82" t="inlineStr">
        <is>
          <t>C</t>
        </is>
      </c>
      <c r="G82" t="inlineStr">
        <is>
          <t>Excellent</t>
        </is>
      </c>
      <c r="H82" t="n">
        <v>188</v>
      </c>
      <c r="I82">
        <f>B82&amp;"|"&amp;F82&amp;"|"&amp;G82</f>
        <v/>
      </c>
      <c r="J82" t="inlineStr">
        <is>
          <t>MVS Sec.11 p.17</t>
        </is>
      </c>
    </row>
    <row r="83">
      <c r="B83" t="inlineStr">
        <is>
          <t>Shell Luxury Apartment Buildings</t>
        </is>
      </c>
      <c r="C83" t="inlineStr">
        <is>
          <t>777</t>
        </is>
      </c>
      <c r="D83" t="inlineStr">
        <is>
          <t>11</t>
        </is>
      </c>
      <c r="E83" t="inlineStr">
        <is>
          <t>17</t>
        </is>
      </c>
      <c r="F83" t="inlineStr">
        <is>
          <t>C</t>
        </is>
      </c>
      <c r="G83" t="inlineStr">
        <is>
          <t>Good</t>
        </is>
      </c>
      <c r="H83" t="n">
        <v>151</v>
      </c>
      <c r="I83">
        <f>B83&amp;"|"&amp;F83&amp;"|"&amp;G83</f>
        <v/>
      </c>
      <c r="J83" t="inlineStr">
        <is>
          <t>MVS Sec.11 p.17</t>
        </is>
      </c>
    </row>
    <row r="84">
      <c r="B84" t="inlineStr">
        <is>
          <t>Shell Luxury Apartment Buildings</t>
        </is>
      </c>
      <c r="C84" t="inlineStr">
        <is>
          <t>777</t>
        </is>
      </c>
      <c r="D84" t="inlineStr">
        <is>
          <t>11</t>
        </is>
      </c>
      <c r="E84" t="inlineStr">
        <is>
          <t>17</t>
        </is>
      </c>
      <c r="F84" t="inlineStr">
        <is>
          <t>C</t>
        </is>
      </c>
      <c r="G84" t="inlineStr">
        <is>
          <t>Average</t>
        </is>
      </c>
      <c r="H84" t="n">
        <v>121</v>
      </c>
      <c r="I84">
        <f>B84&amp;"|"&amp;F84&amp;"|"&amp;G84</f>
        <v/>
      </c>
      <c r="J84" t="inlineStr">
        <is>
          <t>MVS Sec.11 p.17</t>
        </is>
      </c>
    </row>
    <row r="85">
      <c r="B85" t="inlineStr">
        <is>
          <t>Shell Luxury Apartment Buildings</t>
        </is>
      </c>
      <c r="C85" t="inlineStr">
        <is>
          <t>777</t>
        </is>
      </c>
      <c r="D85" t="inlineStr">
        <is>
          <t>11</t>
        </is>
      </c>
      <c r="E85" t="inlineStr">
        <is>
          <t>17</t>
        </is>
      </c>
      <c r="F85" t="inlineStr">
        <is>
          <t>DMASVEN</t>
        </is>
      </c>
      <c r="G85" t="inlineStr">
        <is>
          <t>Excellent</t>
        </is>
      </c>
      <c r="H85" t="n">
        <v>178</v>
      </c>
      <c r="I85">
        <f>B85&amp;"|"&amp;F85&amp;"|"&amp;G85</f>
        <v/>
      </c>
      <c r="J85" t="inlineStr">
        <is>
          <t>MVS Sec.11 p.17</t>
        </is>
      </c>
    </row>
    <row r="86">
      <c r="B86" t="inlineStr">
        <is>
          <t>Shell Luxury Apartment Buildings</t>
        </is>
      </c>
      <c r="C86" t="inlineStr">
        <is>
          <t>777</t>
        </is>
      </c>
      <c r="D86" t="inlineStr">
        <is>
          <t>11</t>
        </is>
      </c>
      <c r="E86" t="inlineStr">
        <is>
          <t>17</t>
        </is>
      </c>
      <c r="F86" t="inlineStr">
        <is>
          <t>DMASVEN</t>
        </is>
      </c>
      <c r="G86" t="inlineStr">
        <is>
          <t>Good</t>
        </is>
      </c>
      <c r="H86" t="n">
        <v>142</v>
      </c>
      <c r="I86">
        <f>B86&amp;"|"&amp;F86&amp;"|"&amp;G86</f>
        <v/>
      </c>
      <c r="J86" t="inlineStr">
        <is>
          <t>MVS Sec.11 p.17</t>
        </is>
      </c>
    </row>
    <row r="87">
      <c r="B87" t="inlineStr">
        <is>
          <t>Shell Luxury Apartment Buildings</t>
        </is>
      </c>
      <c r="C87" t="inlineStr">
        <is>
          <t>777</t>
        </is>
      </c>
      <c r="D87" t="inlineStr">
        <is>
          <t>11</t>
        </is>
      </c>
      <c r="E87" t="inlineStr">
        <is>
          <t>17</t>
        </is>
      </c>
      <c r="F87" t="inlineStr">
        <is>
          <t>DMASVEN</t>
        </is>
      </c>
      <c r="G87" t="inlineStr">
        <is>
          <t>Average</t>
        </is>
      </c>
      <c r="H87" t="n">
        <v>114</v>
      </c>
      <c r="I87">
        <f>B87&amp;"|"&amp;F87&amp;"|"&amp;G87</f>
        <v/>
      </c>
      <c r="J87" t="inlineStr">
        <is>
          <t>MVS Sec.11 p.17</t>
        </is>
      </c>
    </row>
    <row r="88">
      <c r="B88" t="inlineStr">
        <is>
          <t>Shell Luxury Apartment Buildings</t>
        </is>
      </c>
      <c r="C88" t="inlineStr">
        <is>
          <t>777</t>
        </is>
      </c>
      <c r="D88" t="inlineStr">
        <is>
          <t>11</t>
        </is>
      </c>
      <c r="E88" t="inlineStr">
        <is>
          <t>17</t>
        </is>
      </c>
      <c r="F88" t="inlineStr">
        <is>
          <t>D</t>
        </is>
      </c>
      <c r="G88" t="inlineStr">
        <is>
          <t>Excellent</t>
        </is>
      </c>
      <c r="H88" t="n">
        <v>175</v>
      </c>
      <c r="I88">
        <f>B88&amp;"|"&amp;F88&amp;"|"&amp;G88</f>
        <v/>
      </c>
      <c r="J88" t="inlineStr">
        <is>
          <t>MVS Sec.11 p.17</t>
        </is>
      </c>
    </row>
    <row r="89">
      <c r="B89" t="inlineStr">
        <is>
          <t>Shell Luxury Apartment Buildings</t>
        </is>
      </c>
      <c r="C89" t="inlineStr">
        <is>
          <t>777</t>
        </is>
      </c>
      <c r="D89" t="inlineStr">
        <is>
          <t>11</t>
        </is>
      </c>
      <c r="E89" t="inlineStr">
        <is>
          <t>17</t>
        </is>
      </c>
      <c r="F89" t="inlineStr">
        <is>
          <t>D</t>
        </is>
      </c>
      <c r="G89" t="inlineStr">
        <is>
          <t>Good</t>
        </is>
      </c>
      <c r="H89" t="n">
        <v>139</v>
      </c>
      <c r="I89">
        <f>B89&amp;"|"&amp;F89&amp;"|"&amp;G89</f>
        <v/>
      </c>
      <c r="J89" t="inlineStr">
        <is>
          <t>MVS Sec.11 p.17</t>
        </is>
      </c>
    </row>
    <row r="90">
      <c r="B90" t="inlineStr">
        <is>
          <t>Shell Luxury Apartment Buildings</t>
        </is>
      </c>
      <c r="C90" t="inlineStr">
        <is>
          <t>777</t>
        </is>
      </c>
      <c r="D90" t="inlineStr">
        <is>
          <t>11</t>
        </is>
      </c>
      <c r="E90" t="inlineStr">
        <is>
          <t>17</t>
        </is>
      </c>
      <c r="F90" t="inlineStr">
        <is>
          <t>D</t>
        </is>
      </c>
      <c r="G90" t="inlineStr">
        <is>
          <t>Average</t>
        </is>
      </c>
      <c r="H90" t="n">
        <v>111</v>
      </c>
      <c r="I90">
        <f>B90&amp;"|"&amp;F90&amp;"|"&amp;G90</f>
        <v/>
      </c>
      <c r="J90" t="inlineStr">
        <is>
          <t>MVS Sec.11 p.17</t>
        </is>
      </c>
    </row>
    <row r="91">
      <c r="B91" t="inlineStr">
        <is>
          <t>Apartments (High-Rise)</t>
        </is>
      </c>
      <c r="C91" t="inlineStr">
        <is>
          <t>300</t>
        </is>
      </c>
      <c r="D91" t="inlineStr">
        <is>
          <t>11</t>
        </is>
      </c>
      <c r="E91" t="inlineStr">
        <is>
          <t>18</t>
        </is>
      </c>
      <c r="F91" t="inlineStr">
        <is>
          <t>A</t>
        </is>
      </c>
      <c r="G91" t="inlineStr">
        <is>
          <t>Good</t>
        </is>
      </c>
      <c r="H91" t="n">
        <v>249</v>
      </c>
      <c r="I91">
        <f>B91&amp;"|"&amp;F91&amp;"|"&amp;G91</f>
        <v/>
      </c>
      <c r="J91" t="inlineStr">
        <is>
          <t>MVS Sec.11 p.18</t>
        </is>
      </c>
    </row>
    <row r="92">
      <c r="B92" t="inlineStr">
        <is>
          <t>Apartments (High-Rise)</t>
        </is>
      </c>
      <c r="C92" t="inlineStr">
        <is>
          <t>300</t>
        </is>
      </c>
      <c r="D92" t="inlineStr">
        <is>
          <t>11</t>
        </is>
      </c>
      <c r="E92" t="inlineStr">
        <is>
          <t>18</t>
        </is>
      </c>
      <c r="F92" t="inlineStr">
        <is>
          <t>A</t>
        </is>
      </c>
      <c r="G92" t="inlineStr">
        <is>
          <t>Average</t>
        </is>
      </c>
      <c r="H92" t="n">
        <v>197</v>
      </c>
      <c r="I92">
        <f>B92&amp;"|"&amp;F92&amp;"|"&amp;G92</f>
        <v/>
      </c>
      <c r="J92" t="inlineStr">
        <is>
          <t>MVS Sec.11 p.18</t>
        </is>
      </c>
    </row>
    <row r="93">
      <c r="B93" t="inlineStr">
        <is>
          <t>Apartments (High-Rise)</t>
        </is>
      </c>
      <c r="C93" t="inlineStr">
        <is>
          <t>300</t>
        </is>
      </c>
      <c r="D93" t="inlineStr">
        <is>
          <t>11</t>
        </is>
      </c>
      <c r="E93" t="inlineStr">
        <is>
          <t>18</t>
        </is>
      </c>
      <c r="F93" t="inlineStr">
        <is>
          <t>A</t>
        </is>
      </c>
      <c r="G93" t="inlineStr">
        <is>
          <t>Low Cost</t>
        </is>
      </c>
      <c r="H93" t="n">
        <v>156</v>
      </c>
      <c r="I93">
        <f>B93&amp;"|"&amp;F93&amp;"|"&amp;G93</f>
        <v/>
      </c>
      <c r="J93" t="inlineStr">
        <is>
          <t>MVS Sec.11 p.18</t>
        </is>
      </c>
    </row>
    <row r="94">
      <c r="B94" t="inlineStr">
        <is>
          <t>Apartments (High-Rise)</t>
        </is>
      </c>
      <c r="C94" t="inlineStr">
        <is>
          <t>300</t>
        </is>
      </c>
      <c r="D94" t="inlineStr">
        <is>
          <t>11</t>
        </is>
      </c>
      <c r="E94" t="inlineStr">
        <is>
          <t>18</t>
        </is>
      </c>
      <c r="F94" t="inlineStr">
        <is>
          <t>B</t>
        </is>
      </c>
      <c r="G94" t="inlineStr">
        <is>
          <t>Good</t>
        </is>
      </c>
      <c r="H94" t="n">
        <v>220</v>
      </c>
      <c r="I94">
        <f>B94&amp;"|"&amp;F94&amp;"|"&amp;G94</f>
        <v/>
      </c>
      <c r="J94" t="inlineStr">
        <is>
          <t>MVS Sec.11 p.18</t>
        </is>
      </c>
    </row>
    <row r="95">
      <c r="B95" t="inlineStr">
        <is>
          <t>Apartments (High-Rise)</t>
        </is>
      </c>
      <c r="C95" t="inlineStr">
        <is>
          <t>300</t>
        </is>
      </c>
      <c r="D95" t="inlineStr">
        <is>
          <t>11</t>
        </is>
      </c>
      <c r="E95" t="inlineStr">
        <is>
          <t>18</t>
        </is>
      </c>
      <c r="F95" t="inlineStr">
        <is>
          <t>B</t>
        </is>
      </c>
      <c r="G95" t="inlineStr">
        <is>
          <t>Average</t>
        </is>
      </c>
      <c r="H95" t="n">
        <v>175</v>
      </c>
      <c r="I95">
        <f>B95&amp;"|"&amp;F95&amp;"|"&amp;G95</f>
        <v/>
      </c>
      <c r="J95" t="inlineStr">
        <is>
          <t>MVS Sec.11 p.18</t>
        </is>
      </c>
    </row>
    <row r="96">
      <c r="B96" t="inlineStr">
        <is>
          <t>Apartments (High-Rise)</t>
        </is>
      </c>
      <c r="C96" t="inlineStr">
        <is>
          <t>300</t>
        </is>
      </c>
      <c r="D96" t="inlineStr">
        <is>
          <t>11</t>
        </is>
      </c>
      <c r="E96" t="inlineStr">
        <is>
          <t>18</t>
        </is>
      </c>
      <c r="F96" t="inlineStr">
        <is>
          <t>B</t>
        </is>
      </c>
      <c r="G96" t="inlineStr">
        <is>
          <t>Low Cost</t>
        </is>
      </c>
      <c r="H96" t="n">
        <v>139</v>
      </c>
      <c r="I96">
        <f>B96&amp;"|"&amp;F96&amp;"|"&amp;G96</f>
        <v/>
      </c>
      <c r="J96" t="inlineStr">
        <is>
          <t>MVS Sec.11 p.18</t>
        </is>
      </c>
    </row>
    <row r="97">
      <c r="B97" t="inlineStr">
        <is>
          <t>Apartments (High-Rise)</t>
        </is>
      </c>
      <c r="C97" t="inlineStr">
        <is>
          <t>300</t>
        </is>
      </c>
      <c r="D97" t="inlineStr">
        <is>
          <t>11</t>
        </is>
      </c>
      <c r="E97" t="inlineStr">
        <is>
          <t>18</t>
        </is>
      </c>
      <c r="F97" t="inlineStr">
        <is>
          <t>C</t>
        </is>
      </c>
      <c r="G97" t="inlineStr">
        <is>
          <t>Good</t>
        </is>
      </c>
      <c r="H97" t="n">
        <v>176</v>
      </c>
      <c r="I97">
        <f>B97&amp;"|"&amp;F97&amp;"|"&amp;G97</f>
        <v/>
      </c>
      <c r="J97" t="inlineStr">
        <is>
          <t>MVS Sec.11 p.18</t>
        </is>
      </c>
    </row>
    <row r="98">
      <c r="B98" t="inlineStr">
        <is>
          <t>Apartments (High-Rise)</t>
        </is>
      </c>
      <c r="C98" t="inlineStr">
        <is>
          <t>300</t>
        </is>
      </c>
      <c r="D98" t="inlineStr">
        <is>
          <t>11</t>
        </is>
      </c>
      <c r="E98" t="inlineStr">
        <is>
          <t>18</t>
        </is>
      </c>
      <c r="F98" t="inlineStr">
        <is>
          <t>C</t>
        </is>
      </c>
      <c r="G98" t="inlineStr">
        <is>
          <t>Average</t>
        </is>
      </c>
      <c r="H98" t="n">
        <v>135</v>
      </c>
      <c r="I98">
        <f>B98&amp;"|"&amp;F98&amp;"|"&amp;G98</f>
        <v/>
      </c>
      <c r="J98" t="inlineStr">
        <is>
          <t>MVS Sec.11 p.18</t>
        </is>
      </c>
    </row>
    <row r="99">
      <c r="B99" t="inlineStr">
        <is>
          <t>Apartments (High-Rise)</t>
        </is>
      </c>
      <c r="C99" t="inlineStr">
        <is>
          <t>300</t>
        </is>
      </c>
      <c r="D99" t="inlineStr">
        <is>
          <t>11</t>
        </is>
      </c>
      <c r="E99" t="inlineStr">
        <is>
          <t>18</t>
        </is>
      </c>
      <c r="F99" t="inlineStr">
        <is>
          <t>C</t>
        </is>
      </c>
      <c r="G99" t="inlineStr">
        <is>
          <t>Low Cost</t>
        </is>
      </c>
      <c r="H99" t="n">
        <v>102</v>
      </c>
      <c r="I99">
        <f>B99&amp;"|"&amp;F99&amp;"|"&amp;G99</f>
        <v/>
      </c>
      <c r="J99" t="inlineStr">
        <is>
          <t>MVS Sec.11 p.18</t>
        </is>
      </c>
    </row>
    <row r="100">
      <c r="B100" t="inlineStr">
        <is>
          <t>Apartments (High-Rise)</t>
        </is>
      </c>
      <c r="C100" t="inlineStr">
        <is>
          <t>300</t>
        </is>
      </c>
      <c r="D100" t="inlineStr">
        <is>
          <t>11</t>
        </is>
      </c>
      <c r="E100" t="inlineStr">
        <is>
          <t>18</t>
        </is>
      </c>
      <c r="F100" t="inlineStr">
        <is>
          <t>CMILL</t>
        </is>
      </c>
      <c r="G100" t="inlineStr">
        <is>
          <t>Good</t>
        </is>
      </c>
      <c r="H100" t="n">
        <v>200</v>
      </c>
      <c r="I100">
        <f>B100&amp;"|"&amp;F100&amp;"|"&amp;G100</f>
        <v/>
      </c>
      <c r="J100" t="inlineStr">
        <is>
          <t>MVS Sec.11 p.18</t>
        </is>
      </c>
    </row>
    <row r="101">
      <c r="B101" t="inlineStr">
        <is>
          <t>Apartments (High-Rise)</t>
        </is>
      </c>
      <c r="C101" t="inlineStr">
        <is>
          <t>300</t>
        </is>
      </c>
      <c r="D101" t="inlineStr">
        <is>
          <t>11</t>
        </is>
      </c>
      <c r="E101" t="inlineStr">
        <is>
          <t>18</t>
        </is>
      </c>
      <c r="F101" t="inlineStr">
        <is>
          <t>CMILL</t>
        </is>
      </c>
      <c r="G101" t="inlineStr">
        <is>
          <t>Average</t>
        </is>
      </c>
      <c r="H101" t="n">
        <v>164</v>
      </c>
      <c r="I101">
        <f>B101&amp;"|"&amp;F101&amp;"|"&amp;G101</f>
        <v/>
      </c>
      <c r="J101" t="inlineStr">
        <is>
          <t>MVS Sec.11 p.18</t>
        </is>
      </c>
    </row>
    <row r="102">
      <c r="B102" t="inlineStr">
        <is>
          <t>Apartments (High-Rise)</t>
        </is>
      </c>
      <c r="C102" t="inlineStr">
        <is>
          <t>300</t>
        </is>
      </c>
      <c r="D102" t="inlineStr">
        <is>
          <t>11</t>
        </is>
      </c>
      <c r="E102" t="inlineStr">
        <is>
          <t>18</t>
        </is>
      </c>
      <c r="F102" t="inlineStr">
        <is>
          <t>DMASVEN</t>
        </is>
      </c>
      <c r="G102" t="inlineStr">
        <is>
          <t>Good</t>
        </is>
      </c>
      <c r="H102" t="n">
        <v>172</v>
      </c>
      <c r="I102">
        <f>B102&amp;"|"&amp;F102&amp;"|"&amp;G102</f>
        <v/>
      </c>
      <c r="J102" t="inlineStr">
        <is>
          <t>MVS Sec.11 p.18</t>
        </is>
      </c>
    </row>
    <row r="103">
      <c r="B103" t="inlineStr">
        <is>
          <t>Apartments (High-Rise)</t>
        </is>
      </c>
      <c r="C103" t="inlineStr">
        <is>
          <t>300</t>
        </is>
      </c>
      <c r="D103" t="inlineStr">
        <is>
          <t>11</t>
        </is>
      </c>
      <c r="E103" t="inlineStr">
        <is>
          <t>18</t>
        </is>
      </c>
      <c r="F103" t="inlineStr">
        <is>
          <t>DMASVEN</t>
        </is>
      </c>
      <c r="G103" t="inlineStr">
        <is>
          <t>Average</t>
        </is>
      </c>
      <c r="H103" t="n">
        <v>131</v>
      </c>
      <c r="I103">
        <f>B103&amp;"|"&amp;F103&amp;"|"&amp;G103</f>
        <v/>
      </c>
      <c r="J103" t="inlineStr">
        <is>
          <t>MVS Sec.11 p.18</t>
        </is>
      </c>
    </row>
    <row r="104">
      <c r="B104" t="inlineStr">
        <is>
          <t>Apartments (High-Rise)</t>
        </is>
      </c>
      <c r="C104" t="inlineStr">
        <is>
          <t>300</t>
        </is>
      </c>
      <c r="D104" t="inlineStr">
        <is>
          <t>11</t>
        </is>
      </c>
      <c r="E104" t="inlineStr">
        <is>
          <t>18</t>
        </is>
      </c>
      <c r="F104" t="inlineStr">
        <is>
          <t>D</t>
        </is>
      </c>
      <c r="G104" t="inlineStr">
        <is>
          <t>Good</t>
        </is>
      </c>
      <c r="H104" t="n">
        <v>167</v>
      </c>
      <c r="I104">
        <f>B104&amp;"|"&amp;F104&amp;"|"&amp;G104</f>
        <v/>
      </c>
      <c r="J104" t="inlineStr">
        <is>
          <t>MVS Sec.11 p.18</t>
        </is>
      </c>
    </row>
    <row r="105">
      <c r="B105" t="inlineStr">
        <is>
          <t>Apartments (High-Rise)</t>
        </is>
      </c>
      <c r="C105" t="inlineStr">
        <is>
          <t>300</t>
        </is>
      </c>
      <c r="D105" t="inlineStr">
        <is>
          <t>11</t>
        </is>
      </c>
      <c r="E105" t="inlineStr">
        <is>
          <t>18</t>
        </is>
      </c>
      <c r="F105" t="inlineStr">
        <is>
          <t>D</t>
        </is>
      </c>
      <c r="G105" t="inlineStr">
        <is>
          <t>Average</t>
        </is>
      </c>
      <c r="H105" t="n">
        <v>127</v>
      </c>
      <c r="I105">
        <f>B105&amp;"|"&amp;F105&amp;"|"&amp;G105</f>
        <v/>
      </c>
      <c r="J105" t="inlineStr">
        <is>
          <t>MVS Sec.11 p.18</t>
        </is>
      </c>
    </row>
    <row r="106">
      <c r="B106" t="inlineStr">
        <is>
          <t>Apartments (High-Rise)</t>
        </is>
      </c>
      <c r="C106" t="inlineStr">
        <is>
          <t>300</t>
        </is>
      </c>
      <c r="D106" t="inlineStr">
        <is>
          <t>11</t>
        </is>
      </c>
      <c r="E106" t="inlineStr">
        <is>
          <t>18</t>
        </is>
      </c>
      <c r="F106" t="inlineStr">
        <is>
          <t>D</t>
        </is>
      </c>
      <c r="G106" t="inlineStr">
        <is>
          <t>Low Cost</t>
        </is>
      </c>
      <c r="H106" t="n">
        <v>95.5</v>
      </c>
      <c r="I106">
        <f>B106&amp;"|"&amp;F106&amp;"|"&amp;G106</f>
        <v/>
      </c>
      <c r="J106" t="inlineStr">
        <is>
          <t>MVS Sec.11 p.18</t>
        </is>
      </c>
    </row>
    <row r="107">
      <c r="B107" t="inlineStr">
        <is>
          <t>Apartments (High-Rise)</t>
        </is>
      </c>
      <c r="C107" t="inlineStr">
        <is>
          <t>300</t>
        </is>
      </c>
      <c r="D107" t="inlineStr">
        <is>
          <t>11</t>
        </is>
      </c>
      <c r="E107" t="inlineStr">
        <is>
          <t>18</t>
        </is>
      </c>
      <c r="F107" t="inlineStr">
        <is>
          <t>S</t>
        </is>
      </c>
      <c r="G107" t="inlineStr">
        <is>
          <t>Good</t>
        </is>
      </c>
      <c r="H107" t="n">
        <v>163</v>
      </c>
      <c r="I107">
        <f>B107&amp;"|"&amp;F107&amp;"|"&amp;G107</f>
        <v/>
      </c>
      <c r="J107" t="inlineStr">
        <is>
          <t>MVS Sec.11 p.18</t>
        </is>
      </c>
    </row>
    <row r="108">
      <c r="B108" t="inlineStr">
        <is>
          <t>Apartments (High-Rise)</t>
        </is>
      </c>
      <c r="C108" t="inlineStr">
        <is>
          <t>300</t>
        </is>
      </c>
      <c r="D108" t="inlineStr">
        <is>
          <t>11</t>
        </is>
      </c>
      <c r="E108" t="inlineStr">
        <is>
          <t>18</t>
        </is>
      </c>
      <c r="F108" t="inlineStr">
        <is>
          <t>S</t>
        </is>
      </c>
      <c r="G108" t="inlineStr">
        <is>
          <t>Average</t>
        </is>
      </c>
      <c r="H108" t="n">
        <v>123</v>
      </c>
      <c r="I108">
        <f>B108&amp;"|"&amp;F108&amp;"|"&amp;G108</f>
        <v/>
      </c>
      <c r="J108" t="inlineStr">
        <is>
          <t>MVS Sec.11 p.18</t>
        </is>
      </c>
    </row>
    <row r="109">
      <c r="B109" t="inlineStr">
        <is>
          <t>City Clubs</t>
        </is>
      </c>
      <c r="C109" t="inlineStr">
        <is>
          <t>310</t>
        </is>
      </c>
      <c r="D109" t="inlineStr">
        <is>
          <t>11</t>
        </is>
      </c>
      <c r="E109" t="inlineStr">
        <is>
          <t>19</t>
        </is>
      </c>
      <c r="F109" t="inlineStr">
        <is>
          <t>A-B</t>
        </is>
      </c>
      <c r="G109" t="inlineStr">
        <is>
          <t>Good</t>
        </is>
      </c>
      <c r="H109" t="n">
        <v>304</v>
      </c>
      <c r="I109">
        <f>B109&amp;"|"&amp;F109&amp;"|"&amp;G109</f>
        <v/>
      </c>
      <c r="J109" t="inlineStr">
        <is>
          <t>MVS Sec.11 p.19</t>
        </is>
      </c>
    </row>
    <row r="110">
      <c r="B110" t="inlineStr">
        <is>
          <t>City Clubs</t>
        </is>
      </c>
      <c r="C110" t="inlineStr">
        <is>
          <t>310</t>
        </is>
      </c>
      <c r="D110" t="inlineStr">
        <is>
          <t>11</t>
        </is>
      </c>
      <c r="E110" t="inlineStr">
        <is>
          <t>19</t>
        </is>
      </c>
      <c r="F110" t="inlineStr">
        <is>
          <t>A-B</t>
        </is>
      </c>
      <c r="G110" t="inlineStr">
        <is>
          <t>Average</t>
        </is>
      </c>
      <c r="H110" t="n">
        <v>237</v>
      </c>
      <c r="I110">
        <f>B110&amp;"|"&amp;F110&amp;"|"&amp;G110</f>
        <v/>
      </c>
      <c r="J110" t="inlineStr">
        <is>
          <t>MVS Sec.11 p.19</t>
        </is>
      </c>
    </row>
    <row r="111">
      <c r="B111" t="inlineStr">
        <is>
          <t>City Clubs</t>
        </is>
      </c>
      <c r="C111" t="inlineStr">
        <is>
          <t>310</t>
        </is>
      </c>
      <c r="D111" t="inlineStr">
        <is>
          <t>11</t>
        </is>
      </c>
      <c r="E111" t="inlineStr">
        <is>
          <t>19</t>
        </is>
      </c>
      <c r="F111" t="inlineStr">
        <is>
          <t>C</t>
        </is>
      </c>
      <c r="G111" t="inlineStr">
        <is>
          <t>Good</t>
        </is>
      </c>
      <c r="H111" t="n">
        <v>238</v>
      </c>
      <c r="I111">
        <f>B111&amp;"|"&amp;F111&amp;"|"&amp;G111</f>
        <v/>
      </c>
      <c r="J111" t="inlineStr">
        <is>
          <t>MVS Sec.11 p.19</t>
        </is>
      </c>
    </row>
    <row r="112">
      <c r="B112" t="inlineStr">
        <is>
          <t>City Clubs</t>
        </is>
      </c>
      <c r="C112" t="inlineStr">
        <is>
          <t>310</t>
        </is>
      </c>
      <c r="D112" t="inlineStr">
        <is>
          <t>11</t>
        </is>
      </c>
      <c r="E112" t="inlineStr">
        <is>
          <t>19</t>
        </is>
      </c>
      <c r="F112" t="inlineStr">
        <is>
          <t>C</t>
        </is>
      </c>
      <c r="G112" t="inlineStr">
        <is>
          <t>Average</t>
        </is>
      </c>
      <c r="H112" t="n">
        <v>191</v>
      </c>
      <c r="I112">
        <f>B112&amp;"|"&amp;F112&amp;"|"&amp;G112</f>
        <v/>
      </c>
      <c r="J112" t="inlineStr">
        <is>
          <t>MVS Sec.11 p.19</t>
        </is>
      </c>
    </row>
    <row r="113">
      <c r="B113" t="inlineStr">
        <is>
          <t>Shell Apartment Buildings</t>
        </is>
      </c>
      <c r="C113" t="inlineStr">
        <is>
          <t>596</t>
        </is>
      </c>
      <c r="D113" t="inlineStr">
        <is>
          <t>11</t>
        </is>
      </c>
      <c r="E113" t="inlineStr">
        <is>
          <t>20</t>
        </is>
      </c>
      <c r="F113" t="inlineStr">
        <is>
          <t>A</t>
        </is>
      </c>
      <c r="G113" t="inlineStr">
        <is>
          <t>Good</t>
        </is>
      </c>
      <c r="H113" t="n">
        <v>154</v>
      </c>
      <c r="I113">
        <f>B113&amp;"|"&amp;F113&amp;"|"&amp;G113</f>
        <v/>
      </c>
      <c r="J113" t="inlineStr">
        <is>
          <t>MVS Sec.11 p.20</t>
        </is>
      </c>
    </row>
    <row r="114">
      <c r="B114" t="inlineStr">
        <is>
          <t>Shell Apartment Buildings</t>
        </is>
      </c>
      <c r="C114" t="inlineStr">
        <is>
          <t>596</t>
        </is>
      </c>
      <c r="D114" t="inlineStr">
        <is>
          <t>11</t>
        </is>
      </c>
      <c r="E114" t="inlineStr">
        <is>
          <t>20</t>
        </is>
      </c>
      <c r="F114" t="inlineStr">
        <is>
          <t>A</t>
        </is>
      </c>
      <c r="G114" t="inlineStr">
        <is>
          <t>Average</t>
        </is>
      </c>
      <c r="H114" t="n">
        <v>121</v>
      </c>
      <c r="I114">
        <f>B114&amp;"|"&amp;F114&amp;"|"&amp;G114</f>
        <v/>
      </c>
      <c r="J114" t="inlineStr">
        <is>
          <t>MVS Sec.11 p.20</t>
        </is>
      </c>
    </row>
    <row r="115">
      <c r="B115" t="inlineStr">
        <is>
          <t>Shell Apartment Buildings</t>
        </is>
      </c>
      <c r="C115" t="inlineStr">
        <is>
          <t>596</t>
        </is>
      </c>
      <c r="D115" t="inlineStr">
        <is>
          <t>11</t>
        </is>
      </c>
      <c r="E115" t="inlineStr">
        <is>
          <t>20</t>
        </is>
      </c>
      <c r="F115" t="inlineStr">
        <is>
          <t>A</t>
        </is>
      </c>
      <c r="G115" t="inlineStr">
        <is>
          <t>Low Cost</t>
        </is>
      </c>
      <c r="H115" t="n">
        <v>96</v>
      </c>
      <c r="I115">
        <f>B115&amp;"|"&amp;F115&amp;"|"&amp;G115</f>
        <v/>
      </c>
      <c r="J115" t="inlineStr">
        <is>
          <t>MVS Sec.11 p.20</t>
        </is>
      </c>
    </row>
    <row r="116">
      <c r="B116" t="inlineStr">
        <is>
          <t>Shell Apartment Buildings</t>
        </is>
      </c>
      <c r="C116" t="inlineStr">
        <is>
          <t>596</t>
        </is>
      </c>
      <c r="D116" t="inlineStr">
        <is>
          <t>11</t>
        </is>
      </c>
      <c r="E116" t="inlineStr">
        <is>
          <t>20</t>
        </is>
      </c>
      <c r="F116" t="inlineStr">
        <is>
          <t>B</t>
        </is>
      </c>
      <c r="G116" t="inlineStr">
        <is>
          <t>Good</t>
        </is>
      </c>
      <c r="H116" t="n">
        <v>132</v>
      </c>
      <c r="I116">
        <f>B116&amp;"|"&amp;F116&amp;"|"&amp;G116</f>
        <v/>
      </c>
      <c r="J116" t="inlineStr">
        <is>
          <t>MVS Sec.11 p.20</t>
        </is>
      </c>
    </row>
    <row r="117">
      <c r="B117" t="inlineStr">
        <is>
          <t>Shell Apartment Buildings</t>
        </is>
      </c>
      <c r="C117" t="inlineStr">
        <is>
          <t>596</t>
        </is>
      </c>
      <c r="D117" t="inlineStr">
        <is>
          <t>11</t>
        </is>
      </c>
      <c r="E117" t="inlineStr">
        <is>
          <t>20</t>
        </is>
      </c>
      <c r="F117" t="inlineStr">
        <is>
          <t>B</t>
        </is>
      </c>
      <c r="G117" t="inlineStr">
        <is>
          <t>Average</t>
        </is>
      </c>
      <c r="H117" t="n">
        <v>105</v>
      </c>
      <c r="I117">
        <f>B117&amp;"|"&amp;F117&amp;"|"&amp;G117</f>
        <v/>
      </c>
      <c r="J117" t="inlineStr">
        <is>
          <t>MVS Sec.11 p.20</t>
        </is>
      </c>
    </row>
    <row r="118">
      <c r="B118" t="inlineStr">
        <is>
          <t>Shell Apartment Buildings</t>
        </is>
      </c>
      <c r="C118" t="inlineStr">
        <is>
          <t>596</t>
        </is>
      </c>
      <c r="D118" t="inlineStr">
        <is>
          <t>11</t>
        </is>
      </c>
      <c r="E118" t="inlineStr">
        <is>
          <t>20</t>
        </is>
      </c>
      <c r="F118" t="inlineStr">
        <is>
          <t>B</t>
        </is>
      </c>
      <c r="G118" t="inlineStr">
        <is>
          <t>Low Cost</t>
        </is>
      </c>
      <c r="H118" t="n">
        <v>82.5</v>
      </c>
      <c r="I118">
        <f>B118&amp;"|"&amp;F118&amp;"|"&amp;G118</f>
        <v/>
      </c>
      <c r="J118" t="inlineStr">
        <is>
          <t>MVS Sec.11 p.20</t>
        </is>
      </c>
    </row>
    <row r="119">
      <c r="B119" t="inlineStr">
        <is>
          <t>Shell Apartment Buildings</t>
        </is>
      </c>
      <c r="C119" t="inlineStr">
        <is>
          <t>596</t>
        </is>
      </c>
      <c r="D119" t="inlineStr">
        <is>
          <t>11</t>
        </is>
      </c>
      <c r="E119" t="inlineStr">
        <is>
          <t>21</t>
        </is>
      </c>
      <c r="F119" t="inlineStr">
        <is>
          <t>C</t>
        </is>
      </c>
      <c r="G119" t="inlineStr">
        <is>
          <t>Good</t>
        </is>
      </c>
      <c r="H119" t="n">
        <v>109</v>
      </c>
      <c r="I119">
        <f>B119&amp;"|"&amp;F119&amp;"|"&amp;G119</f>
        <v/>
      </c>
      <c r="J119" t="inlineStr">
        <is>
          <t>MVS Sec.11 p.21</t>
        </is>
      </c>
    </row>
    <row r="120">
      <c r="B120" t="inlineStr">
        <is>
          <t>Shell Apartment Buildings</t>
        </is>
      </c>
      <c r="C120" t="inlineStr">
        <is>
          <t>596</t>
        </is>
      </c>
      <c r="D120" t="inlineStr">
        <is>
          <t>11</t>
        </is>
      </c>
      <c r="E120" t="inlineStr">
        <is>
          <t>21</t>
        </is>
      </c>
      <c r="F120" t="inlineStr">
        <is>
          <t>C</t>
        </is>
      </c>
      <c r="G120" t="inlineStr">
        <is>
          <t>Average</t>
        </is>
      </c>
      <c r="H120" t="n">
        <v>85.5</v>
      </c>
      <c r="I120">
        <f>B120&amp;"|"&amp;F120&amp;"|"&amp;G120</f>
        <v/>
      </c>
      <c r="J120" t="inlineStr">
        <is>
          <t>MVS Sec.11 p.21</t>
        </is>
      </c>
    </row>
    <row r="121">
      <c r="B121" t="inlineStr">
        <is>
          <t>Shell Apartment Buildings</t>
        </is>
      </c>
      <c r="C121" t="inlineStr">
        <is>
          <t>596</t>
        </is>
      </c>
      <c r="D121" t="inlineStr">
        <is>
          <t>11</t>
        </is>
      </c>
      <c r="E121" t="inlineStr">
        <is>
          <t>21</t>
        </is>
      </c>
      <c r="F121" t="inlineStr">
        <is>
          <t>C</t>
        </is>
      </c>
      <c r="G121" t="inlineStr">
        <is>
          <t>Low Cost</t>
        </is>
      </c>
      <c r="H121" t="n">
        <v>63.5</v>
      </c>
      <c r="I121">
        <f>B121&amp;"|"&amp;F121&amp;"|"&amp;G121</f>
        <v/>
      </c>
      <c r="J121" t="inlineStr">
        <is>
          <t>MVS Sec.11 p.21</t>
        </is>
      </c>
    </row>
    <row r="122">
      <c r="B122" t="inlineStr">
        <is>
          <t>Shell Apartment Buildings</t>
        </is>
      </c>
      <c r="C122" t="inlineStr">
        <is>
          <t>596</t>
        </is>
      </c>
      <c r="D122" t="inlineStr">
        <is>
          <t>11</t>
        </is>
      </c>
      <c r="E122" t="inlineStr">
        <is>
          <t>21</t>
        </is>
      </c>
      <c r="F122" t="inlineStr">
        <is>
          <t>DMASVEN</t>
        </is>
      </c>
      <c r="G122" t="inlineStr">
        <is>
          <t>Good</t>
        </is>
      </c>
      <c r="H122" t="n">
        <v>103</v>
      </c>
      <c r="I122">
        <f>B122&amp;"|"&amp;F122&amp;"|"&amp;G122</f>
        <v/>
      </c>
      <c r="J122" t="inlineStr">
        <is>
          <t>MVS Sec.11 p.21</t>
        </is>
      </c>
    </row>
    <row r="123">
      <c r="B123" t="inlineStr">
        <is>
          <t>Shell Apartment Buildings</t>
        </is>
      </c>
      <c r="C123" t="inlineStr">
        <is>
          <t>596</t>
        </is>
      </c>
      <c r="D123" t="inlineStr">
        <is>
          <t>11</t>
        </is>
      </c>
      <c r="E123" t="inlineStr">
        <is>
          <t>21</t>
        </is>
      </c>
      <c r="F123" t="inlineStr">
        <is>
          <t>DMASVEN</t>
        </is>
      </c>
      <c r="G123" t="inlineStr">
        <is>
          <t>Average</t>
        </is>
      </c>
      <c r="H123" t="n">
        <v>80.5</v>
      </c>
      <c r="I123">
        <f>B123&amp;"|"&amp;F123&amp;"|"&amp;G123</f>
        <v/>
      </c>
      <c r="J123" t="inlineStr">
        <is>
          <t>MVS Sec.11 p.21</t>
        </is>
      </c>
    </row>
    <row r="124">
      <c r="B124" t="inlineStr">
        <is>
          <t>Shell Apartment Buildings</t>
        </is>
      </c>
      <c r="C124" t="inlineStr">
        <is>
          <t>596</t>
        </is>
      </c>
      <c r="D124" t="inlineStr">
        <is>
          <t>11</t>
        </is>
      </c>
      <c r="E124" t="inlineStr">
        <is>
          <t>21</t>
        </is>
      </c>
      <c r="F124" t="inlineStr">
        <is>
          <t>D</t>
        </is>
      </c>
      <c r="G124" t="inlineStr">
        <is>
          <t>Good</t>
        </is>
      </c>
      <c r="H124" t="n">
        <v>100</v>
      </c>
      <c r="I124">
        <f>B124&amp;"|"&amp;F124&amp;"|"&amp;G124</f>
        <v/>
      </c>
      <c r="J124" t="inlineStr">
        <is>
          <t>MVS Sec.11 p.21</t>
        </is>
      </c>
    </row>
    <row r="125">
      <c r="B125" t="inlineStr">
        <is>
          <t>Shell Apartment Buildings</t>
        </is>
      </c>
      <c r="C125" t="inlineStr">
        <is>
          <t>596</t>
        </is>
      </c>
      <c r="D125" t="inlineStr">
        <is>
          <t>11</t>
        </is>
      </c>
      <c r="E125" t="inlineStr">
        <is>
          <t>21</t>
        </is>
      </c>
      <c r="F125" t="inlineStr">
        <is>
          <t>D</t>
        </is>
      </c>
      <c r="G125" t="inlineStr">
        <is>
          <t>Average</t>
        </is>
      </c>
      <c r="H125" t="n">
        <v>78</v>
      </c>
      <c r="I125">
        <f>B125&amp;"|"&amp;F125&amp;"|"&amp;G125</f>
        <v/>
      </c>
      <c r="J125" t="inlineStr">
        <is>
          <t>MVS Sec.11 p.21</t>
        </is>
      </c>
    </row>
    <row r="126">
      <c r="B126" t="inlineStr">
        <is>
          <t>Shell Apartment Buildings</t>
        </is>
      </c>
      <c r="C126" t="inlineStr">
        <is>
          <t>596</t>
        </is>
      </c>
      <c r="D126" t="inlineStr">
        <is>
          <t>11</t>
        </is>
      </c>
      <c r="E126" t="inlineStr">
        <is>
          <t>21</t>
        </is>
      </c>
      <c r="F126" t="inlineStr">
        <is>
          <t>D</t>
        </is>
      </c>
      <c r="G126" t="inlineStr">
        <is>
          <t>Low Cost</t>
        </is>
      </c>
      <c r="H126" t="n">
        <v>57.5</v>
      </c>
      <c r="I126">
        <f>B126&amp;"|"&amp;F126&amp;"|"&amp;G126</f>
        <v/>
      </c>
      <c r="J126" t="inlineStr">
        <is>
          <t>MVS Sec.11 p.21</t>
        </is>
      </c>
    </row>
    <row r="127">
      <c r="B127" t="inlineStr">
        <is>
          <t>Shell Apartment Buildings</t>
        </is>
      </c>
      <c r="C127" t="inlineStr">
        <is>
          <t>596</t>
        </is>
      </c>
      <c r="D127" t="inlineStr">
        <is>
          <t>11</t>
        </is>
      </c>
      <c r="E127" t="inlineStr">
        <is>
          <t>21</t>
        </is>
      </c>
      <c r="F127" t="inlineStr">
        <is>
          <t>S</t>
        </is>
      </c>
      <c r="G127" t="inlineStr">
        <is>
          <t>Good</t>
        </is>
      </c>
      <c r="H127" t="n">
        <v>95.5</v>
      </c>
      <c r="I127">
        <f>B127&amp;"|"&amp;F127&amp;"|"&amp;G127</f>
        <v/>
      </c>
      <c r="J127" t="inlineStr">
        <is>
          <t>MVS Sec.11 p.21</t>
        </is>
      </c>
    </row>
    <row r="128">
      <c r="B128" t="inlineStr">
        <is>
          <t>Shell Apartment Buildings</t>
        </is>
      </c>
      <c r="C128" t="inlineStr">
        <is>
          <t>596</t>
        </is>
      </c>
      <c r="D128" t="inlineStr">
        <is>
          <t>11</t>
        </is>
      </c>
      <c r="E128" t="inlineStr">
        <is>
          <t>21</t>
        </is>
      </c>
      <c r="F128" t="inlineStr">
        <is>
          <t>S</t>
        </is>
      </c>
      <c r="G128" t="inlineStr">
        <is>
          <t>Average</t>
        </is>
      </c>
      <c r="H128" t="n">
        <v>74.5</v>
      </c>
      <c r="I128">
        <f>B128&amp;"|"&amp;F128&amp;"|"&amp;G128</f>
        <v/>
      </c>
      <c r="J128" t="inlineStr">
        <is>
          <t>MVS Sec.11 p.21</t>
        </is>
      </c>
    </row>
    <row r="129">
      <c r="B129" t="inlineStr">
        <is>
          <t>Hotels, Limited Service</t>
        </is>
      </c>
      <c r="C129" t="inlineStr">
        <is>
          <t>595</t>
        </is>
      </c>
      <c r="D129" t="inlineStr">
        <is>
          <t>11</t>
        </is>
      </c>
      <c r="E129" t="inlineStr">
        <is>
          <t>22</t>
        </is>
      </c>
      <c r="F129" t="inlineStr">
        <is>
          <t>A</t>
        </is>
      </c>
      <c r="G129" t="inlineStr">
        <is>
          <t>Excellent</t>
        </is>
      </c>
      <c r="H129" t="n">
        <v>271</v>
      </c>
      <c r="I129">
        <f>B129&amp;"|"&amp;F129&amp;"|"&amp;G129</f>
        <v/>
      </c>
      <c r="J129" t="inlineStr">
        <is>
          <t>MVS Sec.11 p.22</t>
        </is>
      </c>
    </row>
    <row r="130">
      <c r="B130" t="inlineStr">
        <is>
          <t>Hotels, Limited Service</t>
        </is>
      </c>
      <c r="C130" t="inlineStr">
        <is>
          <t>595</t>
        </is>
      </c>
      <c r="D130" t="inlineStr">
        <is>
          <t>11</t>
        </is>
      </c>
      <c r="E130" t="inlineStr">
        <is>
          <t>22</t>
        </is>
      </c>
      <c r="F130" t="inlineStr">
        <is>
          <t>A</t>
        </is>
      </c>
      <c r="G130" t="inlineStr">
        <is>
          <t>Good</t>
        </is>
      </c>
      <c r="H130" t="n">
        <v>228</v>
      </c>
      <c r="I130">
        <f>B130&amp;"|"&amp;F130&amp;"|"&amp;G130</f>
        <v/>
      </c>
      <c r="J130" t="inlineStr">
        <is>
          <t>MVS Sec.11 p.22</t>
        </is>
      </c>
    </row>
    <row r="131">
      <c r="B131" t="inlineStr">
        <is>
          <t>Hotels, Limited Service</t>
        </is>
      </c>
      <c r="C131" t="inlineStr">
        <is>
          <t>595</t>
        </is>
      </c>
      <c r="D131" t="inlineStr">
        <is>
          <t>11</t>
        </is>
      </c>
      <c r="E131" t="inlineStr">
        <is>
          <t>22</t>
        </is>
      </c>
      <c r="F131" t="inlineStr">
        <is>
          <t>A</t>
        </is>
      </c>
      <c r="G131" t="inlineStr">
        <is>
          <t>Average</t>
        </is>
      </c>
      <c r="H131" t="n">
        <v>197</v>
      </c>
      <c r="I131">
        <f>B131&amp;"|"&amp;F131&amp;"|"&amp;G131</f>
        <v/>
      </c>
      <c r="J131" t="inlineStr">
        <is>
          <t>MVS Sec.11 p.22</t>
        </is>
      </c>
    </row>
    <row r="132">
      <c r="B132" t="inlineStr">
        <is>
          <t>Hotels, Limited Service</t>
        </is>
      </c>
      <c r="C132" t="inlineStr">
        <is>
          <t>595</t>
        </is>
      </c>
      <c r="D132" t="inlineStr">
        <is>
          <t>11</t>
        </is>
      </c>
      <c r="E132" t="inlineStr">
        <is>
          <t>22</t>
        </is>
      </c>
      <c r="F132" t="inlineStr">
        <is>
          <t>A</t>
        </is>
      </c>
      <c r="G132" t="inlineStr">
        <is>
          <t>Low Cost</t>
        </is>
      </c>
      <c r="H132" t="n">
        <v>165</v>
      </c>
      <c r="I132">
        <f>B132&amp;"|"&amp;F132&amp;"|"&amp;G132</f>
        <v/>
      </c>
      <c r="J132" t="inlineStr">
        <is>
          <t>MVS Sec.11 p.22</t>
        </is>
      </c>
    </row>
    <row r="133">
      <c r="B133" t="inlineStr">
        <is>
          <t>Hotels, Limited Service</t>
        </is>
      </c>
      <c r="C133" t="inlineStr">
        <is>
          <t>595</t>
        </is>
      </c>
      <c r="D133" t="inlineStr">
        <is>
          <t>11</t>
        </is>
      </c>
      <c r="E133" t="inlineStr">
        <is>
          <t>22</t>
        </is>
      </c>
      <c r="F133" t="inlineStr">
        <is>
          <t>B</t>
        </is>
      </c>
      <c r="G133" t="inlineStr">
        <is>
          <t>Excellent</t>
        </is>
      </c>
      <c r="H133" t="n">
        <v>245</v>
      </c>
      <c r="I133">
        <f>B133&amp;"|"&amp;F133&amp;"|"&amp;G133</f>
        <v/>
      </c>
      <c r="J133" t="inlineStr">
        <is>
          <t>MVS Sec.11 p.22</t>
        </is>
      </c>
    </row>
    <row r="134">
      <c r="B134" t="inlineStr">
        <is>
          <t>Hotels, Limited Service</t>
        </is>
      </c>
      <c r="C134" t="inlineStr">
        <is>
          <t>595</t>
        </is>
      </c>
      <c r="D134" t="inlineStr">
        <is>
          <t>11</t>
        </is>
      </c>
      <c r="E134" t="inlineStr">
        <is>
          <t>22</t>
        </is>
      </c>
      <c r="F134" t="inlineStr">
        <is>
          <t>B</t>
        </is>
      </c>
      <c r="G134" t="inlineStr">
        <is>
          <t>Good</t>
        </is>
      </c>
      <c r="H134" t="n">
        <v>205</v>
      </c>
      <c r="I134">
        <f>B134&amp;"|"&amp;F134&amp;"|"&amp;G134</f>
        <v/>
      </c>
      <c r="J134" t="inlineStr">
        <is>
          <t>MVS Sec.11 p.22</t>
        </is>
      </c>
    </row>
    <row r="135">
      <c r="B135" t="inlineStr">
        <is>
          <t>Hotels, Limited Service</t>
        </is>
      </c>
      <c r="C135" t="inlineStr">
        <is>
          <t>595</t>
        </is>
      </c>
      <c r="D135" t="inlineStr">
        <is>
          <t>11</t>
        </is>
      </c>
      <c r="E135" t="inlineStr">
        <is>
          <t>22</t>
        </is>
      </c>
      <c r="F135" t="inlineStr">
        <is>
          <t>B</t>
        </is>
      </c>
      <c r="G135" t="inlineStr">
        <is>
          <t>Average</t>
        </is>
      </c>
      <c r="H135" t="n">
        <v>177</v>
      </c>
      <c r="I135">
        <f>B135&amp;"|"&amp;F135&amp;"|"&amp;G135</f>
        <v/>
      </c>
      <c r="J135" t="inlineStr">
        <is>
          <t>MVS Sec.11 p.22</t>
        </is>
      </c>
    </row>
    <row r="136">
      <c r="B136" t="inlineStr">
        <is>
          <t>Hotels, Limited Service</t>
        </is>
      </c>
      <c r="C136" t="inlineStr">
        <is>
          <t>595</t>
        </is>
      </c>
      <c r="D136" t="inlineStr">
        <is>
          <t>11</t>
        </is>
      </c>
      <c r="E136" t="inlineStr">
        <is>
          <t>22</t>
        </is>
      </c>
      <c r="F136" t="inlineStr">
        <is>
          <t>B</t>
        </is>
      </c>
      <c r="G136" t="inlineStr">
        <is>
          <t>Low Cost</t>
        </is>
      </c>
      <c r="H136" t="n">
        <v>147</v>
      </c>
      <c r="I136">
        <f>B136&amp;"|"&amp;F136&amp;"|"&amp;G136</f>
        <v/>
      </c>
      <c r="J136" t="inlineStr">
        <is>
          <t>MVS Sec.11 p.22</t>
        </is>
      </c>
    </row>
    <row r="137">
      <c r="B137" t="inlineStr">
        <is>
          <t>Hotels, Limited Service</t>
        </is>
      </c>
      <c r="C137" t="inlineStr">
        <is>
          <t>595</t>
        </is>
      </c>
      <c r="D137" t="inlineStr">
        <is>
          <t>11</t>
        </is>
      </c>
      <c r="E137" t="inlineStr">
        <is>
          <t>22</t>
        </is>
      </c>
      <c r="F137" t="inlineStr">
        <is>
          <t>C</t>
        </is>
      </c>
      <c r="G137" t="inlineStr">
        <is>
          <t>Excellent</t>
        </is>
      </c>
      <c r="H137" t="n">
        <v>222</v>
      </c>
      <c r="I137">
        <f>B137&amp;"|"&amp;F137&amp;"|"&amp;G137</f>
        <v/>
      </c>
      <c r="J137" t="inlineStr">
        <is>
          <t>MVS Sec.11 p.22</t>
        </is>
      </c>
    </row>
    <row r="138">
      <c r="B138" t="inlineStr">
        <is>
          <t>Hotels, Limited Service</t>
        </is>
      </c>
      <c r="C138" t="inlineStr">
        <is>
          <t>595</t>
        </is>
      </c>
      <c r="D138" t="inlineStr">
        <is>
          <t>11</t>
        </is>
      </c>
      <c r="E138" t="inlineStr">
        <is>
          <t>22</t>
        </is>
      </c>
      <c r="F138" t="inlineStr">
        <is>
          <t>C</t>
        </is>
      </c>
      <c r="G138" t="inlineStr">
        <is>
          <t>Good</t>
        </is>
      </c>
      <c r="H138" t="n">
        <v>183</v>
      </c>
      <c r="I138">
        <f>B138&amp;"|"&amp;F138&amp;"|"&amp;G138</f>
        <v/>
      </c>
      <c r="J138" t="inlineStr">
        <is>
          <t>MVS Sec.11 p.22</t>
        </is>
      </c>
    </row>
    <row r="139">
      <c r="B139" t="inlineStr">
        <is>
          <t>Hotels, Limited Service</t>
        </is>
      </c>
      <c r="C139" t="inlineStr">
        <is>
          <t>595</t>
        </is>
      </c>
      <c r="D139" t="inlineStr">
        <is>
          <t>11</t>
        </is>
      </c>
      <c r="E139" t="inlineStr">
        <is>
          <t>22</t>
        </is>
      </c>
      <c r="F139" t="inlineStr">
        <is>
          <t>C</t>
        </is>
      </c>
      <c r="G139" t="inlineStr">
        <is>
          <t>Average</t>
        </is>
      </c>
      <c r="H139" t="n">
        <v>145</v>
      </c>
      <c r="I139">
        <f>B139&amp;"|"&amp;F139&amp;"|"&amp;G139</f>
        <v/>
      </c>
      <c r="J139" t="inlineStr">
        <is>
          <t>MVS Sec.11 p.22</t>
        </is>
      </c>
    </row>
    <row r="140">
      <c r="B140" t="inlineStr">
        <is>
          <t>Hotels, Limited Service</t>
        </is>
      </c>
      <c r="C140" t="inlineStr">
        <is>
          <t>595</t>
        </is>
      </c>
      <c r="D140" t="inlineStr">
        <is>
          <t>11</t>
        </is>
      </c>
      <c r="E140" t="inlineStr">
        <is>
          <t>22</t>
        </is>
      </c>
      <c r="F140" t="inlineStr">
        <is>
          <t>C</t>
        </is>
      </c>
      <c r="G140" t="inlineStr">
        <is>
          <t>Low Cost</t>
        </is>
      </c>
      <c r="H140" t="n">
        <v>121</v>
      </c>
      <c r="I140">
        <f>B140&amp;"|"&amp;F140&amp;"|"&amp;G140</f>
        <v/>
      </c>
      <c r="J140" t="inlineStr">
        <is>
          <t>MVS Sec.11 p.22</t>
        </is>
      </c>
    </row>
    <row r="141">
      <c r="B141" t="inlineStr">
        <is>
          <t>Hotels, Limited Service</t>
        </is>
      </c>
      <c r="C141" t="inlineStr">
        <is>
          <t>595</t>
        </is>
      </c>
      <c r="D141" t="inlineStr">
        <is>
          <t>11</t>
        </is>
      </c>
      <c r="E141" t="inlineStr">
        <is>
          <t>22</t>
        </is>
      </c>
      <c r="F141" t="inlineStr">
        <is>
          <t>D</t>
        </is>
      </c>
      <c r="G141" t="inlineStr">
        <is>
          <t>Good</t>
        </is>
      </c>
      <c r="H141" t="n">
        <v>174</v>
      </c>
      <c r="I141">
        <f>B141&amp;"|"&amp;F141&amp;"|"&amp;G141</f>
        <v/>
      </c>
      <c r="J141" t="inlineStr">
        <is>
          <t>MVS Sec.11 p.22</t>
        </is>
      </c>
    </row>
    <row r="142">
      <c r="B142" t="inlineStr">
        <is>
          <t>Hotels, Limited Service</t>
        </is>
      </c>
      <c r="C142" t="inlineStr">
        <is>
          <t>595</t>
        </is>
      </c>
      <c r="D142" t="inlineStr">
        <is>
          <t>11</t>
        </is>
      </c>
      <c r="E142" t="inlineStr">
        <is>
          <t>22</t>
        </is>
      </c>
      <c r="F142" t="inlineStr">
        <is>
          <t>D</t>
        </is>
      </c>
      <c r="G142" t="inlineStr">
        <is>
          <t>Average</t>
        </is>
      </c>
      <c r="H142" t="n">
        <v>137</v>
      </c>
      <c r="I142">
        <f>B142&amp;"|"&amp;F142&amp;"|"&amp;G142</f>
        <v/>
      </c>
      <c r="J142" t="inlineStr">
        <is>
          <t>MVS Sec.11 p.22</t>
        </is>
      </c>
    </row>
    <row r="143">
      <c r="B143" t="inlineStr">
        <is>
          <t>Hotels, Limited Service</t>
        </is>
      </c>
      <c r="C143" t="inlineStr">
        <is>
          <t>595</t>
        </is>
      </c>
      <c r="D143" t="inlineStr">
        <is>
          <t>11</t>
        </is>
      </c>
      <c r="E143" t="inlineStr">
        <is>
          <t>22</t>
        </is>
      </c>
      <c r="F143" t="inlineStr">
        <is>
          <t>D</t>
        </is>
      </c>
      <c r="G143" t="inlineStr">
        <is>
          <t>Low Cost</t>
        </is>
      </c>
      <c r="H143" t="n">
        <v>114</v>
      </c>
      <c r="I143">
        <f>B143&amp;"|"&amp;F143&amp;"|"&amp;G143</f>
        <v/>
      </c>
      <c r="J143" t="inlineStr">
        <is>
          <t>MVS Sec.11 p.22</t>
        </is>
      </c>
    </row>
    <row r="144">
      <c r="B144" t="inlineStr">
        <is>
          <t>Hotels, Limited Service</t>
        </is>
      </c>
      <c r="C144" t="inlineStr">
        <is>
          <t>595</t>
        </is>
      </c>
      <c r="D144" t="inlineStr">
        <is>
          <t>11</t>
        </is>
      </c>
      <c r="E144" t="inlineStr">
        <is>
          <t>22</t>
        </is>
      </c>
      <c r="F144" t="inlineStr">
        <is>
          <t>S</t>
        </is>
      </c>
      <c r="G144" t="inlineStr">
        <is>
          <t>Average</t>
        </is>
      </c>
      <c r="H144" t="n">
        <v>135</v>
      </c>
      <c r="I144">
        <f>B144&amp;"|"&amp;F144&amp;"|"&amp;G144</f>
        <v/>
      </c>
      <c r="J144" t="inlineStr">
        <is>
          <t>MVS Sec.11 p.22</t>
        </is>
      </c>
    </row>
    <row r="145">
      <c r="B145" t="inlineStr">
        <is>
          <t>Shell Hotels: Limited Service Buildings</t>
        </is>
      </c>
      <c r="C145" t="inlineStr">
        <is>
          <t>779</t>
        </is>
      </c>
      <c r="D145" t="inlineStr">
        <is>
          <t>11</t>
        </is>
      </c>
      <c r="E145" t="inlineStr">
        <is>
          <t>23</t>
        </is>
      </c>
      <c r="F145" t="inlineStr">
        <is>
          <t>A</t>
        </is>
      </c>
      <c r="G145" t="inlineStr">
        <is>
          <t>Excellent</t>
        </is>
      </c>
      <c r="H145" t="n">
        <v>162</v>
      </c>
      <c r="I145">
        <f>B145&amp;"|"&amp;F145&amp;"|"&amp;G145</f>
        <v/>
      </c>
      <c r="J145" t="inlineStr">
        <is>
          <t>MVS Sec.11 p.23</t>
        </is>
      </c>
    </row>
    <row r="146">
      <c r="B146" t="inlineStr">
        <is>
          <t>Shell Hotels: Limited Service Buildings</t>
        </is>
      </c>
      <c r="C146" t="inlineStr">
        <is>
          <t>779</t>
        </is>
      </c>
      <c r="D146" t="inlineStr">
        <is>
          <t>11</t>
        </is>
      </c>
      <c r="E146" t="inlineStr">
        <is>
          <t>23</t>
        </is>
      </c>
      <c r="F146" t="inlineStr">
        <is>
          <t>A</t>
        </is>
      </c>
      <c r="G146" t="inlineStr">
        <is>
          <t>Good</t>
        </is>
      </c>
      <c r="H146" t="n">
        <v>141</v>
      </c>
      <c r="I146">
        <f>B146&amp;"|"&amp;F146&amp;"|"&amp;G146</f>
        <v/>
      </c>
      <c r="J146" t="inlineStr">
        <is>
          <t>MVS Sec.11 p.23</t>
        </is>
      </c>
    </row>
    <row r="147">
      <c r="B147" t="inlineStr">
        <is>
          <t>Shell Hotels: Limited Service Buildings</t>
        </is>
      </c>
      <c r="C147" t="inlineStr">
        <is>
          <t>779</t>
        </is>
      </c>
      <c r="D147" t="inlineStr">
        <is>
          <t>11</t>
        </is>
      </c>
      <c r="E147" t="inlineStr">
        <is>
          <t>23</t>
        </is>
      </c>
      <c r="F147" t="inlineStr">
        <is>
          <t>A</t>
        </is>
      </c>
      <c r="G147" t="inlineStr">
        <is>
          <t>Average</t>
        </is>
      </c>
      <c r="H147" t="n">
        <v>123</v>
      </c>
      <c r="I147">
        <f>B147&amp;"|"&amp;F147&amp;"|"&amp;G147</f>
        <v/>
      </c>
      <c r="J147" t="inlineStr">
        <is>
          <t>MVS Sec.11 p.23</t>
        </is>
      </c>
    </row>
    <row r="148">
      <c r="B148" t="inlineStr">
        <is>
          <t>Shell Hotels: Limited Service Buildings</t>
        </is>
      </c>
      <c r="C148" t="inlineStr">
        <is>
          <t>779</t>
        </is>
      </c>
      <c r="D148" t="inlineStr">
        <is>
          <t>11</t>
        </is>
      </c>
      <c r="E148" t="inlineStr">
        <is>
          <t>23</t>
        </is>
      </c>
      <c r="F148" t="inlineStr">
        <is>
          <t>A</t>
        </is>
      </c>
      <c r="G148" t="inlineStr">
        <is>
          <t>Low Cost</t>
        </is>
      </c>
      <c r="H148" t="n">
        <v>107</v>
      </c>
      <c r="I148">
        <f>B148&amp;"|"&amp;F148&amp;"|"&amp;G148</f>
        <v/>
      </c>
      <c r="J148" t="inlineStr">
        <is>
          <t>MVS Sec.11 p.23</t>
        </is>
      </c>
    </row>
    <row r="149">
      <c r="B149" t="inlineStr">
        <is>
          <t>Shell Hotels: Limited Service Buildings</t>
        </is>
      </c>
      <c r="C149" t="inlineStr">
        <is>
          <t>779</t>
        </is>
      </c>
      <c r="D149" t="inlineStr">
        <is>
          <t>11</t>
        </is>
      </c>
      <c r="E149" t="inlineStr">
        <is>
          <t>23</t>
        </is>
      </c>
      <c r="F149" t="inlineStr">
        <is>
          <t>B</t>
        </is>
      </c>
      <c r="G149" t="inlineStr">
        <is>
          <t>Excellent</t>
        </is>
      </c>
      <c r="H149" t="n">
        <v>144</v>
      </c>
      <c r="I149">
        <f>B149&amp;"|"&amp;F149&amp;"|"&amp;G149</f>
        <v/>
      </c>
      <c r="J149" t="inlineStr">
        <is>
          <t>MVS Sec.11 p.23</t>
        </is>
      </c>
    </row>
    <row r="150">
      <c r="B150" t="inlineStr">
        <is>
          <t>Shell Hotels: Limited Service Buildings</t>
        </is>
      </c>
      <c r="C150" t="inlineStr">
        <is>
          <t>779</t>
        </is>
      </c>
      <c r="D150" t="inlineStr">
        <is>
          <t>11</t>
        </is>
      </c>
      <c r="E150" t="inlineStr">
        <is>
          <t>23</t>
        </is>
      </c>
      <c r="F150" t="inlineStr">
        <is>
          <t>B</t>
        </is>
      </c>
      <c r="G150" t="inlineStr">
        <is>
          <t>Good</t>
        </is>
      </c>
      <c r="H150" t="n">
        <v>124</v>
      </c>
      <c r="I150">
        <f>B150&amp;"|"&amp;F150&amp;"|"&amp;G150</f>
        <v/>
      </c>
      <c r="J150" t="inlineStr">
        <is>
          <t>MVS Sec.11 p.23</t>
        </is>
      </c>
    </row>
    <row r="151">
      <c r="B151" t="inlineStr">
        <is>
          <t>Shell Hotels: Limited Service Buildings</t>
        </is>
      </c>
      <c r="C151" t="inlineStr">
        <is>
          <t>779</t>
        </is>
      </c>
      <c r="D151" t="inlineStr">
        <is>
          <t>11</t>
        </is>
      </c>
      <c r="E151" t="inlineStr">
        <is>
          <t>23</t>
        </is>
      </c>
      <c r="F151" t="inlineStr">
        <is>
          <t>B</t>
        </is>
      </c>
      <c r="G151" t="inlineStr">
        <is>
          <t>Average</t>
        </is>
      </c>
      <c r="H151" t="n">
        <v>108</v>
      </c>
      <c r="I151">
        <f>B151&amp;"|"&amp;F151&amp;"|"&amp;G151</f>
        <v/>
      </c>
      <c r="J151" t="inlineStr">
        <is>
          <t>MVS Sec.11 p.23</t>
        </is>
      </c>
    </row>
    <row r="152">
      <c r="B152" t="inlineStr">
        <is>
          <t>Shell Hotels: Limited Service Buildings</t>
        </is>
      </c>
      <c r="C152" t="inlineStr">
        <is>
          <t>779</t>
        </is>
      </c>
      <c r="D152" t="inlineStr">
        <is>
          <t>11</t>
        </is>
      </c>
      <c r="E152" t="inlineStr">
        <is>
          <t>23</t>
        </is>
      </c>
      <c r="F152" t="inlineStr">
        <is>
          <t>B</t>
        </is>
      </c>
      <c r="G152" t="inlineStr">
        <is>
          <t>Low Cost</t>
        </is>
      </c>
      <c r="H152" t="n">
        <v>94</v>
      </c>
      <c r="I152">
        <f>B152&amp;"|"&amp;F152&amp;"|"&amp;G152</f>
        <v/>
      </c>
      <c r="J152" t="inlineStr">
        <is>
          <t>MVS Sec.11 p.23</t>
        </is>
      </c>
    </row>
    <row r="153">
      <c r="B153" t="inlineStr">
        <is>
          <t>Shell Hotels: Limited Service Buildings</t>
        </is>
      </c>
      <c r="C153" t="inlineStr">
        <is>
          <t>779</t>
        </is>
      </c>
      <c r="D153" t="inlineStr">
        <is>
          <t>11</t>
        </is>
      </c>
      <c r="E153" t="inlineStr">
        <is>
          <t>24</t>
        </is>
      </c>
      <c r="F153" t="inlineStr">
        <is>
          <t>C</t>
        </is>
      </c>
      <c r="G153" t="inlineStr">
        <is>
          <t>Excellent</t>
        </is>
      </c>
      <c r="H153" t="n">
        <v>138</v>
      </c>
      <c r="I153">
        <f>B153&amp;"|"&amp;F153&amp;"|"&amp;G153</f>
        <v/>
      </c>
      <c r="J153" t="inlineStr">
        <is>
          <t>MVS Sec.11 p.24</t>
        </is>
      </c>
    </row>
    <row r="154">
      <c r="B154" t="inlineStr">
        <is>
          <t>Shell Hotels: Limited Service Buildings</t>
        </is>
      </c>
      <c r="C154" t="inlineStr">
        <is>
          <t>779</t>
        </is>
      </c>
      <c r="D154" t="inlineStr">
        <is>
          <t>11</t>
        </is>
      </c>
      <c r="E154" t="inlineStr">
        <is>
          <t>24</t>
        </is>
      </c>
      <c r="F154" t="inlineStr">
        <is>
          <t>C</t>
        </is>
      </c>
      <c r="G154" t="inlineStr">
        <is>
          <t>Good</t>
        </is>
      </c>
      <c r="H154" t="n">
        <v>114</v>
      </c>
      <c r="I154">
        <f>B154&amp;"|"&amp;F154&amp;"|"&amp;G154</f>
        <v/>
      </c>
      <c r="J154" t="inlineStr">
        <is>
          <t>MVS Sec.11 p.24</t>
        </is>
      </c>
    </row>
    <row r="155">
      <c r="B155" t="inlineStr">
        <is>
          <t>Shell Hotels: Limited Service Buildings</t>
        </is>
      </c>
      <c r="C155" t="inlineStr">
        <is>
          <t>779</t>
        </is>
      </c>
      <c r="D155" t="inlineStr">
        <is>
          <t>11</t>
        </is>
      </c>
      <c r="E155" t="inlineStr">
        <is>
          <t>24</t>
        </is>
      </c>
      <c r="F155" t="inlineStr">
        <is>
          <t>C</t>
        </is>
      </c>
      <c r="G155" t="inlineStr">
        <is>
          <t>Average</t>
        </is>
      </c>
      <c r="H155" t="n">
        <v>93.5</v>
      </c>
      <c r="I155">
        <f>B155&amp;"|"&amp;F155&amp;"|"&amp;G155</f>
        <v/>
      </c>
      <c r="J155" t="inlineStr">
        <is>
          <t>MVS Sec.11 p.24</t>
        </is>
      </c>
    </row>
    <row r="156">
      <c r="B156" t="inlineStr">
        <is>
          <t>Shell Hotels: Limited Service Buildings</t>
        </is>
      </c>
      <c r="C156" t="inlineStr">
        <is>
          <t>779</t>
        </is>
      </c>
      <c r="D156" t="inlineStr">
        <is>
          <t>11</t>
        </is>
      </c>
      <c r="E156" t="inlineStr">
        <is>
          <t>24</t>
        </is>
      </c>
      <c r="F156" t="inlineStr">
        <is>
          <t>C</t>
        </is>
      </c>
      <c r="G156" t="inlineStr">
        <is>
          <t>Low Cost</t>
        </is>
      </c>
      <c r="H156" t="n">
        <v>77.5</v>
      </c>
      <c r="I156">
        <f>B156&amp;"|"&amp;F156&amp;"|"&amp;G156</f>
        <v/>
      </c>
      <c r="J156" t="inlineStr">
        <is>
          <t>MVS Sec.11 p.24</t>
        </is>
      </c>
    </row>
    <row r="157">
      <c r="B157" t="inlineStr">
        <is>
          <t>Shell Hotels: Limited Service Buildings</t>
        </is>
      </c>
      <c r="C157" t="inlineStr">
        <is>
          <t>779</t>
        </is>
      </c>
      <c r="D157" t="inlineStr">
        <is>
          <t>11</t>
        </is>
      </c>
      <c r="E157" t="inlineStr">
        <is>
          <t>24</t>
        </is>
      </c>
      <c r="F157" t="inlineStr">
        <is>
          <t>D</t>
        </is>
      </c>
      <c r="G157" t="inlineStr">
        <is>
          <t>Good</t>
        </is>
      </c>
      <c r="H157" t="n">
        <v>105</v>
      </c>
      <c r="I157">
        <f>B157&amp;"|"&amp;F157&amp;"|"&amp;G157</f>
        <v/>
      </c>
      <c r="J157" t="inlineStr">
        <is>
          <t>MVS Sec.11 p.24</t>
        </is>
      </c>
    </row>
    <row r="158">
      <c r="B158" t="inlineStr">
        <is>
          <t>Shell Hotels: Limited Service Buildings</t>
        </is>
      </c>
      <c r="C158" t="inlineStr">
        <is>
          <t>779</t>
        </is>
      </c>
      <c r="D158" t="inlineStr">
        <is>
          <t>11</t>
        </is>
      </c>
      <c r="E158" t="inlineStr">
        <is>
          <t>24</t>
        </is>
      </c>
      <c r="F158" t="inlineStr">
        <is>
          <t>D</t>
        </is>
      </c>
      <c r="G158" t="inlineStr">
        <is>
          <t>Average</t>
        </is>
      </c>
      <c r="H158" t="n">
        <v>86.5</v>
      </c>
      <c r="I158">
        <f>B158&amp;"|"&amp;F158&amp;"|"&amp;G158</f>
        <v/>
      </c>
      <c r="J158" t="inlineStr">
        <is>
          <t>MVS Sec.11 p.24</t>
        </is>
      </c>
    </row>
    <row r="159">
      <c r="B159" t="inlineStr">
        <is>
          <t>Shell Hotels: Limited Service Buildings</t>
        </is>
      </c>
      <c r="C159" t="inlineStr">
        <is>
          <t>779</t>
        </is>
      </c>
      <c r="D159" t="inlineStr">
        <is>
          <t>11</t>
        </is>
      </c>
      <c r="E159" t="inlineStr">
        <is>
          <t>24</t>
        </is>
      </c>
      <c r="F159" t="inlineStr">
        <is>
          <t>D</t>
        </is>
      </c>
      <c r="G159" t="inlineStr">
        <is>
          <t>Low Cost</t>
        </is>
      </c>
      <c r="H159" t="n">
        <v>71</v>
      </c>
      <c r="I159">
        <f>B159&amp;"|"&amp;F159&amp;"|"&amp;G159</f>
        <v/>
      </c>
      <c r="J159" t="inlineStr">
        <is>
          <t>MVS Sec.11 p.24</t>
        </is>
      </c>
    </row>
    <row r="160">
      <c r="B160" t="inlineStr">
        <is>
          <t>Shell Hotels: Limited Service Buildings</t>
        </is>
      </c>
      <c r="C160" t="inlineStr">
        <is>
          <t>779</t>
        </is>
      </c>
      <c r="D160" t="inlineStr">
        <is>
          <t>11</t>
        </is>
      </c>
      <c r="E160" t="inlineStr">
        <is>
          <t>24</t>
        </is>
      </c>
      <c r="F160" t="inlineStr">
        <is>
          <t>S</t>
        </is>
      </c>
      <c r="G160" t="inlineStr">
        <is>
          <t>Average</t>
        </is>
      </c>
      <c r="H160" t="n">
        <v>84.5</v>
      </c>
      <c r="I160">
        <f>B160&amp;"|"&amp;F160&amp;"|"&amp;G160</f>
        <v/>
      </c>
      <c r="J160" t="inlineStr">
        <is>
          <t>MVS Sec.11 p.24</t>
        </is>
      </c>
    </row>
    <row r="161">
      <c r="B161" t="inlineStr">
        <is>
          <t>Hotels, Full Service</t>
        </is>
      </c>
      <c r="C161" t="inlineStr">
        <is>
          <t>594</t>
        </is>
      </c>
      <c r="D161" t="inlineStr">
        <is>
          <t>11</t>
        </is>
      </c>
      <c r="E161" t="inlineStr">
        <is>
          <t>25</t>
        </is>
      </c>
      <c r="F161" t="inlineStr">
        <is>
          <t>A</t>
        </is>
      </c>
      <c r="G161" t="inlineStr">
        <is>
          <t>Excellent</t>
        </is>
      </c>
      <c r="H161" t="n">
        <v>380</v>
      </c>
      <c r="I161">
        <f>B161&amp;"|"&amp;F161&amp;"|"&amp;G161</f>
        <v/>
      </c>
      <c r="J161" t="inlineStr">
        <is>
          <t>MVS Sec.11 p.25</t>
        </is>
      </c>
    </row>
    <row r="162">
      <c r="B162" t="inlineStr">
        <is>
          <t>Hotels, Full Service</t>
        </is>
      </c>
      <c r="C162" t="inlineStr">
        <is>
          <t>594</t>
        </is>
      </c>
      <c r="D162" t="inlineStr">
        <is>
          <t>11</t>
        </is>
      </c>
      <c r="E162" t="inlineStr">
        <is>
          <t>25</t>
        </is>
      </c>
      <c r="F162" t="inlineStr">
        <is>
          <t>A</t>
        </is>
      </c>
      <c r="G162" t="inlineStr">
        <is>
          <t>Good</t>
        </is>
      </c>
      <c r="H162" t="n">
        <v>310</v>
      </c>
      <c r="I162">
        <f>B162&amp;"|"&amp;F162&amp;"|"&amp;G162</f>
        <v/>
      </c>
      <c r="J162" t="inlineStr">
        <is>
          <t>MVS Sec.11 p.25</t>
        </is>
      </c>
    </row>
    <row r="163">
      <c r="B163" t="inlineStr">
        <is>
          <t>Hotels, Full Service</t>
        </is>
      </c>
      <c r="C163" t="inlineStr">
        <is>
          <t>594</t>
        </is>
      </c>
      <c r="D163" t="inlineStr">
        <is>
          <t>11</t>
        </is>
      </c>
      <c r="E163" t="inlineStr">
        <is>
          <t>25</t>
        </is>
      </c>
      <c r="F163" t="inlineStr">
        <is>
          <t>A</t>
        </is>
      </c>
      <c r="G163" t="inlineStr">
        <is>
          <t>Average</t>
        </is>
      </c>
      <c r="H163" t="n">
        <v>244</v>
      </c>
      <c r="I163">
        <f>B163&amp;"|"&amp;F163&amp;"|"&amp;G163</f>
        <v/>
      </c>
      <c r="J163" t="inlineStr">
        <is>
          <t>MVS Sec.11 p.25</t>
        </is>
      </c>
    </row>
    <row r="164">
      <c r="B164" t="inlineStr">
        <is>
          <t>Hotels, Full Service</t>
        </is>
      </c>
      <c r="C164" t="inlineStr">
        <is>
          <t>594</t>
        </is>
      </c>
      <c r="D164" t="inlineStr">
        <is>
          <t>11</t>
        </is>
      </c>
      <c r="E164" t="inlineStr">
        <is>
          <t>25</t>
        </is>
      </c>
      <c r="F164" t="inlineStr">
        <is>
          <t>A</t>
        </is>
      </c>
      <c r="G164" t="inlineStr">
        <is>
          <t>Low Cost</t>
        </is>
      </c>
      <c r="H164" t="n">
        <v>194</v>
      </c>
      <c r="I164">
        <f>B164&amp;"|"&amp;F164&amp;"|"&amp;G164</f>
        <v/>
      </c>
      <c r="J164" t="inlineStr">
        <is>
          <t>MVS Sec.11 p.25</t>
        </is>
      </c>
    </row>
    <row r="165">
      <c r="B165" t="inlineStr">
        <is>
          <t>Hotels, Full Service</t>
        </is>
      </c>
      <c r="C165" t="inlineStr">
        <is>
          <t>594</t>
        </is>
      </c>
      <c r="D165" t="inlineStr">
        <is>
          <t>11</t>
        </is>
      </c>
      <c r="E165" t="inlineStr">
        <is>
          <t>25</t>
        </is>
      </c>
      <c r="F165" t="inlineStr">
        <is>
          <t>B</t>
        </is>
      </c>
      <c r="G165" t="inlineStr">
        <is>
          <t>Excellent</t>
        </is>
      </c>
      <c r="H165" t="n">
        <v>343</v>
      </c>
      <c r="I165">
        <f>B165&amp;"|"&amp;F165&amp;"|"&amp;G165</f>
        <v/>
      </c>
      <c r="J165" t="inlineStr">
        <is>
          <t>MVS Sec.11 p.25</t>
        </is>
      </c>
    </row>
    <row r="166">
      <c r="B166" t="inlineStr">
        <is>
          <t>Hotels, Full Service</t>
        </is>
      </c>
      <c r="C166" t="inlineStr">
        <is>
          <t>594</t>
        </is>
      </c>
      <c r="D166" t="inlineStr">
        <is>
          <t>11</t>
        </is>
      </c>
      <c r="E166" t="inlineStr">
        <is>
          <t>25</t>
        </is>
      </c>
      <c r="F166" t="inlineStr">
        <is>
          <t>B</t>
        </is>
      </c>
      <c r="G166" t="inlineStr">
        <is>
          <t>Good</t>
        </is>
      </c>
      <c r="H166" t="n">
        <v>280</v>
      </c>
      <c r="I166">
        <f>B166&amp;"|"&amp;F166&amp;"|"&amp;G166</f>
        <v/>
      </c>
      <c r="J166" t="inlineStr">
        <is>
          <t>MVS Sec.11 p.25</t>
        </is>
      </c>
    </row>
    <row r="167">
      <c r="B167" t="inlineStr">
        <is>
          <t>Hotels, Full Service</t>
        </is>
      </c>
      <c r="C167" t="inlineStr">
        <is>
          <t>594</t>
        </is>
      </c>
      <c r="D167" t="inlineStr">
        <is>
          <t>11</t>
        </is>
      </c>
      <c r="E167" t="inlineStr">
        <is>
          <t>25</t>
        </is>
      </c>
      <c r="F167" t="inlineStr">
        <is>
          <t>B</t>
        </is>
      </c>
      <c r="G167" t="inlineStr">
        <is>
          <t>Average</t>
        </is>
      </c>
      <c r="H167" t="n">
        <v>219</v>
      </c>
      <c r="I167">
        <f>B167&amp;"|"&amp;F167&amp;"|"&amp;G167</f>
        <v/>
      </c>
      <c r="J167" t="inlineStr">
        <is>
          <t>MVS Sec.11 p.25</t>
        </is>
      </c>
    </row>
    <row r="168">
      <c r="B168" t="inlineStr">
        <is>
          <t>Hotels, Full Service</t>
        </is>
      </c>
      <c r="C168" t="inlineStr">
        <is>
          <t>594</t>
        </is>
      </c>
      <c r="D168" t="inlineStr">
        <is>
          <t>11</t>
        </is>
      </c>
      <c r="E168" t="inlineStr">
        <is>
          <t>25</t>
        </is>
      </c>
      <c r="F168" t="inlineStr">
        <is>
          <t>B</t>
        </is>
      </c>
      <c r="G168" t="inlineStr">
        <is>
          <t>Low Cost</t>
        </is>
      </c>
      <c r="H168" t="n">
        <v>173</v>
      </c>
      <c r="I168">
        <f>B168&amp;"|"&amp;F168&amp;"|"&amp;G168</f>
        <v/>
      </c>
      <c r="J168" t="inlineStr">
        <is>
          <t>MVS Sec.11 p.25</t>
        </is>
      </c>
    </row>
    <row r="169">
      <c r="B169" t="inlineStr">
        <is>
          <t>Hotels, Full Service</t>
        </is>
      </c>
      <c r="C169" t="inlineStr">
        <is>
          <t>594</t>
        </is>
      </c>
      <c r="D169" t="inlineStr">
        <is>
          <t>11</t>
        </is>
      </c>
      <c r="E169" t="inlineStr">
        <is>
          <t>25</t>
        </is>
      </c>
      <c r="F169" t="inlineStr">
        <is>
          <t>C</t>
        </is>
      </c>
      <c r="G169" t="inlineStr">
        <is>
          <t>Excellent</t>
        </is>
      </c>
      <c r="H169" t="n">
        <v>281</v>
      </c>
      <c r="I169">
        <f>B169&amp;"|"&amp;F169&amp;"|"&amp;G169</f>
        <v/>
      </c>
      <c r="J169" t="inlineStr">
        <is>
          <t>MVS Sec.11 p.25</t>
        </is>
      </c>
    </row>
    <row r="170">
      <c r="B170" t="inlineStr">
        <is>
          <t>Hotels, Full Service</t>
        </is>
      </c>
      <c r="C170" t="inlineStr">
        <is>
          <t>594</t>
        </is>
      </c>
      <c r="D170" t="inlineStr">
        <is>
          <t>11</t>
        </is>
      </c>
      <c r="E170" t="inlineStr">
        <is>
          <t>25</t>
        </is>
      </c>
      <c r="F170" t="inlineStr">
        <is>
          <t>C</t>
        </is>
      </c>
      <c r="G170" t="inlineStr">
        <is>
          <t>Good</t>
        </is>
      </c>
      <c r="H170" t="n">
        <v>228</v>
      </c>
      <c r="I170">
        <f>B170&amp;"|"&amp;F170&amp;"|"&amp;G170</f>
        <v/>
      </c>
      <c r="J170" t="inlineStr">
        <is>
          <t>MVS Sec.11 p.25</t>
        </is>
      </c>
    </row>
    <row r="171">
      <c r="B171" t="inlineStr">
        <is>
          <t>Hotels, Full Service</t>
        </is>
      </c>
      <c r="C171" t="inlineStr">
        <is>
          <t>594</t>
        </is>
      </c>
      <c r="D171" t="inlineStr">
        <is>
          <t>11</t>
        </is>
      </c>
      <c r="E171" t="inlineStr">
        <is>
          <t>25</t>
        </is>
      </c>
      <c r="F171" t="inlineStr">
        <is>
          <t>C</t>
        </is>
      </c>
      <c r="G171" t="inlineStr">
        <is>
          <t>Average</t>
        </is>
      </c>
      <c r="H171" t="n">
        <v>191</v>
      </c>
      <c r="I171">
        <f>B171&amp;"|"&amp;F171&amp;"|"&amp;G171</f>
        <v/>
      </c>
      <c r="J171" t="inlineStr">
        <is>
          <t>MVS Sec.11 p.25</t>
        </is>
      </c>
    </row>
    <row r="172">
      <c r="B172" t="inlineStr">
        <is>
          <t>Hotels, Full Service</t>
        </is>
      </c>
      <c r="C172" t="inlineStr">
        <is>
          <t>594</t>
        </is>
      </c>
      <c r="D172" t="inlineStr">
        <is>
          <t>11</t>
        </is>
      </c>
      <c r="E172" t="inlineStr">
        <is>
          <t>25</t>
        </is>
      </c>
      <c r="F172" t="inlineStr">
        <is>
          <t>C</t>
        </is>
      </c>
      <c r="G172" t="inlineStr">
        <is>
          <t>Low Cost</t>
        </is>
      </c>
      <c r="H172" t="n">
        <v>154</v>
      </c>
      <c r="I172">
        <f>B172&amp;"|"&amp;F172&amp;"|"&amp;G172</f>
        <v/>
      </c>
      <c r="J172" t="inlineStr">
        <is>
          <t>MVS Sec.11 p.25</t>
        </is>
      </c>
    </row>
    <row r="173">
      <c r="B173" t="inlineStr">
        <is>
          <t>Hotels, Full Service</t>
        </is>
      </c>
      <c r="C173" t="inlineStr">
        <is>
          <t>594</t>
        </is>
      </c>
      <c r="D173" t="inlineStr">
        <is>
          <t>11</t>
        </is>
      </c>
      <c r="E173" t="inlineStr">
        <is>
          <t>25</t>
        </is>
      </c>
      <c r="F173" t="inlineStr">
        <is>
          <t>D</t>
        </is>
      </c>
      <c r="G173" t="inlineStr">
        <is>
          <t>Excellent</t>
        </is>
      </c>
      <c r="H173" t="n">
        <v>268</v>
      </c>
      <c r="I173">
        <f>B173&amp;"|"&amp;F173&amp;"|"&amp;G173</f>
        <v/>
      </c>
      <c r="J173" t="inlineStr">
        <is>
          <t>MVS Sec.11 p.25</t>
        </is>
      </c>
    </row>
    <row r="174">
      <c r="B174" t="inlineStr">
        <is>
          <t>Hotels, Full Service</t>
        </is>
      </c>
      <c r="C174" t="inlineStr">
        <is>
          <t>594</t>
        </is>
      </c>
      <c r="D174" t="inlineStr">
        <is>
          <t>11</t>
        </is>
      </c>
      <c r="E174" t="inlineStr">
        <is>
          <t>25</t>
        </is>
      </c>
      <c r="F174" t="inlineStr">
        <is>
          <t>D</t>
        </is>
      </c>
      <c r="G174" t="inlineStr">
        <is>
          <t>Good</t>
        </is>
      </c>
      <c r="H174" t="n">
        <v>216</v>
      </c>
      <c r="I174">
        <f>B174&amp;"|"&amp;F174&amp;"|"&amp;G174</f>
        <v/>
      </c>
      <c r="J174" t="inlineStr">
        <is>
          <t>MVS Sec.11 p.25</t>
        </is>
      </c>
    </row>
    <row r="175">
      <c r="B175" t="inlineStr">
        <is>
          <t>Hotels, Full Service</t>
        </is>
      </c>
      <c r="C175" t="inlineStr">
        <is>
          <t>594</t>
        </is>
      </c>
      <c r="D175" t="inlineStr">
        <is>
          <t>11</t>
        </is>
      </c>
      <c r="E175" t="inlineStr">
        <is>
          <t>25</t>
        </is>
      </c>
      <c r="F175" t="inlineStr">
        <is>
          <t>D</t>
        </is>
      </c>
      <c r="G175" t="inlineStr">
        <is>
          <t>Average</t>
        </is>
      </c>
      <c r="H175" t="n">
        <v>180</v>
      </c>
      <c r="I175">
        <f>B175&amp;"|"&amp;F175&amp;"|"&amp;G175</f>
        <v/>
      </c>
      <c r="J175" t="inlineStr">
        <is>
          <t>MVS Sec.11 p.25</t>
        </is>
      </c>
    </row>
    <row r="176">
      <c r="B176" t="inlineStr">
        <is>
          <t>Hotels, Full Service</t>
        </is>
      </c>
      <c r="C176" t="inlineStr">
        <is>
          <t>594</t>
        </is>
      </c>
      <c r="D176" t="inlineStr">
        <is>
          <t>11</t>
        </is>
      </c>
      <c r="E176" t="inlineStr">
        <is>
          <t>25</t>
        </is>
      </c>
      <c r="F176" t="inlineStr">
        <is>
          <t>D</t>
        </is>
      </c>
      <c r="G176" t="inlineStr">
        <is>
          <t>Low Cost</t>
        </is>
      </c>
      <c r="H176" t="n">
        <v>144</v>
      </c>
      <c r="I176">
        <f>B176&amp;"|"&amp;F176&amp;"|"&amp;G176</f>
        <v/>
      </c>
      <c r="J176" t="inlineStr">
        <is>
          <t>MVS Sec.11 p.25</t>
        </is>
      </c>
    </row>
    <row r="177">
      <c r="B177" t="inlineStr">
        <is>
          <t>Shell Hotels: Full Service Buildings</t>
        </is>
      </c>
      <c r="C177" t="inlineStr">
        <is>
          <t>778</t>
        </is>
      </c>
      <c r="D177" t="inlineStr">
        <is>
          <t>11</t>
        </is>
      </c>
      <c r="E177" t="inlineStr">
        <is>
          <t>26</t>
        </is>
      </c>
      <c r="F177" t="inlineStr">
        <is>
          <t>A</t>
        </is>
      </c>
      <c r="G177" t="inlineStr">
        <is>
          <t>Excellent</t>
        </is>
      </c>
      <c r="H177" t="n">
        <v>210</v>
      </c>
      <c r="I177">
        <f>B177&amp;"|"&amp;F177&amp;"|"&amp;G177</f>
        <v/>
      </c>
      <c r="J177" t="inlineStr">
        <is>
          <t>MVS Sec.11 p.26</t>
        </is>
      </c>
    </row>
    <row r="178">
      <c r="B178" t="inlineStr">
        <is>
          <t>Shell Hotels: Full Service Buildings</t>
        </is>
      </c>
      <c r="C178" t="inlineStr">
        <is>
          <t>778</t>
        </is>
      </c>
      <c r="D178" t="inlineStr">
        <is>
          <t>11</t>
        </is>
      </c>
      <c r="E178" t="inlineStr">
        <is>
          <t>26</t>
        </is>
      </c>
      <c r="F178" t="inlineStr">
        <is>
          <t>A</t>
        </is>
      </c>
      <c r="G178" t="inlineStr">
        <is>
          <t>Good</t>
        </is>
      </c>
      <c r="H178" t="n">
        <v>168</v>
      </c>
      <c r="I178">
        <f>B178&amp;"|"&amp;F178&amp;"|"&amp;G178</f>
        <v/>
      </c>
      <c r="J178" t="inlineStr">
        <is>
          <t>MVS Sec.11 p.26</t>
        </is>
      </c>
    </row>
    <row r="179">
      <c r="B179" t="inlineStr">
        <is>
          <t>Shell Hotels: Full Service Buildings</t>
        </is>
      </c>
      <c r="C179" t="inlineStr">
        <is>
          <t>778</t>
        </is>
      </c>
      <c r="D179" t="inlineStr">
        <is>
          <t>11</t>
        </is>
      </c>
      <c r="E179" t="inlineStr">
        <is>
          <t>26</t>
        </is>
      </c>
      <c r="F179" t="inlineStr">
        <is>
          <t>A</t>
        </is>
      </c>
      <c r="G179" t="inlineStr">
        <is>
          <t>Average</t>
        </is>
      </c>
      <c r="H179" t="n">
        <v>135</v>
      </c>
      <c r="I179">
        <f>B179&amp;"|"&amp;F179&amp;"|"&amp;G179</f>
        <v/>
      </c>
      <c r="J179" t="inlineStr">
        <is>
          <t>MVS Sec.11 p.26</t>
        </is>
      </c>
    </row>
    <row r="180">
      <c r="B180" t="inlineStr">
        <is>
          <t>Shell Hotels: Full Service Buildings</t>
        </is>
      </c>
      <c r="C180" t="inlineStr">
        <is>
          <t>778</t>
        </is>
      </c>
      <c r="D180" t="inlineStr">
        <is>
          <t>11</t>
        </is>
      </c>
      <c r="E180" t="inlineStr">
        <is>
          <t>26</t>
        </is>
      </c>
      <c r="F180" t="inlineStr">
        <is>
          <t>A</t>
        </is>
      </c>
      <c r="G180" t="inlineStr">
        <is>
          <t>Low Cost</t>
        </is>
      </c>
      <c r="H180" t="n">
        <v>108</v>
      </c>
      <c r="I180">
        <f>B180&amp;"|"&amp;F180&amp;"|"&amp;G180</f>
        <v/>
      </c>
      <c r="J180" t="inlineStr">
        <is>
          <t>MVS Sec.11 p.26</t>
        </is>
      </c>
    </row>
    <row r="181">
      <c r="B181" t="inlineStr">
        <is>
          <t>Shell Hotels: Full Service Buildings</t>
        </is>
      </c>
      <c r="C181" t="inlineStr">
        <is>
          <t>778</t>
        </is>
      </c>
      <c r="D181" t="inlineStr">
        <is>
          <t>11</t>
        </is>
      </c>
      <c r="E181" t="inlineStr">
        <is>
          <t>26</t>
        </is>
      </c>
      <c r="F181" t="inlineStr">
        <is>
          <t>B</t>
        </is>
      </c>
      <c r="G181" t="inlineStr">
        <is>
          <t>Excellent</t>
        </is>
      </c>
      <c r="H181" t="n">
        <v>186</v>
      </c>
      <c r="I181">
        <f>B181&amp;"|"&amp;F181&amp;"|"&amp;G181</f>
        <v/>
      </c>
      <c r="J181" t="inlineStr">
        <is>
          <t>MVS Sec.11 p.26</t>
        </is>
      </c>
    </row>
    <row r="182">
      <c r="B182" t="inlineStr">
        <is>
          <t>Shell Hotels: Full Service Buildings</t>
        </is>
      </c>
      <c r="C182" t="inlineStr">
        <is>
          <t>778</t>
        </is>
      </c>
      <c r="D182" t="inlineStr">
        <is>
          <t>11</t>
        </is>
      </c>
      <c r="E182" t="inlineStr">
        <is>
          <t>26</t>
        </is>
      </c>
      <c r="F182" t="inlineStr">
        <is>
          <t>B</t>
        </is>
      </c>
      <c r="G182" t="inlineStr">
        <is>
          <t>Good</t>
        </is>
      </c>
      <c r="H182" t="n">
        <v>148</v>
      </c>
      <c r="I182">
        <f>B182&amp;"|"&amp;F182&amp;"|"&amp;G182</f>
        <v/>
      </c>
      <c r="J182" t="inlineStr">
        <is>
          <t>MVS Sec.11 p.26</t>
        </is>
      </c>
    </row>
    <row r="183">
      <c r="B183" t="inlineStr">
        <is>
          <t>Shell Hotels: Full Service Buildings</t>
        </is>
      </c>
      <c r="C183" t="inlineStr">
        <is>
          <t>778</t>
        </is>
      </c>
      <c r="D183" t="inlineStr">
        <is>
          <t>11</t>
        </is>
      </c>
      <c r="E183" t="inlineStr">
        <is>
          <t>26</t>
        </is>
      </c>
      <c r="F183" t="inlineStr">
        <is>
          <t>B</t>
        </is>
      </c>
      <c r="G183" t="inlineStr">
        <is>
          <t>Average</t>
        </is>
      </c>
      <c r="H183" t="n">
        <v>118</v>
      </c>
      <c r="I183">
        <f>B183&amp;"|"&amp;F183&amp;"|"&amp;G183</f>
        <v/>
      </c>
      <c r="J183" t="inlineStr">
        <is>
          <t>MVS Sec.11 p.26</t>
        </is>
      </c>
    </row>
    <row r="184">
      <c r="B184" t="inlineStr">
        <is>
          <t>Shell Hotels: Full Service Buildings</t>
        </is>
      </c>
      <c r="C184" t="inlineStr">
        <is>
          <t>778</t>
        </is>
      </c>
      <c r="D184" t="inlineStr">
        <is>
          <t>11</t>
        </is>
      </c>
      <c r="E184" t="inlineStr">
        <is>
          <t>26</t>
        </is>
      </c>
      <c r="F184" t="inlineStr">
        <is>
          <t>B</t>
        </is>
      </c>
      <c r="G184" t="inlineStr">
        <is>
          <t>Low Cost</t>
        </is>
      </c>
      <c r="H184" t="n">
        <v>94.5</v>
      </c>
      <c r="I184">
        <f>B184&amp;"|"&amp;F184&amp;"|"&amp;G184</f>
        <v/>
      </c>
      <c r="J184" t="inlineStr">
        <is>
          <t>MVS Sec.11 p.26</t>
        </is>
      </c>
    </row>
    <row r="185">
      <c r="B185" t="inlineStr">
        <is>
          <t>Shell Hotels: Full Service Buildings</t>
        </is>
      </c>
      <c r="C185" t="inlineStr">
        <is>
          <t>778</t>
        </is>
      </c>
      <c r="D185" t="inlineStr">
        <is>
          <t>11</t>
        </is>
      </c>
      <c r="E185" t="inlineStr">
        <is>
          <t>27</t>
        </is>
      </c>
      <c r="F185" t="inlineStr">
        <is>
          <t>C</t>
        </is>
      </c>
      <c r="G185" t="inlineStr">
        <is>
          <t>Excellent</t>
        </is>
      </c>
      <c r="H185" t="n">
        <v>151</v>
      </c>
      <c r="I185">
        <f>B185&amp;"|"&amp;F185&amp;"|"&amp;G185</f>
        <v/>
      </c>
      <c r="J185" t="inlineStr">
        <is>
          <t>MVS Sec.11 p.27</t>
        </is>
      </c>
    </row>
    <row r="186">
      <c r="B186" t="inlineStr">
        <is>
          <t>Shell Hotels: Full Service Buildings</t>
        </is>
      </c>
      <c r="C186" t="inlineStr">
        <is>
          <t>778</t>
        </is>
      </c>
      <c r="D186" t="inlineStr">
        <is>
          <t>11</t>
        </is>
      </c>
      <c r="E186" t="inlineStr">
        <is>
          <t>27</t>
        </is>
      </c>
      <c r="F186" t="inlineStr">
        <is>
          <t>C</t>
        </is>
      </c>
      <c r="G186" t="inlineStr">
        <is>
          <t>Good</t>
        </is>
      </c>
      <c r="H186" t="n">
        <v>126</v>
      </c>
      <c r="I186">
        <f>B186&amp;"|"&amp;F186&amp;"|"&amp;G186</f>
        <v/>
      </c>
      <c r="J186" t="inlineStr">
        <is>
          <t>MVS Sec.11 p.27</t>
        </is>
      </c>
    </row>
    <row r="187">
      <c r="B187" t="inlineStr">
        <is>
          <t>Shell Hotels: Full Service Buildings</t>
        </is>
      </c>
      <c r="C187" t="inlineStr">
        <is>
          <t>778</t>
        </is>
      </c>
      <c r="D187" t="inlineStr">
        <is>
          <t>11</t>
        </is>
      </c>
      <c r="E187" t="inlineStr">
        <is>
          <t>27</t>
        </is>
      </c>
      <c r="F187" t="inlineStr">
        <is>
          <t>C</t>
        </is>
      </c>
      <c r="G187" t="inlineStr">
        <is>
          <t>Average</t>
        </is>
      </c>
      <c r="H187" t="n">
        <v>106</v>
      </c>
      <c r="I187">
        <f>B187&amp;"|"&amp;F187&amp;"|"&amp;G187</f>
        <v/>
      </c>
      <c r="J187" t="inlineStr">
        <is>
          <t>MVS Sec.11 p.27</t>
        </is>
      </c>
    </row>
    <row r="188">
      <c r="B188" t="inlineStr">
        <is>
          <t>Shell Hotels: Full Service Buildings</t>
        </is>
      </c>
      <c r="C188" t="inlineStr">
        <is>
          <t>778</t>
        </is>
      </c>
      <c r="D188" t="inlineStr">
        <is>
          <t>11</t>
        </is>
      </c>
      <c r="E188" t="inlineStr">
        <is>
          <t>27</t>
        </is>
      </c>
      <c r="F188" t="inlineStr">
        <is>
          <t>C</t>
        </is>
      </c>
      <c r="G188" t="inlineStr">
        <is>
          <t>Low Cost</t>
        </is>
      </c>
      <c r="H188" t="n">
        <v>89</v>
      </c>
      <c r="I188">
        <f>B188&amp;"|"&amp;F188&amp;"|"&amp;G188</f>
        <v/>
      </c>
      <c r="J188" t="inlineStr">
        <is>
          <t>MVS Sec.11 p.27</t>
        </is>
      </c>
    </row>
    <row r="189">
      <c r="B189" t="inlineStr">
        <is>
          <t>Shell Hotels: Full Service Buildings</t>
        </is>
      </c>
      <c r="C189" t="inlineStr">
        <is>
          <t>778</t>
        </is>
      </c>
      <c r="D189" t="inlineStr">
        <is>
          <t>11</t>
        </is>
      </c>
      <c r="E189" t="inlineStr">
        <is>
          <t>27</t>
        </is>
      </c>
      <c r="F189" t="inlineStr">
        <is>
          <t>D</t>
        </is>
      </c>
      <c r="G189" t="inlineStr">
        <is>
          <t>Excellent</t>
        </is>
      </c>
      <c r="H189" t="n">
        <v>139</v>
      </c>
      <c r="I189">
        <f>B189&amp;"|"&amp;F189&amp;"|"&amp;G189</f>
        <v/>
      </c>
      <c r="J189" t="inlineStr">
        <is>
          <t>MVS Sec.11 p.27</t>
        </is>
      </c>
    </row>
    <row r="190">
      <c r="B190" t="inlineStr">
        <is>
          <t>Shell Hotels: Full Service Buildings</t>
        </is>
      </c>
      <c r="C190" t="inlineStr">
        <is>
          <t>778</t>
        </is>
      </c>
      <c r="D190" t="inlineStr">
        <is>
          <t>11</t>
        </is>
      </c>
      <c r="E190" t="inlineStr">
        <is>
          <t>27</t>
        </is>
      </c>
      <c r="F190" t="inlineStr">
        <is>
          <t>D</t>
        </is>
      </c>
      <c r="G190" t="inlineStr">
        <is>
          <t>Good</t>
        </is>
      </c>
      <c r="H190" t="n">
        <v>115</v>
      </c>
      <c r="I190">
        <f>B190&amp;"|"&amp;F190&amp;"|"&amp;G190</f>
        <v/>
      </c>
      <c r="J190" t="inlineStr">
        <is>
          <t>MVS Sec.11 p.27</t>
        </is>
      </c>
    </row>
    <row r="191">
      <c r="B191" t="inlineStr">
        <is>
          <t>Shell Hotels: Full Service Buildings</t>
        </is>
      </c>
      <c r="C191" t="inlineStr">
        <is>
          <t>778</t>
        </is>
      </c>
      <c r="D191" t="inlineStr">
        <is>
          <t>11</t>
        </is>
      </c>
      <c r="E191" t="inlineStr">
        <is>
          <t>27</t>
        </is>
      </c>
      <c r="F191" t="inlineStr">
        <is>
          <t>D</t>
        </is>
      </c>
      <c r="G191" t="inlineStr">
        <is>
          <t>Average</t>
        </is>
      </c>
      <c r="H191" t="n">
        <v>95.5</v>
      </c>
      <c r="I191">
        <f>B191&amp;"|"&amp;F191&amp;"|"&amp;G191</f>
        <v/>
      </c>
      <c r="J191" t="inlineStr">
        <is>
          <t>MVS Sec.11 p.27</t>
        </is>
      </c>
    </row>
    <row r="192">
      <c r="B192" t="inlineStr">
        <is>
          <t>Shell Hotels: Full Service Buildings</t>
        </is>
      </c>
      <c r="C192" t="inlineStr">
        <is>
          <t>778</t>
        </is>
      </c>
      <c r="D192" t="inlineStr">
        <is>
          <t>11</t>
        </is>
      </c>
      <c r="E192" t="inlineStr">
        <is>
          <t>27</t>
        </is>
      </c>
      <c r="F192" t="inlineStr">
        <is>
          <t>D</t>
        </is>
      </c>
      <c r="G192" t="inlineStr">
        <is>
          <t>Low Cost</t>
        </is>
      </c>
      <c r="H192" t="n">
        <v>79.5</v>
      </c>
      <c r="I192">
        <f>B192&amp;"|"&amp;F192&amp;"|"&amp;G192</f>
        <v/>
      </c>
      <c r="J192" t="inlineStr">
        <is>
          <t>MVS Sec.11 p.27</t>
        </is>
      </c>
    </row>
    <row r="193">
      <c r="B193" t="inlineStr">
        <is>
          <t>Rooming Houses</t>
        </is>
      </c>
      <c r="C193" t="inlineStr">
        <is>
          <t>551</t>
        </is>
      </c>
      <c r="D193" t="inlineStr">
        <is>
          <t>11</t>
        </is>
      </c>
      <c r="E193" t="inlineStr">
        <is>
          <t>28</t>
        </is>
      </c>
      <c r="F193" t="inlineStr">
        <is>
          <t>C</t>
        </is>
      </c>
      <c r="G193" t="inlineStr">
        <is>
          <t>Good</t>
        </is>
      </c>
      <c r="H193" t="n">
        <v>163</v>
      </c>
      <c r="I193">
        <f>B193&amp;"|"&amp;F193&amp;"|"&amp;G193</f>
        <v/>
      </c>
      <c r="J193" t="inlineStr">
        <is>
          <t>MVS Sec.11 p.28</t>
        </is>
      </c>
    </row>
    <row r="194">
      <c r="B194" t="inlineStr">
        <is>
          <t>Rooming Houses</t>
        </is>
      </c>
      <c r="C194" t="inlineStr">
        <is>
          <t>551</t>
        </is>
      </c>
      <c r="D194" t="inlineStr">
        <is>
          <t>11</t>
        </is>
      </c>
      <c r="E194" t="inlineStr">
        <is>
          <t>28</t>
        </is>
      </c>
      <c r="F194" t="inlineStr">
        <is>
          <t>C</t>
        </is>
      </c>
      <c r="G194" t="inlineStr">
        <is>
          <t>Average</t>
        </is>
      </c>
      <c r="H194" t="n">
        <v>125</v>
      </c>
      <c r="I194">
        <f>B194&amp;"|"&amp;F194&amp;"|"&amp;G194</f>
        <v/>
      </c>
      <c r="J194" t="inlineStr">
        <is>
          <t>MVS Sec.11 p.28</t>
        </is>
      </c>
    </row>
    <row r="195">
      <c r="B195" t="inlineStr">
        <is>
          <t>Rooming Houses</t>
        </is>
      </c>
      <c r="C195" t="inlineStr">
        <is>
          <t>551</t>
        </is>
      </c>
      <c r="D195" t="inlineStr">
        <is>
          <t>11</t>
        </is>
      </c>
      <c r="E195" t="inlineStr">
        <is>
          <t>28</t>
        </is>
      </c>
      <c r="F195" t="inlineStr">
        <is>
          <t>C</t>
        </is>
      </c>
      <c r="G195" t="inlineStr">
        <is>
          <t>Fair</t>
        </is>
      </c>
      <c r="H195" t="n">
        <v>105</v>
      </c>
      <c r="I195">
        <f>B195&amp;"|"&amp;F195&amp;"|"&amp;G195</f>
        <v/>
      </c>
      <c r="J195" t="inlineStr">
        <is>
          <t>MVS Sec.11 p.28</t>
        </is>
      </c>
    </row>
    <row r="196">
      <c r="B196" t="inlineStr">
        <is>
          <t>Rooming Houses</t>
        </is>
      </c>
      <c r="C196" t="inlineStr">
        <is>
          <t>551</t>
        </is>
      </c>
      <c r="D196" t="inlineStr">
        <is>
          <t>11</t>
        </is>
      </c>
      <c r="E196" t="inlineStr">
        <is>
          <t>28</t>
        </is>
      </c>
      <c r="F196" t="inlineStr">
        <is>
          <t>D</t>
        </is>
      </c>
      <c r="G196" t="inlineStr">
        <is>
          <t>Good</t>
        </is>
      </c>
      <c r="H196" t="n">
        <v>154</v>
      </c>
      <c r="I196">
        <f>B196&amp;"|"&amp;F196&amp;"|"&amp;G196</f>
        <v/>
      </c>
      <c r="J196" t="inlineStr">
        <is>
          <t>MVS Sec.11 p.28</t>
        </is>
      </c>
    </row>
    <row r="197">
      <c r="B197" t="inlineStr">
        <is>
          <t>Rooming Houses</t>
        </is>
      </c>
      <c r="C197" t="inlineStr">
        <is>
          <t>551</t>
        </is>
      </c>
      <c r="D197" t="inlineStr">
        <is>
          <t>11</t>
        </is>
      </c>
      <c r="E197" t="inlineStr">
        <is>
          <t>28</t>
        </is>
      </c>
      <c r="F197" t="inlineStr">
        <is>
          <t>D</t>
        </is>
      </c>
      <c r="G197" t="inlineStr">
        <is>
          <t>Average</t>
        </is>
      </c>
      <c r="H197" t="n">
        <v>117</v>
      </c>
      <c r="I197">
        <f>B197&amp;"|"&amp;F197&amp;"|"&amp;G197</f>
        <v/>
      </c>
      <c r="J197" t="inlineStr">
        <is>
          <t>MVS Sec.11 p.28</t>
        </is>
      </c>
    </row>
    <row r="198">
      <c r="B198" t="inlineStr">
        <is>
          <t>Rooming Houses</t>
        </is>
      </c>
      <c r="C198" t="inlineStr">
        <is>
          <t>551</t>
        </is>
      </c>
      <c r="D198" t="inlineStr">
        <is>
          <t>11</t>
        </is>
      </c>
      <c r="E198" t="inlineStr">
        <is>
          <t>28</t>
        </is>
      </c>
      <c r="F198" t="inlineStr">
        <is>
          <t>D</t>
        </is>
      </c>
      <c r="G198" t="inlineStr">
        <is>
          <t>Fair</t>
        </is>
      </c>
      <c r="H198" t="n">
        <v>98</v>
      </c>
      <c r="I198">
        <f>B198&amp;"|"&amp;F198&amp;"|"&amp;G198</f>
        <v/>
      </c>
      <c r="J198" t="inlineStr">
        <is>
          <t>MVS Sec.11 p.28</t>
        </is>
      </c>
    </row>
    <row r="199">
      <c r="B199" t="inlineStr">
        <is>
          <t>Rooming Houses</t>
        </is>
      </c>
      <c r="C199" t="inlineStr">
        <is>
          <t>551</t>
        </is>
      </c>
      <c r="D199" t="inlineStr">
        <is>
          <t>11</t>
        </is>
      </c>
      <c r="E199" t="inlineStr">
        <is>
          <t>28</t>
        </is>
      </c>
      <c r="F199" t="inlineStr">
        <is>
          <t>D</t>
        </is>
      </c>
      <c r="G199" t="inlineStr">
        <is>
          <t>Low Cost</t>
        </is>
      </c>
      <c r="H199" t="n">
        <v>86</v>
      </c>
      <c r="I199">
        <f>B199&amp;"|"&amp;F199&amp;"|"&amp;G199</f>
        <v/>
      </c>
      <c r="J199" t="inlineStr">
        <is>
          <t>MVS Sec.11 p.28</t>
        </is>
      </c>
    </row>
    <row r="200">
      <c r="B200" t="inlineStr">
        <is>
          <t>Rectories</t>
        </is>
      </c>
      <c r="C200" t="inlineStr">
        <is>
          <t>348</t>
        </is>
      </c>
      <c r="D200" t="inlineStr">
        <is>
          <t>11</t>
        </is>
      </c>
      <c r="E200" t="inlineStr">
        <is>
          <t>28</t>
        </is>
      </c>
      <c r="F200" t="inlineStr">
        <is>
          <t>C</t>
        </is>
      </c>
      <c r="G200" t="inlineStr">
        <is>
          <t>Excellent</t>
        </is>
      </c>
      <c r="H200" t="n">
        <v>265</v>
      </c>
      <c r="I200">
        <f>B200&amp;"|"&amp;F200&amp;"|"&amp;G200</f>
        <v/>
      </c>
      <c r="J200" t="inlineStr">
        <is>
          <t>MVS Sec.11 p.28</t>
        </is>
      </c>
    </row>
    <row r="201">
      <c r="B201" t="inlineStr">
        <is>
          <t>Rectories</t>
        </is>
      </c>
      <c r="C201" t="inlineStr">
        <is>
          <t>348</t>
        </is>
      </c>
      <c r="D201" t="inlineStr">
        <is>
          <t>11</t>
        </is>
      </c>
      <c r="E201" t="inlineStr">
        <is>
          <t>28</t>
        </is>
      </c>
      <c r="F201" t="inlineStr">
        <is>
          <t>C</t>
        </is>
      </c>
      <c r="G201" t="inlineStr">
        <is>
          <t>Good</t>
        </is>
      </c>
      <c r="H201" t="n">
        <v>200</v>
      </c>
      <c r="I201">
        <f>B201&amp;"|"&amp;F201&amp;"|"&amp;G201</f>
        <v/>
      </c>
      <c r="J201" t="inlineStr">
        <is>
          <t>MVS Sec.11 p.28</t>
        </is>
      </c>
    </row>
    <row r="202">
      <c r="B202" t="inlineStr">
        <is>
          <t>Rectories</t>
        </is>
      </c>
      <c r="C202" t="inlineStr">
        <is>
          <t>348</t>
        </is>
      </c>
      <c r="D202" t="inlineStr">
        <is>
          <t>11</t>
        </is>
      </c>
      <c r="E202" t="inlineStr">
        <is>
          <t>28</t>
        </is>
      </c>
      <c r="F202" t="inlineStr">
        <is>
          <t>C</t>
        </is>
      </c>
      <c r="G202" t="inlineStr">
        <is>
          <t>Average</t>
        </is>
      </c>
      <c r="H202" t="n">
        <v>152</v>
      </c>
      <c r="I202">
        <f>B202&amp;"|"&amp;F202&amp;"|"&amp;G202</f>
        <v/>
      </c>
      <c r="J202" t="inlineStr">
        <is>
          <t>MVS Sec.11 p.28</t>
        </is>
      </c>
    </row>
    <row r="203">
      <c r="B203" t="inlineStr">
        <is>
          <t>Rectories</t>
        </is>
      </c>
      <c r="C203" t="inlineStr">
        <is>
          <t>348</t>
        </is>
      </c>
      <c r="D203" t="inlineStr">
        <is>
          <t>11</t>
        </is>
      </c>
      <c r="E203" t="inlineStr">
        <is>
          <t>28</t>
        </is>
      </c>
      <c r="F203" t="inlineStr">
        <is>
          <t>C</t>
        </is>
      </c>
      <c r="G203" t="inlineStr">
        <is>
          <t>Low Cost</t>
        </is>
      </c>
      <c r="H203" t="n">
        <v>112</v>
      </c>
      <c r="I203">
        <f>B203&amp;"|"&amp;F203&amp;"|"&amp;G203</f>
        <v/>
      </c>
      <c r="J203" t="inlineStr">
        <is>
          <t>MVS Sec.11 p.28</t>
        </is>
      </c>
    </row>
    <row r="204">
      <c r="B204" t="inlineStr">
        <is>
          <t>Rectories</t>
        </is>
      </c>
      <c r="C204" t="inlineStr">
        <is>
          <t>348</t>
        </is>
      </c>
      <c r="D204" t="inlineStr">
        <is>
          <t>11</t>
        </is>
      </c>
      <c r="E204" t="inlineStr">
        <is>
          <t>28</t>
        </is>
      </c>
      <c r="F204" t="inlineStr">
        <is>
          <t>D</t>
        </is>
      </c>
      <c r="G204" t="inlineStr">
        <is>
          <t>Excellent</t>
        </is>
      </c>
      <c r="H204" t="n">
        <v>258</v>
      </c>
      <c r="I204">
        <f>B204&amp;"|"&amp;F204&amp;"|"&amp;G204</f>
        <v/>
      </c>
      <c r="J204" t="inlineStr">
        <is>
          <t>MVS Sec.11 p.28</t>
        </is>
      </c>
    </row>
    <row r="205">
      <c r="B205" t="inlineStr">
        <is>
          <t>Rectories</t>
        </is>
      </c>
      <c r="C205" t="inlineStr">
        <is>
          <t>348</t>
        </is>
      </c>
      <c r="D205" t="inlineStr">
        <is>
          <t>11</t>
        </is>
      </c>
      <c r="E205" t="inlineStr">
        <is>
          <t>28</t>
        </is>
      </c>
      <c r="F205" t="inlineStr">
        <is>
          <t>D</t>
        </is>
      </c>
      <c r="G205" t="inlineStr">
        <is>
          <t>Good</t>
        </is>
      </c>
      <c r="H205" t="n">
        <v>192</v>
      </c>
      <c r="I205">
        <f>B205&amp;"|"&amp;F205&amp;"|"&amp;G205</f>
        <v/>
      </c>
      <c r="J205" t="inlineStr">
        <is>
          <t>MVS Sec.11 p.28</t>
        </is>
      </c>
    </row>
    <row r="206">
      <c r="B206" t="inlineStr">
        <is>
          <t>Rectories</t>
        </is>
      </c>
      <c r="C206" t="inlineStr">
        <is>
          <t>348</t>
        </is>
      </c>
      <c r="D206" t="inlineStr">
        <is>
          <t>11</t>
        </is>
      </c>
      <c r="E206" t="inlineStr">
        <is>
          <t>28</t>
        </is>
      </c>
      <c r="F206" t="inlineStr">
        <is>
          <t>D</t>
        </is>
      </c>
      <c r="G206" t="inlineStr">
        <is>
          <t>Average</t>
        </is>
      </c>
      <c r="H206" t="n">
        <v>145</v>
      </c>
      <c r="I206">
        <f>B206&amp;"|"&amp;F206&amp;"|"&amp;G206</f>
        <v/>
      </c>
      <c r="J206" t="inlineStr">
        <is>
          <t>MVS Sec.11 p.28</t>
        </is>
      </c>
    </row>
    <row r="207">
      <c r="B207" t="inlineStr">
        <is>
          <t>Rectories</t>
        </is>
      </c>
      <c r="C207" t="inlineStr">
        <is>
          <t>348</t>
        </is>
      </c>
      <c r="D207" t="inlineStr">
        <is>
          <t>11</t>
        </is>
      </c>
      <c r="E207" t="inlineStr">
        <is>
          <t>28</t>
        </is>
      </c>
      <c r="F207" t="inlineStr">
        <is>
          <t>D</t>
        </is>
      </c>
      <c r="G207" t="inlineStr">
        <is>
          <t>Low Cost</t>
        </is>
      </c>
      <c r="H207" t="n">
        <v>106</v>
      </c>
      <c r="I207">
        <f>B207&amp;"|"&amp;F207&amp;"|"&amp;G207</f>
        <v/>
      </c>
      <c r="J207" t="inlineStr">
        <is>
          <t>MVS Sec.11 p.28</t>
        </is>
      </c>
    </row>
    <row r="208">
      <c r="B208" t="inlineStr">
        <is>
          <t>Fraternity Housing</t>
        </is>
      </c>
      <c r="C208" t="inlineStr">
        <is>
          <t>324</t>
        </is>
      </c>
      <c r="D208" t="inlineStr">
        <is>
          <t>11</t>
        </is>
      </c>
      <c r="E208" t="inlineStr">
        <is>
          <t>28</t>
        </is>
      </c>
      <c r="F208" t="inlineStr">
        <is>
          <t>C</t>
        </is>
      </c>
      <c r="G208" t="inlineStr">
        <is>
          <t>Excellent</t>
        </is>
      </c>
      <c r="H208" t="n">
        <v>256</v>
      </c>
      <c r="I208">
        <f>B208&amp;"|"&amp;F208&amp;"|"&amp;G208</f>
        <v/>
      </c>
      <c r="J208" t="inlineStr">
        <is>
          <t>MVS Sec.11 p.28</t>
        </is>
      </c>
    </row>
    <row r="209">
      <c r="B209" t="inlineStr">
        <is>
          <t>Fraternity Housing</t>
        </is>
      </c>
      <c r="C209" t="inlineStr">
        <is>
          <t>324</t>
        </is>
      </c>
      <c r="D209" t="inlineStr">
        <is>
          <t>11</t>
        </is>
      </c>
      <c r="E209" t="inlineStr">
        <is>
          <t>28</t>
        </is>
      </c>
      <c r="F209" t="inlineStr">
        <is>
          <t>C</t>
        </is>
      </c>
      <c r="G209" t="inlineStr">
        <is>
          <t>Good</t>
        </is>
      </c>
      <c r="H209" t="n">
        <v>202</v>
      </c>
      <c r="I209">
        <f>B209&amp;"|"&amp;F209&amp;"|"&amp;G209</f>
        <v/>
      </c>
      <c r="J209" t="inlineStr">
        <is>
          <t>MVS Sec.11 p.28</t>
        </is>
      </c>
    </row>
    <row r="210">
      <c r="B210" t="inlineStr">
        <is>
          <t>Fraternity Housing</t>
        </is>
      </c>
      <c r="C210" t="inlineStr">
        <is>
          <t>324</t>
        </is>
      </c>
      <c r="D210" t="inlineStr">
        <is>
          <t>11</t>
        </is>
      </c>
      <c r="E210" t="inlineStr">
        <is>
          <t>28</t>
        </is>
      </c>
      <c r="F210" t="inlineStr">
        <is>
          <t>C</t>
        </is>
      </c>
      <c r="G210" t="inlineStr">
        <is>
          <t>Average</t>
        </is>
      </c>
      <c r="H210" t="n">
        <v>153</v>
      </c>
      <c r="I210">
        <f>B210&amp;"|"&amp;F210&amp;"|"&amp;G210</f>
        <v/>
      </c>
      <c r="J210" t="inlineStr">
        <is>
          <t>MVS Sec.11 p.28</t>
        </is>
      </c>
    </row>
    <row r="211">
      <c r="B211" t="inlineStr">
        <is>
          <t>Fraternity Housing</t>
        </is>
      </c>
      <c r="C211" t="inlineStr">
        <is>
          <t>324</t>
        </is>
      </c>
      <c r="D211" t="inlineStr">
        <is>
          <t>11</t>
        </is>
      </c>
      <c r="E211" t="inlineStr">
        <is>
          <t>28</t>
        </is>
      </c>
      <c r="F211" t="inlineStr">
        <is>
          <t>D</t>
        </is>
      </c>
      <c r="G211" t="inlineStr">
        <is>
          <t>Excellent</t>
        </is>
      </c>
      <c r="H211" t="n">
        <v>249</v>
      </c>
      <c r="I211">
        <f>B211&amp;"|"&amp;F211&amp;"|"&amp;G211</f>
        <v/>
      </c>
      <c r="J211" t="inlineStr">
        <is>
          <t>MVS Sec.11 p.28</t>
        </is>
      </c>
    </row>
    <row r="212">
      <c r="B212" t="inlineStr">
        <is>
          <t>Fraternity Housing</t>
        </is>
      </c>
      <c r="C212" t="inlineStr">
        <is>
          <t>324</t>
        </is>
      </c>
      <c r="D212" t="inlineStr">
        <is>
          <t>11</t>
        </is>
      </c>
      <c r="E212" t="inlineStr">
        <is>
          <t>28</t>
        </is>
      </c>
      <c r="F212" t="inlineStr">
        <is>
          <t>D</t>
        </is>
      </c>
      <c r="G212" t="inlineStr">
        <is>
          <t>Good</t>
        </is>
      </c>
      <c r="H212" t="n">
        <v>194</v>
      </c>
      <c r="I212">
        <f>B212&amp;"|"&amp;F212&amp;"|"&amp;G212</f>
        <v/>
      </c>
      <c r="J212" t="inlineStr">
        <is>
          <t>MVS Sec.11 p.28</t>
        </is>
      </c>
    </row>
    <row r="213">
      <c r="B213" t="inlineStr">
        <is>
          <t>Fraternity Housing</t>
        </is>
      </c>
      <c r="C213" t="inlineStr">
        <is>
          <t>324</t>
        </is>
      </c>
      <c r="D213" t="inlineStr">
        <is>
          <t>11</t>
        </is>
      </c>
      <c r="E213" t="inlineStr">
        <is>
          <t>28</t>
        </is>
      </c>
      <c r="F213" t="inlineStr">
        <is>
          <t>D</t>
        </is>
      </c>
      <c r="G213" t="inlineStr">
        <is>
          <t>Average</t>
        </is>
      </c>
      <c r="H213" t="n">
        <v>147</v>
      </c>
      <c r="I213">
        <f>B213&amp;"|"&amp;F213&amp;"|"&amp;G213</f>
        <v/>
      </c>
      <c r="J213" t="inlineStr">
        <is>
          <t>MVS Sec.11 p.28</t>
        </is>
      </c>
    </row>
    <row r="214">
      <c r="B214" t="inlineStr">
        <is>
          <t>Group Care Homes</t>
        </is>
      </c>
      <c r="C214" t="inlineStr">
        <is>
          <t>424</t>
        </is>
      </c>
      <c r="D214" t="inlineStr">
        <is>
          <t>11</t>
        </is>
      </c>
      <c r="E214" t="inlineStr">
        <is>
          <t>29</t>
        </is>
      </c>
      <c r="F214" t="inlineStr">
        <is>
          <t>C</t>
        </is>
      </c>
      <c r="G214" t="inlineStr">
        <is>
          <t>Excellent</t>
        </is>
      </c>
      <c r="H214" t="n">
        <v>301</v>
      </c>
      <c r="I214">
        <f>B214&amp;"|"&amp;F214&amp;"|"&amp;G214</f>
        <v/>
      </c>
      <c r="J214" t="inlineStr">
        <is>
          <t>MVS Sec.11 p.29</t>
        </is>
      </c>
    </row>
    <row r="215">
      <c r="B215" t="inlineStr">
        <is>
          <t>Group Care Homes</t>
        </is>
      </c>
      <c r="C215" t="inlineStr">
        <is>
          <t>424</t>
        </is>
      </c>
      <c r="D215" t="inlineStr">
        <is>
          <t>11</t>
        </is>
      </c>
      <c r="E215" t="inlineStr">
        <is>
          <t>29</t>
        </is>
      </c>
      <c r="F215" t="inlineStr">
        <is>
          <t>C</t>
        </is>
      </c>
      <c r="G215" t="inlineStr">
        <is>
          <t>Very Good</t>
        </is>
      </c>
      <c r="H215" t="n">
        <v>241</v>
      </c>
      <c r="I215">
        <f>B215&amp;"|"&amp;F215&amp;"|"&amp;G215</f>
        <v/>
      </c>
      <c r="J215" t="inlineStr">
        <is>
          <t>MVS Sec.11 p.29</t>
        </is>
      </c>
    </row>
    <row r="216">
      <c r="B216" t="inlineStr">
        <is>
          <t>Group Care Homes</t>
        </is>
      </c>
      <c r="C216" t="inlineStr">
        <is>
          <t>424</t>
        </is>
      </c>
      <c r="D216" t="inlineStr">
        <is>
          <t>11</t>
        </is>
      </c>
      <c r="E216" t="inlineStr">
        <is>
          <t>29</t>
        </is>
      </c>
      <c r="F216" t="inlineStr">
        <is>
          <t>C</t>
        </is>
      </c>
      <c r="G216" t="inlineStr">
        <is>
          <t>Good</t>
        </is>
      </c>
      <c r="H216" t="n">
        <v>191</v>
      </c>
      <c r="I216">
        <f>B216&amp;"|"&amp;F216&amp;"|"&amp;G216</f>
        <v/>
      </c>
      <c r="J216" t="inlineStr">
        <is>
          <t>MVS Sec.11 p.29</t>
        </is>
      </c>
    </row>
    <row r="217">
      <c r="B217" t="inlineStr">
        <is>
          <t>Group Care Homes</t>
        </is>
      </c>
      <c r="C217" t="inlineStr">
        <is>
          <t>424</t>
        </is>
      </c>
      <c r="D217" t="inlineStr">
        <is>
          <t>11</t>
        </is>
      </c>
      <c r="E217" t="inlineStr">
        <is>
          <t>29</t>
        </is>
      </c>
      <c r="F217" t="inlineStr">
        <is>
          <t>C</t>
        </is>
      </c>
      <c r="G217" t="inlineStr">
        <is>
          <t>Average</t>
        </is>
      </c>
      <c r="H217" t="n">
        <v>151</v>
      </c>
      <c r="I217">
        <f>B217&amp;"|"&amp;F217&amp;"|"&amp;G217</f>
        <v/>
      </c>
      <c r="J217" t="inlineStr">
        <is>
          <t>MVS Sec.11 p.29</t>
        </is>
      </c>
    </row>
    <row r="218">
      <c r="B218" t="inlineStr">
        <is>
          <t>Group Care Homes</t>
        </is>
      </c>
      <c r="C218" t="inlineStr">
        <is>
          <t>424</t>
        </is>
      </c>
      <c r="D218" t="inlineStr">
        <is>
          <t>11</t>
        </is>
      </c>
      <c r="E218" t="inlineStr">
        <is>
          <t>29</t>
        </is>
      </c>
      <c r="F218" t="inlineStr">
        <is>
          <t>C</t>
        </is>
      </c>
      <c r="G218" t="inlineStr">
        <is>
          <t>Low Cost</t>
        </is>
      </c>
      <c r="H218" t="n">
        <v>117</v>
      </c>
      <c r="I218">
        <f>B218&amp;"|"&amp;F218&amp;"|"&amp;G218</f>
        <v/>
      </c>
      <c r="J218" t="inlineStr">
        <is>
          <t>MVS Sec.11 p.29</t>
        </is>
      </c>
    </row>
    <row r="219">
      <c r="B219" t="inlineStr">
        <is>
          <t>Group Care Homes</t>
        </is>
      </c>
      <c r="C219" t="inlineStr">
        <is>
          <t>424</t>
        </is>
      </c>
      <c r="D219" t="inlineStr">
        <is>
          <t>11</t>
        </is>
      </c>
      <c r="E219" t="inlineStr">
        <is>
          <t>29</t>
        </is>
      </c>
      <c r="F219" t="inlineStr">
        <is>
          <t>D</t>
        </is>
      </c>
      <c r="G219" t="inlineStr">
        <is>
          <t>Excellent</t>
        </is>
      </c>
      <c r="H219" t="n">
        <v>291</v>
      </c>
      <c r="I219">
        <f>B219&amp;"|"&amp;F219&amp;"|"&amp;G219</f>
        <v/>
      </c>
      <c r="J219" t="inlineStr">
        <is>
          <t>MVS Sec.11 p.29</t>
        </is>
      </c>
    </row>
    <row r="220">
      <c r="B220" t="inlineStr">
        <is>
          <t>Group Care Homes</t>
        </is>
      </c>
      <c r="C220" t="inlineStr">
        <is>
          <t>424</t>
        </is>
      </c>
      <c r="D220" t="inlineStr">
        <is>
          <t>11</t>
        </is>
      </c>
      <c r="E220" t="inlineStr">
        <is>
          <t>29</t>
        </is>
      </c>
      <c r="F220" t="inlineStr">
        <is>
          <t>D</t>
        </is>
      </c>
      <c r="G220" t="inlineStr">
        <is>
          <t>Very Good</t>
        </is>
      </c>
      <c r="H220" t="n">
        <v>232</v>
      </c>
      <c r="I220">
        <f>B220&amp;"|"&amp;F220&amp;"|"&amp;G220</f>
        <v/>
      </c>
      <c r="J220" t="inlineStr">
        <is>
          <t>MVS Sec.11 p.29</t>
        </is>
      </c>
    </row>
    <row r="221">
      <c r="B221" t="inlineStr">
        <is>
          <t>Group Care Homes</t>
        </is>
      </c>
      <c r="C221" t="inlineStr">
        <is>
          <t>424</t>
        </is>
      </c>
      <c r="D221" t="inlineStr">
        <is>
          <t>11</t>
        </is>
      </c>
      <c r="E221" t="inlineStr">
        <is>
          <t>29</t>
        </is>
      </c>
      <c r="F221" t="inlineStr">
        <is>
          <t>D</t>
        </is>
      </c>
      <c r="G221" t="inlineStr">
        <is>
          <t>Good</t>
        </is>
      </c>
      <c r="H221" t="n">
        <v>182</v>
      </c>
      <c r="I221">
        <f>B221&amp;"|"&amp;F221&amp;"|"&amp;G221</f>
        <v/>
      </c>
      <c r="J221" t="inlineStr">
        <is>
          <t>MVS Sec.11 p.29</t>
        </is>
      </c>
    </row>
    <row r="222">
      <c r="B222" t="inlineStr">
        <is>
          <t>Group Care Homes</t>
        </is>
      </c>
      <c r="C222" t="inlineStr">
        <is>
          <t>424</t>
        </is>
      </c>
      <c r="D222" t="inlineStr">
        <is>
          <t>11</t>
        </is>
      </c>
      <c r="E222" t="inlineStr">
        <is>
          <t>29</t>
        </is>
      </c>
      <c r="F222" t="inlineStr">
        <is>
          <t>D</t>
        </is>
      </c>
      <c r="G222" t="inlineStr">
        <is>
          <t>Average</t>
        </is>
      </c>
      <c r="H222" t="n">
        <v>143</v>
      </c>
      <c r="I222">
        <f>B222&amp;"|"&amp;F222&amp;"|"&amp;G222</f>
        <v/>
      </c>
      <c r="J222" t="inlineStr">
        <is>
          <t>MVS Sec.11 p.29</t>
        </is>
      </c>
    </row>
    <row r="223">
      <c r="B223" t="inlineStr">
        <is>
          <t>Group Care Homes</t>
        </is>
      </c>
      <c r="C223" t="inlineStr">
        <is>
          <t>424</t>
        </is>
      </c>
      <c r="D223" t="inlineStr">
        <is>
          <t>11</t>
        </is>
      </c>
      <c r="E223" t="inlineStr">
        <is>
          <t>29</t>
        </is>
      </c>
      <c r="F223" t="inlineStr">
        <is>
          <t>D</t>
        </is>
      </c>
      <c r="G223" t="inlineStr">
        <is>
          <t>Low Cost</t>
        </is>
      </c>
      <c r="H223" t="n">
        <v>110</v>
      </c>
      <c r="I223">
        <f>B223&amp;"|"&amp;F223&amp;"|"&amp;G223</f>
        <v/>
      </c>
      <c r="J223" t="inlineStr">
        <is>
          <t>MVS Sec.11 p.29</t>
        </is>
      </c>
    </row>
    <row r="224">
      <c r="B224" t="inlineStr">
        <is>
          <t>Recreational (Pool) Enclosures</t>
        </is>
      </c>
      <c r="C224" t="inlineStr">
        <is>
          <t>552</t>
        </is>
      </c>
      <c r="D224" t="inlineStr">
        <is>
          <t>11</t>
        </is>
      </c>
      <c r="E224" t="inlineStr">
        <is>
          <t>29</t>
        </is>
      </c>
      <c r="F224" t="inlineStr">
        <is>
          <t>C</t>
        </is>
      </c>
      <c r="G224" t="inlineStr">
        <is>
          <t>Good</t>
        </is>
      </c>
      <c r="H224" t="n">
        <v>114</v>
      </c>
      <c r="I224">
        <f>B224&amp;"|"&amp;F224&amp;"|"&amp;G224</f>
        <v/>
      </c>
      <c r="J224" t="inlineStr">
        <is>
          <t>MVS Sec.11 p.29</t>
        </is>
      </c>
    </row>
    <row r="225">
      <c r="B225" t="inlineStr">
        <is>
          <t>Recreational (Pool) Enclosures</t>
        </is>
      </c>
      <c r="C225" t="inlineStr">
        <is>
          <t>552</t>
        </is>
      </c>
      <c r="D225" t="inlineStr">
        <is>
          <t>11</t>
        </is>
      </c>
      <c r="E225" t="inlineStr">
        <is>
          <t>29</t>
        </is>
      </c>
      <c r="F225" t="inlineStr">
        <is>
          <t>C</t>
        </is>
      </c>
      <c r="G225" t="inlineStr">
        <is>
          <t>Average</t>
        </is>
      </c>
      <c r="H225" t="n">
        <v>76.5</v>
      </c>
      <c r="I225">
        <f>B225&amp;"|"&amp;F225&amp;"|"&amp;G225</f>
        <v/>
      </c>
      <c r="J225" t="inlineStr">
        <is>
          <t>MVS Sec.11 p.29</t>
        </is>
      </c>
    </row>
    <row r="226">
      <c r="B226" t="inlineStr">
        <is>
          <t>Recreational (Pool) Enclosures</t>
        </is>
      </c>
      <c r="C226" t="inlineStr">
        <is>
          <t>552</t>
        </is>
      </c>
      <c r="D226" t="inlineStr">
        <is>
          <t>11</t>
        </is>
      </c>
      <c r="E226" t="inlineStr">
        <is>
          <t>29</t>
        </is>
      </c>
      <c r="F226" t="inlineStr">
        <is>
          <t>C</t>
        </is>
      </c>
      <c r="G226" t="inlineStr">
        <is>
          <t>Low Cost</t>
        </is>
      </c>
      <c r="H226" t="n">
        <v>48.75</v>
      </c>
      <c r="I226">
        <f>B226&amp;"|"&amp;F226&amp;"|"&amp;G226</f>
        <v/>
      </c>
      <c r="J226" t="inlineStr">
        <is>
          <t>MVS Sec.11 p.29</t>
        </is>
      </c>
    </row>
    <row r="227">
      <c r="B227" t="inlineStr">
        <is>
          <t>Recreational (Pool) Enclosures</t>
        </is>
      </c>
      <c r="C227" t="inlineStr">
        <is>
          <t>552</t>
        </is>
      </c>
      <c r="D227" t="inlineStr">
        <is>
          <t>11</t>
        </is>
      </c>
      <c r="E227" t="inlineStr">
        <is>
          <t>29</t>
        </is>
      </c>
      <c r="F227" t="inlineStr">
        <is>
          <t>D</t>
        </is>
      </c>
      <c r="G227" t="inlineStr">
        <is>
          <t>Good</t>
        </is>
      </c>
      <c r="H227" t="n">
        <v>106</v>
      </c>
      <c r="I227">
        <f>B227&amp;"|"&amp;F227&amp;"|"&amp;G227</f>
        <v/>
      </c>
      <c r="J227" t="inlineStr">
        <is>
          <t>MVS Sec.11 p.29</t>
        </is>
      </c>
    </row>
    <row r="228">
      <c r="B228" t="inlineStr">
        <is>
          <t>Recreational (Pool) Enclosures</t>
        </is>
      </c>
      <c r="C228" t="inlineStr">
        <is>
          <t>552</t>
        </is>
      </c>
      <c r="D228" t="inlineStr">
        <is>
          <t>11</t>
        </is>
      </c>
      <c r="E228" t="inlineStr">
        <is>
          <t>29</t>
        </is>
      </c>
      <c r="F228" t="inlineStr">
        <is>
          <t>D</t>
        </is>
      </c>
      <c r="G228" t="inlineStr">
        <is>
          <t>Average</t>
        </is>
      </c>
      <c r="H228" t="n">
        <v>69.5</v>
      </c>
      <c r="I228">
        <f>B228&amp;"|"&amp;F228&amp;"|"&amp;G228</f>
        <v/>
      </c>
      <c r="J228" t="inlineStr">
        <is>
          <t>MVS Sec.11 p.29</t>
        </is>
      </c>
    </row>
    <row r="229">
      <c r="B229" t="inlineStr">
        <is>
          <t>Recreational (Pool) Enclosures</t>
        </is>
      </c>
      <c r="C229" t="inlineStr">
        <is>
          <t>552</t>
        </is>
      </c>
      <c r="D229" t="inlineStr">
        <is>
          <t>11</t>
        </is>
      </c>
      <c r="E229" t="inlineStr">
        <is>
          <t>29</t>
        </is>
      </c>
      <c r="F229" t="inlineStr">
        <is>
          <t>D</t>
        </is>
      </c>
      <c r="G229" t="inlineStr">
        <is>
          <t>Low Cost</t>
        </is>
      </c>
      <c r="H229" t="n">
        <v>43.25</v>
      </c>
      <c r="I229">
        <f>B229&amp;"|"&amp;F229&amp;"|"&amp;G229</f>
        <v/>
      </c>
      <c r="J229" t="inlineStr">
        <is>
          <t>MVS Sec.11 p.29</t>
        </is>
      </c>
    </row>
    <row r="230">
      <c r="B230" t="inlineStr">
        <is>
          <t>Recreational (Pool) Enclosures</t>
        </is>
      </c>
      <c r="C230" t="inlineStr">
        <is>
          <t>552</t>
        </is>
      </c>
      <c r="D230" t="inlineStr">
        <is>
          <t>11</t>
        </is>
      </c>
      <c r="E230" t="inlineStr">
        <is>
          <t>29</t>
        </is>
      </c>
      <c r="F230" t="inlineStr">
        <is>
          <t>DPOLE</t>
        </is>
      </c>
      <c r="G230" t="inlineStr">
        <is>
          <t>Low Cost</t>
        </is>
      </c>
      <c r="H230" t="n">
        <v>37.75</v>
      </c>
      <c r="I230">
        <f>B230&amp;"|"&amp;F230&amp;"|"&amp;G230</f>
        <v/>
      </c>
      <c r="J230" t="inlineStr">
        <is>
          <t>MVS Sec.11 p.29</t>
        </is>
      </c>
    </row>
    <row r="231">
      <c r="B231" t="inlineStr">
        <is>
          <t>Recreational (Pool) Enclosures</t>
        </is>
      </c>
      <c r="C231" t="inlineStr">
        <is>
          <t>552</t>
        </is>
      </c>
      <c r="D231" t="inlineStr">
        <is>
          <t>11</t>
        </is>
      </c>
      <c r="E231" t="inlineStr">
        <is>
          <t>29</t>
        </is>
      </c>
      <c r="F231" t="inlineStr">
        <is>
          <t>S</t>
        </is>
      </c>
      <c r="G231" t="inlineStr">
        <is>
          <t>Good</t>
        </is>
      </c>
      <c r="H231" t="n">
        <v>102</v>
      </c>
      <c r="I231">
        <f>B231&amp;"|"&amp;F231&amp;"|"&amp;G231</f>
        <v/>
      </c>
      <c r="J231" t="inlineStr">
        <is>
          <t>MVS Sec.11 p.29</t>
        </is>
      </c>
    </row>
    <row r="232">
      <c r="B232" t="inlineStr">
        <is>
          <t>Recreational (Pool) Enclosures</t>
        </is>
      </c>
      <c r="C232" t="inlineStr">
        <is>
          <t>552</t>
        </is>
      </c>
      <c r="D232" t="inlineStr">
        <is>
          <t>11</t>
        </is>
      </c>
      <c r="E232" t="inlineStr">
        <is>
          <t>29</t>
        </is>
      </c>
      <c r="F232" t="inlineStr">
        <is>
          <t>S</t>
        </is>
      </c>
      <c r="G232" t="inlineStr">
        <is>
          <t>Average</t>
        </is>
      </c>
      <c r="H232" t="n">
        <v>64.5</v>
      </c>
      <c r="I232">
        <f>B232&amp;"|"&amp;F232&amp;"|"&amp;G232</f>
        <v/>
      </c>
      <c r="J232" t="inlineStr">
        <is>
          <t>MVS Sec.11 p.29</t>
        </is>
      </c>
    </row>
    <row r="233">
      <c r="B233" t="inlineStr">
        <is>
          <t>Recreational (Pool) Enclosures</t>
        </is>
      </c>
      <c r="C233" t="inlineStr">
        <is>
          <t>552</t>
        </is>
      </c>
      <c r="D233" t="inlineStr">
        <is>
          <t>11</t>
        </is>
      </c>
      <c r="E233" t="inlineStr">
        <is>
          <t>29</t>
        </is>
      </c>
      <c r="F233" t="inlineStr">
        <is>
          <t>S</t>
        </is>
      </c>
      <c r="G233" t="inlineStr">
        <is>
          <t>Low Cost</t>
        </is>
      </c>
      <c r="H233" t="n">
        <v>38.25</v>
      </c>
      <c r="I233">
        <f>B233&amp;"|"&amp;F233&amp;"|"&amp;G233</f>
        <v/>
      </c>
      <c r="J233" t="inlineStr">
        <is>
          <t>MVS Sec.11 p.29</t>
        </is>
      </c>
    </row>
    <row r="234">
      <c r="B234" t="inlineStr">
        <is>
          <t>Recreational (Pool) Enclosures</t>
        </is>
      </c>
      <c r="C234" t="inlineStr">
        <is>
          <t>552</t>
        </is>
      </c>
      <c r="D234" t="inlineStr">
        <is>
          <t>11</t>
        </is>
      </c>
      <c r="E234" t="inlineStr">
        <is>
          <t>29</t>
        </is>
      </c>
      <c r="F234" t="inlineStr">
        <is>
          <t>S</t>
        </is>
      </c>
      <c r="G234" t="inlineStr">
        <is>
          <t>Cheap</t>
        </is>
      </c>
      <c r="H234" t="n">
        <v>23.85</v>
      </c>
      <c r="I234">
        <f>B234&amp;"|"&amp;F234&amp;"|"&amp;G234</f>
        <v/>
      </c>
      <c r="J234" t="inlineStr">
        <is>
          <t>MVS Sec.11 p.29</t>
        </is>
      </c>
    </row>
    <row r="235">
      <c r="B235" t="inlineStr">
        <is>
          <t>Clubhouses</t>
        </is>
      </c>
      <c r="C235" t="inlineStr">
        <is>
          <t>311</t>
        </is>
      </c>
      <c r="D235" t="inlineStr">
        <is>
          <t>11</t>
        </is>
      </c>
      <c r="E235" t="inlineStr">
        <is>
          <t>30</t>
        </is>
      </c>
      <c r="F235" t="inlineStr">
        <is>
          <t>C</t>
        </is>
      </c>
      <c r="G235" t="inlineStr">
        <is>
          <t>Excellent</t>
        </is>
      </c>
      <c r="H235" t="n">
        <v>272</v>
      </c>
      <c r="I235">
        <f>B235&amp;"|"&amp;F235&amp;"|"&amp;G235</f>
        <v/>
      </c>
      <c r="J235" t="inlineStr">
        <is>
          <t>MVS Sec.11 p.30</t>
        </is>
      </c>
    </row>
    <row r="236">
      <c r="B236" t="inlineStr">
        <is>
          <t>Clubhouses</t>
        </is>
      </c>
      <c r="C236" t="inlineStr">
        <is>
          <t>311</t>
        </is>
      </c>
      <c r="D236" t="inlineStr">
        <is>
          <t>11</t>
        </is>
      </c>
      <c r="E236" t="inlineStr">
        <is>
          <t>30</t>
        </is>
      </c>
      <c r="F236" t="inlineStr">
        <is>
          <t>C</t>
        </is>
      </c>
      <c r="G236" t="inlineStr">
        <is>
          <t>Good</t>
        </is>
      </c>
      <c r="H236" t="n">
        <v>199</v>
      </c>
      <c r="I236">
        <f>B236&amp;"|"&amp;F236&amp;"|"&amp;G236</f>
        <v/>
      </c>
      <c r="J236" t="inlineStr">
        <is>
          <t>MVS Sec.11 p.30</t>
        </is>
      </c>
    </row>
    <row r="237">
      <c r="B237" t="inlineStr">
        <is>
          <t>Clubhouses</t>
        </is>
      </c>
      <c r="C237" t="inlineStr">
        <is>
          <t>311</t>
        </is>
      </c>
      <c r="D237" t="inlineStr">
        <is>
          <t>11</t>
        </is>
      </c>
      <c r="E237" t="inlineStr">
        <is>
          <t>30</t>
        </is>
      </c>
      <c r="F237" t="inlineStr">
        <is>
          <t>C</t>
        </is>
      </c>
      <c r="G237" t="inlineStr">
        <is>
          <t>Average</t>
        </is>
      </c>
      <c r="H237" t="n">
        <v>143</v>
      </c>
      <c r="I237">
        <f>B237&amp;"|"&amp;F237&amp;"|"&amp;G237</f>
        <v/>
      </c>
      <c r="J237" t="inlineStr">
        <is>
          <t>MVS Sec.11 p.30</t>
        </is>
      </c>
    </row>
    <row r="238">
      <c r="B238" t="inlineStr">
        <is>
          <t>Clubhouses</t>
        </is>
      </c>
      <c r="C238" t="inlineStr">
        <is>
          <t>311</t>
        </is>
      </c>
      <c r="D238" t="inlineStr">
        <is>
          <t>11</t>
        </is>
      </c>
      <c r="E238" t="inlineStr">
        <is>
          <t>30</t>
        </is>
      </c>
      <c r="F238" t="inlineStr">
        <is>
          <t>C</t>
        </is>
      </c>
      <c r="G238" t="inlineStr">
        <is>
          <t>Low Cost</t>
        </is>
      </c>
      <c r="H238" t="n">
        <v>101</v>
      </c>
      <c r="I238">
        <f>B238&amp;"|"&amp;F238&amp;"|"&amp;G238</f>
        <v/>
      </c>
      <c r="J238" t="inlineStr">
        <is>
          <t>MVS Sec.11 p.30</t>
        </is>
      </c>
    </row>
    <row r="239">
      <c r="B239" t="inlineStr">
        <is>
          <t>Clubhouses</t>
        </is>
      </c>
      <c r="C239" t="inlineStr">
        <is>
          <t>311</t>
        </is>
      </c>
      <c r="D239" t="inlineStr">
        <is>
          <t>11</t>
        </is>
      </c>
      <c r="E239" t="inlineStr">
        <is>
          <t>30</t>
        </is>
      </c>
      <c r="F239" t="inlineStr">
        <is>
          <t>D</t>
        </is>
      </c>
      <c r="G239" t="inlineStr">
        <is>
          <t>Excellent</t>
        </is>
      </c>
      <c r="H239" t="n">
        <v>264</v>
      </c>
      <c r="I239">
        <f>B239&amp;"|"&amp;F239&amp;"|"&amp;G239</f>
        <v/>
      </c>
      <c r="J239" t="inlineStr">
        <is>
          <t>MVS Sec.11 p.30</t>
        </is>
      </c>
    </row>
    <row r="240">
      <c r="B240" t="inlineStr">
        <is>
          <t>Clubhouses</t>
        </is>
      </c>
      <c r="C240" t="inlineStr">
        <is>
          <t>311</t>
        </is>
      </c>
      <c r="D240" t="inlineStr">
        <is>
          <t>11</t>
        </is>
      </c>
      <c r="E240" t="inlineStr">
        <is>
          <t>30</t>
        </is>
      </c>
      <c r="F240" t="inlineStr">
        <is>
          <t>D</t>
        </is>
      </c>
      <c r="G240" t="inlineStr">
        <is>
          <t>Good</t>
        </is>
      </c>
      <c r="H240" t="n">
        <v>191</v>
      </c>
      <c r="I240">
        <f>B240&amp;"|"&amp;F240&amp;"|"&amp;G240</f>
        <v/>
      </c>
      <c r="J240" t="inlineStr">
        <is>
          <t>MVS Sec.11 p.30</t>
        </is>
      </c>
    </row>
    <row r="241">
      <c r="B241" t="inlineStr">
        <is>
          <t>Clubhouses</t>
        </is>
      </c>
      <c r="C241" t="inlineStr">
        <is>
          <t>311</t>
        </is>
      </c>
      <c r="D241" t="inlineStr">
        <is>
          <t>11</t>
        </is>
      </c>
      <c r="E241" t="inlineStr">
        <is>
          <t>30</t>
        </is>
      </c>
      <c r="F241" t="inlineStr">
        <is>
          <t>D</t>
        </is>
      </c>
      <c r="G241" t="inlineStr">
        <is>
          <t>Average</t>
        </is>
      </c>
      <c r="H241" t="n">
        <v>135</v>
      </c>
      <c r="I241">
        <f>B241&amp;"|"&amp;F241&amp;"|"&amp;G241</f>
        <v/>
      </c>
      <c r="J241" t="inlineStr">
        <is>
          <t>MVS Sec.11 p.30</t>
        </is>
      </c>
    </row>
    <row r="242">
      <c r="B242" t="inlineStr">
        <is>
          <t>Clubhouses</t>
        </is>
      </c>
      <c r="C242" t="inlineStr">
        <is>
          <t>311</t>
        </is>
      </c>
      <c r="D242" t="inlineStr">
        <is>
          <t>11</t>
        </is>
      </c>
      <c r="E242" t="inlineStr">
        <is>
          <t>30</t>
        </is>
      </c>
      <c r="F242" t="inlineStr">
        <is>
          <t>D</t>
        </is>
      </c>
      <c r="G242" t="inlineStr">
        <is>
          <t>Low Cost</t>
        </is>
      </c>
      <c r="H242" t="n">
        <v>93.5</v>
      </c>
      <c r="I242">
        <f>B242&amp;"|"&amp;F242&amp;"|"&amp;G242</f>
        <v/>
      </c>
      <c r="J242" t="inlineStr">
        <is>
          <t>MVS Sec.11 p.30</t>
        </is>
      </c>
    </row>
    <row r="243">
      <c r="B243" t="inlineStr">
        <is>
          <t>Clubhouses</t>
        </is>
      </c>
      <c r="C243" t="inlineStr">
        <is>
          <t>311</t>
        </is>
      </c>
      <c r="D243" t="inlineStr">
        <is>
          <t>11</t>
        </is>
      </c>
      <c r="E243" t="inlineStr">
        <is>
          <t>30</t>
        </is>
      </c>
      <c r="F243" t="inlineStr">
        <is>
          <t>DPOLE</t>
        </is>
      </c>
      <c r="G243" t="inlineStr">
        <is>
          <t>Low Cost</t>
        </is>
      </c>
      <c r="H243" t="n">
        <v>84.5</v>
      </c>
      <c r="I243">
        <f>B243&amp;"|"&amp;F243&amp;"|"&amp;G243</f>
        <v/>
      </c>
      <c r="J243" t="inlineStr">
        <is>
          <t>MVS Sec.11 p.30</t>
        </is>
      </c>
    </row>
    <row r="244">
      <c r="B244" t="inlineStr">
        <is>
          <t>Clubhouses</t>
        </is>
      </c>
      <c r="C244" t="inlineStr">
        <is>
          <t>311</t>
        </is>
      </c>
      <c r="D244" t="inlineStr">
        <is>
          <t>11</t>
        </is>
      </c>
      <c r="E244" t="inlineStr">
        <is>
          <t>30</t>
        </is>
      </c>
      <c r="F244" t="inlineStr">
        <is>
          <t>S</t>
        </is>
      </c>
      <c r="G244" t="inlineStr">
        <is>
          <t>Excellent</t>
        </is>
      </c>
      <c r="H244" t="n">
        <v>236</v>
      </c>
      <c r="I244">
        <f>B244&amp;"|"&amp;F244&amp;"|"&amp;G244</f>
        <v/>
      </c>
      <c r="J244" t="inlineStr">
        <is>
          <t>MVS Sec.11 p.30</t>
        </is>
      </c>
    </row>
    <row r="245">
      <c r="B245" t="inlineStr">
        <is>
          <t>Clubhouses</t>
        </is>
      </c>
      <c r="C245" t="inlineStr">
        <is>
          <t>311</t>
        </is>
      </c>
      <c r="D245" t="inlineStr">
        <is>
          <t>11</t>
        </is>
      </c>
      <c r="E245" t="inlineStr">
        <is>
          <t>30</t>
        </is>
      </c>
      <c r="F245" t="inlineStr">
        <is>
          <t>S</t>
        </is>
      </c>
      <c r="G245" t="inlineStr">
        <is>
          <t>Good</t>
        </is>
      </c>
      <c r="H245" t="n">
        <v>172</v>
      </c>
      <c r="I245">
        <f>B245&amp;"|"&amp;F245&amp;"|"&amp;G245</f>
        <v/>
      </c>
      <c r="J245" t="inlineStr">
        <is>
          <t>MVS Sec.11 p.30</t>
        </is>
      </c>
    </row>
    <row r="246">
      <c r="B246" t="inlineStr">
        <is>
          <t>Clubhouses</t>
        </is>
      </c>
      <c r="C246" t="inlineStr">
        <is>
          <t>311</t>
        </is>
      </c>
      <c r="D246" t="inlineStr">
        <is>
          <t>11</t>
        </is>
      </c>
      <c r="E246" t="inlineStr">
        <is>
          <t>30</t>
        </is>
      </c>
      <c r="F246" t="inlineStr">
        <is>
          <t>S</t>
        </is>
      </c>
      <c r="G246" t="inlineStr">
        <is>
          <t>Average</t>
        </is>
      </c>
      <c r="H246" t="n">
        <v>122</v>
      </c>
      <c r="I246">
        <f>B246&amp;"|"&amp;F246&amp;"|"&amp;G246</f>
        <v/>
      </c>
      <c r="J246" t="inlineStr">
        <is>
          <t>MVS Sec.11 p.30</t>
        </is>
      </c>
    </row>
    <row r="247">
      <c r="B247" t="inlineStr">
        <is>
          <t>Clubhouses</t>
        </is>
      </c>
      <c r="C247" t="inlineStr">
        <is>
          <t>311</t>
        </is>
      </c>
      <c r="D247" t="inlineStr">
        <is>
          <t>11</t>
        </is>
      </c>
      <c r="E247" t="inlineStr">
        <is>
          <t>30</t>
        </is>
      </c>
      <c r="F247" t="inlineStr">
        <is>
          <t>S</t>
        </is>
      </c>
      <c r="G247" t="inlineStr">
        <is>
          <t>Low Cost</t>
        </is>
      </c>
      <c r="H247" t="n">
        <v>85.5</v>
      </c>
      <c r="I247">
        <f>B247&amp;"|"&amp;F247&amp;"|"&amp;G247</f>
        <v/>
      </c>
      <c r="J247" t="inlineStr">
        <is>
          <t>MVS Sec.11 p.30</t>
        </is>
      </c>
    </row>
    <row r="248">
      <c r="B248" t="inlineStr">
        <is>
          <t>Senior (Clubhouse) Centers</t>
        </is>
      </c>
      <c r="C248" t="inlineStr">
        <is>
          <t>985</t>
        </is>
      </c>
      <c r="D248" t="inlineStr">
        <is>
          <t>11</t>
        </is>
      </c>
      <c r="E248" t="inlineStr">
        <is>
          <t>30</t>
        </is>
      </c>
      <c r="F248" t="inlineStr">
        <is>
          <t>C</t>
        </is>
      </c>
      <c r="G248" t="inlineStr">
        <is>
          <t>Excellent</t>
        </is>
      </c>
      <c r="H248" t="n">
        <v>361</v>
      </c>
      <c r="I248">
        <f>B248&amp;"|"&amp;F248&amp;"|"&amp;G248</f>
        <v/>
      </c>
      <c r="J248" t="inlineStr">
        <is>
          <t>MVS Sec.11 p.30</t>
        </is>
      </c>
    </row>
    <row r="249">
      <c r="B249" t="inlineStr">
        <is>
          <t>Senior (Clubhouse) Centers</t>
        </is>
      </c>
      <c r="C249" t="inlineStr">
        <is>
          <t>985</t>
        </is>
      </c>
      <c r="D249" t="inlineStr">
        <is>
          <t>11</t>
        </is>
      </c>
      <c r="E249" t="inlineStr">
        <is>
          <t>30</t>
        </is>
      </c>
      <c r="F249" t="inlineStr">
        <is>
          <t>C</t>
        </is>
      </c>
      <c r="G249" t="inlineStr">
        <is>
          <t>Good</t>
        </is>
      </c>
      <c r="H249" t="n">
        <v>275</v>
      </c>
      <c r="I249">
        <f>B249&amp;"|"&amp;F249&amp;"|"&amp;G249</f>
        <v/>
      </c>
      <c r="J249" t="inlineStr">
        <is>
          <t>MVS Sec.11 p.30</t>
        </is>
      </c>
    </row>
    <row r="250">
      <c r="B250" t="inlineStr">
        <is>
          <t>Senior (Clubhouse) Centers</t>
        </is>
      </c>
      <c r="C250" t="inlineStr">
        <is>
          <t>985</t>
        </is>
      </c>
      <c r="D250" t="inlineStr">
        <is>
          <t>11</t>
        </is>
      </c>
      <c r="E250" t="inlineStr">
        <is>
          <t>30</t>
        </is>
      </c>
      <c r="F250" t="inlineStr">
        <is>
          <t>C</t>
        </is>
      </c>
      <c r="G250" t="inlineStr">
        <is>
          <t>Average</t>
        </is>
      </c>
      <c r="H250" t="n">
        <v>210</v>
      </c>
      <c r="I250">
        <f>B250&amp;"|"&amp;F250&amp;"|"&amp;G250</f>
        <v/>
      </c>
      <c r="J250" t="inlineStr">
        <is>
          <t>MVS Sec.11 p.30</t>
        </is>
      </c>
    </row>
    <row r="251">
      <c r="B251" t="inlineStr">
        <is>
          <t>Senior (Clubhouse) Centers</t>
        </is>
      </c>
      <c r="C251" t="inlineStr">
        <is>
          <t>985</t>
        </is>
      </c>
      <c r="D251" t="inlineStr">
        <is>
          <t>11</t>
        </is>
      </c>
      <c r="E251" t="inlineStr">
        <is>
          <t>30</t>
        </is>
      </c>
      <c r="F251" t="inlineStr">
        <is>
          <t>C</t>
        </is>
      </c>
      <c r="G251" t="inlineStr">
        <is>
          <t>Low Cost</t>
        </is>
      </c>
      <c r="H251" t="n">
        <v>157</v>
      </c>
      <c r="I251">
        <f>B251&amp;"|"&amp;F251&amp;"|"&amp;G251</f>
        <v/>
      </c>
      <c r="J251" t="inlineStr">
        <is>
          <t>MVS Sec.11 p.30</t>
        </is>
      </c>
    </row>
    <row r="252">
      <c r="B252" t="inlineStr">
        <is>
          <t>Senior (Clubhouse) Centers</t>
        </is>
      </c>
      <c r="C252" t="inlineStr">
        <is>
          <t>985</t>
        </is>
      </c>
      <c r="D252" t="inlineStr">
        <is>
          <t>11</t>
        </is>
      </c>
      <c r="E252" t="inlineStr">
        <is>
          <t>30</t>
        </is>
      </c>
      <c r="F252" t="inlineStr">
        <is>
          <t>D</t>
        </is>
      </c>
      <c r="G252" t="inlineStr">
        <is>
          <t>Excellent</t>
        </is>
      </c>
      <c r="H252" t="n">
        <v>350</v>
      </c>
      <c r="I252">
        <f>B252&amp;"|"&amp;F252&amp;"|"&amp;G252</f>
        <v/>
      </c>
      <c r="J252" t="inlineStr">
        <is>
          <t>MVS Sec.11 p.30</t>
        </is>
      </c>
    </row>
    <row r="253">
      <c r="B253" t="inlineStr">
        <is>
          <t>Senior (Clubhouse) Centers</t>
        </is>
      </c>
      <c r="C253" t="inlineStr">
        <is>
          <t>985</t>
        </is>
      </c>
      <c r="D253" t="inlineStr">
        <is>
          <t>11</t>
        </is>
      </c>
      <c r="E253" t="inlineStr">
        <is>
          <t>30</t>
        </is>
      </c>
      <c r="F253" t="inlineStr">
        <is>
          <t>D</t>
        </is>
      </c>
      <c r="G253" t="inlineStr">
        <is>
          <t>Good</t>
        </is>
      </c>
      <c r="H253" t="n">
        <v>264</v>
      </c>
      <c r="I253">
        <f>B253&amp;"|"&amp;F253&amp;"|"&amp;G253</f>
        <v/>
      </c>
      <c r="J253" t="inlineStr">
        <is>
          <t>MVS Sec.11 p.30</t>
        </is>
      </c>
    </row>
    <row r="254">
      <c r="B254" t="inlineStr">
        <is>
          <t>Senior (Clubhouse) Centers</t>
        </is>
      </c>
      <c r="C254" t="inlineStr">
        <is>
          <t>985</t>
        </is>
      </c>
      <c r="D254" t="inlineStr">
        <is>
          <t>11</t>
        </is>
      </c>
      <c r="E254" t="inlineStr">
        <is>
          <t>30</t>
        </is>
      </c>
      <c r="F254" t="inlineStr">
        <is>
          <t>D</t>
        </is>
      </c>
      <c r="G254" t="inlineStr">
        <is>
          <t>Average</t>
        </is>
      </c>
      <c r="H254" t="n">
        <v>200</v>
      </c>
      <c r="I254">
        <f>B254&amp;"|"&amp;F254&amp;"|"&amp;G254</f>
        <v/>
      </c>
      <c r="J254" t="inlineStr">
        <is>
          <t>MVS Sec.11 p.30</t>
        </is>
      </c>
    </row>
    <row r="255">
      <c r="B255" t="inlineStr">
        <is>
          <t>Senior (Clubhouse) Centers</t>
        </is>
      </c>
      <c r="C255" t="inlineStr">
        <is>
          <t>985</t>
        </is>
      </c>
      <c r="D255" t="inlineStr">
        <is>
          <t>11</t>
        </is>
      </c>
      <c r="E255" t="inlineStr">
        <is>
          <t>30</t>
        </is>
      </c>
      <c r="F255" t="inlineStr">
        <is>
          <t>D</t>
        </is>
      </c>
      <c r="G255" t="inlineStr">
        <is>
          <t>Low Cost</t>
        </is>
      </c>
      <c r="H255" t="n">
        <v>148</v>
      </c>
      <c r="I255">
        <f>B255&amp;"|"&amp;F255&amp;"|"&amp;G255</f>
        <v/>
      </c>
      <c r="J255" t="inlineStr">
        <is>
          <t>MVS Sec.11 p.30</t>
        </is>
      </c>
    </row>
    <row r="256">
      <c r="B256" t="inlineStr">
        <is>
          <t>Senior (Clubhouse) Centers</t>
        </is>
      </c>
      <c r="C256" t="inlineStr">
        <is>
          <t>985</t>
        </is>
      </c>
      <c r="D256" t="inlineStr">
        <is>
          <t>11</t>
        </is>
      </c>
      <c r="E256" t="inlineStr">
        <is>
          <t>30</t>
        </is>
      </c>
      <c r="F256" t="inlineStr">
        <is>
          <t>S</t>
        </is>
      </c>
      <c r="G256" t="inlineStr">
        <is>
          <t>Low Cost</t>
        </is>
      </c>
      <c r="H256" t="n">
        <v>136</v>
      </c>
      <c r="I256">
        <f>B256&amp;"|"&amp;F256&amp;"|"&amp;G256</f>
        <v/>
      </c>
      <c r="J256" t="inlineStr">
        <is>
          <t>MVS Sec.11 p.30</t>
        </is>
      </c>
    </row>
    <row r="257">
      <c r="B257" t="inlineStr">
        <is>
          <t>Country Clubs</t>
        </is>
      </c>
      <c r="C257" t="inlineStr">
        <is>
          <t>314</t>
        </is>
      </c>
      <c r="D257" t="inlineStr">
        <is>
          <t>11</t>
        </is>
      </c>
      <c r="E257" t="inlineStr">
        <is>
          <t>31</t>
        </is>
      </c>
      <c r="F257" t="inlineStr">
        <is>
          <t>C</t>
        </is>
      </c>
      <c r="G257" t="inlineStr">
        <is>
          <t>Excellent</t>
        </is>
      </c>
      <c r="H257" t="n">
        <v>341</v>
      </c>
      <c r="I257">
        <f>B257&amp;"|"&amp;F257&amp;"|"&amp;G257</f>
        <v/>
      </c>
      <c r="J257" t="inlineStr">
        <is>
          <t>MVS Sec.11 p.31</t>
        </is>
      </c>
    </row>
    <row r="258">
      <c r="B258" t="inlineStr">
        <is>
          <t>Country Clubs</t>
        </is>
      </c>
      <c r="C258" t="inlineStr">
        <is>
          <t>314</t>
        </is>
      </c>
      <c r="D258" t="inlineStr">
        <is>
          <t>11</t>
        </is>
      </c>
      <c r="E258" t="inlineStr">
        <is>
          <t>31</t>
        </is>
      </c>
      <c r="F258" t="inlineStr">
        <is>
          <t>C</t>
        </is>
      </c>
      <c r="G258" t="inlineStr">
        <is>
          <t>Good</t>
        </is>
      </c>
      <c r="H258" t="n">
        <v>259</v>
      </c>
      <c r="I258">
        <f>B258&amp;"|"&amp;F258&amp;"|"&amp;G258</f>
        <v/>
      </c>
      <c r="J258" t="inlineStr">
        <is>
          <t>MVS Sec.11 p.31</t>
        </is>
      </c>
    </row>
    <row r="259">
      <c r="B259" t="inlineStr">
        <is>
          <t>Country Clubs</t>
        </is>
      </c>
      <c r="C259" t="inlineStr">
        <is>
          <t>314</t>
        </is>
      </c>
      <c r="D259" t="inlineStr">
        <is>
          <t>11</t>
        </is>
      </c>
      <c r="E259" t="inlineStr">
        <is>
          <t>31</t>
        </is>
      </c>
      <c r="F259" t="inlineStr">
        <is>
          <t>C</t>
        </is>
      </c>
      <c r="G259" t="inlineStr">
        <is>
          <t>Average</t>
        </is>
      </c>
      <c r="H259" t="n">
        <v>198</v>
      </c>
      <c r="I259">
        <f>B259&amp;"|"&amp;F259&amp;"|"&amp;G259</f>
        <v/>
      </c>
      <c r="J259" t="inlineStr">
        <is>
          <t>MVS Sec.11 p.31</t>
        </is>
      </c>
    </row>
    <row r="260">
      <c r="B260" t="inlineStr">
        <is>
          <t>Country Clubs</t>
        </is>
      </c>
      <c r="C260" t="inlineStr">
        <is>
          <t>314</t>
        </is>
      </c>
      <c r="D260" t="inlineStr">
        <is>
          <t>11</t>
        </is>
      </c>
      <c r="E260" t="inlineStr">
        <is>
          <t>31</t>
        </is>
      </c>
      <c r="F260" t="inlineStr">
        <is>
          <t>C</t>
        </is>
      </c>
      <c r="G260" t="inlineStr">
        <is>
          <t>Low Cost</t>
        </is>
      </c>
      <c r="H260" t="n">
        <v>148</v>
      </c>
      <c r="I260">
        <f>B260&amp;"|"&amp;F260&amp;"|"&amp;G260</f>
        <v/>
      </c>
      <c r="J260" t="inlineStr">
        <is>
          <t>MVS Sec.11 p.31</t>
        </is>
      </c>
    </row>
    <row r="261">
      <c r="B261" t="inlineStr">
        <is>
          <t>Country Clubs</t>
        </is>
      </c>
      <c r="C261" t="inlineStr">
        <is>
          <t>314</t>
        </is>
      </c>
      <c r="D261" t="inlineStr">
        <is>
          <t>11</t>
        </is>
      </c>
      <c r="E261" t="inlineStr">
        <is>
          <t>31</t>
        </is>
      </c>
      <c r="F261" t="inlineStr">
        <is>
          <t>D</t>
        </is>
      </c>
      <c r="G261" t="inlineStr">
        <is>
          <t>Excellent</t>
        </is>
      </c>
      <c r="H261" t="n">
        <v>334</v>
      </c>
      <c r="I261">
        <f>B261&amp;"|"&amp;F261&amp;"|"&amp;G261</f>
        <v/>
      </c>
      <c r="J261" t="inlineStr">
        <is>
          <t>MVS Sec.11 p.31</t>
        </is>
      </c>
    </row>
    <row r="262">
      <c r="B262" t="inlineStr">
        <is>
          <t>Country Clubs</t>
        </is>
      </c>
      <c r="C262" t="inlineStr">
        <is>
          <t>314</t>
        </is>
      </c>
      <c r="D262" t="inlineStr">
        <is>
          <t>11</t>
        </is>
      </c>
      <c r="E262" t="inlineStr">
        <is>
          <t>31</t>
        </is>
      </c>
      <c r="F262" t="inlineStr">
        <is>
          <t>D</t>
        </is>
      </c>
      <c r="G262" t="inlineStr">
        <is>
          <t>Good</t>
        </is>
      </c>
      <c r="H262" t="n">
        <v>250</v>
      </c>
      <c r="I262">
        <f>B262&amp;"|"&amp;F262&amp;"|"&amp;G262</f>
        <v/>
      </c>
      <c r="J262" t="inlineStr">
        <is>
          <t>MVS Sec.11 p.31</t>
        </is>
      </c>
    </row>
    <row r="263">
      <c r="B263" t="inlineStr">
        <is>
          <t>Country Clubs</t>
        </is>
      </c>
      <c r="C263" t="inlineStr">
        <is>
          <t>314</t>
        </is>
      </c>
      <c r="D263" t="inlineStr">
        <is>
          <t>11</t>
        </is>
      </c>
      <c r="E263" t="inlineStr">
        <is>
          <t>31</t>
        </is>
      </c>
      <c r="F263" t="inlineStr">
        <is>
          <t>D</t>
        </is>
      </c>
      <c r="G263" t="inlineStr">
        <is>
          <t>Average</t>
        </is>
      </c>
      <c r="H263" t="n">
        <v>189</v>
      </c>
      <c r="I263">
        <f>B263&amp;"|"&amp;F263&amp;"|"&amp;G263</f>
        <v/>
      </c>
      <c r="J263" t="inlineStr">
        <is>
          <t>MVS Sec.11 p.31</t>
        </is>
      </c>
    </row>
    <row r="264">
      <c r="B264" t="inlineStr">
        <is>
          <t>Country Clubs</t>
        </is>
      </c>
      <c r="C264" t="inlineStr">
        <is>
          <t>314</t>
        </is>
      </c>
      <c r="D264" t="inlineStr">
        <is>
          <t>11</t>
        </is>
      </c>
      <c r="E264" t="inlineStr">
        <is>
          <t>31</t>
        </is>
      </c>
      <c r="F264" t="inlineStr">
        <is>
          <t>D</t>
        </is>
      </c>
      <c r="G264" t="inlineStr">
        <is>
          <t>Low Cost</t>
        </is>
      </c>
      <c r="H264" t="n">
        <v>139</v>
      </c>
      <c r="I264">
        <f>B264&amp;"|"&amp;F264&amp;"|"&amp;G264</f>
        <v/>
      </c>
      <c r="J264" t="inlineStr">
        <is>
          <t>MVS Sec.11 p.31</t>
        </is>
      </c>
    </row>
    <row r="265">
      <c r="B265" t="inlineStr">
        <is>
          <t>Country Clubs</t>
        </is>
      </c>
      <c r="C265" t="inlineStr">
        <is>
          <t>314</t>
        </is>
      </c>
      <c r="D265" t="inlineStr">
        <is>
          <t>11</t>
        </is>
      </c>
      <c r="E265" t="inlineStr">
        <is>
          <t>31</t>
        </is>
      </c>
      <c r="F265" t="inlineStr">
        <is>
          <t>S</t>
        </is>
      </c>
      <c r="G265" t="inlineStr">
        <is>
          <t>Average</t>
        </is>
      </c>
      <c r="H265" t="n">
        <v>178</v>
      </c>
      <c r="I265">
        <f>B265&amp;"|"&amp;F265&amp;"|"&amp;G265</f>
        <v/>
      </c>
      <c r="J265" t="inlineStr">
        <is>
          <t>MVS Sec.11 p.31</t>
        </is>
      </c>
    </row>
    <row r="266">
      <c r="B266" t="inlineStr">
        <is>
          <t>Country Clubs</t>
        </is>
      </c>
      <c r="C266" t="inlineStr">
        <is>
          <t>314</t>
        </is>
      </c>
      <c r="D266" t="inlineStr">
        <is>
          <t>11</t>
        </is>
      </c>
      <c r="E266" t="inlineStr">
        <is>
          <t>31</t>
        </is>
      </c>
      <c r="F266" t="inlineStr">
        <is>
          <t>S</t>
        </is>
      </c>
      <c r="G266" t="inlineStr">
        <is>
          <t>Low Cost</t>
        </is>
      </c>
      <c r="H266" t="n">
        <v>130</v>
      </c>
      <c r="I266">
        <f>B266&amp;"|"&amp;F266&amp;"|"&amp;G266</f>
        <v/>
      </c>
      <c r="J266" t="inlineStr">
        <is>
          <t>MVS Sec.11 p.31</t>
        </is>
      </c>
    </row>
    <row r="267">
      <c r="B267" t="inlineStr">
        <is>
          <t>Health Clubs (Spas)</t>
        </is>
      </c>
      <c r="C267" t="inlineStr">
        <is>
          <t>418</t>
        </is>
      </c>
      <c r="D267" t="inlineStr">
        <is>
          <t>11</t>
        </is>
      </c>
      <c r="E267" t="inlineStr">
        <is>
          <t>31</t>
        </is>
      </c>
      <c r="F267" t="inlineStr">
        <is>
          <t>C</t>
        </is>
      </c>
      <c r="G267" t="inlineStr">
        <is>
          <t>Good</t>
        </is>
      </c>
      <c r="H267" t="n">
        <v>236</v>
      </c>
      <c r="I267">
        <f>B267&amp;"|"&amp;F267&amp;"|"&amp;G267</f>
        <v/>
      </c>
      <c r="J267" t="inlineStr">
        <is>
          <t>MVS Sec.11 p.31</t>
        </is>
      </c>
    </row>
    <row r="268">
      <c r="B268" t="inlineStr">
        <is>
          <t>Health Clubs (Spas)</t>
        </is>
      </c>
      <c r="C268" t="inlineStr">
        <is>
          <t>418</t>
        </is>
      </c>
      <c r="D268" t="inlineStr">
        <is>
          <t>11</t>
        </is>
      </c>
      <c r="E268" t="inlineStr">
        <is>
          <t>31</t>
        </is>
      </c>
      <c r="F268" t="inlineStr">
        <is>
          <t>C</t>
        </is>
      </c>
      <c r="G268" t="inlineStr">
        <is>
          <t>Average</t>
        </is>
      </c>
      <c r="H268" t="n">
        <v>172</v>
      </c>
      <c r="I268">
        <f>B268&amp;"|"&amp;F268&amp;"|"&amp;G268</f>
        <v/>
      </c>
      <c r="J268" t="inlineStr">
        <is>
          <t>MVS Sec.11 p.31</t>
        </is>
      </c>
    </row>
    <row r="269">
      <c r="B269" t="inlineStr">
        <is>
          <t>Health Clubs (Spas)</t>
        </is>
      </c>
      <c r="C269" t="inlineStr">
        <is>
          <t>418</t>
        </is>
      </c>
      <c r="D269" t="inlineStr">
        <is>
          <t>11</t>
        </is>
      </c>
      <c r="E269" t="inlineStr">
        <is>
          <t>31</t>
        </is>
      </c>
      <c r="F269" t="inlineStr">
        <is>
          <t>C</t>
        </is>
      </c>
      <c r="G269" t="inlineStr">
        <is>
          <t>Low Cost</t>
        </is>
      </c>
      <c r="H269" t="n">
        <v>127</v>
      </c>
      <c r="I269">
        <f>B269&amp;"|"&amp;F269&amp;"|"&amp;G269</f>
        <v/>
      </c>
      <c r="J269" t="inlineStr">
        <is>
          <t>MVS Sec.11 p.31</t>
        </is>
      </c>
    </row>
    <row r="270">
      <c r="B270" t="inlineStr">
        <is>
          <t>Health Clubs (Spas)</t>
        </is>
      </c>
      <c r="C270" t="inlineStr">
        <is>
          <t>418</t>
        </is>
      </c>
      <c r="D270" t="inlineStr">
        <is>
          <t>11</t>
        </is>
      </c>
      <c r="E270" t="inlineStr">
        <is>
          <t>31</t>
        </is>
      </c>
      <c r="F270" t="inlineStr">
        <is>
          <t>D</t>
        </is>
      </c>
      <c r="G270" t="inlineStr">
        <is>
          <t>Good</t>
        </is>
      </c>
      <c r="H270" t="n">
        <v>227</v>
      </c>
      <c r="I270">
        <f>B270&amp;"|"&amp;F270&amp;"|"&amp;G270</f>
        <v/>
      </c>
      <c r="J270" t="inlineStr">
        <is>
          <t>MVS Sec.11 p.31</t>
        </is>
      </c>
    </row>
    <row r="271">
      <c r="B271" t="inlineStr">
        <is>
          <t>Health Clubs (Spas)</t>
        </is>
      </c>
      <c r="C271" t="inlineStr">
        <is>
          <t>418</t>
        </is>
      </c>
      <c r="D271" t="inlineStr">
        <is>
          <t>11</t>
        </is>
      </c>
      <c r="E271" t="inlineStr">
        <is>
          <t>31</t>
        </is>
      </c>
      <c r="F271" t="inlineStr">
        <is>
          <t>D</t>
        </is>
      </c>
      <c r="G271" t="inlineStr">
        <is>
          <t>Average</t>
        </is>
      </c>
      <c r="H271" t="n">
        <v>164</v>
      </c>
      <c r="I271">
        <f>B271&amp;"|"&amp;F271&amp;"|"&amp;G271</f>
        <v/>
      </c>
      <c r="J271" t="inlineStr">
        <is>
          <t>MVS Sec.11 p.31</t>
        </is>
      </c>
    </row>
    <row r="272">
      <c r="B272" t="inlineStr">
        <is>
          <t>Health Clubs (Spas)</t>
        </is>
      </c>
      <c r="C272" t="inlineStr">
        <is>
          <t>418</t>
        </is>
      </c>
      <c r="D272" t="inlineStr">
        <is>
          <t>11</t>
        </is>
      </c>
      <c r="E272" t="inlineStr">
        <is>
          <t>31</t>
        </is>
      </c>
      <c r="F272" t="inlineStr">
        <is>
          <t>D</t>
        </is>
      </c>
      <c r="G272" t="inlineStr">
        <is>
          <t>Low Cost</t>
        </is>
      </c>
      <c r="H272" t="n">
        <v>119</v>
      </c>
      <c r="I272">
        <f>B272&amp;"|"&amp;F272&amp;"|"&amp;G272</f>
        <v/>
      </c>
      <c r="J272" t="inlineStr">
        <is>
          <t>MVS Sec.11 p.31</t>
        </is>
      </c>
    </row>
    <row r="273">
      <c r="B273" t="inlineStr">
        <is>
          <t>Health Clubs (Spas)</t>
        </is>
      </c>
      <c r="C273" t="inlineStr">
        <is>
          <t>418</t>
        </is>
      </c>
      <c r="D273" t="inlineStr">
        <is>
          <t>11</t>
        </is>
      </c>
      <c r="E273" t="inlineStr">
        <is>
          <t>31</t>
        </is>
      </c>
      <c r="F273" t="inlineStr">
        <is>
          <t>S</t>
        </is>
      </c>
      <c r="G273" t="inlineStr">
        <is>
          <t>Average</t>
        </is>
      </c>
      <c r="H273" t="n">
        <v>157</v>
      </c>
      <c r="I273">
        <f>B273&amp;"|"&amp;F273&amp;"|"&amp;G273</f>
        <v/>
      </c>
      <c r="J273" t="inlineStr">
        <is>
          <t>MVS Sec.11 p.31</t>
        </is>
      </c>
    </row>
    <row r="274">
      <c r="B274" t="inlineStr">
        <is>
          <t>Health Clubs (Spas)</t>
        </is>
      </c>
      <c r="C274" t="inlineStr">
        <is>
          <t>418</t>
        </is>
      </c>
      <c r="D274" t="inlineStr">
        <is>
          <t>11</t>
        </is>
      </c>
      <c r="E274" t="inlineStr">
        <is>
          <t>31</t>
        </is>
      </c>
      <c r="F274" t="inlineStr">
        <is>
          <t>S</t>
        </is>
      </c>
      <c r="G274" t="inlineStr">
        <is>
          <t>Low Cost</t>
        </is>
      </c>
      <c r="H274" t="n">
        <v>113</v>
      </c>
      <c r="I274">
        <f>B274&amp;"|"&amp;F274&amp;"|"&amp;G274</f>
        <v/>
      </c>
      <c r="J274" t="inlineStr">
        <is>
          <t>MVS Sec.11 p.31</t>
        </is>
      </c>
    </row>
    <row r="275">
      <c r="B275" t="inlineStr">
        <is>
          <t>Mortuaries / Funeral Homes</t>
        </is>
      </c>
      <c r="C275" t="inlineStr">
        <is>
          <t>342</t>
        </is>
      </c>
      <c r="D275" t="inlineStr">
        <is>
          <t>11</t>
        </is>
      </c>
      <c r="E275" t="inlineStr">
        <is>
          <t>32</t>
        </is>
      </c>
      <c r="F275" t="inlineStr">
        <is>
          <t>A-B</t>
        </is>
      </c>
      <c r="G275" t="inlineStr">
        <is>
          <t>Good</t>
        </is>
      </c>
      <c r="H275" t="n">
        <v>324</v>
      </c>
      <c r="I275">
        <f>B275&amp;"|"&amp;F275&amp;"|"&amp;G275</f>
        <v/>
      </c>
      <c r="J275" t="inlineStr">
        <is>
          <t>MVS Sec.11 p.32</t>
        </is>
      </c>
    </row>
    <row r="276">
      <c r="B276" t="inlineStr">
        <is>
          <t>Mortuaries / Funeral Homes</t>
        </is>
      </c>
      <c r="C276" t="inlineStr">
        <is>
          <t>342</t>
        </is>
      </c>
      <c r="D276" t="inlineStr">
        <is>
          <t>11</t>
        </is>
      </c>
      <c r="E276" t="inlineStr">
        <is>
          <t>32</t>
        </is>
      </c>
      <c r="F276" t="inlineStr">
        <is>
          <t>A-B</t>
        </is>
      </c>
      <c r="G276" t="inlineStr">
        <is>
          <t>Average</t>
        </is>
      </c>
      <c r="H276" t="n">
        <v>258</v>
      </c>
      <c r="I276">
        <f>B276&amp;"|"&amp;F276&amp;"|"&amp;G276</f>
        <v/>
      </c>
      <c r="J276" t="inlineStr">
        <is>
          <t>MVS Sec.11 p.32</t>
        </is>
      </c>
    </row>
    <row r="277">
      <c r="B277" t="inlineStr">
        <is>
          <t>Mortuaries / Funeral Homes</t>
        </is>
      </c>
      <c r="C277" t="inlineStr">
        <is>
          <t>342</t>
        </is>
      </c>
      <c r="D277" t="inlineStr">
        <is>
          <t>11</t>
        </is>
      </c>
      <c r="E277" t="inlineStr">
        <is>
          <t>32</t>
        </is>
      </c>
      <c r="F277" t="inlineStr">
        <is>
          <t>C</t>
        </is>
      </c>
      <c r="G277" t="inlineStr">
        <is>
          <t>Excellent</t>
        </is>
      </c>
      <c r="H277" t="n">
        <v>291</v>
      </c>
      <c r="I277">
        <f>B277&amp;"|"&amp;F277&amp;"|"&amp;G277</f>
        <v/>
      </c>
      <c r="J277" t="inlineStr">
        <is>
          <t>MVS Sec.11 p.32</t>
        </is>
      </c>
    </row>
    <row r="278">
      <c r="B278" t="inlineStr">
        <is>
          <t>Mortuaries / Funeral Homes</t>
        </is>
      </c>
      <c r="C278" t="inlineStr">
        <is>
          <t>342</t>
        </is>
      </c>
      <c r="D278" t="inlineStr">
        <is>
          <t>11</t>
        </is>
      </c>
      <c r="E278" t="inlineStr">
        <is>
          <t>32</t>
        </is>
      </c>
      <c r="F278" t="inlineStr">
        <is>
          <t>C</t>
        </is>
      </c>
      <c r="G278" t="inlineStr">
        <is>
          <t>Good</t>
        </is>
      </c>
      <c r="H278" t="n">
        <v>214</v>
      </c>
      <c r="I278">
        <f>B278&amp;"|"&amp;F278&amp;"|"&amp;G278</f>
        <v/>
      </c>
      <c r="J278" t="inlineStr">
        <is>
          <t>MVS Sec.11 p.32</t>
        </is>
      </c>
    </row>
    <row r="279">
      <c r="B279" t="inlineStr">
        <is>
          <t>Mortuaries / Funeral Homes</t>
        </is>
      </c>
      <c r="C279" t="inlineStr">
        <is>
          <t>342</t>
        </is>
      </c>
      <c r="D279" t="inlineStr">
        <is>
          <t>11</t>
        </is>
      </c>
      <c r="E279" t="inlineStr">
        <is>
          <t>32</t>
        </is>
      </c>
      <c r="F279" t="inlineStr">
        <is>
          <t>C</t>
        </is>
      </c>
      <c r="G279" t="inlineStr">
        <is>
          <t>Average</t>
        </is>
      </c>
      <c r="H279" t="n">
        <v>159</v>
      </c>
      <c r="I279">
        <f>B279&amp;"|"&amp;F279&amp;"|"&amp;G279</f>
        <v/>
      </c>
      <c r="J279" t="inlineStr">
        <is>
          <t>MVS Sec.11 p.32</t>
        </is>
      </c>
    </row>
    <row r="280">
      <c r="B280" t="inlineStr">
        <is>
          <t>Mortuaries / Funeral Homes</t>
        </is>
      </c>
      <c r="C280" t="inlineStr">
        <is>
          <t>342</t>
        </is>
      </c>
      <c r="D280" t="inlineStr">
        <is>
          <t>11</t>
        </is>
      </c>
      <c r="E280" t="inlineStr">
        <is>
          <t>32</t>
        </is>
      </c>
      <c r="F280" t="inlineStr">
        <is>
          <t>C</t>
        </is>
      </c>
      <c r="G280" t="inlineStr">
        <is>
          <t>Low Cost</t>
        </is>
      </c>
      <c r="H280" t="n">
        <v>115</v>
      </c>
      <c r="I280">
        <f>B280&amp;"|"&amp;F280&amp;"|"&amp;G280</f>
        <v/>
      </c>
      <c r="J280" t="inlineStr">
        <is>
          <t>MVS Sec.11 p.32</t>
        </is>
      </c>
    </row>
    <row r="281">
      <c r="B281" t="inlineStr">
        <is>
          <t>Mortuaries / Funeral Homes</t>
        </is>
      </c>
      <c r="C281" t="inlineStr">
        <is>
          <t>342</t>
        </is>
      </c>
      <c r="D281" t="inlineStr">
        <is>
          <t>11</t>
        </is>
      </c>
      <c r="E281" t="inlineStr">
        <is>
          <t>32</t>
        </is>
      </c>
      <c r="F281" t="inlineStr">
        <is>
          <t>D</t>
        </is>
      </c>
      <c r="G281" t="inlineStr">
        <is>
          <t>Excellent</t>
        </is>
      </c>
      <c r="H281" t="n">
        <v>283</v>
      </c>
      <c r="I281">
        <f>B281&amp;"|"&amp;F281&amp;"|"&amp;G281</f>
        <v/>
      </c>
      <c r="J281" t="inlineStr">
        <is>
          <t>MVS Sec.11 p.32</t>
        </is>
      </c>
    </row>
    <row r="282">
      <c r="B282" t="inlineStr">
        <is>
          <t>Mortuaries / Funeral Homes</t>
        </is>
      </c>
      <c r="C282" t="inlineStr">
        <is>
          <t>342</t>
        </is>
      </c>
      <c r="D282" t="inlineStr">
        <is>
          <t>11</t>
        </is>
      </c>
      <c r="E282" t="inlineStr">
        <is>
          <t>32</t>
        </is>
      </c>
      <c r="F282" t="inlineStr">
        <is>
          <t>D</t>
        </is>
      </c>
      <c r="G282" t="inlineStr">
        <is>
          <t>Good</t>
        </is>
      </c>
      <c r="H282" t="n">
        <v>206</v>
      </c>
      <c r="I282">
        <f>B282&amp;"|"&amp;F282&amp;"|"&amp;G282</f>
        <v/>
      </c>
      <c r="J282" t="inlineStr">
        <is>
          <t>MVS Sec.11 p.32</t>
        </is>
      </c>
    </row>
    <row r="283">
      <c r="B283" t="inlineStr">
        <is>
          <t>Mortuaries / Funeral Homes</t>
        </is>
      </c>
      <c r="C283" t="inlineStr">
        <is>
          <t>342</t>
        </is>
      </c>
      <c r="D283" t="inlineStr">
        <is>
          <t>11</t>
        </is>
      </c>
      <c r="E283" t="inlineStr">
        <is>
          <t>32</t>
        </is>
      </c>
      <c r="F283" t="inlineStr">
        <is>
          <t>D</t>
        </is>
      </c>
      <c r="G283" t="inlineStr">
        <is>
          <t>Average</t>
        </is>
      </c>
      <c r="H283" t="n">
        <v>151</v>
      </c>
      <c r="I283">
        <f>B283&amp;"|"&amp;F283&amp;"|"&amp;G283</f>
        <v/>
      </c>
      <c r="J283" t="inlineStr">
        <is>
          <t>MVS Sec.11 p.32</t>
        </is>
      </c>
    </row>
    <row r="284">
      <c r="B284" t="inlineStr">
        <is>
          <t>Mortuaries / Funeral Homes</t>
        </is>
      </c>
      <c r="C284" t="inlineStr">
        <is>
          <t>342</t>
        </is>
      </c>
      <c r="D284" t="inlineStr">
        <is>
          <t>11</t>
        </is>
      </c>
      <c r="E284" t="inlineStr">
        <is>
          <t>32</t>
        </is>
      </c>
      <c r="F284" t="inlineStr">
        <is>
          <t>D</t>
        </is>
      </c>
      <c r="G284" t="inlineStr">
        <is>
          <t>Low Cost</t>
        </is>
      </c>
      <c r="H284" t="n">
        <v>108</v>
      </c>
      <c r="I284">
        <f>B284&amp;"|"&amp;F284&amp;"|"&amp;G284</f>
        <v/>
      </c>
      <c r="J284" t="inlineStr">
        <is>
          <t>MVS Sec.11 p.32</t>
        </is>
      </c>
    </row>
    <row r="285">
      <c r="B285" t="inlineStr">
        <is>
          <t>Mortuaries / Funeral Homes</t>
        </is>
      </c>
      <c r="C285" t="inlineStr">
        <is>
          <t>342</t>
        </is>
      </c>
      <c r="D285" t="inlineStr">
        <is>
          <t>11</t>
        </is>
      </c>
      <c r="E285" t="inlineStr">
        <is>
          <t>32</t>
        </is>
      </c>
      <c r="F285" t="inlineStr">
        <is>
          <t>DPOLE</t>
        </is>
      </c>
      <c r="G285" t="inlineStr">
        <is>
          <t>Low Cost</t>
        </is>
      </c>
      <c r="H285" t="n">
        <v>101</v>
      </c>
      <c r="I285">
        <f>B285&amp;"|"&amp;F285&amp;"|"&amp;G285</f>
        <v/>
      </c>
      <c r="J285" t="inlineStr">
        <is>
          <t>MVS Sec.11 p.32</t>
        </is>
      </c>
    </row>
    <row r="286">
      <c r="B286" t="inlineStr">
        <is>
          <t>Mortuaries / Funeral Homes</t>
        </is>
      </c>
      <c r="C286" t="inlineStr">
        <is>
          <t>342</t>
        </is>
      </c>
      <c r="D286" t="inlineStr">
        <is>
          <t>11</t>
        </is>
      </c>
      <c r="E286" t="inlineStr">
        <is>
          <t>32</t>
        </is>
      </c>
      <c r="F286" t="inlineStr">
        <is>
          <t>S</t>
        </is>
      </c>
      <c r="G286" t="inlineStr">
        <is>
          <t>Average</t>
        </is>
      </c>
      <c r="H286" t="n">
        <v>143</v>
      </c>
      <c r="I286">
        <f>B286&amp;"|"&amp;F286&amp;"|"&amp;G286</f>
        <v/>
      </c>
      <c r="J286" t="inlineStr">
        <is>
          <t>MVS Sec.11 p.32</t>
        </is>
      </c>
    </row>
    <row r="287">
      <c r="B287" t="inlineStr">
        <is>
          <t>Mortuaries / Funeral Homes</t>
        </is>
      </c>
      <c r="C287" t="inlineStr">
        <is>
          <t>342</t>
        </is>
      </c>
      <c r="D287" t="inlineStr">
        <is>
          <t>11</t>
        </is>
      </c>
      <c r="E287" t="inlineStr">
        <is>
          <t>32</t>
        </is>
      </c>
      <c r="F287" t="inlineStr">
        <is>
          <t>S</t>
        </is>
      </c>
      <c r="G287" t="inlineStr">
        <is>
          <t>Low Cost</t>
        </is>
      </c>
      <c r="H287" t="n">
        <v>101</v>
      </c>
      <c r="I287">
        <f>B287&amp;"|"&amp;F287&amp;"|"&amp;G287</f>
        <v/>
      </c>
      <c r="J287" t="inlineStr">
        <is>
          <t>MVS Sec.11 p.32</t>
        </is>
      </c>
    </row>
    <row r="288">
      <c r="B288" t="inlineStr">
        <is>
          <t>High-Rise Row (Town) Houses</t>
        </is>
      </c>
      <c r="C288" t="inlineStr">
        <is>
          <t>177</t>
        </is>
      </c>
      <c r="D288" t="inlineStr">
        <is>
          <t>11</t>
        </is>
      </c>
      <c r="E288" t="inlineStr">
        <is>
          <t>33</t>
        </is>
      </c>
      <c r="F288" t="inlineStr">
        <is>
          <t>C</t>
        </is>
      </c>
      <c r="G288" t="inlineStr">
        <is>
          <t>Excellent</t>
        </is>
      </c>
      <c r="H288" t="n">
        <v>222</v>
      </c>
      <c r="I288">
        <f>B288&amp;"|"&amp;F288&amp;"|"&amp;G288</f>
        <v/>
      </c>
      <c r="J288" t="inlineStr">
        <is>
          <t>MVS Sec.11 p.33</t>
        </is>
      </c>
    </row>
    <row r="289">
      <c r="B289" t="inlineStr">
        <is>
          <t>High-Rise Row (Town) Houses</t>
        </is>
      </c>
      <c r="C289" t="inlineStr">
        <is>
          <t>177</t>
        </is>
      </c>
      <c r="D289" t="inlineStr">
        <is>
          <t>11</t>
        </is>
      </c>
      <c r="E289" t="inlineStr">
        <is>
          <t>33</t>
        </is>
      </c>
      <c r="F289" t="inlineStr">
        <is>
          <t>C</t>
        </is>
      </c>
      <c r="G289" t="inlineStr">
        <is>
          <t>Good</t>
        </is>
      </c>
      <c r="H289" t="n">
        <v>166</v>
      </c>
      <c r="I289">
        <f>B289&amp;"|"&amp;F289&amp;"|"&amp;G289</f>
        <v/>
      </c>
      <c r="J289" t="inlineStr">
        <is>
          <t>MVS Sec.11 p.33</t>
        </is>
      </c>
    </row>
    <row r="290">
      <c r="B290" t="inlineStr">
        <is>
          <t>High-Rise Row (Town) Houses</t>
        </is>
      </c>
      <c r="C290" t="inlineStr">
        <is>
          <t>177</t>
        </is>
      </c>
      <c r="D290" t="inlineStr">
        <is>
          <t>11</t>
        </is>
      </c>
      <c r="E290" t="inlineStr">
        <is>
          <t>33</t>
        </is>
      </c>
      <c r="F290" t="inlineStr">
        <is>
          <t>C</t>
        </is>
      </c>
      <c r="G290" t="inlineStr">
        <is>
          <t>Average</t>
        </is>
      </c>
      <c r="H290" t="n">
        <v>128</v>
      </c>
      <c r="I290">
        <f>B290&amp;"|"&amp;F290&amp;"|"&amp;G290</f>
        <v/>
      </c>
      <c r="J290" t="inlineStr">
        <is>
          <t>MVS Sec.11 p.33</t>
        </is>
      </c>
    </row>
    <row r="291">
      <c r="B291" t="inlineStr">
        <is>
          <t>High-Rise Row (Town) Houses</t>
        </is>
      </c>
      <c r="C291" t="inlineStr">
        <is>
          <t>177</t>
        </is>
      </c>
      <c r="D291" t="inlineStr">
        <is>
          <t>11</t>
        </is>
      </c>
      <c r="E291" t="inlineStr">
        <is>
          <t>33</t>
        </is>
      </c>
      <c r="F291" t="inlineStr">
        <is>
          <t>CMILL</t>
        </is>
      </c>
      <c r="G291" t="inlineStr">
        <is>
          <t>Excellent</t>
        </is>
      </c>
      <c r="H291" t="n">
        <v>237</v>
      </c>
      <c r="I291">
        <f>B291&amp;"|"&amp;F291&amp;"|"&amp;G291</f>
        <v/>
      </c>
      <c r="J291" t="inlineStr">
        <is>
          <t>MVS Sec.11 p.33</t>
        </is>
      </c>
    </row>
    <row r="292">
      <c r="B292" t="inlineStr">
        <is>
          <t>High-Rise Row (Town) Houses</t>
        </is>
      </c>
      <c r="C292" t="inlineStr">
        <is>
          <t>177</t>
        </is>
      </c>
      <c r="D292" t="inlineStr">
        <is>
          <t>11</t>
        </is>
      </c>
      <c r="E292" t="inlineStr">
        <is>
          <t>33</t>
        </is>
      </c>
      <c r="F292" t="inlineStr">
        <is>
          <t>CMILL</t>
        </is>
      </c>
      <c r="G292" t="inlineStr">
        <is>
          <t>Good</t>
        </is>
      </c>
      <c r="H292" t="n">
        <v>190</v>
      </c>
      <c r="I292">
        <f>B292&amp;"|"&amp;F292&amp;"|"&amp;G292</f>
        <v/>
      </c>
      <c r="J292" t="inlineStr">
        <is>
          <t>MVS Sec.11 p.33</t>
        </is>
      </c>
    </row>
    <row r="293">
      <c r="B293" t="inlineStr">
        <is>
          <t>High-Rise Row (Town) Houses</t>
        </is>
      </c>
      <c r="C293" t="inlineStr">
        <is>
          <t>177</t>
        </is>
      </c>
      <c r="D293" t="inlineStr">
        <is>
          <t>11</t>
        </is>
      </c>
      <c r="E293" t="inlineStr">
        <is>
          <t>33</t>
        </is>
      </c>
      <c r="F293" t="inlineStr">
        <is>
          <t>CMILL</t>
        </is>
      </c>
      <c r="G293" t="inlineStr">
        <is>
          <t>Average</t>
        </is>
      </c>
      <c r="H293" t="n">
        <v>153</v>
      </c>
      <c r="I293">
        <f>B293&amp;"|"&amp;F293&amp;"|"&amp;G293</f>
        <v/>
      </c>
      <c r="J293" t="inlineStr">
        <is>
          <t>MVS Sec.11 p.33</t>
        </is>
      </c>
    </row>
    <row r="294">
      <c r="B294" t="inlineStr">
        <is>
          <t>High-Rise Row (Town) Houses</t>
        </is>
      </c>
      <c r="C294" t="inlineStr">
        <is>
          <t>177</t>
        </is>
      </c>
      <c r="D294" t="inlineStr">
        <is>
          <t>11</t>
        </is>
      </c>
      <c r="E294" t="inlineStr">
        <is>
          <t>33</t>
        </is>
      </c>
      <c r="F294" t="inlineStr">
        <is>
          <t>DMASVEN</t>
        </is>
      </c>
      <c r="G294" t="inlineStr">
        <is>
          <t>Excellent</t>
        </is>
      </c>
      <c r="H294" t="n">
        <v>218</v>
      </c>
      <c r="I294">
        <f>B294&amp;"|"&amp;F294&amp;"|"&amp;G294</f>
        <v/>
      </c>
      <c r="J294" t="inlineStr">
        <is>
          <t>MVS Sec.11 p.33</t>
        </is>
      </c>
    </row>
    <row r="295">
      <c r="B295" t="inlineStr">
        <is>
          <t>High-Rise Row (Town) Houses</t>
        </is>
      </c>
      <c r="C295" t="inlineStr">
        <is>
          <t>177</t>
        </is>
      </c>
      <c r="D295" t="inlineStr">
        <is>
          <t>11</t>
        </is>
      </c>
      <c r="E295" t="inlineStr">
        <is>
          <t>33</t>
        </is>
      </c>
      <c r="F295" t="inlineStr">
        <is>
          <t>DMASVEN</t>
        </is>
      </c>
      <c r="G295" t="inlineStr">
        <is>
          <t>Good</t>
        </is>
      </c>
      <c r="H295" t="n">
        <v>163</v>
      </c>
      <c r="I295">
        <f>B295&amp;"|"&amp;F295&amp;"|"&amp;G295</f>
        <v/>
      </c>
      <c r="J295" t="inlineStr">
        <is>
          <t>MVS Sec.11 p.33</t>
        </is>
      </c>
    </row>
    <row r="296">
      <c r="B296" t="inlineStr">
        <is>
          <t>High-Rise Row (Town) Houses</t>
        </is>
      </c>
      <c r="C296" t="inlineStr">
        <is>
          <t>177</t>
        </is>
      </c>
      <c r="D296" t="inlineStr">
        <is>
          <t>11</t>
        </is>
      </c>
      <c r="E296" t="inlineStr">
        <is>
          <t>33</t>
        </is>
      </c>
      <c r="F296" t="inlineStr">
        <is>
          <t>DMASVEN</t>
        </is>
      </c>
      <c r="G296" t="inlineStr">
        <is>
          <t>Average</t>
        </is>
      </c>
      <c r="H296" t="n">
        <v>125</v>
      </c>
      <c r="I296">
        <f>B296&amp;"|"&amp;F296&amp;"|"&amp;G296</f>
        <v/>
      </c>
      <c r="J296" t="inlineStr">
        <is>
          <t>MVS Sec.11 p.33</t>
        </is>
      </c>
    </row>
    <row r="297">
      <c r="B297" t="inlineStr">
        <is>
          <t>High-Rise Row (Town) Houses</t>
        </is>
      </c>
      <c r="C297" t="inlineStr">
        <is>
          <t>177</t>
        </is>
      </c>
      <c r="D297" t="inlineStr">
        <is>
          <t>11</t>
        </is>
      </c>
      <c r="E297" t="inlineStr">
        <is>
          <t>33</t>
        </is>
      </c>
      <c r="F297" t="inlineStr">
        <is>
          <t>D</t>
        </is>
      </c>
      <c r="G297" t="inlineStr">
        <is>
          <t>Excellent</t>
        </is>
      </c>
      <c r="H297" t="n">
        <v>209</v>
      </c>
      <c r="I297">
        <f>B297&amp;"|"&amp;F297&amp;"|"&amp;G297</f>
        <v/>
      </c>
      <c r="J297" t="inlineStr">
        <is>
          <t>MVS Sec.11 p.33</t>
        </is>
      </c>
    </row>
    <row r="298">
      <c r="B298" t="inlineStr">
        <is>
          <t>High-Rise Row (Town) Houses</t>
        </is>
      </c>
      <c r="C298" t="inlineStr">
        <is>
          <t>177</t>
        </is>
      </c>
      <c r="D298" t="inlineStr">
        <is>
          <t>11</t>
        </is>
      </c>
      <c r="E298" t="inlineStr">
        <is>
          <t>33</t>
        </is>
      </c>
      <c r="F298" t="inlineStr">
        <is>
          <t>D</t>
        </is>
      </c>
      <c r="G298" t="inlineStr">
        <is>
          <t>Good</t>
        </is>
      </c>
      <c r="H298" t="n">
        <v>157</v>
      </c>
      <c r="I298">
        <f>B298&amp;"|"&amp;F298&amp;"|"&amp;G298</f>
        <v/>
      </c>
      <c r="J298" t="inlineStr">
        <is>
          <t>MVS Sec.11 p.33</t>
        </is>
      </c>
    </row>
    <row r="299">
      <c r="B299" t="inlineStr">
        <is>
          <t>High-Rise Row (Town) Houses</t>
        </is>
      </c>
      <c r="C299" t="inlineStr">
        <is>
          <t>177</t>
        </is>
      </c>
      <c r="D299" t="inlineStr">
        <is>
          <t>11</t>
        </is>
      </c>
      <c r="E299" t="inlineStr">
        <is>
          <t>33</t>
        </is>
      </c>
      <c r="F299" t="inlineStr">
        <is>
          <t>D</t>
        </is>
      </c>
      <c r="G299" t="inlineStr">
        <is>
          <t>Average</t>
        </is>
      </c>
      <c r="H299" t="n">
        <v>121</v>
      </c>
      <c r="I299">
        <f>B299&amp;"|"&amp;F299&amp;"|"&amp;G299</f>
        <v/>
      </c>
      <c r="J299" t="inlineStr">
        <is>
          <t>MVS Sec.11 p.33</t>
        </is>
      </c>
    </row>
    <row r="300">
      <c r="B300" t="inlineStr">
        <is>
          <t>Motels</t>
        </is>
      </c>
      <c r="C300" t="inlineStr">
        <is>
          <t>343</t>
        </is>
      </c>
      <c r="D300" t="inlineStr">
        <is>
          <t>12</t>
        </is>
      </c>
      <c r="E300" t="inlineStr">
        <is>
          <t>9</t>
        </is>
      </c>
      <c r="F300" t="inlineStr">
        <is>
          <t>C</t>
        </is>
      </c>
      <c r="G300" t="inlineStr">
        <is>
          <t>Excellent</t>
        </is>
      </c>
      <c r="H300" t="n">
        <v>237</v>
      </c>
      <c r="I300">
        <f>B300&amp;"|"&amp;F300&amp;"|"&amp;G300</f>
        <v/>
      </c>
      <c r="J300" t="inlineStr">
        <is>
          <t>MVS Sec.12 p.9</t>
        </is>
      </c>
    </row>
    <row r="301">
      <c r="B301" t="inlineStr">
        <is>
          <t>Motels</t>
        </is>
      </c>
      <c r="C301" t="inlineStr">
        <is>
          <t>343</t>
        </is>
      </c>
      <c r="D301" t="inlineStr">
        <is>
          <t>12</t>
        </is>
      </c>
      <c r="E301" t="inlineStr">
        <is>
          <t>9</t>
        </is>
      </c>
      <c r="F301" t="inlineStr">
        <is>
          <t>C</t>
        </is>
      </c>
      <c r="G301" t="inlineStr">
        <is>
          <t>Good</t>
        </is>
      </c>
      <c r="H301" t="n">
        <v>176</v>
      </c>
      <c r="I301">
        <f>B301&amp;"|"&amp;F301&amp;"|"&amp;G301</f>
        <v/>
      </c>
      <c r="J301" t="inlineStr">
        <is>
          <t>MVS Sec.12 p.9</t>
        </is>
      </c>
    </row>
    <row r="302">
      <c r="B302" t="inlineStr">
        <is>
          <t>Motels</t>
        </is>
      </c>
      <c r="C302" t="inlineStr">
        <is>
          <t>343</t>
        </is>
      </c>
      <c r="D302" t="inlineStr">
        <is>
          <t>12</t>
        </is>
      </c>
      <c r="E302" t="inlineStr">
        <is>
          <t>9</t>
        </is>
      </c>
      <c r="F302" t="inlineStr">
        <is>
          <t>C</t>
        </is>
      </c>
      <c r="G302" t="inlineStr">
        <is>
          <t>Average</t>
        </is>
      </c>
      <c r="H302" t="n">
        <v>128</v>
      </c>
      <c r="I302">
        <f>B302&amp;"|"&amp;F302&amp;"|"&amp;G302</f>
        <v/>
      </c>
      <c r="J302" t="inlineStr">
        <is>
          <t>MVS Sec.12 p.9</t>
        </is>
      </c>
    </row>
    <row r="303">
      <c r="B303" t="inlineStr">
        <is>
          <t>Motels</t>
        </is>
      </c>
      <c r="C303" t="inlineStr">
        <is>
          <t>343</t>
        </is>
      </c>
      <c r="D303" t="inlineStr">
        <is>
          <t>12</t>
        </is>
      </c>
      <c r="E303" t="inlineStr">
        <is>
          <t>9</t>
        </is>
      </c>
      <c r="F303" t="inlineStr">
        <is>
          <t>C</t>
        </is>
      </c>
      <c r="G303" t="inlineStr">
        <is>
          <t>Fair</t>
        </is>
      </c>
      <c r="H303" t="n">
        <v>112</v>
      </c>
      <c r="I303">
        <f>B303&amp;"|"&amp;F303&amp;"|"&amp;G303</f>
        <v/>
      </c>
      <c r="J303" t="inlineStr">
        <is>
          <t>MVS Sec.12 p.9</t>
        </is>
      </c>
    </row>
    <row r="304">
      <c r="B304" t="inlineStr">
        <is>
          <t>Motels</t>
        </is>
      </c>
      <c r="C304" t="inlineStr">
        <is>
          <t>343</t>
        </is>
      </c>
      <c r="D304" t="inlineStr">
        <is>
          <t>12</t>
        </is>
      </c>
      <c r="E304" t="inlineStr">
        <is>
          <t>9</t>
        </is>
      </c>
      <c r="F304" t="inlineStr">
        <is>
          <t>C</t>
        </is>
      </c>
      <c r="G304" t="inlineStr">
        <is>
          <t>Low Cost</t>
        </is>
      </c>
      <c r="H304" t="n">
        <v>95</v>
      </c>
      <c r="I304">
        <f>B304&amp;"|"&amp;F304&amp;"|"&amp;G304</f>
        <v/>
      </c>
      <c r="J304" t="inlineStr">
        <is>
          <t>MVS Sec.12 p.9</t>
        </is>
      </c>
    </row>
    <row r="305">
      <c r="B305" t="inlineStr">
        <is>
          <t>Motels</t>
        </is>
      </c>
      <c r="C305" t="inlineStr">
        <is>
          <t>343</t>
        </is>
      </c>
      <c r="D305" t="inlineStr">
        <is>
          <t>12</t>
        </is>
      </c>
      <c r="E305" t="inlineStr">
        <is>
          <t>9</t>
        </is>
      </c>
      <c r="F305" t="inlineStr">
        <is>
          <t>C</t>
        </is>
      </c>
      <c r="G305" t="inlineStr">
        <is>
          <t>Cheap</t>
        </is>
      </c>
      <c r="H305" t="n">
        <v>79</v>
      </c>
      <c r="I305">
        <f>B305&amp;"|"&amp;F305&amp;"|"&amp;G305</f>
        <v/>
      </c>
      <c r="J305" t="inlineStr">
        <is>
          <t>MVS Sec.12 p.9</t>
        </is>
      </c>
    </row>
    <row r="306">
      <c r="B306" t="inlineStr">
        <is>
          <t>Motels</t>
        </is>
      </c>
      <c r="C306" t="inlineStr">
        <is>
          <t>343</t>
        </is>
      </c>
      <c r="D306" t="inlineStr">
        <is>
          <t>12</t>
        </is>
      </c>
      <c r="E306" t="inlineStr">
        <is>
          <t>9</t>
        </is>
      </c>
      <c r="F306" t="inlineStr">
        <is>
          <t>D</t>
        </is>
      </c>
      <c r="G306" t="inlineStr">
        <is>
          <t>Excellent</t>
        </is>
      </c>
      <c r="H306" t="n">
        <v>233</v>
      </c>
      <c r="I306">
        <f>B306&amp;"|"&amp;F306&amp;"|"&amp;G306</f>
        <v/>
      </c>
      <c r="J306" t="inlineStr">
        <is>
          <t>MVS Sec.12 p.9</t>
        </is>
      </c>
    </row>
    <row r="307">
      <c r="B307" t="inlineStr">
        <is>
          <t>Motels</t>
        </is>
      </c>
      <c r="C307" t="inlineStr">
        <is>
          <t>343</t>
        </is>
      </c>
      <c r="D307" t="inlineStr">
        <is>
          <t>12</t>
        </is>
      </c>
      <c r="E307" t="inlineStr">
        <is>
          <t>9</t>
        </is>
      </c>
      <c r="F307" t="inlineStr">
        <is>
          <t>D</t>
        </is>
      </c>
      <c r="G307" t="inlineStr">
        <is>
          <t>Good</t>
        </is>
      </c>
      <c r="H307" t="n">
        <v>172</v>
      </c>
      <c r="I307">
        <f>B307&amp;"|"&amp;F307&amp;"|"&amp;G307</f>
        <v/>
      </c>
      <c r="J307" t="inlineStr">
        <is>
          <t>MVS Sec.12 p.9</t>
        </is>
      </c>
    </row>
    <row r="308">
      <c r="B308" t="inlineStr">
        <is>
          <t>Motels</t>
        </is>
      </c>
      <c r="C308" t="inlineStr">
        <is>
          <t>343</t>
        </is>
      </c>
      <c r="D308" t="inlineStr">
        <is>
          <t>12</t>
        </is>
      </c>
      <c r="E308" t="inlineStr">
        <is>
          <t>9</t>
        </is>
      </c>
      <c r="F308" t="inlineStr">
        <is>
          <t>D</t>
        </is>
      </c>
      <c r="G308" t="inlineStr">
        <is>
          <t>Average</t>
        </is>
      </c>
      <c r="H308" t="n">
        <v>125</v>
      </c>
      <c r="I308">
        <f>B308&amp;"|"&amp;F308&amp;"|"&amp;G308</f>
        <v/>
      </c>
      <c r="J308" t="inlineStr">
        <is>
          <t>MVS Sec.12 p.9</t>
        </is>
      </c>
    </row>
    <row r="309">
      <c r="B309" t="inlineStr">
        <is>
          <t>Motels</t>
        </is>
      </c>
      <c r="C309" t="inlineStr">
        <is>
          <t>343</t>
        </is>
      </c>
      <c r="D309" t="inlineStr">
        <is>
          <t>12</t>
        </is>
      </c>
      <c r="E309" t="inlineStr">
        <is>
          <t>9</t>
        </is>
      </c>
      <c r="F309" t="inlineStr">
        <is>
          <t>D</t>
        </is>
      </c>
      <c r="G309" t="inlineStr">
        <is>
          <t>Fair</t>
        </is>
      </c>
      <c r="H309" t="n">
        <v>109</v>
      </c>
      <c r="I309">
        <f>B309&amp;"|"&amp;F309&amp;"|"&amp;G309</f>
        <v/>
      </c>
      <c r="J309" t="inlineStr">
        <is>
          <t>MVS Sec.12 p.9</t>
        </is>
      </c>
    </row>
    <row r="310">
      <c r="B310" t="inlineStr">
        <is>
          <t>Motels</t>
        </is>
      </c>
      <c r="C310" t="inlineStr">
        <is>
          <t>343</t>
        </is>
      </c>
      <c r="D310" t="inlineStr">
        <is>
          <t>12</t>
        </is>
      </c>
      <c r="E310" t="inlineStr">
        <is>
          <t>9</t>
        </is>
      </c>
      <c r="F310" t="inlineStr">
        <is>
          <t>D</t>
        </is>
      </c>
      <c r="G310" t="inlineStr">
        <is>
          <t>Low Cost</t>
        </is>
      </c>
      <c r="H310" t="n">
        <v>92.5</v>
      </c>
      <c r="I310">
        <f>B310&amp;"|"&amp;F310&amp;"|"&amp;G310</f>
        <v/>
      </c>
      <c r="J310" t="inlineStr">
        <is>
          <t>MVS Sec.12 p.9</t>
        </is>
      </c>
    </row>
    <row r="311">
      <c r="B311" t="inlineStr">
        <is>
          <t>Motels</t>
        </is>
      </c>
      <c r="C311" t="inlineStr">
        <is>
          <t>343</t>
        </is>
      </c>
      <c r="D311" t="inlineStr">
        <is>
          <t>12</t>
        </is>
      </c>
      <c r="E311" t="inlineStr">
        <is>
          <t>9</t>
        </is>
      </c>
      <c r="F311" t="inlineStr">
        <is>
          <t>D</t>
        </is>
      </c>
      <c r="G311" t="inlineStr">
        <is>
          <t>Cheap</t>
        </is>
      </c>
      <c r="H311" t="n">
        <v>77</v>
      </c>
      <c r="I311">
        <f>B311&amp;"|"&amp;F311&amp;"|"&amp;G311</f>
        <v/>
      </c>
      <c r="J311" t="inlineStr">
        <is>
          <t>MVS Sec.12 p.9</t>
        </is>
      </c>
    </row>
    <row r="312">
      <c r="B312" t="inlineStr">
        <is>
          <t>Motels</t>
        </is>
      </c>
      <c r="C312" t="inlineStr">
        <is>
          <t>343</t>
        </is>
      </c>
      <c r="D312" t="inlineStr">
        <is>
          <t>12</t>
        </is>
      </c>
      <c r="E312" t="inlineStr">
        <is>
          <t>9</t>
        </is>
      </c>
      <c r="F312" t="inlineStr">
        <is>
          <t>S</t>
        </is>
      </c>
      <c r="G312" t="inlineStr">
        <is>
          <t>Average</t>
        </is>
      </c>
      <c r="H312" t="n">
        <v>122</v>
      </c>
      <c r="I312">
        <f>B312&amp;"|"&amp;F312&amp;"|"&amp;G312</f>
        <v/>
      </c>
      <c r="J312" t="inlineStr">
        <is>
          <t>MVS Sec.12 p.9</t>
        </is>
      </c>
    </row>
    <row r="313">
      <c r="B313" t="inlineStr">
        <is>
          <t>Shell Motels</t>
        </is>
      </c>
      <c r="C313" t="inlineStr">
        <is>
          <t>780</t>
        </is>
      </c>
      <c r="D313" t="inlineStr">
        <is>
          <t>12</t>
        </is>
      </c>
      <c r="E313" t="inlineStr">
        <is>
          <t>10</t>
        </is>
      </c>
      <c r="F313" t="inlineStr">
        <is>
          <t>C</t>
        </is>
      </c>
      <c r="G313" t="inlineStr">
        <is>
          <t>Excellent</t>
        </is>
      </c>
      <c r="H313" t="n">
        <v>115</v>
      </c>
      <c r="I313">
        <f>B313&amp;"|"&amp;F313&amp;"|"&amp;G313</f>
        <v/>
      </c>
      <c r="J313" t="inlineStr">
        <is>
          <t>MVS Sec.12 p.10</t>
        </is>
      </c>
    </row>
    <row r="314">
      <c r="B314" t="inlineStr">
        <is>
          <t>Shell Motels</t>
        </is>
      </c>
      <c r="C314" t="inlineStr">
        <is>
          <t>780</t>
        </is>
      </c>
      <c r="D314" t="inlineStr">
        <is>
          <t>12</t>
        </is>
      </c>
      <c r="E314" t="inlineStr">
        <is>
          <t>10</t>
        </is>
      </c>
      <c r="F314" t="inlineStr">
        <is>
          <t>C</t>
        </is>
      </c>
      <c r="G314" t="inlineStr">
        <is>
          <t>Good</t>
        </is>
      </c>
      <c r="H314" t="n">
        <v>89</v>
      </c>
      <c r="I314">
        <f>B314&amp;"|"&amp;F314&amp;"|"&amp;G314</f>
        <v/>
      </c>
      <c r="J314" t="inlineStr">
        <is>
          <t>MVS Sec.12 p.10</t>
        </is>
      </c>
    </row>
    <row r="315">
      <c r="B315" t="inlineStr">
        <is>
          <t>Shell Motels</t>
        </is>
      </c>
      <c r="C315" t="inlineStr">
        <is>
          <t>780</t>
        </is>
      </c>
      <c r="D315" t="inlineStr">
        <is>
          <t>12</t>
        </is>
      </c>
      <c r="E315" t="inlineStr">
        <is>
          <t>10</t>
        </is>
      </c>
      <c r="F315" t="inlineStr">
        <is>
          <t>C</t>
        </is>
      </c>
      <c r="G315" t="inlineStr">
        <is>
          <t>Average</t>
        </is>
      </c>
      <c r="H315" t="n">
        <v>69</v>
      </c>
      <c r="I315">
        <f>B315&amp;"|"&amp;F315&amp;"|"&amp;G315</f>
        <v/>
      </c>
      <c r="J315" t="inlineStr">
        <is>
          <t>MVS Sec.12 p.10</t>
        </is>
      </c>
    </row>
    <row r="316">
      <c r="B316" t="inlineStr">
        <is>
          <t>Shell Motels</t>
        </is>
      </c>
      <c r="C316" t="inlineStr">
        <is>
          <t>780</t>
        </is>
      </c>
      <c r="D316" t="inlineStr">
        <is>
          <t>12</t>
        </is>
      </c>
      <c r="E316" t="inlineStr">
        <is>
          <t>10</t>
        </is>
      </c>
      <c r="F316" t="inlineStr">
        <is>
          <t>C</t>
        </is>
      </c>
      <c r="G316" t="inlineStr">
        <is>
          <t>Fair</t>
        </is>
      </c>
      <c r="H316" t="n">
        <v>61</v>
      </c>
      <c r="I316">
        <f>B316&amp;"|"&amp;F316&amp;"|"&amp;G316</f>
        <v/>
      </c>
      <c r="J316" t="inlineStr">
        <is>
          <t>MVS Sec.12 p.10</t>
        </is>
      </c>
    </row>
    <row r="317">
      <c r="B317" t="inlineStr">
        <is>
          <t>Shell Motels</t>
        </is>
      </c>
      <c r="C317" t="inlineStr">
        <is>
          <t>780</t>
        </is>
      </c>
      <c r="D317" t="inlineStr">
        <is>
          <t>12</t>
        </is>
      </c>
      <c r="E317" t="inlineStr">
        <is>
          <t>10</t>
        </is>
      </c>
      <c r="F317" t="inlineStr">
        <is>
          <t>C</t>
        </is>
      </c>
      <c r="G317" t="inlineStr">
        <is>
          <t>Low Cost</t>
        </is>
      </c>
      <c r="H317" t="n">
        <v>53.5</v>
      </c>
      <c r="I317">
        <f>B317&amp;"|"&amp;F317&amp;"|"&amp;G317</f>
        <v/>
      </c>
      <c r="J317" t="inlineStr">
        <is>
          <t>MVS Sec.12 p.10</t>
        </is>
      </c>
    </row>
    <row r="318">
      <c r="B318" t="inlineStr">
        <is>
          <t>Shell Motels</t>
        </is>
      </c>
      <c r="C318" t="inlineStr">
        <is>
          <t>780</t>
        </is>
      </c>
      <c r="D318" t="inlineStr">
        <is>
          <t>12</t>
        </is>
      </c>
      <c r="E318" t="inlineStr">
        <is>
          <t>10</t>
        </is>
      </c>
      <c r="F318" t="inlineStr">
        <is>
          <t>C</t>
        </is>
      </c>
      <c r="G318" t="inlineStr">
        <is>
          <t>Cheap</t>
        </is>
      </c>
      <c r="H318" t="n">
        <v>45.25</v>
      </c>
      <c r="I318">
        <f>B318&amp;"|"&amp;F318&amp;"|"&amp;G318</f>
        <v/>
      </c>
      <c r="J318" t="inlineStr">
        <is>
          <t>MVS Sec.12 p.10</t>
        </is>
      </c>
    </row>
    <row r="319">
      <c r="B319" t="inlineStr">
        <is>
          <t>Shell Motels</t>
        </is>
      </c>
      <c r="C319" t="inlineStr">
        <is>
          <t>780</t>
        </is>
      </c>
      <c r="D319" t="inlineStr">
        <is>
          <t>12</t>
        </is>
      </c>
      <c r="E319" t="inlineStr">
        <is>
          <t>10</t>
        </is>
      </c>
      <c r="F319" t="inlineStr">
        <is>
          <t>D</t>
        </is>
      </c>
      <c r="G319" t="inlineStr">
        <is>
          <t>Excellent</t>
        </is>
      </c>
      <c r="H319" t="n">
        <v>110</v>
      </c>
      <c r="I319">
        <f>B319&amp;"|"&amp;F319&amp;"|"&amp;G319</f>
        <v/>
      </c>
      <c r="J319" t="inlineStr">
        <is>
          <t>MVS Sec.12 p.10</t>
        </is>
      </c>
    </row>
    <row r="320">
      <c r="B320" t="inlineStr">
        <is>
          <t>Shell Motels</t>
        </is>
      </c>
      <c r="C320" t="inlineStr">
        <is>
          <t>780</t>
        </is>
      </c>
      <c r="D320" t="inlineStr">
        <is>
          <t>12</t>
        </is>
      </c>
      <c r="E320" t="inlineStr">
        <is>
          <t>10</t>
        </is>
      </c>
      <c r="F320" t="inlineStr">
        <is>
          <t>D</t>
        </is>
      </c>
      <c r="G320" t="inlineStr">
        <is>
          <t>Good</t>
        </is>
      </c>
      <c r="H320" t="n">
        <v>85</v>
      </c>
      <c r="I320">
        <f>B320&amp;"|"&amp;F320&amp;"|"&amp;G320</f>
        <v/>
      </c>
      <c r="J320" t="inlineStr">
        <is>
          <t>MVS Sec.12 p.10</t>
        </is>
      </c>
    </row>
    <row r="321">
      <c r="B321" t="inlineStr">
        <is>
          <t>Shell Motels</t>
        </is>
      </c>
      <c r="C321" t="inlineStr">
        <is>
          <t>780</t>
        </is>
      </c>
      <c r="D321" t="inlineStr">
        <is>
          <t>12</t>
        </is>
      </c>
      <c r="E321" t="inlineStr">
        <is>
          <t>10</t>
        </is>
      </c>
      <c r="F321" t="inlineStr">
        <is>
          <t>D</t>
        </is>
      </c>
      <c r="G321" t="inlineStr">
        <is>
          <t>Average</t>
        </is>
      </c>
      <c r="H321" t="n">
        <v>65.5</v>
      </c>
      <c r="I321">
        <f>B321&amp;"|"&amp;F321&amp;"|"&amp;G321</f>
        <v/>
      </c>
      <c r="J321" t="inlineStr">
        <is>
          <t>MVS Sec.12 p.10</t>
        </is>
      </c>
    </row>
    <row r="322">
      <c r="B322" t="inlineStr">
        <is>
          <t>Shell Motels</t>
        </is>
      </c>
      <c r="C322" t="inlineStr">
        <is>
          <t>780</t>
        </is>
      </c>
      <c r="D322" t="inlineStr">
        <is>
          <t>12</t>
        </is>
      </c>
      <c r="E322" t="inlineStr">
        <is>
          <t>10</t>
        </is>
      </c>
      <c r="F322" t="inlineStr">
        <is>
          <t>D</t>
        </is>
      </c>
      <c r="G322" t="inlineStr">
        <is>
          <t>Fair</t>
        </is>
      </c>
      <c r="H322" t="n">
        <v>57.5</v>
      </c>
      <c r="I322">
        <f>B322&amp;"|"&amp;F322&amp;"|"&amp;G322</f>
        <v/>
      </c>
      <c r="J322" t="inlineStr">
        <is>
          <t>MVS Sec.12 p.10</t>
        </is>
      </c>
    </row>
    <row r="323">
      <c r="B323" t="inlineStr">
        <is>
          <t>Shell Motels</t>
        </is>
      </c>
      <c r="C323" t="inlineStr">
        <is>
          <t>780</t>
        </is>
      </c>
      <c r="D323" t="inlineStr">
        <is>
          <t>12</t>
        </is>
      </c>
      <c r="E323" t="inlineStr">
        <is>
          <t>10</t>
        </is>
      </c>
      <c r="F323" t="inlineStr">
        <is>
          <t>D</t>
        </is>
      </c>
      <c r="G323" t="inlineStr">
        <is>
          <t>Low Cost</t>
        </is>
      </c>
      <c r="H323" t="n">
        <v>50.5</v>
      </c>
      <c r="I323">
        <f>B323&amp;"|"&amp;F323&amp;"|"&amp;G323</f>
        <v/>
      </c>
      <c r="J323" t="inlineStr">
        <is>
          <t>MVS Sec.12 p.10</t>
        </is>
      </c>
    </row>
    <row r="324">
      <c r="B324" t="inlineStr">
        <is>
          <t>Shell Motels</t>
        </is>
      </c>
      <c r="C324" t="inlineStr">
        <is>
          <t>780</t>
        </is>
      </c>
      <c r="D324" t="inlineStr">
        <is>
          <t>12</t>
        </is>
      </c>
      <c r="E324" t="inlineStr">
        <is>
          <t>10</t>
        </is>
      </c>
      <c r="F324" t="inlineStr">
        <is>
          <t>D</t>
        </is>
      </c>
      <c r="G324" t="inlineStr">
        <is>
          <t>Cheap</t>
        </is>
      </c>
      <c r="H324" t="n">
        <v>42.75</v>
      </c>
      <c r="I324">
        <f>B324&amp;"|"&amp;F324&amp;"|"&amp;G324</f>
        <v/>
      </c>
      <c r="J324" t="inlineStr">
        <is>
          <t>MVS Sec.12 p.10</t>
        </is>
      </c>
    </row>
    <row r="325">
      <c r="B325" t="inlineStr">
        <is>
          <t>Shell Motels</t>
        </is>
      </c>
      <c r="C325" t="inlineStr">
        <is>
          <t>780</t>
        </is>
      </c>
      <c r="D325" t="inlineStr">
        <is>
          <t>12</t>
        </is>
      </c>
      <c r="E325" t="inlineStr">
        <is>
          <t>10</t>
        </is>
      </c>
      <c r="F325" t="inlineStr">
        <is>
          <t>S</t>
        </is>
      </c>
      <c r="G325" t="inlineStr">
        <is>
          <t>Average</t>
        </is>
      </c>
      <c r="H325" t="n">
        <v>63.5</v>
      </c>
      <c r="I325">
        <f>B325&amp;"|"&amp;F325&amp;"|"&amp;G325</f>
        <v/>
      </c>
      <c r="J325" t="inlineStr">
        <is>
          <t>MVS Sec.12 p.10</t>
        </is>
      </c>
    </row>
    <row r="326">
      <c r="B326" t="inlineStr">
        <is>
          <t>Extended-Stay Motels</t>
        </is>
      </c>
      <c r="C326" t="inlineStr">
        <is>
          <t>588</t>
        </is>
      </c>
      <c r="D326" t="inlineStr">
        <is>
          <t>12</t>
        </is>
      </c>
      <c r="E326" t="inlineStr">
        <is>
          <t>11</t>
        </is>
      </c>
      <c r="F326" t="inlineStr">
        <is>
          <t>C</t>
        </is>
      </c>
      <c r="G326" t="inlineStr">
        <is>
          <t>Excellent</t>
        </is>
      </c>
      <c r="H326" t="n">
        <v>189</v>
      </c>
      <c r="I326">
        <f>B326&amp;"|"&amp;F326&amp;"|"&amp;G326</f>
        <v/>
      </c>
      <c r="J326" t="inlineStr">
        <is>
          <t>MVS Sec.12 p.11</t>
        </is>
      </c>
    </row>
    <row r="327">
      <c r="B327" t="inlineStr">
        <is>
          <t>Extended-Stay Motels</t>
        </is>
      </c>
      <c r="C327" t="inlineStr">
        <is>
          <t>588</t>
        </is>
      </c>
      <c r="D327" t="inlineStr">
        <is>
          <t>12</t>
        </is>
      </c>
      <c r="E327" t="inlineStr">
        <is>
          <t>11</t>
        </is>
      </c>
      <c r="F327" t="inlineStr">
        <is>
          <t>C</t>
        </is>
      </c>
      <c r="G327" t="inlineStr">
        <is>
          <t>Good</t>
        </is>
      </c>
      <c r="H327" t="n">
        <v>152</v>
      </c>
      <c r="I327">
        <f>B327&amp;"|"&amp;F327&amp;"|"&amp;G327</f>
        <v/>
      </c>
      <c r="J327" t="inlineStr">
        <is>
          <t>MVS Sec.12 p.11</t>
        </is>
      </c>
    </row>
    <row r="328">
      <c r="B328" t="inlineStr">
        <is>
          <t>Extended-Stay Motels</t>
        </is>
      </c>
      <c r="C328" t="inlineStr">
        <is>
          <t>588</t>
        </is>
      </c>
      <c r="D328" t="inlineStr">
        <is>
          <t>12</t>
        </is>
      </c>
      <c r="E328" t="inlineStr">
        <is>
          <t>11</t>
        </is>
      </c>
      <c r="F328" t="inlineStr">
        <is>
          <t>C</t>
        </is>
      </c>
      <c r="G328" t="inlineStr">
        <is>
          <t>Average</t>
        </is>
      </c>
      <c r="H328" t="n">
        <v>121</v>
      </c>
      <c r="I328">
        <f>B328&amp;"|"&amp;F328&amp;"|"&amp;G328</f>
        <v/>
      </c>
      <c r="J328" t="inlineStr">
        <is>
          <t>MVS Sec.12 p.11</t>
        </is>
      </c>
    </row>
    <row r="329">
      <c r="B329" t="inlineStr">
        <is>
          <t>Extended-Stay Motels</t>
        </is>
      </c>
      <c r="C329" t="inlineStr">
        <is>
          <t>588</t>
        </is>
      </c>
      <c r="D329" t="inlineStr">
        <is>
          <t>12</t>
        </is>
      </c>
      <c r="E329" t="inlineStr">
        <is>
          <t>11</t>
        </is>
      </c>
      <c r="F329" t="inlineStr">
        <is>
          <t>C</t>
        </is>
      </c>
      <c r="G329" t="inlineStr">
        <is>
          <t>Fair</t>
        </is>
      </c>
      <c r="H329" t="n">
        <v>109</v>
      </c>
      <c r="I329">
        <f>B329&amp;"|"&amp;F329&amp;"|"&amp;G329</f>
        <v/>
      </c>
      <c r="J329" t="inlineStr">
        <is>
          <t>MVS Sec.12 p.11</t>
        </is>
      </c>
    </row>
    <row r="330">
      <c r="B330" t="inlineStr">
        <is>
          <t>Extended-Stay Motels</t>
        </is>
      </c>
      <c r="C330" t="inlineStr">
        <is>
          <t>588</t>
        </is>
      </c>
      <c r="D330" t="inlineStr">
        <is>
          <t>12</t>
        </is>
      </c>
      <c r="E330" t="inlineStr">
        <is>
          <t>11</t>
        </is>
      </c>
      <c r="F330" t="inlineStr">
        <is>
          <t>C</t>
        </is>
      </c>
      <c r="G330" t="inlineStr">
        <is>
          <t>Low Cost</t>
        </is>
      </c>
      <c r="H330" t="n">
        <v>98.5</v>
      </c>
      <c r="I330">
        <f>B330&amp;"|"&amp;F330&amp;"|"&amp;G330</f>
        <v/>
      </c>
      <c r="J330" t="inlineStr">
        <is>
          <t>MVS Sec.12 p.11</t>
        </is>
      </c>
    </row>
    <row r="331">
      <c r="B331" t="inlineStr">
        <is>
          <t>Extended-Stay Motels</t>
        </is>
      </c>
      <c r="C331" t="inlineStr">
        <is>
          <t>588</t>
        </is>
      </c>
      <c r="D331" t="inlineStr">
        <is>
          <t>12</t>
        </is>
      </c>
      <c r="E331" t="inlineStr">
        <is>
          <t>11</t>
        </is>
      </c>
      <c r="F331" t="inlineStr">
        <is>
          <t>D</t>
        </is>
      </c>
      <c r="G331" t="inlineStr">
        <is>
          <t>Excellent</t>
        </is>
      </c>
      <c r="H331" t="n">
        <v>184</v>
      </c>
      <c r="I331">
        <f>B331&amp;"|"&amp;F331&amp;"|"&amp;G331</f>
        <v/>
      </c>
      <c r="J331" t="inlineStr">
        <is>
          <t>MVS Sec.12 p.11</t>
        </is>
      </c>
    </row>
    <row r="332">
      <c r="B332" t="inlineStr">
        <is>
          <t>Extended-Stay Motels</t>
        </is>
      </c>
      <c r="C332" t="inlineStr">
        <is>
          <t>588</t>
        </is>
      </c>
      <c r="D332" t="inlineStr">
        <is>
          <t>12</t>
        </is>
      </c>
      <c r="E332" t="inlineStr">
        <is>
          <t>11</t>
        </is>
      </c>
      <c r="F332" t="inlineStr">
        <is>
          <t>D</t>
        </is>
      </c>
      <c r="G332" t="inlineStr">
        <is>
          <t>Good</t>
        </is>
      </c>
      <c r="H332" t="n">
        <v>148</v>
      </c>
      <c r="I332">
        <f>B332&amp;"|"&amp;F332&amp;"|"&amp;G332</f>
        <v/>
      </c>
      <c r="J332" t="inlineStr">
        <is>
          <t>MVS Sec.12 p.11</t>
        </is>
      </c>
    </row>
    <row r="333">
      <c r="B333" t="inlineStr">
        <is>
          <t>Extended-Stay Motels</t>
        </is>
      </c>
      <c r="C333" t="inlineStr">
        <is>
          <t>588</t>
        </is>
      </c>
      <c r="D333" t="inlineStr">
        <is>
          <t>12</t>
        </is>
      </c>
      <c r="E333" t="inlineStr">
        <is>
          <t>11</t>
        </is>
      </c>
      <c r="F333" t="inlineStr">
        <is>
          <t>D</t>
        </is>
      </c>
      <c r="G333" t="inlineStr">
        <is>
          <t>Average</t>
        </is>
      </c>
      <c r="H333" t="n">
        <v>117</v>
      </c>
      <c r="I333">
        <f>B333&amp;"|"&amp;F333&amp;"|"&amp;G333</f>
        <v/>
      </c>
      <c r="J333" t="inlineStr">
        <is>
          <t>MVS Sec.12 p.11</t>
        </is>
      </c>
    </row>
    <row r="334">
      <c r="B334" t="inlineStr">
        <is>
          <t>Extended-Stay Motels</t>
        </is>
      </c>
      <c r="C334" t="inlineStr">
        <is>
          <t>588</t>
        </is>
      </c>
      <c r="D334" t="inlineStr">
        <is>
          <t>12</t>
        </is>
      </c>
      <c r="E334" t="inlineStr">
        <is>
          <t>11</t>
        </is>
      </c>
      <c r="F334" t="inlineStr">
        <is>
          <t>D</t>
        </is>
      </c>
      <c r="G334" t="inlineStr">
        <is>
          <t>Fair</t>
        </is>
      </c>
      <c r="H334" t="n">
        <v>106</v>
      </c>
      <c r="I334">
        <f>B334&amp;"|"&amp;F334&amp;"|"&amp;G334</f>
        <v/>
      </c>
      <c r="J334" t="inlineStr">
        <is>
          <t>MVS Sec.12 p.11</t>
        </is>
      </c>
    </row>
    <row r="335">
      <c r="B335" t="inlineStr">
        <is>
          <t>Extended-Stay Motels</t>
        </is>
      </c>
      <c r="C335" t="inlineStr">
        <is>
          <t>588</t>
        </is>
      </c>
      <c r="D335" t="inlineStr">
        <is>
          <t>12</t>
        </is>
      </c>
      <c r="E335" t="inlineStr">
        <is>
          <t>11</t>
        </is>
      </c>
      <c r="F335" t="inlineStr">
        <is>
          <t>D</t>
        </is>
      </c>
      <c r="G335" t="inlineStr">
        <is>
          <t>Low Cost</t>
        </is>
      </c>
      <c r="H335" t="n">
        <v>96</v>
      </c>
      <c r="I335">
        <f>B335&amp;"|"&amp;F335&amp;"|"&amp;G335</f>
        <v/>
      </c>
      <c r="J335" t="inlineStr">
        <is>
          <t>MVS Sec.12 p.11</t>
        </is>
      </c>
    </row>
    <row r="336">
      <c r="B336" t="inlineStr">
        <is>
          <t>Shell Extended Stay - Motels</t>
        </is>
      </c>
      <c r="C336" t="inlineStr">
        <is>
          <t>781</t>
        </is>
      </c>
      <c r="D336" t="inlineStr">
        <is>
          <t>12</t>
        </is>
      </c>
      <c r="E336" t="inlineStr">
        <is>
          <t>12</t>
        </is>
      </c>
      <c r="F336" t="inlineStr">
        <is>
          <t>C</t>
        </is>
      </c>
      <c r="G336" t="inlineStr">
        <is>
          <t>Excellent</t>
        </is>
      </c>
      <c r="H336" t="n">
        <v>107</v>
      </c>
      <c r="I336">
        <f>B336&amp;"|"&amp;F336&amp;"|"&amp;G336</f>
        <v/>
      </c>
      <c r="J336" t="inlineStr">
        <is>
          <t>MVS Sec.12 p.12</t>
        </is>
      </c>
    </row>
    <row r="337">
      <c r="B337" t="inlineStr">
        <is>
          <t>Shell Extended Stay - Motels</t>
        </is>
      </c>
      <c r="C337" t="inlineStr">
        <is>
          <t>781</t>
        </is>
      </c>
      <c r="D337" t="inlineStr">
        <is>
          <t>12</t>
        </is>
      </c>
      <c r="E337" t="inlineStr">
        <is>
          <t>12</t>
        </is>
      </c>
      <c r="F337" t="inlineStr">
        <is>
          <t>C</t>
        </is>
      </c>
      <c r="G337" t="inlineStr">
        <is>
          <t>Good</t>
        </is>
      </c>
      <c r="H337" t="n">
        <v>88.5</v>
      </c>
      <c r="I337">
        <f>B337&amp;"|"&amp;F337&amp;"|"&amp;G337</f>
        <v/>
      </c>
      <c r="J337" t="inlineStr">
        <is>
          <t>MVS Sec.12 p.12</t>
        </is>
      </c>
    </row>
    <row r="338">
      <c r="B338" t="inlineStr">
        <is>
          <t>Shell Extended Stay - Motels</t>
        </is>
      </c>
      <c r="C338" t="inlineStr">
        <is>
          <t>781</t>
        </is>
      </c>
      <c r="D338" t="inlineStr">
        <is>
          <t>12</t>
        </is>
      </c>
      <c r="E338" t="inlineStr">
        <is>
          <t>12</t>
        </is>
      </c>
      <c r="F338" t="inlineStr">
        <is>
          <t>C</t>
        </is>
      </c>
      <c r="G338" t="inlineStr">
        <is>
          <t>Average</t>
        </is>
      </c>
      <c r="H338" t="n">
        <v>73</v>
      </c>
      <c r="I338">
        <f>B338&amp;"|"&amp;F338&amp;"|"&amp;G338</f>
        <v/>
      </c>
      <c r="J338" t="inlineStr">
        <is>
          <t>MVS Sec.12 p.12</t>
        </is>
      </c>
    </row>
    <row r="339">
      <c r="B339" t="inlineStr">
        <is>
          <t>Shell Extended Stay - Motels</t>
        </is>
      </c>
      <c r="C339" t="inlineStr">
        <is>
          <t>781</t>
        </is>
      </c>
      <c r="D339" t="inlineStr">
        <is>
          <t>12</t>
        </is>
      </c>
      <c r="E339" t="inlineStr">
        <is>
          <t>12</t>
        </is>
      </c>
      <c r="F339" t="inlineStr">
        <is>
          <t>C</t>
        </is>
      </c>
      <c r="G339" t="inlineStr">
        <is>
          <t>Fair</t>
        </is>
      </c>
      <c r="H339" t="n">
        <v>66.5</v>
      </c>
      <c r="I339">
        <f>B339&amp;"|"&amp;F339&amp;"|"&amp;G339</f>
        <v/>
      </c>
      <c r="J339" t="inlineStr">
        <is>
          <t>MVS Sec.12 p.12</t>
        </is>
      </c>
    </row>
    <row r="340">
      <c r="B340" t="inlineStr">
        <is>
          <t>Shell Extended Stay - Motels</t>
        </is>
      </c>
      <c r="C340" t="inlineStr">
        <is>
          <t>781</t>
        </is>
      </c>
      <c r="D340" t="inlineStr">
        <is>
          <t>12</t>
        </is>
      </c>
      <c r="E340" t="inlineStr">
        <is>
          <t>12</t>
        </is>
      </c>
      <c r="F340" t="inlineStr">
        <is>
          <t>C</t>
        </is>
      </c>
      <c r="G340" t="inlineStr">
        <is>
          <t>Low Cost</t>
        </is>
      </c>
      <c r="H340" t="n">
        <v>60.5</v>
      </c>
      <c r="I340">
        <f>B340&amp;"|"&amp;F340&amp;"|"&amp;G340</f>
        <v/>
      </c>
      <c r="J340" t="inlineStr">
        <is>
          <t>MVS Sec.12 p.12</t>
        </is>
      </c>
    </row>
    <row r="341">
      <c r="B341" t="inlineStr">
        <is>
          <t>Shell Extended Stay - Motels</t>
        </is>
      </c>
      <c r="C341" t="inlineStr">
        <is>
          <t>781</t>
        </is>
      </c>
      <c r="D341" t="inlineStr">
        <is>
          <t>12</t>
        </is>
      </c>
      <c r="E341" t="inlineStr">
        <is>
          <t>12</t>
        </is>
      </c>
      <c r="F341" t="inlineStr">
        <is>
          <t>D</t>
        </is>
      </c>
      <c r="G341" t="inlineStr">
        <is>
          <t>Excellent</t>
        </is>
      </c>
      <c r="H341" t="n">
        <v>101</v>
      </c>
      <c r="I341">
        <f>B341&amp;"|"&amp;F341&amp;"|"&amp;G341</f>
        <v/>
      </c>
      <c r="J341" t="inlineStr">
        <is>
          <t>MVS Sec.12 p.12</t>
        </is>
      </c>
    </row>
    <row r="342">
      <c r="B342" t="inlineStr">
        <is>
          <t>Shell Extended Stay - Motels</t>
        </is>
      </c>
      <c r="C342" t="inlineStr">
        <is>
          <t>781</t>
        </is>
      </c>
      <c r="D342" t="inlineStr">
        <is>
          <t>12</t>
        </is>
      </c>
      <c r="E342" t="inlineStr">
        <is>
          <t>12</t>
        </is>
      </c>
      <c r="F342" t="inlineStr">
        <is>
          <t>D</t>
        </is>
      </c>
      <c r="G342" t="inlineStr">
        <is>
          <t>Good</t>
        </is>
      </c>
      <c r="H342" t="n">
        <v>83.5</v>
      </c>
      <c r="I342">
        <f>B342&amp;"|"&amp;F342&amp;"|"&amp;G342</f>
        <v/>
      </c>
      <c r="J342" t="inlineStr">
        <is>
          <t>MVS Sec.12 p.12</t>
        </is>
      </c>
    </row>
    <row r="343">
      <c r="B343" t="inlineStr">
        <is>
          <t>Shell Extended Stay - Motels</t>
        </is>
      </c>
      <c r="C343" t="inlineStr">
        <is>
          <t>781</t>
        </is>
      </c>
      <c r="D343" t="inlineStr">
        <is>
          <t>12</t>
        </is>
      </c>
      <c r="E343" t="inlineStr">
        <is>
          <t>12</t>
        </is>
      </c>
      <c r="F343" t="inlineStr">
        <is>
          <t>D</t>
        </is>
      </c>
      <c r="G343" t="inlineStr">
        <is>
          <t>Average</t>
        </is>
      </c>
      <c r="H343" t="n">
        <v>69.5</v>
      </c>
      <c r="I343">
        <f>B343&amp;"|"&amp;F343&amp;"|"&amp;G343</f>
        <v/>
      </c>
      <c r="J343" t="inlineStr">
        <is>
          <t>MVS Sec.12 p.12</t>
        </is>
      </c>
    </row>
    <row r="344">
      <c r="B344" t="inlineStr">
        <is>
          <t>Shell Extended Stay - Motels</t>
        </is>
      </c>
      <c r="C344" t="inlineStr">
        <is>
          <t>781</t>
        </is>
      </c>
      <c r="D344" t="inlineStr">
        <is>
          <t>12</t>
        </is>
      </c>
      <c r="E344" t="inlineStr">
        <is>
          <t>12</t>
        </is>
      </c>
      <c r="F344" t="inlineStr">
        <is>
          <t>D</t>
        </is>
      </c>
      <c r="G344" t="inlineStr">
        <is>
          <t>Fair</t>
        </is>
      </c>
      <c r="H344" t="n">
        <v>63</v>
      </c>
      <c r="I344">
        <f>B344&amp;"|"&amp;F344&amp;"|"&amp;G344</f>
        <v/>
      </c>
      <c r="J344" t="inlineStr">
        <is>
          <t>MVS Sec.12 p.12</t>
        </is>
      </c>
    </row>
    <row r="345">
      <c r="B345" t="inlineStr">
        <is>
          <t>Shell Extended Stay - Motels</t>
        </is>
      </c>
      <c r="C345" t="inlineStr">
        <is>
          <t>781</t>
        </is>
      </c>
      <c r="D345" t="inlineStr">
        <is>
          <t>12</t>
        </is>
      </c>
      <c r="E345" t="inlineStr">
        <is>
          <t>12</t>
        </is>
      </c>
      <c r="F345" t="inlineStr">
        <is>
          <t>D</t>
        </is>
      </c>
      <c r="G345" t="inlineStr">
        <is>
          <t>Low Cost</t>
        </is>
      </c>
      <c r="H345" t="n">
        <v>57.5</v>
      </c>
      <c r="I345">
        <f>B345&amp;"|"&amp;F345&amp;"|"&amp;G345</f>
        <v/>
      </c>
      <c r="J345" t="inlineStr">
        <is>
          <t>MVS Sec.12 p.12</t>
        </is>
      </c>
    </row>
    <row r="346">
      <c r="B346" t="inlineStr">
        <is>
          <t>Office-Apartments</t>
        </is>
      </c>
      <c r="C346" t="inlineStr">
        <is>
          <t>544</t>
        </is>
      </c>
      <c r="D346" t="inlineStr">
        <is>
          <t>12</t>
        </is>
      </c>
      <c r="E346" t="inlineStr">
        <is>
          <t>13</t>
        </is>
      </c>
      <c r="F346" t="inlineStr">
        <is>
          <t>C</t>
        </is>
      </c>
      <c r="G346" t="inlineStr">
        <is>
          <t>Excellent</t>
        </is>
      </c>
      <c r="H346" t="n">
        <v>258</v>
      </c>
      <c r="I346">
        <f>B346&amp;"|"&amp;F346&amp;"|"&amp;G346</f>
        <v/>
      </c>
      <c r="J346" t="inlineStr">
        <is>
          <t>MVS Sec.12 p.13</t>
        </is>
      </c>
    </row>
    <row r="347">
      <c r="B347" t="inlineStr">
        <is>
          <t>Office-Apartments</t>
        </is>
      </c>
      <c r="C347" t="inlineStr">
        <is>
          <t>544</t>
        </is>
      </c>
      <c r="D347" t="inlineStr">
        <is>
          <t>12</t>
        </is>
      </c>
      <c r="E347" t="inlineStr">
        <is>
          <t>13</t>
        </is>
      </c>
      <c r="F347" t="inlineStr">
        <is>
          <t>C</t>
        </is>
      </c>
      <c r="G347" t="inlineStr">
        <is>
          <t>Good</t>
        </is>
      </c>
      <c r="H347" t="n">
        <v>186</v>
      </c>
      <c r="I347">
        <f>B347&amp;"|"&amp;F347&amp;"|"&amp;G347</f>
        <v/>
      </c>
      <c r="J347" t="inlineStr">
        <is>
          <t>MVS Sec.12 p.13</t>
        </is>
      </c>
    </row>
    <row r="348">
      <c r="B348" t="inlineStr">
        <is>
          <t>Office-Apartments</t>
        </is>
      </c>
      <c r="C348" t="inlineStr">
        <is>
          <t>544</t>
        </is>
      </c>
      <c r="D348" t="inlineStr">
        <is>
          <t>12</t>
        </is>
      </c>
      <c r="E348" t="inlineStr">
        <is>
          <t>13</t>
        </is>
      </c>
      <c r="F348" t="inlineStr">
        <is>
          <t>C</t>
        </is>
      </c>
      <c r="G348" t="inlineStr">
        <is>
          <t>Average</t>
        </is>
      </c>
      <c r="H348" t="n">
        <v>133</v>
      </c>
      <c r="I348">
        <f>B348&amp;"|"&amp;F348&amp;"|"&amp;G348</f>
        <v/>
      </c>
      <c r="J348" t="inlineStr">
        <is>
          <t>MVS Sec.12 p.13</t>
        </is>
      </c>
    </row>
    <row r="349">
      <c r="B349" t="inlineStr">
        <is>
          <t>Office-Apartments</t>
        </is>
      </c>
      <c r="C349" t="inlineStr">
        <is>
          <t>544</t>
        </is>
      </c>
      <c r="D349" t="inlineStr">
        <is>
          <t>12</t>
        </is>
      </c>
      <c r="E349" t="inlineStr">
        <is>
          <t>13</t>
        </is>
      </c>
      <c r="F349" t="inlineStr">
        <is>
          <t>C</t>
        </is>
      </c>
      <c r="G349" t="inlineStr">
        <is>
          <t>Low Cost</t>
        </is>
      </c>
      <c r="H349" t="n">
        <v>94</v>
      </c>
      <c r="I349">
        <f>B349&amp;"|"&amp;F349&amp;"|"&amp;G349</f>
        <v/>
      </c>
      <c r="J349" t="inlineStr">
        <is>
          <t>MVS Sec.12 p.13</t>
        </is>
      </c>
    </row>
    <row r="350">
      <c r="B350" t="inlineStr">
        <is>
          <t>Office-Apartments</t>
        </is>
      </c>
      <c r="C350" t="inlineStr">
        <is>
          <t>544</t>
        </is>
      </c>
      <c r="D350" t="inlineStr">
        <is>
          <t>12</t>
        </is>
      </c>
      <c r="E350" t="inlineStr">
        <is>
          <t>13</t>
        </is>
      </c>
      <c r="F350" t="inlineStr">
        <is>
          <t>C</t>
        </is>
      </c>
      <c r="G350" t="inlineStr">
        <is>
          <t>Cheap</t>
        </is>
      </c>
      <c r="H350" t="n">
        <v>78</v>
      </c>
      <c r="I350">
        <f>B350&amp;"|"&amp;F350&amp;"|"&amp;G350</f>
        <v/>
      </c>
      <c r="J350" t="inlineStr">
        <is>
          <t>MVS Sec.12 p.13</t>
        </is>
      </c>
    </row>
    <row r="351">
      <c r="B351" t="inlineStr">
        <is>
          <t>Office-Apartments</t>
        </is>
      </c>
      <c r="C351" t="inlineStr">
        <is>
          <t>544</t>
        </is>
      </c>
      <c r="D351" t="inlineStr">
        <is>
          <t>12</t>
        </is>
      </c>
      <c r="E351" t="inlineStr">
        <is>
          <t>13</t>
        </is>
      </c>
      <c r="F351" t="inlineStr">
        <is>
          <t>D</t>
        </is>
      </c>
      <c r="G351" t="inlineStr">
        <is>
          <t>Excellent</t>
        </is>
      </c>
      <c r="H351" t="n">
        <v>254</v>
      </c>
      <c r="I351">
        <f>B351&amp;"|"&amp;F351&amp;"|"&amp;G351</f>
        <v/>
      </c>
      <c r="J351" t="inlineStr">
        <is>
          <t>MVS Sec.12 p.13</t>
        </is>
      </c>
    </row>
    <row r="352">
      <c r="B352" t="inlineStr">
        <is>
          <t>Office-Apartments</t>
        </is>
      </c>
      <c r="C352" t="inlineStr">
        <is>
          <t>544</t>
        </is>
      </c>
      <c r="D352" t="inlineStr">
        <is>
          <t>12</t>
        </is>
      </c>
      <c r="E352" t="inlineStr">
        <is>
          <t>13</t>
        </is>
      </c>
      <c r="F352" t="inlineStr">
        <is>
          <t>D</t>
        </is>
      </c>
      <c r="G352" t="inlineStr">
        <is>
          <t>Good</t>
        </is>
      </c>
      <c r="H352" t="n">
        <v>182</v>
      </c>
      <c r="I352">
        <f>B352&amp;"|"&amp;F352&amp;"|"&amp;G352</f>
        <v/>
      </c>
      <c r="J352" t="inlineStr">
        <is>
          <t>MVS Sec.12 p.13</t>
        </is>
      </c>
    </row>
    <row r="353">
      <c r="B353" t="inlineStr">
        <is>
          <t>Office-Apartments</t>
        </is>
      </c>
      <c r="C353" t="inlineStr">
        <is>
          <t>544</t>
        </is>
      </c>
      <c r="D353" t="inlineStr">
        <is>
          <t>12</t>
        </is>
      </c>
      <c r="E353" t="inlineStr">
        <is>
          <t>13</t>
        </is>
      </c>
      <c r="F353" t="inlineStr">
        <is>
          <t>D</t>
        </is>
      </c>
      <c r="G353" t="inlineStr">
        <is>
          <t>Average</t>
        </is>
      </c>
      <c r="H353" t="n">
        <v>129</v>
      </c>
      <c r="I353">
        <f>B353&amp;"|"&amp;F353&amp;"|"&amp;G353</f>
        <v/>
      </c>
      <c r="J353" t="inlineStr">
        <is>
          <t>MVS Sec.12 p.13</t>
        </is>
      </c>
    </row>
    <row r="354">
      <c r="B354" t="inlineStr">
        <is>
          <t>Office-Apartments</t>
        </is>
      </c>
      <c r="C354" t="inlineStr">
        <is>
          <t>544</t>
        </is>
      </c>
      <c r="D354" t="inlineStr">
        <is>
          <t>12</t>
        </is>
      </c>
      <c r="E354" t="inlineStr">
        <is>
          <t>13</t>
        </is>
      </c>
      <c r="F354" t="inlineStr">
        <is>
          <t>D</t>
        </is>
      </c>
      <c r="G354" t="inlineStr">
        <is>
          <t>Low Cost</t>
        </is>
      </c>
      <c r="H354" t="n">
        <v>91.5</v>
      </c>
      <c r="I354">
        <f>B354&amp;"|"&amp;F354&amp;"|"&amp;G354</f>
        <v/>
      </c>
      <c r="J354" t="inlineStr">
        <is>
          <t>MVS Sec.12 p.13</t>
        </is>
      </c>
    </row>
    <row r="355">
      <c r="B355" t="inlineStr">
        <is>
          <t>Office-Apartments</t>
        </is>
      </c>
      <c r="C355" t="inlineStr">
        <is>
          <t>544</t>
        </is>
      </c>
      <c r="D355" t="inlineStr">
        <is>
          <t>12</t>
        </is>
      </c>
      <c r="E355" t="inlineStr">
        <is>
          <t>13</t>
        </is>
      </c>
      <c r="F355" t="inlineStr">
        <is>
          <t>D</t>
        </is>
      </c>
      <c r="G355" t="inlineStr">
        <is>
          <t>Cheap</t>
        </is>
      </c>
      <c r="H355" t="n">
        <v>75.5</v>
      </c>
      <c r="I355">
        <f>B355&amp;"|"&amp;F355&amp;"|"&amp;G355</f>
        <v/>
      </c>
      <c r="J355" t="inlineStr">
        <is>
          <t>MVS Sec.12 p.13</t>
        </is>
      </c>
    </row>
    <row r="356">
      <c r="B356" t="inlineStr">
        <is>
          <t>Office-Apartments</t>
        </is>
      </c>
      <c r="C356" t="inlineStr">
        <is>
          <t>544</t>
        </is>
      </c>
      <c r="D356" t="inlineStr">
        <is>
          <t>12</t>
        </is>
      </c>
      <c r="E356" t="inlineStr">
        <is>
          <t>13</t>
        </is>
      </c>
      <c r="F356" t="inlineStr">
        <is>
          <t>S</t>
        </is>
      </c>
      <c r="G356" t="inlineStr">
        <is>
          <t>Average</t>
        </is>
      </c>
      <c r="H356" t="n">
        <v>126</v>
      </c>
      <c r="I356">
        <f>B356&amp;"|"&amp;F356&amp;"|"&amp;G356</f>
        <v/>
      </c>
      <c r="J356" t="inlineStr">
        <is>
          <t>MVS Sec.12 p.13</t>
        </is>
      </c>
    </row>
    <row r="357">
      <c r="B357" t="inlineStr">
        <is>
          <t>Motel Guest Rooms</t>
        </is>
      </c>
      <c r="C357" t="inlineStr">
        <is>
          <t>540</t>
        </is>
      </c>
      <c r="D357" t="inlineStr">
        <is>
          <t>12</t>
        </is>
      </c>
      <c r="E357" t="inlineStr">
        <is>
          <t>13</t>
        </is>
      </c>
      <c r="F357" t="inlineStr">
        <is>
          <t>C</t>
        </is>
      </c>
      <c r="G357" t="inlineStr">
        <is>
          <t>Excellent</t>
        </is>
      </c>
      <c r="H357" t="n">
        <v>226</v>
      </c>
      <c r="I357">
        <f>B357&amp;"|"&amp;F357&amp;"|"&amp;G357</f>
        <v/>
      </c>
      <c r="J357" t="inlineStr">
        <is>
          <t>MVS Sec.12 p.13</t>
        </is>
      </c>
    </row>
    <row r="358">
      <c r="B358" t="inlineStr">
        <is>
          <t>Motel Guest Rooms</t>
        </is>
      </c>
      <c r="C358" t="inlineStr">
        <is>
          <t>540</t>
        </is>
      </c>
      <c r="D358" t="inlineStr">
        <is>
          <t>12</t>
        </is>
      </c>
      <c r="E358" t="inlineStr">
        <is>
          <t>13</t>
        </is>
      </c>
      <c r="F358" t="inlineStr">
        <is>
          <t>C</t>
        </is>
      </c>
      <c r="G358" t="inlineStr">
        <is>
          <t>Good</t>
        </is>
      </c>
      <c r="H358" t="n">
        <v>171</v>
      </c>
      <c r="I358">
        <f>B358&amp;"|"&amp;F358&amp;"|"&amp;G358</f>
        <v/>
      </c>
      <c r="J358" t="inlineStr">
        <is>
          <t>MVS Sec.12 p.13</t>
        </is>
      </c>
    </row>
    <row r="359">
      <c r="B359" t="inlineStr">
        <is>
          <t>Motel Guest Rooms</t>
        </is>
      </c>
      <c r="C359" t="inlineStr">
        <is>
          <t>540</t>
        </is>
      </c>
      <c r="D359" t="inlineStr">
        <is>
          <t>12</t>
        </is>
      </c>
      <c r="E359" t="inlineStr">
        <is>
          <t>13</t>
        </is>
      </c>
      <c r="F359" t="inlineStr">
        <is>
          <t>C</t>
        </is>
      </c>
      <c r="G359" t="inlineStr">
        <is>
          <t>Average</t>
        </is>
      </c>
      <c r="H359" t="n">
        <v>126</v>
      </c>
      <c r="I359">
        <f>B359&amp;"|"&amp;F359&amp;"|"&amp;G359</f>
        <v/>
      </c>
      <c r="J359" t="inlineStr">
        <is>
          <t>MVS Sec.12 p.13</t>
        </is>
      </c>
    </row>
    <row r="360">
      <c r="B360" t="inlineStr">
        <is>
          <t>Motel Guest Rooms</t>
        </is>
      </c>
      <c r="C360" t="inlineStr">
        <is>
          <t>540</t>
        </is>
      </c>
      <c r="D360" t="inlineStr">
        <is>
          <t>12</t>
        </is>
      </c>
      <c r="E360" t="inlineStr">
        <is>
          <t>13</t>
        </is>
      </c>
      <c r="F360" t="inlineStr">
        <is>
          <t>C</t>
        </is>
      </c>
      <c r="G360" t="inlineStr">
        <is>
          <t>Low Cost</t>
        </is>
      </c>
      <c r="H360" t="n">
        <v>95</v>
      </c>
      <c r="I360">
        <f>B360&amp;"|"&amp;F360&amp;"|"&amp;G360</f>
        <v/>
      </c>
      <c r="J360" t="inlineStr">
        <is>
          <t>MVS Sec.12 p.13</t>
        </is>
      </c>
    </row>
    <row r="361">
      <c r="B361" t="inlineStr">
        <is>
          <t>Motel Guest Rooms</t>
        </is>
      </c>
      <c r="C361" t="inlineStr">
        <is>
          <t>540</t>
        </is>
      </c>
      <c r="D361" t="inlineStr">
        <is>
          <t>12</t>
        </is>
      </c>
      <c r="E361" t="inlineStr">
        <is>
          <t>13</t>
        </is>
      </c>
      <c r="F361" t="inlineStr">
        <is>
          <t>C</t>
        </is>
      </c>
      <c r="G361" t="inlineStr">
        <is>
          <t>Cheap</t>
        </is>
      </c>
      <c r="H361" t="n">
        <v>79.5</v>
      </c>
      <c r="I361">
        <f>B361&amp;"|"&amp;F361&amp;"|"&amp;G361</f>
        <v/>
      </c>
      <c r="J361" t="inlineStr">
        <is>
          <t>MVS Sec.12 p.13</t>
        </is>
      </c>
    </row>
    <row r="362">
      <c r="B362" t="inlineStr">
        <is>
          <t>Motel Guest Rooms</t>
        </is>
      </c>
      <c r="C362" t="inlineStr">
        <is>
          <t>540</t>
        </is>
      </c>
      <c r="D362" t="inlineStr">
        <is>
          <t>12</t>
        </is>
      </c>
      <c r="E362" t="inlineStr">
        <is>
          <t>13</t>
        </is>
      </c>
      <c r="F362" t="inlineStr">
        <is>
          <t>D</t>
        </is>
      </c>
      <c r="G362" t="inlineStr">
        <is>
          <t>Excellent</t>
        </is>
      </c>
      <c r="H362" t="n">
        <v>222</v>
      </c>
      <c r="I362">
        <f>B362&amp;"|"&amp;F362&amp;"|"&amp;G362</f>
        <v/>
      </c>
      <c r="J362" t="inlineStr">
        <is>
          <t>MVS Sec.12 p.13</t>
        </is>
      </c>
    </row>
    <row r="363">
      <c r="B363" t="inlineStr">
        <is>
          <t>Motel Guest Rooms</t>
        </is>
      </c>
      <c r="C363" t="inlineStr">
        <is>
          <t>540</t>
        </is>
      </c>
      <c r="D363" t="inlineStr">
        <is>
          <t>12</t>
        </is>
      </c>
      <c r="E363" t="inlineStr">
        <is>
          <t>13</t>
        </is>
      </c>
      <c r="F363" t="inlineStr">
        <is>
          <t>D</t>
        </is>
      </c>
      <c r="G363" t="inlineStr">
        <is>
          <t>Good</t>
        </is>
      </c>
      <c r="H363" t="n">
        <v>167</v>
      </c>
      <c r="I363">
        <f>B363&amp;"|"&amp;F363&amp;"|"&amp;G363</f>
        <v/>
      </c>
      <c r="J363" t="inlineStr">
        <is>
          <t>MVS Sec.12 p.13</t>
        </is>
      </c>
    </row>
    <row r="364">
      <c r="B364" t="inlineStr">
        <is>
          <t>Motel Guest Rooms</t>
        </is>
      </c>
      <c r="C364" t="inlineStr">
        <is>
          <t>540</t>
        </is>
      </c>
      <c r="D364" t="inlineStr">
        <is>
          <t>12</t>
        </is>
      </c>
      <c r="E364" t="inlineStr">
        <is>
          <t>13</t>
        </is>
      </c>
      <c r="F364" t="inlineStr">
        <is>
          <t>D</t>
        </is>
      </c>
      <c r="G364" t="inlineStr">
        <is>
          <t>Average</t>
        </is>
      </c>
      <c r="H364" t="n">
        <v>123</v>
      </c>
      <c r="I364">
        <f>B364&amp;"|"&amp;F364&amp;"|"&amp;G364</f>
        <v/>
      </c>
      <c r="J364" t="inlineStr">
        <is>
          <t>MVS Sec.12 p.13</t>
        </is>
      </c>
    </row>
    <row r="365">
      <c r="B365" t="inlineStr">
        <is>
          <t>Motel Guest Rooms</t>
        </is>
      </c>
      <c r="C365" t="inlineStr">
        <is>
          <t>540</t>
        </is>
      </c>
      <c r="D365" t="inlineStr">
        <is>
          <t>12</t>
        </is>
      </c>
      <c r="E365" t="inlineStr">
        <is>
          <t>13</t>
        </is>
      </c>
      <c r="F365" t="inlineStr">
        <is>
          <t>D</t>
        </is>
      </c>
      <c r="G365" t="inlineStr">
        <is>
          <t>Low Cost</t>
        </is>
      </c>
      <c r="H365" t="n">
        <v>92.5</v>
      </c>
      <c r="I365">
        <f>B365&amp;"|"&amp;F365&amp;"|"&amp;G365</f>
        <v/>
      </c>
      <c r="J365" t="inlineStr">
        <is>
          <t>MVS Sec.12 p.13</t>
        </is>
      </c>
    </row>
    <row r="366">
      <c r="B366" t="inlineStr">
        <is>
          <t>Motel Guest Rooms</t>
        </is>
      </c>
      <c r="C366" t="inlineStr">
        <is>
          <t>540</t>
        </is>
      </c>
      <c r="D366" t="inlineStr">
        <is>
          <t>12</t>
        </is>
      </c>
      <c r="E366" t="inlineStr">
        <is>
          <t>13</t>
        </is>
      </c>
      <c r="F366" t="inlineStr">
        <is>
          <t>D</t>
        </is>
      </c>
      <c r="G366" t="inlineStr">
        <is>
          <t>Cheap</t>
        </is>
      </c>
      <c r="H366" t="n">
        <v>77</v>
      </c>
      <c r="I366">
        <f>B366&amp;"|"&amp;F366&amp;"|"&amp;G366</f>
        <v/>
      </c>
      <c r="J366" t="inlineStr">
        <is>
          <t>MVS Sec.12 p.13</t>
        </is>
      </c>
    </row>
    <row r="367">
      <c r="B367" t="inlineStr">
        <is>
          <t>Motel Guest Rooms</t>
        </is>
      </c>
      <c r="C367" t="inlineStr">
        <is>
          <t>540</t>
        </is>
      </c>
      <c r="D367" t="inlineStr">
        <is>
          <t>12</t>
        </is>
      </c>
      <c r="E367" t="inlineStr">
        <is>
          <t>13</t>
        </is>
      </c>
      <c r="F367" t="inlineStr">
        <is>
          <t>S</t>
        </is>
      </c>
      <c r="G367" t="inlineStr">
        <is>
          <t>Average</t>
        </is>
      </c>
      <c r="H367" t="n">
        <v>120</v>
      </c>
      <c r="I367">
        <f>B367&amp;"|"&amp;F367&amp;"|"&amp;G367</f>
        <v/>
      </c>
      <c r="J367" t="inlineStr">
        <is>
          <t>MVS Sec.12 p.13</t>
        </is>
      </c>
    </row>
    <row r="368">
      <c r="B368" t="inlineStr">
        <is>
          <t>Lodges</t>
        </is>
      </c>
      <c r="C368" t="inlineStr">
        <is>
          <t>537</t>
        </is>
      </c>
      <c r="D368" t="inlineStr">
        <is>
          <t>12</t>
        </is>
      </c>
      <c r="E368" t="inlineStr">
        <is>
          <t>14</t>
        </is>
      </c>
      <c r="F368" t="inlineStr">
        <is>
          <t>C</t>
        </is>
      </c>
      <c r="G368" t="inlineStr">
        <is>
          <t>Excellent</t>
        </is>
      </c>
      <c r="H368" t="n">
        <v>285</v>
      </c>
      <c r="I368">
        <f>B368&amp;"|"&amp;F368&amp;"|"&amp;G368</f>
        <v/>
      </c>
      <c r="J368" t="inlineStr">
        <is>
          <t>MVS Sec.12 p.14</t>
        </is>
      </c>
    </row>
    <row r="369">
      <c r="B369" t="inlineStr">
        <is>
          <t>Lodges</t>
        </is>
      </c>
      <c r="C369" t="inlineStr">
        <is>
          <t>537</t>
        </is>
      </c>
      <c r="D369" t="inlineStr">
        <is>
          <t>12</t>
        </is>
      </c>
      <c r="E369" t="inlineStr">
        <is>
          <t>14</t>
        </is>
      </c>
      <c r="F369" t="inlineStr">
        <is>
          <t>C</t>
        </is>
      </c>
      <c r="G369" t="inlineStr">
        <is>
          <t>Very Good</t>
        </is>
      </c>
      <c r="H369" t="n">
        <v>242</v>
      </c>
      <c r="I369">
        <f>B369&amp;"|"&amp;F369&amp;"|"&amp;G369</f>
        <v/>
      </c>
      <c r="J369" t="inlineStr">
        <is>
          <t>MVS Sec.12 p.14</t>
        </is>
      </c>
    </row>
    <row r="370">
      <c r="B370" t="inlineStr">
        <is>
          <t>Lodges</t>
        </is>
      </c>
      <c r="C370" t="inlineStr">
        <is>
          <t>537</t>
        </is>
      </c>
      <c r="D370" t="inlineStr">
        <is>
          <t>12</t>
        </is>
      </c>
      <c r="E370" t="inlineStr">
        <is>
          <t>14</t>
        </is>
      </c>
      <c r="F370" t="inlineStr">
        <is>
          <t>C</t>
        </is>
      </c>
      <c r="G370" t="inlineStr">
        <is>
          <t>Good</t>
        </is>
      </c>
      <c r="H370" t="n">
        <v>206</v>
      </c>
      <c r="I370">
        <f>B370&amp;"|"&amp;F370&amp;"|"&amp;G370</f>
        <v/>
      </c>
      <c r="J370" t="inlineStr">
        <is>
          <t>MVS Sec.12 p.14</t>
        </is>
      </c>
    </row>
    <row r="371">
      <c r="B371" t="inlineStr">
        <is>
          <t>Lodges</t>
        </is>
      </c>
      <c r="C371" t="inlineStr">
        <is>
          <t>537</t>
        </is>
      </c>
      <c r="D371" t="inlineStr">
        <is>
          <t>12</t>
        </is>
      </c>
      <c r="E371" t="inlineStr">
        <is>
          <t>14</t>
        </is>
      </c>
      <c r="F371" t="inlineStr">
        <is>
          <t>C</t>
        </is>
      </c>
      <c r="G371" t="inlineStr">
        <is>
          <t>Average</t>
        </is>
      </c>
      <c r="H371" t="n">
        <v>147</v>
      </c>
      <c r="I371">
        <f>B371&amp;"|"&amp;F371&amp;"|"&amp;G371</f>
        <v/>
      </c>
      <c r="J371" t="inlineStr">
        <is>
          <t>MVS Sec.12 p.14</t>
        </is>
      </c>
    </row>
    <row r="372">
      <c r="B372" t="inlineStr">
        <is>
          <t>Lodges</t>
        </is>
      </c>
      <c r="C372" t="inlineStr">
        <is>
          <t>537</t>
        </is>
      </c>
      <c r="D372" t="inlineStr">
        <is>
          <t>12</t>
        </is>
      </c>
      <c r="E372" t="inlineStr">
        <is>
          <t>14</t>
        </is>
      </c>
      <c r="F372" t="inlineStr">
        <is>
          <t>C</t>
        </is>
      </c>
      <c r="G372" t="inlineStr">
        <is>
          <t>Fair</t>
        </is>
      </c>
      <c r="H372" t="n">
        <v>125</v>
      </c>
      <c r="I372">
        <f>B372&amp;"|"&amp;F372&amp;"|"&amp;G372</f>
        <v/>
      </c>
      <c r="J372" t="inlineStr">
        <is>
          <t>MVS Sec.12 p.14</t>
        </is>
      </c>
    </row>
    <row r="373">
      <c r="B373" t="inlineStr">
        <is>
          <t>Lodges</t>
        </is>
      </c>
      <c r="C373" t="inlineStr">
        <is>
          <t>537</t>
        </is>
      </c>
      <c r="D373" t="inlineStr">
        <is>
          <t>12</t>
        </is>
      </c>
      <c r="E373" t="inlineStr">
        <is>
          <t>14</t>
        </is>
      </c>
      <c r="F373" t="inlineStr">
        <is>
          <t>C</t>
        </is>
      </c>
      <c r="G373" t="inlineStr">
        <is>
          <t>Low Cost</t>
        </is>
      </c>
      <c r="H373" t="n">
        <v>105</v>
      </c>
      <c r="I373">
        <f>B373&amp;"|"&amp;F373&amp;"|"&amp;G373</f>
        <v/>
      </c>
      <c r="J373" t="inlineStr">
        <is>
          <t>MVS Sec.12 p.14</t>
        </is>
      </c>
    </row>
    <row r="374">
      <c r="B374" t="inlineStr">
        <is>
          <t>Lodges</t>
        </is>
      </c>
      <c r="C374" t="inlineStr">
        <is>
          <t>537</t>
        </is>
      </c>
      <c r="D374" t="inlineStr">
        <is>
          <t>12</t>
        </is>
      </c>
      <c r="E374" t="inlineStr">
        <is>
          <t>14</t>
        </is>
      </c>
      <c r="F374" t="inlineStr">
        <is>
          <t>C</t>
        </is>
      </c>
      <c r="G374" t="inlineStr">
        <is>
          <t>Cheap</t>
        </is>
      </c>
      <c r="H374" t="n">
        <v>84</v>
      </c>
      <c r="I374">
        <f>B374&amp;"|"&amp;F374&amp;"|"&amp;G374</f>
        <v/>
      </c>
      <c r="J374" t="inlineStr">
        <is>
          <t>MVS Sec.12 p.14</t>
        </is>
      </c>
    </row>
    <row r="375">
      <c r="B375" t="inlineStr">
        <is>
          <t>Lodges</t>
        </is>
      </c>
      <c r="C375" t="inlineStr">
        <is>
          <t>537</t>
        </is>
      </c>
      <c r="D375" t="inlineStr">
        <is>
          <t>12</t>
        </is>
      </c>
      <c r="E375" t="inlineStr">
        <is>
          <t>14</t>
        </is>
      </c>
      <c r="F375" t="inlineStr">
        <is>
          <t>D</t>
        </is>
      </c>
      <c r="G375" t="inlineStr">
        <is>
          <t>Excellent</t>
        </is>
      </c>
      <c r="H375" t="n">
        <v>284</v>
      </c>
      <c r="I375">
        <f>B375&amp;"|"&amp;F375&amp;"|"&amp;G375</f>
        <v/>
      </c>
      <c r="J375" t="inlineStr">
        <is>
          <t>MVS Sec.12 p.14</t>
        </is>
      </c>
    </row>
    <row r="376">
      <c r="B376" t="inlineStr">
        <is>
          <t>Lodges</t>
        </is>
      </c>
      <c r="C376" t="inlineStr">
        <is>
          <t>537</t>
        </is>
      </c>
      <c r="D376" t="inlineStr">
        <is>
          <t>12</t>
        </is>
      </c>
      <c r="E376" t="inlineStr">
        <is>
          <t>14</t>
        </is>
      </c>
      <c r="F376" t="inlineStr">
        <is>
          <t>D</t>
        </is>
      </c>
      <c r="G376" t="inlineStr">
        <is>
          <t>Very Good</t>
        </is>
      </c>
      <c r="H376" t="n">
        <v>239</v>
      </c>
      <c r="I376">
        <f>B376&amp;"|"&amp;F376&amp;"|"&amp;G376</f>
        <v/>
      </c>
      <c r="J376" t="inlineStr">
        <is>
          <t>MVS Sec.12 p.14</t>
        </is>
      </c>
    </row>
    <row r="377">
      <c r="B377" t="inlineStr">
        <is>
          <t>Lodges</t>
        </is>
      </c>
      <c r="C377" t="inlineStr">
        <is>
          <t>537</t>
        </is>
      </c>
      <c r="D377" t="inlineStr">
        <is>
          <t>12</t>
        </is>
      </c>
      <c r="E377" t="inlineStr">
        <is>
          <t>14</t>
        </is>
      </c>
      <c r="F377" t="inlineStr">
        <is>
          <t>D</t>
        </is>
      </c>
      <c r="G377" t="inlineStr">
        <is>
          <t>Good</t>
        </is>
      </c>
      <c r="H377" t="n">
        <v>202</v>
      </c>
      <c r="I377">
        <f>B377&amp;"|"&amp;F377&amp;"|"&amp;G377</f>
        <v/>
      </c>
      <c r="J377" t="inlineStr">
        <is>
          <t>MVS Sec.12 p.14</t>
        </is>
      </c>
    </row>
    <row r="378">
      <c r="B378" t="inlineStr">
        <is>
          <t>Lodges</t>
        </is>
      </c>
      <c r="C378" t="inlineStr">
        <is>
          <t>537</t>
        </is>
      </c>
      <c r="D378" t="inlineStr">
        <is>
          <t>12</t>
        </is>
      </c>
      <c r="E378" t="inlineStr">
        <is>
          <t>14</t>
        </is>
      </c>
      <c r="F378" t="inlineStr">
        <is>
          <t>D</t>
        </is>
      </c>
      <c r="G378" t="inlineStr">
        <is>
          <t>Average</t>
        </is>
      </c>
      <c r="H378" t="n">
        <v>142</v>
      </c>
      <c r="I378">
        <f>B378&amp;"|"&amp;F378&amp;"|"&amp;G378</f>
        <v/>
      </c>
      <c r="J378" t="inlineStr">
        <is>
          <t>MVS Sec.12 p.14</t>
        </is>
      </c>
    </row>
    <row r="379">
      <c r="B379" t="inlineStr">
        <is>
          <t>Lodges</t>
        </is>
      </c>
      <c r="C379" t="inlineStr">
        <is>
          <t>537</t>
        </is>
      </c>
      <c r="D379" t="inlineStr">
        <is>
          <t>12</t>
        </is>
      </c>
      <c r="E379" t="inlineStr">
        <is>
          <t>14</t>
        </is>
      </c>
      <c r="F379" t="inlineStr">
        <is>
          <t>D</t>
        </is>
      </c>
      <c r="G379" t="inlineStr">
        <is>
          <t>Fair</t>
        </is>
      </c>
      <c r="H379" t="n">
        <v>120</v>
      </c>
      <c r="I379">
        <f>B379&amp;"|"&amp;F379&amp;"|"&amp;G379</f>
        <v/>
      </c>
      <c r="J379" t="inlineStr">
        <is>
          <t>MVS Sec.12 p.14</t>
        </is>
      </c>
    </row>
    <row r="380">
      <c r="B380" t="inlineStr">
        <is>
          <t>Lodges</t>
        </is>
      </c>
      <c r="C380" t="inlineStr">
        <is>
          <t>537</t>
        </is>
      </c>
      <c r="D380" t="inlineStr">
        <is>
          <t>12</t>
        </is>
      </c>
      <c r="E380" t="inlineStr">
        <is>
          <t>14</t>
        </is>
      </c>
      <c r="F380" t="inlineStr">
        <is>
          <t>D</t>
        </is>
      </c>
      <c r="G380" t="inlineStr">
        <is>
          <t>Low Cost</t>
        </is>
      </c>
      <c r="H380" t="n">
        <v>99.5</v>
      </c>
      <c r="I380">
        <f>B380&amp;"|"&amp;F380&amp;"|"&amp;G380</f>
        <v/>
      </c>
      <c r="J380" t="inlineStr">
        <is>
          <t>MVS Sec.12 p.14</t>
        </is>
      </c>
    </row>
    <row r="381">
      <c r="B381" t="inlineStr">
        <is>
          <t>Lodges</t>
        </is>
      </c>
      <c r="C381" t="inlineStr">
        <is>
          <t>537</t>
        </is>
      </c>
      <c r="D381" t="inlineStr">
        <is>
          <t>12</t>
        </is>
      </c>
      <c r="E381" t="inlineStr">
        <is>
          <t>14</t>
        </is>
      </c>
      <c r="F381" t="inlineStr">
        <is>
          <t>D</t>
        </is>
      </c>
      <c r="G381" t="inlineStr">
        <is>
          <t>Cheap</t>
        </is>
      </c>
      <c r="H381" t="n">
        <v>79</v>
      </c>
      <c r="I381">
        <f>B381&amp;"|"&amp;F381&amp;"|"&amp;G381</f>
        <v/>
      </c>
      <c r="J381" t="inlineStr">
        <is>
          <t>MVS Sec.12 p.14</t>
        </is>
      </c>
    </row>
    <row r="382">
      <c r="B382" t="inlineStr">
        <is>
          <t>Guest Cottages</t>
        </is>
      </c>
      <c r="C382" t="inlineStr">
        <is>
          <t>538</t>
        </is>
      </c>
      <c r="D382" t="inlineStr">
        <is>
          <t>12</t>
        </is>
      </c>
      <c r="E382" t="inlineStr">
        <is>
          <t>15</t>
        </is>
      </c>
      <c r="F382" t="inlineStr">
        <is>
          <t>C</t>
        </is>
      </c>
      <c r="G382" t="inlineStr">
        <is>
          <t>Excellent</t>
        </is>
      </c>
      <c r="H382" t="n">
        <v>263</v>
      </c>
      <c r="I382">
        <f>B382&amp;"|"&amp;F382&amp;"|"&amp;G382</f>
        <v/>
      </c>
      <c r="J382" t="inlineStr">
        <is>
          <t>MVS Sec.12 p.15</t>
        </is>
      </c>
    </row>
    <row r="383">
      <c r="B383" t="inlineStr">
        <is>
          <t>Guest Cottages</t>
        </is>
      </c>
      <c r="C383" t="inlineStr">
        <is>
          <t>538</t>
        </is>
      </c>
      <c r="D383" t="inlineStr">
        <is>
          <t>12</t>
        </is>
      </c>
      <c r="E383" t="inlineStr">
        <is>
          <t>15</t>
        </is>
      </c>
      <c r="F383" t="inlineStr">
        <is>
          <t>C</t>
        </is>
      </c>
      <c r="G383" t="inlineStr">
        <is>
          <t>Good</t>
        </is>
      </c>
      <c r="H383" t="n">
        <v>201</v>
      </c>
      <c r="I383">
        <f>B383&amp;"|"&amp;F383&amp;"|"&amp;G383</f>
        <v/>
      </c>
      <c r="J383" t="inlineStr">
        <is>
          <t>MVS Sec.12 p.15</t>
        </is>
      </c>
    </row>
    <row r="384">
      <c r="B384" t="inlineStr">
        <is>
          <t>Guest Cottages</t>
        </is>
      </c>
      <c r="C384" t="inlineStr">
        <is>
          <t>538</t>
        </is>
      </c>
      <c r="D384" t="inlineStr">
        <is>
          <t>12</t>
        </is>
      </c>
      <c r="E384" t="inlineStr">
        <is>
          <t>15</t>
        </is>
      </c>
      <c r="F384" t="inlineStr">
        <is>
          <t>C</t>
        </is>
      </c>
      <c r="G384" t="inlineStr">
        <is>
          <t>Average</t>
        </is>
      </c>
      <c r="H384" t="n">
        <v>150</v>
      </c>
      <c r="I384">
        <f>B384&amp;"|"&amp;F384&amp;"|"&amp;G384</f>
        <v/>
      </c>
      <c r="J384" t="inlineStr">
        <is>
          <t>MVS Sec.12 p.15</t>
        </is>
      </c>
    </row>
    <row r="385">
      <c r="B385" t="inlineStr">
        <is>
          <t>Guest Cottages</t>
        </is>
      </c>
      <c r="C385" t="inlineStr">
        <is>
          <t>538</t>
        </is>
      </c>
      <c r="D385" t="inlineStr">
        <is>
          <t>12</t>
        </is>
      </c>
      <c r="E385" t="inlineStr">
        <is>
          <t>15</t>
        </is>
      </c>
      <c r="F385" t="inlineStr">
        <is>
          <t>C</t>
        </is>
      </c>
      <c r="G385" t="inlineStr">
        <is>
          <t>Fair</t>
        </is>
      </c>
      <c r="H385" t="n">
        <v>131</v>
      </c>
      <c r="I385">
        <f>B385&amp;"|"&amp;F385&amp;"|"&amp;G385</f>
        <v/>
      </c>
      <c r="J385" t="inlineStr">
        <is>
          <t>MVS Sec.12 p.15</t>
        </is>
      </c>
    </row>
    <row r="386">
      <c r="B386" t="inlineStr">
        <is>
          <t>Guest Cottages</t>
        </is>
      </c>
      <c r="C386" t="inlineStr">
        <is>
          <t>538</t>
        </is>
      </c>
      <c r="D386" t="inlineStr">
        <is>
          <t>12</t>
        </is>
      </c>
      <c r="E386" t="inlineStr">
        <is>
          <t>15</t>
        </is>
      </c>
      <c r="F386" t="inlineStr">
        <is>
          <t>C</t>
        </is>
      </c>
      <c r="G386" t="inlineStr">
        <is>
          <t>Low Cost</t>
        </is>
      </c>
      <c r="H386" t="n">
        <v>112</v>
      </c>
      <c r="I386">
        <f>B386&amp;"|"&amp;F386&amp;"|"&amp;G386</f>
        <v/>
      </c>
      <c r="J386" t="inlineStr">
        <is>
          <t>MVS Sec.12 p.15</t>
        </is>
      </c>
    </row>
    <row r="387">
      <c r="B387" t="inlineStr">
        <is>
          <t>Guest Cottages</t>
        </is>
      </c>
      <c r="C387" t="inlineStr">
        <is>
          <t>538</t>
        </is>
      </c>
      <c r="D387" t="inlineStr">
        <is>
          <t>12</t>
        </is>
      </c>
      <c r="E387" t="inlineStr">
        <is>
          <t>15</t>
        </is>
      </c>
      <c r="F387" t="inlineStr">
        <is>
          <t>D</t>
        </is>
      </c>
      <c r="G387" t="inlineStr">
        <is>
          <t>Excellent</t>
        </is>
      </c>
      <c r="H387" t="n">
        <v>255</v>
      </c>
      <c r="I387">
        <f>B387&amp;"|"&amp;F387&amp;"|"&amp;G387</f>
        <v/>
      </c>
      <c r="J387" t="inlineStr">
        <is>
          <t>MVS Sec.12 p.15</t>
        </is>
      </c>
    </row>
    <row r="388">
      <c r="B388" t="inlineStr">
        <is>
          <t>Guest Cottages</t>
        </is>
      </c>
      <c r="C388" t="inlineStr">
        <is>
          <t>538</t>
        </is>
      </c>
      <c r="D388" t="inlineStr">
        <is>
          <t>12</t>
        </is>
      </c>
      <c r="E388" t="inlineStr">
        <is>
          <t>15</t>
        </is>
      </c>
      <c r="F388" t="inlineStr">
        <is>
          <t>D</t>
        </is>
      </c>
      <c r="G388" t="inlineStr">
        <is>
          <t>Good</t>
        </is>
      </c>
      <c r="H388" t="n">
        <v>194</v>
      </c>
      <c r="I388">
        <f>B388&amp;"|"&amp;F388&amp;"|"&amp;G388</f>
        <v/>
      </c>
      <c r="J388" t="inlineStr">
        <is>
          <t>MVS Sec.12 p.15</t>
        </is>
      </c>
    </row>
    <row r="389">
      <c r="B389" t="inlineStr">
        <is>
          <t>Guest Cottages</t>
        </is>
      </c>
      <c r="C389" t="inlineStr">
        <is>
          <t>538</t>
        </is>
      </c>
      <c r="D389" t="inlineStr">
        <is>
          <t>12</t>
        </is>
      </c>
      <c r="E389" t="inlineStr">
        <is>
          <t>15</t>
        </is>
      </c>
      <c r="F389" t="inlineStr">
        <is>
          <t>D</t>
        </is>
      </c>
      <c r="G389" t="inlineStr">
        <is>
          <t>Average</t>
        </is>
      </c>
      <c r="H389" t="n">
        <v>144</v>
      </c>
      <c r="I389">
        <f>B389&amp;"|"&amp;F389&amp;"|"&amp;G389</f>
        <v/>
      </c>
      <c r="J389" t="inlineStr">
        <is>
          <t>MVS Sec.12 p.15</t>
        </is>
      </c>
    </row>
    <row r="390">
      <c r="B390" t="inlineStr">
        <is>
          <t>Guest Cottages</t>
        </is>
      </c>
      <c r="C390" t="inlineStr">
        <is>
          <t>538</t>
        </is>
      </c>
      <c r="D390" t="inlineStr">
        <is>
          <t>12</t>
        </is>
      </c>
      <c r="E390" t="inlineStr">
        <is>
          <t>15</t>
        </is>
      </c>
      <c r="F390" t="inlineStr">
        <is>
          <t>D</t>
        </is>
      </c>
      <c r="G390" t="inlineStr">
        <is>
          <t>Fair</t>
        </is>
      </c>
      <c r="H390" t="n">
        <v>124</v>
      </c>
      <c r="I390">
        <f>B390&amp;"|"&amp;F390&amp;"|"&amp;G390</f>
        <v/>
      </c>
      <c r="J390" t="inlineStr">
        <is>
          <t>MVS Sec.12 p.15</t>
        </is>
      </c>
    </row>
    <row r="391">
      <c r="B391" t="inlineStr">
        <is>
          <t>Guest Cottages</t>
        </is>
      </c>
      <c r="C391" t="inlineStr">
        <is>
          <t>538</t>
        </is>
      </c>
      <c r="D391" t="inlineStr">
        <is>
          <t>12</t>
        </is>
      </c>
      <c r="E391" t="inlineStr">
        <is>
          <t>15</t>
        </is>
      </c>
      <c r="F391" t="inlineStr">
        <is>
          <t>D</t>
        </is>
      </c>
      <c r="G391" t="inlineStr">
        <is>
          <t>Low Cost</t>
        </is>
      </c>
      <c r="H391" t="n">
        <v>106</v>
      </c>
      <c r="I391">
        <f>B391&amp;"|"&amp;F391&amp;"|"&amp;G391</f>
        <v/>
      </c>
      <c r="J391" t="inlineStr">
        <is>
          <t>MVS Sec.12 p.15</t>
        </is>
      </c>
    </row>
    <row r="392">
      <c r="B392" t="inlineStr">
        <is>
          <t>Guest Cottages</t>
        </is>
      </c>
      <c r="C392" t="inlineStr">
        <is>
          <t>538</t>
        </is>
      </c>
      <c r="D392" t="inlineStr">
        <is>
          <t>12</t>
        </is>
      </c>
      <c r="E392" t="inlineStr">
        <is>
          <t>15</t>
        </is>
      </c>
      <c r="F392" t="inlineStr">
        <is>
          <t>WALL</t>
        </is>
      </c>
      <c r="G392" t="inlineStr">
        <is>
          <t>Cheap</t>
        </is>
      </c>
      <c r="H392" t="n">
        <v>67</v>
      </c>
      <c r="I392">
        <f>B392&amp;"|"&amp;F392&amp;"|"&amp;G392</f>
        <v/>
      </c>
      <c r="J392" t="inlineStr">
        <is>
          <t>MVS Sec.12 p.15</t>
        </is>
      </c>
    </row>
    <row r="393">
      <c r="B393" t="inlineStr">
        <is>
          <t>Bed and Breakfast Inns</t>
        </is>
      </c>
      <c r="C393" t="inlineStr">
        <is>
          <t>539</t>
        </is>
      </c>
      <c r="D393" t="inlineStr">
        <is>
          <t>12</t>
        </is>
      </c>
      <c r="E393" t="inlineStr">
        <is>
          <t>15</t>
        </is>
      </c>
      <c r="F393" t="inlineStr">
        <is>
          <t>C</t>
        </is>
      </c>
      <c r="G393" t="inlineStr">
        <is>
          <t>Excellent</t>
        </is>
      </c>
      <c r="H393" t="n">
        <v>251</v>
      </c>
      <c r="I393">
        <f>B393&amp;"|"&amp;F393&amp;"|"&amp;G393</f>
        <v/>
      </c>
      <c r="J393" t="inlineStr">
        <is>
          <t>MVS Sec.12 p.15</t>
        </is>
      </c>
    </row>
    <row r="394">
      <c r="B394" t="inlineStr">
        <is>
          <t>Bed and Breakfast Inns</t>
        </is>
      </c>
      <c r="C394" t="inlineStr">
        <is>
          <t>539</t>
        </is>
      </c>
      <c r="D394" t="inlineStr">
        <is>
          <t>12</t>
        </is>
      </c>
      <c r="E394" t="inlineStr">
        <is>
          <t>15</t>
        </is>
      </c>
      <c r="F394" t="inlineStr">
        <is>
          <t>C</t>
        </is>
      </c>
      <c r="G394" t="inlineStr">
        <is>
          <t>Good</t>
        </is>
      </c>
      <c r="H394" t="n">
        <v>189</v>
      </c>
      <c r="I394">
        <f>B394&amp;"|"&amp;F394&amp;"|"&amp;G394</f>
        <v/>
      </c>
      <c r="J394" t="inlineStr">
        <is>
          <t>MVS Sec.12 p.15</t>
        </is>
      </c>
    </row>
    <row r="395">
      <c r="B395" t="inlineStr">
        <is>
          <t>Bed and Breakfast Inns</t>
        </is>
      </c>
      <c r="C395" t="inlineStr">
        <is>
          <t>539</t>
        </is>
      </c>
      <c r="D395" t="inlineStr">
        <is>
          <t>12</t>
        </is>
      </c>
      <c r="E395" t="inlineStr">
        <is>
          <t>15</t>
        </is>
      </c>
      <c r="F395" t="inlineStr">
        <is>
          <t>C</t>
        </is>
      </c>
      <c r="G395" t="inlineStr">
        <is>
          <t>Average</t>
        </is>
      </c>
      <c r="H395" t="n">
        <v>139</v>
      </c>
      <c r="I395">
        <f>B395&amp;"|"&amp;F395&amp;"|"&amp;G395</f>
        <v/>
      </c>
      <c r="J395" t="inlineStr">
        <is>
          <t>MVS Sec.12 p.15</t>
        </is>
      </c>
    </row>
    <row r="396">
      <c r="B396" t="inlineStr">
        <is>
          <t>Bed and Breakfast Inns</t>
        </is>
      </c>
      <c r="C396" t="inlineStr">
        <is>
          <t>539</t>
        </is>
      </c>
      <c r="D396" t="inlineStr">
        <is>
          <t>12</t>
        </is>
      </c>
      <c r="E396" t="inlineStr">
        <is>
          <t>15</t>
        </is>
      </c>
      <c r="F396" t="inlineStr">
        <is>
          <t>C</t>
        </is>
      </c>
      <c r="G396" t="inlineStr">
        <is>
          <t>Low Cost</t>
        </is>
      </c>
      <c r="H396" t="n">
        <v>104</v>
      </c>
      <c r="I396">
        <f>B396&amp;"|"&amp;F396&amp;"|"&amp;G396</f>
        <v/>
      </c>
      <c r="J396" t="inlineStr">
        <is>
          <t>MVS Sec.12 p.15</t>
        </is>
      </c>
    </row>
    <row r="397">
      <c r="B397" t="inlineStr">
        <is>
          <t>Bed and Breakfast Inns</t>
        </is>
      </c>
      <c r="C397" t="inlineStr">
        <is>
          <t>539</t>
        </is>
      </c>
      <c r="D397" t="inlineStr">
        <is>
          <t>12</t>
        </is>
      </c>
      <c r="E397" t="inlineStr">
        <is>
          <t>15</t>
        </is>
      </c>
      <c r="F397" t="inlineStr">
        <is>
          <t>D</t>
        </is>
      </c>
      <c r="G397" t="inlineStr">
        <is>
          <t>Excellent</t>
        </is>
      </c>
      <c r="H397" t="n">
        <v>246</v>
      </c>
      <c r="I397">
        <f>B397&amp;"|"&amp;F397&amp;"|"&amp;G397</f>
        <v/>
      </c>
      <c r="J397" t="inlineStr">
        <is>
          <t>MVS Sec.12 p.15</t>
        </is>
      </c>
    </row>
    <row r="398">
      <c r="B398" t="inlineStr">
        <is>
          <t>Bed and Breakfast Inns</t>
        </is>
      </c>
      <c r="C398" t="inlineStr">
        <is>
          <t>539</t>
        </is>
      </c>
      <c r="D398" t="inlineStr">
        <is>
          <t>12</t>
        </is>
      </c>
      <c r="E398" t="inlineStr">
        <is>
          <t>15</t>
        </is>
      </c>
      <c r="F398" t="inlineStr">
        <is>
          <t>D</t>
        </is>
      </c>
      <c r="G398" t="inlineStr">
        <is>
          <t>Good</t>
        </is>
      </c>
      <c r="H398" t="n">
        <v>182</v>
      </c>
      <c r="I398">
        <f>B398&amp;"|"&amp;F398&amp;"|"&amp;G398</f>
        <v/>
      </c>
      <c r="J398" t="inlineStr">
        <is>
          <t>MVS Sec.12 p.15</t>
        </is>
      </c>
    </row>
    <row r="399">
      <c r="B399" t="inlineStr">
        <is>
          <t>Bed and Breakfast Inns</t>
        </is>
      </c>
      <c r="C399" t="inlineStr">
        <is>
          <t>539</t>
        </is>
      </c>
      <c r="D399" t="inlineStr">
        <is>
          <t>12</t>
        </is>
      </c>
      <c r="E399" t="inlineStr">
        <is>
          <t>15</t>
        </is>
      </c>
      <c r="F399" t="inlineStr">
        <is>
          <t>D</t>
        </is>
      </c>
      <c r="G399" t="inlineStr">
        <is>
          <t>Average</t>
        </is>
      </c>
      <c r="H399" t="n">
        <v>132</v>
      </c>
      <c r="I399">
        <f>B399&amp;"|"&amp;F399&amp;"|"&amp;G399</f>
        <v/>
      </c>
      <c r="J399" t="inlineStr">
        <is>
          <t>MVS Sec.12 p.15</t>
        </is>
      </c>
    </row>
    <row r="400">
      <c r="B400" t="inlineStr">
        <is>
          <t>Bed and Breakfast Inns</t>
        </is>
      </c>
      <c r="C400" t="inlineStr">
        <is>
          <t>539</t>
        </is>
      </c>
      <c r="D400" t="inlineStr">
        <is>
          <t>12</t>
        </is>
      </c>
      <c r="E400" t="inlineStr">
        <is>
          <t>15</t>
        </is>
      </c>
      <c r="F400" t="inlineStr">
        <is>
          <t>WALL</t>
        </is>
      </c>
      <c r="G400" t="inlineStr">
        <is>
          <t>Low Cost</t>
        </is>
      </c>
      <c r="H400" t="n">
        <v>97.5</v>
      </c>
      <c r="I400">
        <f>B400&amp;"|"&amp;F400&amp;"|"&amp;G400</f>
        <v/>
      </c>
      <c r="J400" t="inlineStr">
        <is>
          <t>MVS Sec.12 p.15</t>
        </is>
      </c>
    </row>
    <row r="401">
      <c r="B401" t="inlineStr">
        <is>
          <t>Multiple Residences</t>
        </is>
      </c>
      <c r="C401" t="inlineStr">
        <is>
          <t>352</t>
        </is>
      </c>
      <c r="D401" t="inlineStr">
        <is>
          <t>12</t>
        </is>
      </c>
      <c r="E401" t="inlineStr">
        <is>
          <t>16</t>
        </is>
      </c>
      <c r="F401" t="inlineStr">
        <is>
          <t>C</t>
        </is>
      </c>
      <c r="G401" t="inlineStr">
        <is>
          <t>Excellent</t>
        </is>
      </c>
      <c r="H401" t="n">
        <v>198</v>
      </c>
      <c r="I401">
        <f>B401&amp;"|"&amp;F401&amp;"|"&amp;G401</f>
        <v/>
      </c>
      <c r="J401" t="inlineStr">
        <is>
          <t>MVS Sec.12 p.16</t>
        </is>
      </c>
    </row>
    <row r="402">
      <c r="B402" t="inlineStr">
        <is>
          <t>Multiple Residences</t>
        </is>
      </c>
      <c r="C402" t="inlineStr">
        <is>
          <t>352</t>
        </is>
      </c>
      <c r="D402" t="inlineStr">
        <is>
          <t>12</t>
        </is>
      </c>
      <c r="E402" t="inlineStr">
        <is>
          <t>16</t>
        </is>
      </c>
      <c r="F402" t="inlineStr">
        <is>
          <t>C</t>
        </is>
      </c>
      <c r="G402" t="inlineStr">
        <is>
          <t>Good</t>
        </is>
      </c>
      <c r="H402" t="n">
        <v>147</v>
      </c>
      <c r="I402">
        <f>B402&amp;"|"&amp;F402&amp;"|"&amp;G402</f>
        <v/>
      </c>
      <c r="J402" t="inlineStr">
        <is>
          <t>MVS Sec.12 p.16</t>
        </is>
      </c>
    </row>
    <row r="403">
      <c r="B403" t="inlineStr">
        <is>
          <t>Multiple Residences</t>
        </is>
      </c>
      <c r="C403" t="inlineStr">
        <is>
          <t>352</t>
        </is>
      </c>
      <c r="D403" t="inlineStr">
        <is>
          <t>12</t>
        </is>
      </c>
      <c r="E403" t="inlineStr">
        <is>
          <t>16</t>
        </is>
      </c>
      <c r="F403" t="inlineStr">
        <is>
          <t>C</t>
        </is>
      </c>
      <c r="G403" t="inlineStr">
        <is>
          <t>Average</t>
        </is>
      </c>
      <c r="H403" t="n">
        <v>109</v>
      </c>
      <c r="I403">
        <f>B403&amp;"|"&amp;F403&amp;"|"&amp;G403</f>
        <v/>
      </c>
      <c r="J403" t="inlineStr">
        <is>
          <t>MVS Sec.12 p.16</t>
        </is>
      </c>
    </row>
    <row r="404">
      <c r="B404" t="inlineStr">
        <is>
          <t>Multiple Residences</t>
        </is>
      </c>
      <c r="C404" t="inlineStr">
        <is>
          <t>352</t>
        </is>
      </c>
      <c r="D404" t="inlineStr">
        <is>
          <t>12</t>
        </is>
      </c>
      <c r="E404" t="inlineStr">
        <is>
          <t>16</t>
        </is>
      </c>
      <c r="F404" t="inlineStr">
        <is>
          <t>C</t>
        </is>
      </c>
      <c r="G404" t="inlineStr">
        <is>
          <t>Fair</t>
        </is>
      </c>
      <c r="H404" t="n">
        <v>94.5</v>
      </c>
      <c r="I404">
        <f>B404&amp;"|"&amp;F404&amp;"|"&amp;G404</f>
        <v/>
      </c>
      <c r="J404" t="inlineStr">
        <is>
          <t>MVS Sec.12 p.16</t>
        </is>
      </c>
    </row>
    <row r="405">
      <c r="B405" t="inlineStr">
        <is>
          <t>Multiple Residences</t>
        </is>
      </c>
      <c r="C405" t="inlineStr">
        <is>
          <t>352</t>
        </is>
      </c>
      <c r="D405" t="inlineStr">
        <is>
          <t>12</t>
        </is>
      </c>
      <c r="E405" t="inlineStr">
        <is>
          <t>16</t>
        </is>
      </c>
      <c r="F405" t="inlineStr">
        <is>
          <t>C</t>
        </is>
      </c>
      <c r="G405" t="inlineStr">
        <is>
          <t>Low Cost</t>
        </is>
      </c>
      <c r="H405" t="n">
        <v>80.5</v>
      </c>
      <c r="I405">
        <f>B405&amp;"|"&amp;F405&amp;"|"&amp;G405</f>
        <v/>
      </c>
      <c r="J405" t="inlineStr">
        <is>
          <t>MVS Sec.12 p.16</t>
        </is>
      </c>
    </row>
    <row r="406">
      <c r="B406" t="inlineStr">
        <is>
          <t>Multiple Residences</t>
        </is>
      </c>
      <c r="C406" t="inlineStr">
        <is>
          <t>352</t>
        </is>
      </c>
      <c r="D406" t="inlineStr">
        <is>
          <t>12</t>
        </is>
      </c>
      <c r="E406" t="inlineStr">
        <is>
          <t>16</t>
        </is>
      </c>
      <c r="F406" t="inlineStr">
        <is>
          <t>DMASVEN</t>
        </is>
      </c>
      <c r="G406" t="inlineStr">
        <is>
          <t>Excellent</t>
        </is>
      </c>
      <c r="H406" t="n">
        <v>197</v>
      </c>
      <c r="I406">
        <f>B406&amp;"|"&amp;F406&amp;"|"&amp;G406</f>
        <v/>
      </c>
      <c r="J406" t="inlineStr">
        <is>
          <t>MVS Sec.12 p.16</t>
        </is>
      </c>
    </row>
    <row r="407">
      <c r="B407" t="inlineStr">
        <is>
          <t>Multiple Residences</t>
        </is>
      </c>
      <c r="C407" t="inlineStr">
        <is>
          <t>352</t>
        </is>
      </c>
      <c r="D407" t="inlineStr">
        <is>
          <t>12</t>
        </is>
      </c>
      <c r="E407" t="inlineStr">
        <is>
          <t>16</t>
        </is>
      </c>
      <c r="F407" t="inlineStr">
        <is>
          <t>DMASVEN</t>
        </is>
      </c>
      <c r="G407" t="inlineStr">
        <is>
          <t>Good</t>
        </is>
      </c>
      <c r="H407" t="n">
        <v>145</v>
      </c>
      <c r="I407">
        <f>B407&amp;"|"&amp;F407&amp;"|"&amp;G407</f>
        <v/>
      </c>
      <c r="J407" t="inlineStr">
        <is>
          <t>MVS Sec.12 p.16</t>
        </is>
      </c>
    </row>
    <row r="408">
      <c r="B408" t="inlineStr">
        <is>
          <t>Multiple Residences</t>
        </is>
      </c>
      <c r="C408" t="inlineStr">
        <is>
          <t>352</t>
        </is>
      </c>
      <c r="D408" t="inlineStr">
        <is>
          <t>12</t>
        </is>
      </c>
      <c r="E408" t="inlineStr">
        <is>
          <t>16</t>
        </is>
      </c>
      <c r="F408" t="inlineStr">
        <is>
          <t>DMASVEN</t>
        </is>
      </c>
      <c r="G408" t="inlineStr">
        <is>
          <t>Average</t>
        </is>
      </c>
      <c r="H408" t="n">
        <v>107</v>
      </c>
      <c r="I408">
        <f>B408&amp;"|"&amp;F408&amp;"|"&amp;G408</f>
        <v/>
      </c>
      <c r="J408" t="inlineStr">
        <is>
          <t>MVS Sec.12 p.16</t>
        </is>
      </c>
    </row>
    <row r="409">
      <c r="B409" t="inlineStr">
        <is>
          <t>Multiple Residences</t>
        </is>
      </c>
      <c r="C409" t="inlineStr">
        <is>
          <t>352</t>
        </is>
      </c>
      <c r="D409" t="inlineStr">
        <is>
          <t>12</t>
        </is>
      </c>
      <c r="E409" t="inlineStr">
        <is>
          <t>16</t>
        </is>
      </c>
      <c r="F409" t="inlineStr">
        <is>
          <t>DMASVEN</t>
        </is>
      </c>
      <c r="G409" t="inlineStr">
        <is>
          <t>Fair</t>
        </is>
      </c>
      <c r="H409" t="n">
        <v>93</v>
      </c>
      <c r="I409">
        <f>B409&amp;"|"&amp;F409&amp;"|"&amp;G409</f>
        <v/>
      </c>
      <c r="J409" t="inlineStr">
        <is>
          <t>MVS Sec.12 p.16</t>
        </is>
      </c>
    </row>
    <row r="410">
      <c r="B410" t="inlineStr">
        <is>
          <t>Multiple Residences</t>
        </is>
      </c>
      <c r="C410" t="inlineStr">
        <is>
          <t>352</t>
        </is>
      </c>
      <c r="D410" t="inlineStr">
        <is>
          <t>12</t>
        </is>
      </c>
      <c r="E410" t="inlineStr">
        <is>
          <t>16</t>
        </is>
      </c>
      <c r="F410" t="inlineStr">
        <is>
          <t>DMASVEN</t>
        </is>
      </c>
      <c r="G410" t="inlineStr">
        <is>
          <t>Low Cost</t>
        </is>
      </c>
      <c r="H410" t="n">
        <v>78.5</v>
      </c>
      <c r="I410">
        <f>B410&amp;"|"&amp;F410&amp;"|"&amp;G410</f>
        <v/>
      </c>
      <c r="J410" t="inlineStr">
        <is>
          <t>MVS Sec.12 p.16</t>
        </is>
      </c>
    </row>
    <row r="411">
      <c r="B411" t="inlineStr">
        <is>
          <t>Multiple Residences</t>
        </is>
      </c>
      <c r="C411" t="inlineStr">
        <is>
          <t>352</t>
        </is>
      </c>
      <c r="D411" t="inlineStr">
        <is>
          <t>12</t>
        </is>
      </c>
      <c r="E411" t="inlineStr">
        <is>
          <t>16</t>
        </is>
      </c>
      <c r="F411" t="inlineStr">
        <is>
          <t>D</t>
        </is>
      </c>
      <c r="G411" t="inlineStr">
        <is>
          <t>Excellent</t>
        </is>
      </c>
      <c r="H411" t="n">
        <v>193</v>
      </c>
      <c r="I411">
        <f>B411&amp;"|"&amp;F411&amp;"|"&amp;G411</f>
        <v/>
      </c>
      <c r="J411" t="inlineStr">
        <is>
          <t>MVS Sec.12 p.16</t>
        </is>
      </c>
    </row>
    <row r="412">
      <c r="B412" t="inlineStr">
        <is>
          <t>Multiple Residences</t>
        </is>
      </c>
      <c r="C412" t="inlineStr">
        <is>
          <t>352</t>
        </is>
      </c>
      <c r="D412" t="inlineStr">
        <is>
          <t>12</t>
        </is>
      </c>
      <c r="E412" t="inlineStr">
        <is>
          <t>16</t>
        </is>
      </c>
      <c r="F412" t="inlineStr">
        <is>
          <t>D</t>
        </is>
      </c>
      <c r="G412" t="inlineStr">
        <is>
          <t>Good</t>
        </is>
      </c>
      <c r="H412" t="n">
        <v>142</v>
      </c>
      <c r="I412">
        <f>B412&amp;"|"&amp;F412&amp;"|"&amp;G412</f>
        <v/>
      </c>
      <c r="J412" t="inlineStr">
        <is>
          <t>MVS Sec.12 p.16</t>
        </is>
      </c>
    </row>
    <row r="413">
      <c r="B413" t="inlineStr">
        <is>
          <t>Multiple Residences</t>
        </is>
      </c>
      <c r="C413" t="inlineStr">
        <is>
          <t>352</t>
        </is>
      </c>
      <c r="D413" t="inlineStr">
        <is>
          <t>12</t>
        </is>
      </c>
      <c r="E413" t="inlineStr">
        <is>
          <t>16</t>
        </is>
      </c>
      <c r="F413" t="inlineStr">
        <is>
          <t>D</t>
        </is>
      </c>
      <c r="G413" t="inlineStr">
        <is>
          <t>Average</t>
        </is>
      </c>
      <c r="H413" t="n">
        <v>104</v>
      </c>
      <c r="I413">
        <f>B413&amp;"|"&amp;F413&amp;"|"&amp;G413</f>
        <v/>
      </c>
      <c r="J413" t="inlineStr">
        <is>
          <t>MVS Sec.12 p.16</t>
        </is>
      </c>
    </row>
    <row r="414">
      <c r="B414" t="inlineStr">
        <is>
          <t>Multiple Residences</t>
        </is>
      </c>
      <c r="C414" t="inlineStr">
        <is>
          <t>352</t>
        </is>
      </c>
      <c r="D414" t="inlineStr">
        <is>
          <t>12</t>
        </is>
      </c>
      <c r="E414" t="inlineStr">
        <is>
          <t>16</t>
        </is>
      </c>
      <c r="F414" t="inlineStr">
        <is>
          <t>D</t>
        </is>
      </c>
      <c r="G414" t="inlineStr">
        <is>
          <t>Fair</t>
        </is>
      </c>
      <c r="H414" t="n">
        <v>90</v>
      </c>
      <c r="I414">
        <f>B414&amp;"|"&amp;F414&amp;"|"&amp;G414</f>
        <v/>
      </c>
      <c r="J414" t="inlineStr">
        <is>
          <t>MVS Sec.12 p.16</t>
        </is>
      </c>
    </row>
    <row r="415">
      <c r="B415" t="inlineStr">
        <is>
          <t>Multiple Residences</t>
        </is>
      </c>
      <c r="C415" t="inlineStr">
        <is>
          <t>352</t>
        </is>
      </c>
      <c r="D415" t="inlineStr">
        <is>
          <t>12</t>
        </is>
      </c>
      <c r="E415" t="inlineStr">
        <is>
          <t>16</t>
        </is>
      </c>
      <c r="F415" t="inlineStr">
        <is>
          <t>D</t>
        </is>
      </c>
      <c r="G415" t="inlineStr">
        <is>
          <t>Low Cost</t>
        </is>
      </c>
      <c r="H415" t="n">
        <v>76.5</v>
      </c>
      <c r="I415">
        <f>B415&amp;"|"&amp;F415&amp;"|"&amp;G415</f>
        <v/>
      </c>
      <c r="J415" t="inlineStr">
        <is>
          <t>MVS Sec.12 p.16</t>
        </is>
      </c>
    </row>
    <row r="416">
      <c r="B416" t="inlineStr">
        <is>
          <t>Multiple Residences</t>
        </is>
      </c>
      <c r="C416" t="inlineStr">
        <is>
          <t>352</t>
        </is>
      </c>
      <c r="D416" t="inlineStr">
        <is>
          <t>12</t>
        </is>
      </c>
      <c r="E416" t="inlineStr">
        <is>
          <t>16</t>
        </is>
      </c>
      <c r="F416" t="inlineStr">
        <is>
          <t>S</t>
        </is>
      </c>
      <c r="G416" t="inlineStr">
        <is>
          <t>Good</t>
        </is>
      </c>
      <c r="H416" t="n">
        <v>138</v>
      </c>
      <c r="I416">
        <f>B416&amp;"|"&amp;F416&amp;"|"&amp;G416</f>
        <v/>
      </c>
      <c r="J416" t="inlineStr">
        <is>
          <t>MVS Sec.12 p.16</t>
        </is>
      </c>
    </row>
    <row r="417">
      <c r="B417" t="inlineStr">
        <is>
          <t>Multiple Residences</t>
        </is>
      </c>
      <c r="C417" t="inlineStr">
        <is>
          <t>352</t>
        </is>
      </c>
      <c r="D417" t="inlineStr">
        <is>
          <t>12</t>
        </is>
      </c>
      <c r="E417" t="inlineStr">
        <is>
          <t>16</t>
        </is>
      </c>
      <c r="F417" t="inlineStr">
        <is>
          <t>S</t>
        </is>
      </c>
      <c r="G417" t="inlineStr">
        <is>
          <t>Average</t>
        </is>
      </c>
      <c r="H417" t="n">
        <v>102</v>
      </c>
      <c r="I417">
        <f>B417&amp;"|"&amp;F417&amp;"|"&amp;G417</f>
        <v/>
      </c>
      <c r="J417" t="inlineStr">
        <is>
          <t>MVS Sec.12 p.16</t>
        </is>
      </c>
    </row>
    <row r="418">
      <c r="B418" t="inlineStr">
        <is>
          <t>Shell Multiple Residence Buildings</t>
        </is>
      </c>
      <c r="C418" t="inlineStr">
        <is>
          <t>587</t>
        </is>
      </c>
      <c r="D418" t="inlineStr">
        <is>
          <t>12</t>
        </is>
      </c>
      <c r="E418" t="inlineStr">
        <is>
          <t>17</t>
        </is>
      </c>
      <c r="F418" t="inlineStr">
        <is>
          <t>C</t>
        </is>
      </c>
      <c r="G418" t="inlineStr">
        <is>
          <t>Excellent</t>
        </is>
      </c>
      <c r="H418" t="n">
        <v>90</v>
      </c>
      <c r="I418">
        <f>B418&amp;"|"&amp;F418&amp;"|"&amp;G418</f>
        <v/>
      </c>
      <c r="J418" t="inlineStr">
        <is>
          <t>MVS Sec.12 p.17</t>
        </is>
      </c>
    </row>
    <row r="419">
      <c r="B419" t="inlineStr">
        <is>
          <t>Shell Multiple Residence Buildings</t>
        </is>
      </c>
      <c r="C419" t="inlineStr">
        <is>
          <t>587</t>
        </is>
      </c>
      <c r="D419" t="inlineStr">
        <is>
          <t>12</t>
        </is>
      </c>
      <c r="E419" t="inlineStr">
        <is>
          <t>17</t>
        </is>
      </c>
      <c r="F419" t="inlineStr">
        <is>
          <t>C</t>
        </is>
      </c>
      <c r="G419" t="inlineStr">
        <is>
          <t>Good</t>
        </is>
      </c>
      <c r="H419" t="n">
        <v>69.5</v>
      </c>
      <c r="I419">
        <f>B419&amp;"|"&amp;F419&amp;"|"&amp;G419</f>
        <v/>
      </c>
      <c r="J419" t="inlineStr">
        <is>
          <t>MVS Sec.12 p.17</t>
        </is>
      </c>
    </row>
    <row r="420">
      <c r="B420" t="inlineStr">
        <is>
          <t>Shell Multiple Residence Buildings</t>
        </is>
      </c>
      <c r="C420" t="inlineStr">
        <is>
          <t>587</t>
        </is>
      </c>
      <c r="D420" t="inlineStr">
        <is>
          <t>12</t>
        </is>
      </c>
      <c r="E420" t="inlineStr">
        <is>
          <t>17</t>
        </is>
      </c>
      <c r="F420" t="inlineStr">
        <is>
          <t>C</t>
        </is>
      </c>
      <c r="G420" t="inlineStr">
        <is>
          <t>Average</t>
        </is>
      </c>
      <c r="H420" t="n">
        <v>54.5</v>
      </c>
      <c r="I420">
        <f>B420&amp;"|"&amp;F420&amp;"|"&amp;G420</f>
        <v/>
      </c>
      <c r="J420" t="inlineStr">
        <is>
          <t>MVS Sec.12 p.17</t>
        </is>
      </c>
    </row>
    <row r="421">
      <c r="B421" t="inlineStr">
        <is>
          <t>Shell Multiple Residence Buildings</t>
        </is>
      </c>
      <c r="C421" t="inlineStr">
        <is>
          <t>587</t>
        </is>
      </c>
      <c r="D421" t="inlineStr">
        <is>
          <t>12</t>
        </is>
      </c>
      <c r="E421" t="inlineStr">
        <is>
          <t>17</t>
        </is>
      </c>
      <c r="F421" t="inlineStr">
        <is>
          <t>C</t>
        </is>
      </c>
      <c r="G421" t="inlineStr">
        <is>
          <t>Fair</t>
        </is>
      </c>
      <c r="H421" t="n">
        <v>48.25</v>
      </c>
      <c r="I421">
        <f>B421&amp;"|"&amp;F421&amp;"|"&amp;G421</f>
        <v/>
      </c>
      <c r="J421" t="inlineStr">
        <is>
          <t>MVS Sec.12 p.17</t>
        </is>
      </c>
    </row>
    <row r="422">
      <c r="B422" t="inlineStr">
        <is>
          <t>Shell Multiple Residence Buildings</t>
        </is>
      </c>
      <c r="C422" t="inlineStr">
        <is>
          <t>587</t>
        </is>
      </c>
      <c r="D422" t="inlineStr">
        <is>
          <t>12</t>
        </is>
      </c>
      <c r="E422" t="inlineStr">
        <is>
          <t>17</t>
        </is>
      </c>
      <c r="F422" t="inlineStr">
        <is>
          <t>DMASVEN</t>
        </is>
      </c>
      <c r="G422" t="inlineStr">
        <is>
          <t>Excellent</t>
        </is>
      </c>
      <c r="H422" t="n">
        <v>85.5</v>
      </c>
      <c r="I422">
        <f>B422&amp;"|"&amp;F422&amp;"|"&amp;G422</f>
        <v/>
      </c>
      <c r="J422" t="inlineStr">
        <is>
          <t>MVS Sec.12 p.17</t>
        </is>
      </c>
    </row>
    <row r="423">
      <c r="B423" t="inlineStr">
        <is>
          <t>Shell Multiple Residence Buildings</t>
        </is>
      </c>
      <c r="C423" t="inlineStr">
        <is>
          <t>587</t>
        </is>
      </c>
      <c r="D423" t="inlineStr">
        <is>
          <t>12</t>
        </is>
      </c>
      <c r="E423" t="inlineStr">
        <is>
          <t>17</t>
        </is>
      </c>
      <c r="F423" t="inlineStr">
        <is>
          <t>DMASVEN</t>
        </is>
      </c>
      <c r="G423" t="inlineStr">
        <is>
          <t>Good</t>
        </is>
      </c>
      <c r="H423" t="n">
        <v>65.5</v>
      </c>
      <c r="I423">
        <f>B423&amp;"|"&amp;F423&amp;"|"&amp;G423</f>
        <v/>
      </c>
      <c r="J423" t="inlineStr">
        <is>
          <t>MVS Sec.12 p.17</t>
        </is>
      </c>
    </row>
    <row r="424">
      <c r="B424" t="inlineStr">
        <is>
          <t>Shell Multiple Residence Buildings</t>
        </is>
      </c>
      <c r="C424" t="inlineStr">
        <is>
          <t>587</t>
        </is>
      </c>
      <c r="D424" t="inlineStr">
        <is>
          <t>12</t>
        </is>
      </c>
      <c r="E424" t="inlineStr">
        <is>
          <t>17</t>
        </is>
      </c>
      <c r="F424" t="inlineStr">
        <is>
          <t>DMASVEN</t>
        </is>
      </c>
      <c r="G424" t="inlineStr">
        <is>
          <t>Average</t>
        </is>
      </c>
      <c r="H424" t="n">
        <v>51</v>
      </c>
      <c r="I424">
        <f>B424&amp;"|"&amp;F424&amp;"|"&amp;G424</f>
        <v/>
      </c>
      <c r="J424" t="inlineStr">
        <is>
          <t>MVS Sec.12 p.17</t>
        </is>
      </c>
    </row>
    <row r="425">
      <c r="B425" t="inlineStr">
        <is>
          <t>Shell Multiple Residence Buildings</t>
        </is>
      </c>
      <c r="C425" t="inlineStr">
        <is>
          <t>587</t>
        </is>
      </c>
      <c r="D425" t="inlineStr">
        <is>
          <t>12</t>
        </is>
      </c>
      <c r="E425" t="inlineStr">
        <is>
          <t>17</t>
        </is>
      </c>
      <c r="F425" t="inlineStr">
        <is>
          <t>DMASVEN</t>
        </is>
      </c>
      <c r="G425" t="inlineStr">
        <is>
          <t>Fair</t>
        </is>
      </c>
      <c r="H425" t="n">
        <v>45</v>
      </c>
      <c r="I425">
        <f>B425&amp;"|"&amp;F425&amp;"|"&amp;G425</f>
        <v/>
      </c>
      <c r="J425" t="inlineStr">
        <is>
          <t>MVS Sec.12 p.17</t>
        </is>
      </c>
    </row>
    <row r="426">
      <c r="B426" t="inlineStr">
        <is>
          <t>Shell Multiple Residence Buildings</t>
        </is>
      </c>
      <c r="C426" t="inlineStr">
        <is>
          <t>587</t>
        </is>
      </c>
      <c r="D426" t="inlineStr">
        <is>
          <t>12</t>
        </is>
      </c>
      <c r="E426" t="inlineStr">
        <is>
          <t>17</t>
        </is>
      </c>
      <c r="F426" t="inlineStr">
        <is>
          <t>D</t>
        </is>
      </c>
      <c r="G426" t="inlineStr">
        <is>
          <t>Excellent</t>
        </is>
      </c>
      <c r="H426" t="n">
        <v>83.5</v>
      </c>
      <c r="I426">
        <f>B426&amp;"|"&amp;F426&amp;"|"&amp;G426</f>
        <v/>
      </c>
      <c r="J426" t="inlineStr">
        <is>
          <t>MVS Sec.12 p.17</t>
        </is>
      </c>
    </row>
    <row r="427">
      <c r="B427" t="inlineStr">
        <is>
          <t>Shell Multiple Residence Buildings</t>
        </is>
      </c>
      <c r="C427" t="inlineStr">
        <is>
          <t>587</t>
        </is>
      </c>
      <c r="D427" t="inlineStr">
        <is>
          <t>12</t>
        </is>
      </c>
      <c r="E427" t="inlineStr">
        <is>
          <t>17</t>
        </is>
      </c>
      <c r="F427" t="inlineStr">
        <is>
          <t>D</t>
        </is>
      </c>
      <c r="G427" t="inlineStr">
        <is>
          <t>Good</t>
        </is>
      </c>
      <c r="H427" t="n">
        <v>64</v>
      </c>
      <c r="I427">
        <f>B427&amp;"|"&amp;F427&amp;"|"&amp;G427</f>
        <v/>
      </c>
      <c r="J427" t="inlineStr">
        <is>
          <t>MVS Sec.12 p.17</t>
        </is>
      </c>
    </row>
    <row r="428">
      <c r="B428" t="inlineStr">
        <is>
          <t>Shell Multiple Residence Buildings</t>
        </is>
      </c>
      <c r="C428" t="inlineStr">
        <is>
          <t>587</t>
        </is>
      </c>
      <c r="D428" t="inlineStr">
        <is>
          <t>12</t>
        </is>
      </c>
      <c r="E428" t="inlineStr">
        <is>
          <t>17</t>
        </is>
      </c>
      <c r="F428" t="inlineStr">
        <is>
          <t>D</t>
        </is>
      </c>
      <c r="G428" t="inlineStr">
        <is>
          <t>Average</t>
        </is>
      </c>
      <c r="H428" t="n">
        <v>49.25</v>
      </c>
      <c r="I428">
        <f>B428&amp;"|"&amp;F428&amp;"|"&amp;G428</f>
        <v/>
      </c>
      <c r="J428" t="inlineStr">
        <is>
          <t>MVS Sec.12 p.17</t>
        </is>
      </c>
    </row>
    <row r="429">
      <c r="B429" t="inlineStr">
        <is>
          <t>Shell Multiple Residence Buildings</t>
        </is>
      </c>
      <c r="C429" t="inlineStr">
        <is>
          <t>587</t>
        </is>
      </c>
      <c r="D429" t="inlineStr">
        <is>
          <t>12</t>
        </is>
      </c>
      <c r="E429" t="inlineStr">
        <is>
          <t>17</t>
        </is>
      </c>
      <c r="F429" t="inlineStr">
        <is>
          <t>D</t>
        </is>
      </c>
      <c r="G429" t="inlineStr">
        <is>
          <t>Fair</t>
        </is>
      </c>
      <c r="H429" t="n">
        <v>43.5</v>
      </c>
      <c r="I429">
        <f>B429&amp;"|"&amp;F429&amp;"|"&amp;G429</f>
        <v/>
      </c>
      <c r="J429" t="inlineStr">
        <is>
          <t>MVS Sec.12 p.17</t>
        </is>
      </c>
    </row>
    <row r="430">
      <c r="B430" t="inlineStr">
        <is>
          <t>Shell Multiple Residence Buildings</t>
        </is>
      </c>
      <c r="C430" t="inlineStr">
        <is>
          <t>587</t>
        </is>
      </c>
      <c r="D430" t="inlineStr">
        <is>
          <t>12</t>
        </is>
      </c>
      <c r="E430" t="inlineStr">
        <is>
          <t>17</t>
        </is>
      </c>
      <c r="F430" t="inlineStr">
        <is>
          <t>S</t>
        </is>
      </c>
      <c r="G430" t="inlineStr">
        <is>
          <t>Good</t>
        </is>
      </c>
      <c r="H430" t="n">
        <v>61.5</v>
      </c>
      <c r="I430">
        <f>B430&amp;"|"&amp;F430&amp;"|"&amp;G430</f>
        <v/>
      </c>
      <c r="J430" t="inlineStr">
        <is>
          <t>MVS Sec.12 p.17</t>
        </is>
      </c>
    </row>
    <row r="431">
      <c r="B431" t="inlineStr">
        <is>
          <t>Shell Multiple Residence Buildings</t>
        </is>
      </c>
      <c r="C431" t="inlineStr">
        <is>
          <t>587</t>
        </is>
      </c>
      <c r="D431" t="inlineStr">
        <is>
          <t>12</t>
        </is>
      </c>
      <c r="E431" t="inlineStr">
        <is>
          <t>17</t>
        </is>
      </c>
      <c r="F431" t="inlineStr">
        <is>
          <t>S</t>
        </is>
      </c>
      <c r="G431" t="inlineStr">
        <is>
          <t>Average</t>
        </is>
      </c>
      <c r="H431" t="n">
        <v>47.75</v>
      </c>
      <c r="I431">
        <f>B431&amp;"|"&amp;F431&amp;"|"&amp;G431</f>
        <v/>
      </c>
      <c r="J431" t="inlineStr">
        <is>
          <t>MVS Sec.12 p.17</t>
        </is>
      </c>
    </row>
    <row r="432">
      <c r="B432" t="inlineStr">
        <is>
          <t>Multiple Residences – Senior Citizen</t>
        </is>
      </c>
      <c r="C432" t="inlineStr">
        <is>
          <t>451</t>
        </is>
      </c>
      <c r="D432" t="inlineStr">
        <is>
          <t>12</t>
        </is>
      </c>
      <c r="E432" t="inlineStr">
        <is>
          <t>18</t>
        </is>
      </c>
      <c r="F432" t="inlineStr">
        <is>
          <t>C</t>
        </is>
      </c>
      <c r="G432" t="inlineStr">
        <is>
          <t>Excellent</t>
        </is>
      </c>
      <c r="H432" t="n">
        <v>187</v>
      </c>
      <c r="I432">
        <f>B432&amp;"|"&amp;F432&amp;"|"&amp;G432</f>
        <v/>
      </c>
      <c r="J432" t="inlineStr">
        <is>
          <t>MVS Sec.12 p.18</t>
        </is>
      </c>
    </row>
    <row r="433">
      <c r="B433" t="inlineStr">
        <is>
          <t>Multiple Residences – Senior Citizen</t>
        </is>
      </c>
      <c r="C433" t="inlineStr">
        <is>
          <t>451</t>
        </is>
      </c>
      <c r="D433" t="inlineStr">
        <is>
          <t>12</t>
        </is>
      </c>
      <c r="E433" t="inlineStr">
        <is>
          <t>18</t>
        </is>
      </c>
      <c r="F433" t="inlineStr">
        <is>
          <t>C</t>
        </is>
      </c>
      <c r="G433" t="inlineStr">
        <is>
          <t>Good</t>
        </is>
      </c>
      <c r="H433" t="n">
        <v>149</v>
      </c>
      <c r="I433">
        <f>B433&amp;"|"&amp;F433&amp;"|"&amp;G433</f>
        <v/>
      </c>
      <c r="J433" t="inlineStr">
        <is>
          <t>MVS Sec.12 p.18</t>
        </is>
      </c>
    </row>
    <row r="434">
      <c r="B434" t="inlineStr">
        <is>
          <t>Multiple Residences – Senior Citizen</t>
        </is>
      </c>
      <c r="C434" t="inlineStr">
        <is>
          <t>451</t>
        </is>
      </c>
      <c r="D434" t="inlineStr">
        <is>
          <t>12</t>
        </is>
      </c>
      <c r="E434" t="inlineStr">
        <is>
          <t>18</t>
        </is>
      </c>
      <c r="F434" t="inlineStr">
        <is>
          <t>C</t>
        </is>
      </c>
      <c r="G434" t="inlineStr">
        <is>
          <t>Average</t>
        </is>
      </c>
      <c r="H434" t="n">
        <v>119</v>
      </c>
      <c r="I434">
        <f>B434&amp;"|"&amp;F434&amp;"|"&amp;G434</f>
        <v/>
      </c>
      <c r="J434" t="inlineStr">
        <is>
          <t>MVS Sec.12 p.18</t>
        </is>
      </c>
    </row>
    <row r="435">
      <c r="B435" t="inlineStr">
        <is>
          <t>Multiple Residences – Senior Citizen</t>
        </is>
      </c>
      <c r="C435" t="inlineStr">
        <is>
          <t>451</t>
        </is>
      </c>
      <c r="D435" t="inlineStr">
        <is>
          <t>12</t>
        </is>
      </c>
      <c r="E435" t="inlineStr">
        <is>
          <t>18</t>
        </is>
      </c>
      <c r="F435" t="inlineStr">
        <is>
          <t>C</t>
        </is>
      </c>
      <c r="G435" t="inlineStr">
        <is>
          <t>Fair</t>
        </is>
      </c>
      <c r="H435" t="n">
        <v>103</v>
      </c>
      <c r="I435">
        <f>B435&amp;"|"&amp;F435&amp;"|"&amp;G435</f>
        <v/>
      </c>
      <c r="J435" t="inlineStr">
        <is>
          <t>MVS Sec.12 p.18</t>
        </is>
      </c>
    </row>
    <row r="436">
      <c r="B436" t="inlineStr">
        <is>
          <t>Multiple Residences – Senior Citizen</t>
        </is>
      </c>
      <c r="C436" t="inlineStr">
        <is>
          <t>451</t>
        </is>
      </c>
      <c r="D436" t="inlineStr">
        <is>
          <t>12</t>
        </is>
      </c>
      <c r="E436" t="inlineStr">
        <is>
          <t>18</t>
        </is>
      </c>
      <c r="F436" t="inlineStr">
        <is>
          <t>DMASVEN</t>
        </is>
      </c>
      <c r="G436" t="inlineStr">
        <is>
          <t>Excellent</t>
        </is>
      </c>
      <c r="H436" t="n">
        <v>186</v>
      </c>
      <c r="I436">
        <f>B436&amp;"|"&amp;F436&amp;"|"&amp;G436</f>
        <v/>
      </c>
      <c r="J436" t="inlineStr">
        <is>
          <t>MVS Sec.12 p.18</t>
        </is>
      </c>
    </row>
    <row r="437">
      <c r="B437" t="inlineStr">
        <is>
          <t>Multiple Residences – Senior Citizen</t>
        </is>
      </c>
      <c r="C437" t="inlineStr">
        <is>
          <t>451</t>
        </is>
      </c>
      <c r="D437" t="inlineStr">
        <is>
          <t>12</t>
        </is>
      </c>
      <c r="E437" t="inlineStr">
        <is>
          <t>18</t>
        </is>
      </c>
      <c r="F437" t="inlineStr">
        <is>
          <t>DMASVEN</t>
        </is>
      </c>
      <c r="G437" t="inlineStr">
        <is>
          <t>Good</t>
        </is>
      </c>
      <c r="H437" t="n">
        <v>147</v>
      </c>
      <c r="I437">
        <f>B437&amp;"|"&amp;F437&amp;"|"&amp;G437</f>
        <v/>
      </c>
      <c r="J437" t="inlineStr">
        <is>
          <t>MVS Sec.12 p.18</t>
        </is>
      </c>
    </row>
    <row r="438">
      <c r="B438" t="inlineStr">
        <is>
          <t>Multiple Residences – Senior Citizen</t>
        </is>
      </c>
      <c r="C438" t="inlineStr">
        <is>
          <t>451</t>
        </is>
      </c>
      <c r="D438" t="inlineStr">
        <is>
          <t>12</t>
        </is>
      </c>
      <c r="E438" t="inlineStr">
        <is>
          <t>18</t>
        </is>
      </c>
      <c r="F438" t="inlineStr">
        <is>
          <t>DMASVEN</t>
        </is>
      </c>
      <c r="G438" t="inlineStr">
        <is>
          <t>Average</t>
        </is>
      </c>
      <c r="H438" t="n">
        <v>117</v>
      </c>
      <c r="I438">
        <f>B438&amp;"|"&amp;F438&amp;"|"&amp;G438</f>
        <v/>
      </c>
      <c r="J438" t="inlineStr">
        <is>
          <t>MVS Sec.12 p.18</t>
        </is>
      </c>
    </row>
    <row r="439">
      <c r="B439" t="inlineStr">
        <is>
          <t>Multiple Residences – Senior Citizen</t>
        </is>
      </c>
      <c r="C439" t="inlineStr">
        <is>
          <t>451</t>
        </is>
      </c>
      <c r="D439" t="inlineStr">
        <is>
          <t>12</t>
        </is>
      </c>
      <c r="E439" t="inlineStr">
        <is>
          <t>18</t>
        </is>
      </c>
      <c r="F439" t="inlineStr">
        <is>
          <t>DMASVEN</t>
        </is>
      </c>
      <c r="G439" t="inlineStr">
        <is>
          <t>Fair</t>
        </is>
      </c>
      <c r="H439" t="n">
        <v>101</v>
      </c>
      <c r="I439">
        <f>B439&amp;"|"&amp;F439&amp;"|"&amp;G439</f>
        <v/>
      </c>
      <c r="J439" t="inlineStr">
        <is>
          <t>MVS Sec.12 p.18</t>
        </is>
      </c>
    </row>
    <row r="440">
      <c r="B440" t="inlineStr">
        <is>
          <t>Multiple Residences – Senior Citizen</t>
        </is>
      </c>
      <c r="C440" t="inlineStr">
        <is>
          <t>451</t>
        </is>
      </c>
      <c r="D440" t="inlineStr">
        <is>
          <t>12</t>
        </is>
      </c>
      <c r="E440" t="inlineStr">
        <is>
          <t>18</t>
        </is>
      </c>
      <c r="F440" t="inlineStr">
        <is>
          <t>D</t>
        </is>
      </c>
      <c r="G440" t="inlineStr">
        <is>
          <t>Excellent</t>
        </is>
      </c>
      <c r="H440" t="n">
        <v>181</v>
      </c>
      <c r="I440">
        <f>B440&amp;"|"&amp;F440&amp;"|"&amp;G440</f>
        <v/>
      </c>
      <c r="J440" t="inlineStr">
        <is>
          <t>MVS Sec.12 p.18</t>
        </is>
      </c>
    </row>
    <row r="441">
      <c r="B441" t="inlineStr">
        <is>
          <t>Multiple Residences – Senior Citizen</t>
        </is>
      </c>
      <c r="C441" t="inlineStr">
        <is>
          <t>451</t>
        </is>
      </c>
      <c r="D441" t="inlineStr">
        <is>
          <t>12</t>
        </is>
      </c>
      <c r="E441" t="inlineStr">
        <is>
          <t>18</t>
        </is>
      </c>
      <c r="F441" t="inlineStr">
        <is>
          <t>D</t>
        </is>
      </c>
      <c r="G441" t="inlineStr">
        <is>
          <t>Good</t>
        </is>
      </c>
      <c r="H441" t="n">
        <v>143</v>
      </c>
      <c r="I441">
        <f>B441&amp;"|"&amp;F441&amp;"|"&amp;G441</f>
        <v/>
      </c>
      <c r="J441" t="inlineStr">
        <is>
          <t>MVS Sec.12 p.18</t>
        </is>
      </c>
    </row>
    <row r="442">
      <c r="B442" t="inlineStr">
        <is>
          <t>Multiple Residences – Senior Citizen</t>
        </is>
      </c>
      <c r="C442" t="inlineStr">
        <is>
          <t>451</t>
        </is>
      </c>
      <c r="D442" t="inlineStr">
        <is>
          <t>12</t>
        </is>
      </c>
      <c r="E442" t="inlineStr">
        <is>
          <t>18</t>
        </is>
      </c>
      <c r="F442" t="inlineStr">
        <is>
          <t>D</t>
        </is>
      </c>
      <c r="G442" t="inlineStr">
        <is>
          <t>Average</t>
        </is>
      </c>
      <c r="H442" t="n">
        <v>114</v>
      </c>
      <c r="I442">
        <f>B442&amp;"|"&amp;F442&amp;"|"&amp;G442</f>
        <v/>
      </c>
      <c r="J442" t="inlineStr">
        <is>
          <t>MVS Sec.12 p.18</t>
        </is>
      </c>
    </row>
    <row r="443">
      <c r="B443" t="inlineStr">
        <is>
          <t>Multiple Residences – Senior Citizen</t>
        </is>
      </c>
      <c r="C443" t="inlineStr">
        <is>
          <t>451</t>
        </is>
      </c>
      <c r="D443" t="inlineStr">
        <is>
          <t>12</t>
        </is>
      </c>
      <c r="E443" t="inlineStr">
        <is>
          <t>18</t>
        </is>
      </c>
      <c r="F443" t="inlineStr">
        <is>
          <t>D</t>
        </is>
      </c>
      <c r="G443" t="inlineStr">
        <is>
          <t>Fair</t>
        </is>
      </c>
      <c r="H443" t="n">
        <v>98</v>
      </c>
      <c r="I443">
        <f>B443&amp;"|"&amp;F443&amp;"|"&amp;G443</f>
        <v/>
      </c>
      <c r="J443" t="inlineStr">
        <is>
          <t>MVS Sec.12 p.18</t>
        </is>
      </c>
    </row>
    <row r="444">
      <c r="B444" t="inlineStr">
        <is>
          <t>Multiple Residences – Senior Citizen</t>
        </is>
      </c>
      <c r="C444" t="inlineStr">
        <is>
          <t>451</t>
        </is>
      </c>
      <c r="D444" t="inlineStr">
        <is>
          <t>12</t>
        </is>
      </c>
      <c r="E444" t="inlineStr">
        <is>
          <t>18</t>
        </is>
      </c>
      <c r="F444" t="inlineStr">
        <is>
          <t>D</t>
        </is>
      </c>
      <c r="G444" t="inlineStr">
        <is>
          <t>Low Cost</t>
        </is>
      </c>
      <c r="H444" t="n">
        <v>86.5</v>
      </c>
      <c r="I444">
        <f>B444&amp;"|"&amp;F444&amp;"|"&amp;G444</f>
        <v/>
      </c>
      <c r="J444" t="inlineStr">
        <is>
          <t>MVS Sec.12 p.18</t>
        </is>
      </c>
    </row>
    <row r="445">
      <c r="B445" t="inlineStr">
        <is>
          <t>Multiple Residences – Senior Citizen</t>
        </is>
      </c>
      <c r="C445" t="inlineStr">
        <is>
          <t>451</t>
        </is>
      </c>
      <c r="D445" t="inlineStr">
        <is>
          <t>12</t>
        </is>
      </c>
      <c r="E445" t="inlineStr">
        <is>
          <t>18</t>
        </is>
      </c>
      <c r="F445" t="inlineStr">
        <is>
          <t>S</t>
        </is>
      </c>
      <c r="G445" t="inlineStr">
        <is>
          <t>Good</t>
        </is>
      </c>
      <c r="H445" t="n">
        <v>140</v>
      </c>
      <c r="I445">
        <f>B445&amp;"|"&amp;F445&amp;"|"&amp;G445</f>
        <v/>
      </c>
      <c r="J445" t="inlineStr">
        <is>
          <t>MVS Sec.12 p.18</t>
        </is>
      </c>
    </row>
    <row r="446">
      <c r="B446" t="inlineStr">
        <is>
          <t>Multiple Residences – Senior Citizen</t>
        </is>
      </c>
      <c r="C446" t="inlineStr">
        <is>
          <t>451</t>
        </is>
      </c>
      <c r="D446" t="inlineStr">
        <is>
          <t>12</t>
        </is>
      </c>
      <c r="E446" t="inlineStr">
        <is>
          <t>18</t>
        </is>
      </c>
      <c r="F446" t="inlineStr">
        <is>
          <t>S</t>
        </is>
      </c>
      <c r="G446" t="inlineStr">
        <is>
          <t>Average</t>
        </is>
      </c>
      <c r="H446" t="n">
        <v>112</v>
      </c>
      <c r="I446">
        <f>B446&amp;"|"&amp;F446&amp;"|"&amp;G446</f>
        <v/>
      </c>
      <c r="J446" t="inlineStr">
        <is>
          <t>MVS Sec.12 p.18</t>
        </is>
      </c>
    </row>
    <row r="447">
      <c r="B447" t="inlineStr">
        <is>
          <t>Shell Multiple Residences - Senior Citizen</t>
        </is>
      </c>
      <c r="C447" t="inlineStr">
        <is>
          <t>784</t>
        </is>
      </c>
      <c r="D447" t="inlineStr">
        <is>
          <t>12</t>
        </is>
      </c>
      <c r="E447" t="inlineStr">
        <is>
          <t>19</t>
        </is>
      </c>
      <c r="F447" t="inlineStr">
        <is>
          <t>C</t>
        </is>
      </c>
      <c r="G447" t="inlineStr">
        <is>
          <t>Excellent</t>
        </is>
      </c>
      <c r="H447" t="n">
        <v>102</v>
      </c>
      <c r="I447">
        <f>B447&amp;"|"&amp;F447&amp;"|"&amp;G447</f>
        <v/>
      </c>
      <c r="J447" t="inlineStr">
        <is>
          <t>MVS Sec.12 p.19</t>
        </is>
      </c>
    </row>
    <row r="448">
      <c r="B448" t="inlineStr">
        <is>
          <t>Shell Multiple Residences - Senior Citizen</t>
        </is>
      </c>
      <c r="C448" t="inlineStr">
        <is>
          <t>784</t>
        </is>
      </c>
      <c r="D448" t="inlineStr">
        <is>
          <t>12</t>
        </is>
      </c>
      <c r="E448" t="inlineStr">
        <is>
          <t>19</t>
        </is>
      </c>
      <c r="F448" t="inlineStr">
        <is>
          <t>C</t>
        </is>
      </c>
      <c r="G448" t="inlineStr">
        <is>
          <t>Good</t>
        </is>
      </c>
      <c r="H448" t="n">
        <v>82</v>
      </c>
      <c r="I448">
        <f>B448&amp;"|"&amp;F448&amp;"|"&amp;G448</f>
        <v/>
      </c>
      <c r="J448" t="inlineStr">
        <is>
          <t>MVS Sec.12 p.19</t>
        </is>
      </c>
    </row>
    <row r="449">
      <c r="B449" t="inlineStr">
        <is>
          <t>Shell Multiple Residences - Senior Citizen</t>
        </is>
      </c>
      <c r="C449" t="inlineStr">
        <is>
          <t>784</t>
        </is>
      </c>
      <c r="D449" t="inlineStr">
        <is>
          <t>12</t>
        </is>
      </c>
      <c r="E449" t="inlineStr">
        <is>
          <t>19</t>
        </is>
      </c>
      <c r="F449" t="inlineStr">
        <is>
          <t>C</t>
        </is>
      </c>
      <c r="G449" t="inlineStr">
        <is>
          <t>Average</t>
        </is>
      </c>
      <c r="H449" t="n">
        <v>66.5</v>
      </c>
      <c r="I449">
        <f>B449&amp;"|"&amp;F449&amp;"|"&amp;G449</f>
        <v/>
      </c>
      <c r="J449" t="inlineStr">
        <is>
          <t>MVS Sec.12 p.19</t>
        </is>
      </c>
    </row>
    <row r="450">
      <c r="B450" t="inlineStr">
        <is>
          <t>Shell Multiple Residences - Senior Citizen</t>
        </is>
      </c>
      <c r="C450" t="inlineStr">
        <is>
          <t>784</t>
        </is>
      </c>
      <c r="D450" t="inlineStr">
        <is>
          <t>12</t>
        </is>
      </c>
      <c r="E450" t="inlineStr">
        <is>
          <t>19</t>
        </is>
      </c>
      <c r="F450" t="inlineStr">
        <is>
          <t>C</t>
        </is>
      </c>
      <c r="G450" t="inlineStr">
        <is>
          <t>Fair</t>
        </is>
      </c>
      <c r="H450" t="n">
        <v>59.5</v>
      </c>
      <c r="I450">
        <f>B450&amp;"|"&amp;F450&amp;"|"&amp;G450</f>
        <v/>
      </c>
      <c r="J450" t="inlineStr">
        <is>
          <t>MVS Sec.12 p.19</t>
        </is>
      </c>
    </row>
    <row r="451">
      <c r="B451" t="inlineStr">
        <is>
          <t>Shell Multiple Residences - Senior Citizen</t>
        </is>
      </c>
      <c r="C451" t="inlineStr">
        <is>
          <t>784</t>
        </is>
      </c>
      <c r="D451" t="inlineStr">
        <is>
          <t>12</t>
        </is>
      </c>
      <c r="E451" t="inlineStr">
        <is>
          <t>19</t>
        </is>
      </c>
      <c r="F451" t="inlineStr">
        <is>
          <t>DMASVEN</t>
        </is>
      </c>
      <c r="G451" t="inlineStr">
        <is>
          <t>Excellent</t>
        </is>
      </c>
      <c r="H451" t="n">
        <v>97</v>
      </c>
      <c r="I451">
        <f>B451&amp;"|"&amp;F451&amp;"|"&amp;G451</f>
        <v/>
      </c>
      <c r="J451" t="inlineStr">
        <is>
          <t>MVS Sec.12 p.19</t>
        </is>
      </c>
    </row>
    <row r="452">
      <c r="B452" t="inlineStr">
        <is>
          <t>Shell Multiple Residences - Senior Citizen</t>
        </is>
      </c>
      <c r="C452" t="inlineStr">
        <is>
          <t>784</t>
        </is>
      </c>
      <c r="D452" t="inlineStr">
        <is>
          <t>12</t>
        </is>
      </c>
      <c r="E452" t="inlineStr">
        <is>
          <t>19</t>
        </is>
      </c>
      <c r="F452" t="inlineStr">
        <is>
          <t>DMASVEN</t>
        </is>
      </c>
      <c r="G452" t="inlineStr">
        <is>
          <t>Good</t>
        </is>
      </c>
      <c r="H452" t="n">
        <v>78.5</v>
      </c>
      <c r="I452">
        <f>B452&amp;"|"&amp;F452&amp;"|"&amp;G452</f>
        <v/>
      </c>
      <c r="J452" t="inlineStr">
        <is>
          <t>MVS Sec.12 p.19</t>
        </is>
      </c>
    </row>
    <row r="453">
      <c r="B453" t="inlineStr">
        <is>
          <t>Shell Multiple Residences - Senior Citizen</t>
        </is>
      </c>
      <c r="C453" t="inlineStr">
        <is>
          <t>784</t>
        </is>
      </c>
      <c r="D453" t="inlineStr">
        <is>
          <t>12</t>
        </is>
      </c>
      <c r="E453" t="inlineStr">
        <is>
          <t>19</t>
        </is>
      </c>
      <c r="F453" t="inlineStr">
        <is>
          <t>DMASVEN</t>
        </is>
      </c>
      <c r="G453" t="inlineStr">
        <is>
          <t>Average</t>
        </is>
      </c>
      <c r="H453" t="n">
        <v>63</v>
      </c>
      <c r="I453">
        <f>B453&amp;"|"&amp;F453&amp;"|"&amp;G453</f>
        <v/>
      </c>
      <c r="J453" t="inlineStr">
        <is>
          <t>MVS Sec.12 p.19</t>
        </is>
      </c>
    </row>
    <row r="454">
      <c r="B454" t="inlineStr">
        <is>
          <t>Shell Multiple Residences - Senior Citizen</t>
        </is>
      </c>
      <c r="C454" t="inlineStr">
        <is>
          <t>784</t>
        </is>
      </c>
      <c r="D454" t="inlineStr">
        <is>
          <t>12</t>
        </is>
      </c>
      <c r="E454" t="inlineStr">
        <is>
          <t>19</t>
        </is>
      </c>
      <c r="F454" t="inlineStr">
        <is>
          <t>DMASVEN</t>
        </is>
      </c>
      <c r="G454" t="inlineStr">
        <is>
          <t>Fair</t>
        </is>
      </c>
      <c r="H454" t="n">
        <v>56.5</v>
      </c>
      <c r="I454">
        <f>B454&amp;"|"&amp;F454&amp;"|"&amp;G454</f>
        <v/>
      </c>
      <c r="J454" t="inlineStr">
        <is>
          <t>MVS Sec.12 p.19</t>
        </is>
      </c>
    </row>
    <row r="455">
      <c r="B455" t="inlineStr">
        <is>
          <t>Shell Multiple Residences - Senior Citizen</t>
        </is>
      </c>
      <c r="C455" t="inlineStr">
        <is>
          <t>784</t>
        </is>
      </c>
      <c r="D455" t="inlineStr">
        <is>
          <t>12</t>
        </is>
      </c>
      <c r="E455" t="inlineStr">
        <is>
          <t>19</t>
        </is>
      </c>
      <c r="F455" t="inlineStr">
        <is>
          <t>D</t>
        </is>
      </c>
      <c r="G455" t="inlineStr">
        <is>
          <t>Excellent</t>
        </is>
      </c>
      <c r="H455" t="n">
        <v>94.5</v>
      </c>
      <c r="I455">
        <f>B455&amp;"|"&amp;F455&amp;"|"&amp;G455</f>
        <v/>
      </c>
      <c r="J455" t="inlineStr">
        <is>
          <t>MVS Sec.12 p.19</t>
        </is>
      </c>
    </row>
    <row r="456">
      <c r="B456" t="inlineStr">
        <is>
          <t>Shell Multiple Residences - Senior Citizen</t>
        </is>
      </c>
      <c r="C456" t="inlineStr">
        <is>
          <t>784</t>
        </is>
      </c>
      <c r="D456" t="inlineStr">
        <is>
          <t>12</t>
        </is>
      </c>
      <c r="E456" t="inlineStr">
        <is>
          <t>19</t>
        </is>
      </c>
      <c r="F456" t="inlineStr">
        <is>
          <t>D</t>
        </is>
      </c>
      <c r="G456" t="inlineStr">
        <is>
          <t>Good</t>
        </is>
      </c>
      <c r="H456" t="n">
        <v>76</v>
      </c>
      <c r="I456">
        <f>B456&amp;"|"&amp;F456&amp;"|"&amp;G456</f>
        <v/>
      </c>
      <c r="J456" t="inlineStr">
        <is>
          <t>MVS Sec.12 p.19</t>
        </is>
      </c>
    </row>
    <row r="457">
      <c r="B457" t="inlineStr">
        <is>
          <t>Shell Multiple Residences - Senior Citizen</t>
        </is>
      </c>
      <c r="C457" t="inlineStr">
        <is>
          <t>784</t>
        </is>
      </c>
      <c r="D457" t="inlineStr">
        <is>
          <t>12</t>
        </is>
      </c>
      <c r="E457" t="inlineStr">
        <is>
          <t>19</t>
        </is>
      </c>
      <c r="F457" t="inlineStr">
        <is>
          <t>D</t>
        </is>
      </c>
      <c r="G457" t="inlineStr">
        <is>
          <t>Average</t>
        </is>
      </c>
      <c r="H457" t="n">
        <v>61</v>
      </c>
      <c r="I457">
        <f>B457&amp;"|"&amp;F457&amp;"|"&amp;G457</f>
        <v/>
      </c>
      <c r="J457" t="inlineStr">
        <is>
          <t>MVS Sec.12 p.19</t>
        </is>
      </c>
    </row>
    <row r="458">
      <c r="B458" t="inlineStr">
        <is>
          <t>Shell Multiple Residences - Senior Citizen</t>
        </is>
      </c>
      <c r="C458" t="inlineStr">
        <is>
          <t>784</t>
        </is>
      </c>
      <c r="D458" t="inlineStr">
        <is>
          <t>12</t>
        </is>
      </c>
      <c r="E458" t="inlineStr">
        <is>
          <t>19</t>
        </is>
      </c>
      <c r="F458" t="inlineStr">
        <is>
          <t>D</t>
        </is>
      </c>
      <c r="G458" t="inlineStr">
        <is>
          <t>Fair</t>
        </is>
      </c>
      <c r="H458" t="n">
        <v>55</v>
      </c>
      <c r="I458">
        <f>B458&amp;"|"&amp;F458&amp;"|"&amp;G458</f>
        <v/>
      </c>
      <c r="J458" t="inlineStr">
        <is>
          <t>MVS Sec.12 p.19</t>
        </is>
      </c>
    </row>
    <row r="459">
      <c r="B459" t="inlineStr">
        <is>
          <t>Shell Multiple Residences - Senior Citizen</t>
        </is>
      </c>
      <c r="C459" t="inlineStr">
        <is>
          <t>784</t>
        </is>
      </c>
      <c r="D459" t="inlineStr">
        <is>
          <t>12</t>
        </is>
      </c>
      <c r="E459" t="inlineStr">
        <is>
          <t>19</t>
        </is>
      </c>
      <c r="F459" t="inlineStr">
        <is>
          <t>D</t>
        </is>
      </c>
      <c r="G459" t="inlineStr">
        <is>
          <t>Low Cost</t>
        </is>
      </c>
      <c r="H459" t="n">
        <v>49.25</v>
      </c>
      <c r="I459">
        <f>B459&amp;"|"&amp;F459&amp;"|"&amp;G459</f>
        <v/>
      </c>
      <c r="J459" t="inlineStr">
        <is>
          <t>MVS Sec.12 p.19</t>
        </is>
      </c>
    </row>
    <row r="460">
      <c r="B460" t="inlineStr">
        <is>
          <t>Shell Multiple Residences - Senior Citizen</t>
        </is>
      </c>
      <c r="C460" t="inlineStr">
        <is>
          <t>784</t>
        </is>
      </c>
      <c r="D460" t="inlineStr">
        <is>
          <t>12</t>
        </is>
      </c>
      <c r="E460" t="inlineStr">
        <is>
          <t>19</t>
        </is>
      </c>
      <c r="F460" t="inlineStr">
        <is>
          <t>S</t>
        </is>
      </c>
      <c r="G460" t="inlineStr">
        <is>
          <t>Good</t>
        </is>
      </c>
      <c r="H460" t="n">
        <v>73.5</v>
      </c>
      <c r="I460">
        <f>B460&amp;"|"&amp;F460&amp;"|"&amp;G460</f>
        <v/>
      </c>
      <c r="J460" t="inlineStr">
        <is>
          <t>MVS Sec.12 p.19</t>
        </is>
      </c>
    </row>
    <row r="461">
      <c r="B461" t="inlineStr">
        <is>
          <t>Shell Multiple Residences - Senior Citizen</t>
        </is>
      </c>
      <c r="C461" t="inlineStr">
        <is>
          <t>784</t>
        </is>
      </c>
      <c r="D461" t="inlineStr">
        <is>
          <t>12</t>
        </is>
      </c>
      <c r="E461" t="inlineStr">
        <is>
          <t>19</t>
        </is>
      </c>
      <c r="F461" t="inlineStr">
        <is>
          <t>S</t>
        </is>
      </c>
      <c r="G461" t="inlineStr">
        <is>
          <t>Average</t>
        </is>
      </c>
      <c r="H461" t="n">
        <v>59.5</v>
      </c>
      <c r="I461">
        <f>B461&amp;"|"&amp;F461&amp;"|"&amp;G461</f>
        <v/>
      </c>
      <c r="J461" t="inlineStr">
        <is>
          <t>MVS Sec.12 p.19</t>
        </is>
      </c>
    </row>
    <row r="462">
      <c r="B462" t="inlineStr">
        <is>
          <t>Multiple Residences – Elderly Assisted Living</t>
        </is>
      </c>
      <c r="C462" t="inlineStr">
        <is>
          <t>589</t>
        </is>
      </c>
      <c r="D462" t="inlineStr">
        <is>
          <t>12</t>
        </is>
      </c>
      <c r="E462" t="inlineStr">
        <is>
          <t>20</t>
        </is>
      </c>
      <c r="F462" t="inlineStr">
        <is>
          <t>C</t>
        </is>
      </c>
      <c r="G462" t="inlineStr">
        <is>
          <t>Excellent</t>
        </is>
      </c>
      <c r="H462" t="n">
        <v>202</v>
      </c>
      <c r="I462">
        <f>B462&amp;"|"&amp;F462&amp;"|"&amp;G462</f>
        <v/>
      </c>
      <c r="J462" t="inlineStr">
        <is>
          <t>MVS Sec.12 p.20</t>
        </is>
      </c>
    </row>
    <row r="463">
      <c r="B463" t="inlineStr">
        <is>
          <t>Multiple Residences – Elderly Assisted Living</t>
        </is>
      </c>
      <c r="C463" t="inlineStr">
        <is>
          <t>589</t>
        </is>
      </c>
      <c r="D463" t="inlineStr">
        <is>
          <t>12</t>
        </is>
      </c>
      <c r="E463" t="inlineStr">
        <is>
          <t>20</t>
        </is>
      </c>
      <c r="F463" t="inlineStr">
        <is>
          <t>C</t>
        </is>
      </c>
      <c r="G463" t="inlineStr">
        <is>
          <t>Good</t>
        </is>
      </c>
      <c r="H463" t="n">
        <v>165</v>
      </c>
      <c r="I463">
        <f>B463&amp;"|"&amp;F463&amp;"|"&amp;G463</f>
        <v/>
      </c>
      <c r="J463" t="inlineStr">
        <is>
          <t>MVS Sec.12 p.20</t>
        </is>
      </c>
    </row>
    <row r="464">
      <c r="B464" t="inlineStr">
        <is>
          <t>Multiple Residences – Elderly Assisted Living</t>
        </is>
      </c>
      <c r="C464" t="inlineStr">
        <is>
          <t>589</t>
        </is>
      </c>
      <c r="D464" t="inlineStr">
        <is>
          <t>12</t>
        </is>
      </c>
      <c r="E464" t="inlineStr">
        <is>
          <t>20</t>
        </is>
      </c>
      <c r="F464" t="inlineStr">
        <is>
          <t>C</t>
        </is>
      </c>
      <c r="G464" t="inlineStr">
        <is>
          <t>Average</t>
        </is>
      </c>
      <c r="H464" t="n">
        <v>135</v>
      </c>
      <c r="I464">
        <f>B464&amp;"|"&amp;F464&amp;"|"&amp;G464</f>
        <v/>
      </c>
      <c r="J464" t="inlineStr">
        <is>
          <t>MVS Sec.12 p.20</t>
        </is>
      </c>
    </row>
    <row r="465">
      <c r="B465" t="inlineStr">
        <is>
          <t>Multiple Residences – Elderly Assisted Living</t>
        </is>
      </c>
      <c r="C465" t="inlineStr">
        <is>
          <t>589</t>
        </is>
      </c>
      <c r="D465" t="inlineStr">
        <is>
          <t>12</t>
        </is>
      </c>
      <c r="E465" t="inlineStr">
        <is>
          <t>20</t>
        </is>
      </c>
      <c r="F465" t="inlineStr">
        <is>
          <t>C</t>
        </is>
      </c>
      <c r="G465" t="inlineStr">
        <is>
          <t>Fair</t>
        </is>
      </c>
      <c r="H465" t="n">
        <v>119</v>
      </c>
      <c r="I465">
        <f>B465&amp;"|"&amp;F465&amp;"|"&amp;G465</f>
        <v/>
      </c>
      <c r="J465" t="inlineStr">
        <is>
          <t>MVS Sec.12 p.20</t>
        </is>
      </c>
    </row>
    <row r="466">
      <c r="B466" t="inlineStr">
        <is>
          <t>Multiple Residences – Elderly Assisted Living</t>
        </is>
      </c>
      <c r="C466" t="inlineStr">
        <is>
          <t>589</t>
        </is>
      </c>
      <c r="D466" t="inlineStr">
        <is>
          <t>12</t>
        </is>
      </c>
      <c r="E466" t="inlineStr">
        <is>
          <t>20</t>
        </is>
      </c>
      <c r="F466" t="inlineStr">
        <is>
          <t>DMASVEN</t>
        </is>
      </c>
      <c r="G466" t="inlineStr">
        <is>
          <t>Excellent</t>
        </is>
      </c>
      <c r="H466" t="n">
        <v>201</v>
      </c>
      <c r="I466">
        <f>B466&amp;"|"&amp;F466&amp;"|"&amp;G466</f>
        <v/>
      </c>
      <c r="J466" t="inlineStr">
        <is>
          <t>MVS Sec.12 p.20</t>
        </is>
      </c>
    </row>
    <row r="467">
      <c r="B467" t="inlineStr">
        <is>
          <t>Multiple Residences – Elderly Assisted Living</t>
        </is>
      </c>
      <c r="C467" t="inlineStr">
        <is>
          <t>589</t>
        </is>
      </c>
      <c r="D467" t="inlineStr">
        <is>
          <t>12</t>
        </is>
      </c>
      <c r="E467" t="inlineStr">
        <is>
          <t>20</t>
        </is>
      </c>
      <c r="F467" t="inlineStr">
        <is>
          <t>DMASVEN</t>
        </is>
      </c>
      <c r="G467" t="inlineStr">
        <is>
          <t>Good</t>
        </is>
      </c>
      <c r="H467" t="n">
        <v>163</v>
      </c>
      <c r="I467">
        <f>B467&amp;"|"&amp;F467&amp;"|"&amp;G467</f>
        <v/>
      </c>
      <c r="J467" t="inlineStr">
        <is>
          <t>MVS Sec.12 p.20</t>
        </is>
      </c>
    </row>
    <row r="468">
      <c r="B468" t="inlineStr">
        <is>
          <t>Multiple Residences – Elderly Assisted Living</t>
        </is>
      </c>
      <c r="C468" t="inlineStr">
        <is>
          <t>589</t>
        </is>
      </c>
      <c r="D468" t="inlineStr">
        <is>
          <t>12</t>
        </is>
      </c>
      <c r="E468" t="inlineStr">
        <is>
          <t>20</t>
        </is>
      </c>
      <c r="F468" t="inlineStr">
        <is>
          <t>DMASVEN</t>
        </is>
      </c>
      <c r="G468" t="inlineStr">
        <is>
          <t>Average</t>
        </is>
      </c>
      <c r="H468" t="n">
        <v>134</v>
      </c>
      <c r="I468">
        <f>B468&amp;"|"&amp;F468&amp;"|"&amp;G468</f>
        <v/>
      </c>
      <c r="J468" t="inlineStr">
        <is>
          <t>MVS Sec.12 p.20</t>
        </is>
      </c>
    </row>
    <row r="469">
      <c r="B469" t="inlineStr">
        <is>
          <t>Multiple Residences – Elderly Assisted Living</t>
        </is>
      </c>
      <c r="C469" t="inlineStr">
        <is>
          <t>589</t>
        </is>
      </c>
      <c r="D469" t="inlineStr">
        <is>
          <t>12</t>
        </is>
      </c>
      <c r="E469" t="inlineStr">
        <is>
          <t>20</t>
        </is>
      </c>
      <c r="F469" t="inlineStr">
        <is>
          <t>DMASVEN</t>
        </is>
      </c>
      <c r="G469" t="inlineStr">
        <is>
          <t>Fair</t>
        </is>
      </c>
      <c r="H469" t="n">
        <v>118</v>
      </c>
      <c r="I469">
        <f>B469&amp;"|"&amp;F469&amp;"|"&amp;G469</f>
        <v/>
      </c>
      <c r="J469" t="inlineStr">
        <is>
          <t>MVS Sec.12 p.20</t>
        </is>
      </c>
    </row>
    <row r="470">
      <c r="B470" t="inlineStr">
        <is>
          <t>Multiple Residences – Elderly Assisted Living</t>
        </is>
      </c>
      <c r="C470" t="inlineStr">
        <is>
          <t>589</t>
        </is>
      </c>
      <c r="D470" t="inlineStr">
        <is>
          <t>12</t>
        </is>
      </c>
      <c r="E470" t="inlineStr">
        <is>
          <t>20</t>
        </is>
      </c>
      <c r="F470" t="inlineStr">
        <is>
          <t>D</t>
        </is>
      </c>
      <c r="G470" t="inlineStr">
        <is>
          <t>Excellent</t>
        </is>
      </c>
      <c r="H470" t="n">
        <v>195</v>
      </c>
      <c r="I470">
        <f>B470&amp;"|"&amp;F470&amp;"|"&amp;G470</f>
        <v/>
      </c>
      <c r="J470" t="inlineStr">
        <is>
          <t>MVS Sec.12 p.20</t>
        </is>
      </c>
    </row>
    <row r="471">
      <c r="B471" t="inlineStr">
        <is>
          <t>Multiple Residences – Elderly Assisted Living</t>
        </is>
      </c>
      <c r="C471" t="inlineStr">
        <is>
          <t>589</t>
        </is>
      </c>
      <c r="D471" t="inlineStr">
        <is>
          <t>12</t>
        </is>
      </c>
      <c r="E471" t="inlineStr">
        <is>
          <t>20</t>
        </is>
      </c>
      <c r="F471" t="inlineStr">
        <is>
          <t>D</t>
        </is>
      </c>
      <c r="G471" t="inlineStr">
        <is>
          <t>Good</t>
        </is>
      </c>
      <c r="H471" t="n">
        <v>159</v>
      </c>
      <c r="I471">
        <f>B471&amp;"|"&amp;F471&amp;"|"&amp;G471</f>
        <v/>
      </c>
      <c r="J471" t="inlineStr">
        <is>
          <t>MVS Sec.12 p.20</t>
        </is>
      </c>
    </row>
    <row r="472">
      <c r="B472" t="inlineStr">
        <is>
          <t>Multiple Residences – Elderly Assisted Living</t>
        </is>
      </c>
      <c r="C472" t="inlineStr">
        <is>
          <t>589</t>
        </is>
      </c>
      <c r="D472" t="inlineStr">
        <is>
          <t>12</t>
        </is>
      </c>
      <c r="E472" t="inlineStr">
        <is>
          <t>20</t>
        </is>
      </c>
      <c r="F472" t="inlineStr">
        <is>
          <t>D</t>
        </is>
      </c>
      <c r="G472" t="inlineStr">
        <is>
          <t>Average</t>
        </is>
      </c>
      <c r="H472" t="n">
        <v>130</v>
      </c>
      <c r="I472">
        <f>B472&amp;"|"&amp;F472&amp;"|"&amp;G472</f>
        <v/>
      </c>
      <c r="J472" t="inlineStr">
        <is>
          <t>MVS Sec.12 p.20</t>
        </is>
      </c>
    </row>
    <row r="473">
      <c r="B473" t="inlineStr">
        <is>
          <t>Multiple Residences – Elderly Assisted Living</t>
        </is>
      </c>
      <c r="C473" t="inlineStr">
        <is>
          <t>589</t>
        </is>
      </c>
      <c r="D473" t="inlineStr">
        <is>
          <t>12</t>
        </is>
      </c>
      <c r="E473" t="inlineStr">
        <is>
          <t>20</t>
        </is>
      </c>
      <c r="F473" t="inlineStr">
        <is>
          <t>D</t>
        </is>
      </c>
      <c r="G473" t="inlineStr">
        <is>
          <t>Fair</t>
        </is>
      </c>
      <c r="H473" t="n">
        <v>115</v>
      </c>
      <c r="I473">
        <f>B473&amp;"|"&amp;F473&amp;"|"&amp;G473</f>
        <v/>
      </c>
      <c r="J473" t="inlineStr">
        <is>
          <t>MVS Sec.12 p.20</t>
        </is>
      </c>
    </row>
    <row r="474">
      <c r="B474" t="inlineStr">
        <is>
          <t>Multiple Residences – Elderly Assisted Living</t>
        </is>
      </c>
      <c r="C474" t="inlineStr">
        <is>
          <t>589</t>
        </is>
      </c>
      <c r="D474" t="inlineStr">
        <is>
          <t>12</t>
        </is>
      </c>
      <c r="E474" t="inlineStr">
        <is>
          <t>20</t>
        </is>
      </c>
      <c r="F474" t="inlineStr">
        <is>
          <t>D</t>
        </is>
      </c>
      <c r="G474" t="inlineStr">
        <is>
          <t>Low Cost</t>
        </is>
      </c>
      <c r="H474" t="n">
        <v>104</v>
      </c>
      <c r="I474">
        <f>B474&amp;"|"&amp;F474&amp;"|"&amp;G474</f>
        <v/>
      </c>
      <c r="J474" t="inlineStr">
        <is>
          <t>MVS Sec.12 p.20</t>
        </is>
      </c>
    </row>
    <row r="475">
      <c r="B475" t="inlineStr">
        <is>
          <t>Multiple Residences – Elderly Assisted Living</t>
        </is>
      </c>
      <c r="C475" t="inlineStr">
        <is>
          <t>589</t>
        </is>
      </c>
      <c r="D475" t="inlineStr">
        <is>
          <t>12</t>
        </is>
      </c>
      <c r="E475" t="inlineStr">
        <is>
          <t>20</t>
        </is>
      </c>
      <c r="F475" t="inlineStr">
        <is>
          <t>S</t>
        </is>
      </c>
      <c r="G475" t="inlineStr">
        <is>
          <t>Good</t>
        </is>
      </c>
      <c r="H475" t="n">
        <v>155</v>
      </c>
      <c r="I475">
        <f>B475&amp;"|"&amp;F475&amp;"|"&amp;G475</f>
        <v/>
      </c>
      <c r="J475" t="inlineStr">
        <is>
          <t>MVS Sec.12 p.20</t>
        </is>
      </c>
    </row>
    <row r="476">
      <c r="B476" t="inlineStr">
        <is>
          <t>Multiple Residences – Elderly Assisted Living</t>
        </is>
      </c>
      <c r="C476" t="inlineStr">
        <is>
          <t>589</t>
        </is>
      </c>
      <c r="D476" t="inlineStr">
        <is>
          <t>12</t>
        </is>
      </c>
      <c r="E476" t="inlineStr">
        <is>
          <t>20</t>
        </is>
      </c>
      <c r="F476" t="inlineStr">
        <is>
          <t>S</t>
        </is>
      </c>
      <c r="G476" t="inlineStr">
        <is>
          <t>Average</t>
        </is>
      </c>
      <c r="H476" t="n">
        <v>127</v>
      </c>
      <c r="I476">
        <f>B476&amp;"|"&amp;F476&amp;"|"&amp;G476</f>
        <v/>
      </c>
      <c r="J476" t="inlineStr">
        <is>
          <t>MVS Sec.12 p.20</t>
        </is>
      </c>
    </row>
    <row r="477">
      <c r="B477" t="inlineStr">
        <is>
          <t>Shell Multiple Residences - Elderly Assisted Living</t>
        </is>
      </c>
      <c r="C477" t="inlineStr">
        <is>
          <t>782</t>
        </is>
      </c>
      <c r="D477" t="inlineStr">
        <is>
          <t>12</t>
        </is>
      </c>
      <c r="E477" t="inlineStr">
        <is>
          <t>21</t>
        </is>
      </c>
      <c r="F477" t="inlineStr">
        <is>
          <t>C</t>
        </is>
      </c>
      <c r="G477" t="inlineStr">
        <is>
          <t>Excellent</t>
        </is>
      </c>
      <c r="H477" t="n">
        <v>86.5</v>
      </c>
      <c r="I477">
        <f>B477&amp;"|"&amp;F477&amp;"|"&amp;G477</f>
        <v/>
      </c>
      <c r="J477" t="inlineStr">
        <is>
          <t>MVS Sec.12 p.21</t>
        </is>
      </c>
    </row>
    <row r="478">
      <c r="B478" t="inlineStr">
        <is>
          <t>Shell Multiple Residences - Elderly Assisted Living</t>
        </is>
      </c>
      <c r="C478" t="inlineStr">
        <is>
          <t>782</t>
        </is>
      </c>
      <c r="D478" t="inlineStr">
        <is>
          <t>12</t>
        </is>
      </c>
      <c r="E478" t="inlineStr">
        <is>
          <t>21</t>
        </is>
      </c>
      <c r="F478" t="inlineStr">
        <is>
          <t>C</t>
        </is>
      </c>
      <c r="G478" t="inlineStr">
        <is>
          <t>Good</t>
        </is>
      </c>
      <c r="H478" t="n">
        <v>74</v>
      </c>
      <c r="I478">
        <f>B478&amp;"|"&amp;F478&amp;"|"&amp;G478</f>
        <v/>
      </c>
      <c r="J478" t="inlineStr">
        <is>
          <t>MVS Sec.12 p.21</t>
        </is>
      </c>
    </row>
    <row r="479">
      <c r="B479" t="inlineStr">
        <is>
          <t>Shell Multiple Residences - Elderly Assisted Living</t>
        </is>
      </c>
      <c r="C479" t="inlineStr">
        <is>
          <t>782</t>
        </is>
      </c>
      <c r="D479" t="inlineStr">
        <is>
          <t>12</t>
        </is>
      </c>
      <c r="E479" t="inlineStr">
        <is>
          <t>21</t>
        </is>
      </c>
      <c r="F479" t="inlineStr">
        <is>
          <t>C</t>
        </is>
      </c>
      <c r="G479" t="inlineStr">
        <is>
          <t>Average</t>
        </is>
      </c>
      <c r="H479" t="n">
        <v>63</v>
      </c>
      <c r="I479">
        <f>B479&amp;"|"&amp;F479&amp;"|"&amp;G479</f>
        <v/>
      </c>
      <c r="J479" t="inlineStr">
        <is>
          <t>MVS Sec.12 p.21</t>
        </is>
      </c>
    </row>
    <row r="480">
      <c r="B480" t="inlineStr">
        <is>
          <t>Shell Multiple Residences - Elderly Assisted Living</t>
        </is>
      </c>
      <c r="C480" t="inlineStr">
        <is>
          <t>782</t>
        </is>
      </c>
      <c r="D480" t="inlineStr">
        <is>
          <t>12</t>
        </is>
      </c>
      <c r="E480" t="inlineStr">
        <is>
          <t>21</t>
        </is>
      </c>
      <c r="F480" t="inlineStr">
        <is>
          <t>C</t>
        </is>
      </c>
      <c r="G480" t="inlineStr">
        <is>
          <t>Fair</t>
        </is>
      </c>
      <c r="H480" t="n">
        <v>58</v>
      </c>
      <c r="I480">
        <f>B480&amp;"|"&amp;F480&amp;"|"&amp;G480</f>
        <v/>
      </c>
      <c r="J480" t="inlineStr">
        <is>
          <t>MVS Sec.12 p.21</t>
        </is>
      </c>
    </row>
    <row r="481">
      <c r="B481" t="inlineStr">
        <is>
          <t>Shell Multiple Residences - Elderly Assisted Living</t>
        </is>
      </c>
      <c r="C481" t="inlineStr">
        <is>
          <t>782</t>
        </is>
      </c>
      <c r="D481" t="inlineStr">
        <is>
          <t>12</t>
        </is>
      </c>
      <c r="E481" t="inlineStr">
        <is>
          <t>21</t>
        </is>
      </c>
      <c r="F481" t="inlineStr">
        <is>
          <t>DMASVEN</t>
        </is>
      </c>
      <c r="G481" t="inlineStr">
        <is>
          <t>Excellent</t>
        </is>
      </c>
      <c r="H481" t="n">
        <v>81</v>
      </c>
      <c r="I481">
        <f>B481&amp;"|"&amp;F481&amp;"|"&amp;G481</f>
        <v/>
      </c>
      <c r="J481" t="inlineStr">
        <is>
          <t>MVS Sec.12 p.21</t>
        </is>
      </c>
    </row>
    <row r="482">
      <c r="B482" t="inlineStr">
        <is>
          <t>Shell Multiple Residences - Elderly Assisted Living</t>
        </is>
      </c>
      <c r="C482" t="inlineStr">
        <is>
          <t>782</t>
        </is>
      </c>
      <c r="D482" t="inlineStr">
        <is>
          <t>12</t>
        </is>
      </c>
      <c r="E482" t="inlineStr">
        <is>
          <t>21</t>
        </is>
      </c>
      <c r="F482" t="inlineStr">
        <is>
          <t>DMASVEN</t>
        </is>
      </c>
      <c r="G482" t="inlineStr">
        <is>
          <t>Good</t>
        </is>
      </c>
      <c r="H482" t="n">
        <v>69.5</v>
      </c>
      <c r="I482">
        <f>B482&amp;"|"&amp;F482&amp;"|"&amp;G482</f>
        <v/>
      </c>
      <c r="J482" t="inlineStr">
        <is>
          <t>MVS Sec.12 p.21</t>
        </is>
      </c>
    </row>
    <row r="483">
      <c r="B483" t="inlineStr">
        <is>
          <t>Shell Multiple Residences - Elderly Assisted Living</t>
        </is>
      </c>
      <c r="C483" t="inlineStr">
        <is>
          <t>782</t>
        </is>
      </c>
      <c r="D483" t="inlineStr">
        <is>
          <t>12</t>
        </is>
      </c>
      <c r="E483" t="inlineStr">
        <is>
          <t>21</t>
        </is>
      </c>
      <c r="F483" t="inlineStr">
        <is>
          <t>DMASVEN</t>
        </is>
      </c>
      <c r="G483" t="inlineStr">
        <is>
          <t>Average</t>
        </is>
      </c>
      <c r="H483" t="n">
        <v>59</v>
      </c>
      <c r="I483">
        <f>B483&amp;"|"&amp;F483&amp;"|"&amp;G483</f>
        <v/>
      </c>
      <c r="J483" t="inlineStr">
        <is>
          <t>MVS Sec.12 p.21</t>
        </is>
      </c>
    </row>
    <row r="484">
      <c r="B484" t="inlineStr">
        <is>
          <t>Shell Multiple Residences - Elderly Assisted Living</t>
        </is>
      </c>
      <c r="C484" t="inlineStr">
        <is>
          <t>782</t>
        </is>
      </c>
      <c r="D484" t="inlineStr">
        <is>
          <t>12</t>
        </is>
      </c>
      <c r="E484" t="inlineStr">
        <is>
          <t>21</t>
        </is>
      </c>
      <c r="F484" t="inlineStr">
        <is>
          <t>DMASVEN</t>
        </is>
      </c>
      <c r="G484" t="inlineStr">
        <is>
          <t>Fair</t>
        </is>
      </c>
      <c r="H484" t="n">
        <v>55</v>
      </c>
      <c r="I484">
        <f>B484&amp;"|"&amp;F484&amp;"|"&amp;G484</f>
        <v/>
      </c>
      <c r="J484" t="inlineStr">
        <is>
          <t>MVS Sec.12 p.21</t>
        </is>
      </c>
    </row>
    <row r="485">
      <c r="B485" t="inlineStr">
        <is>
          <t>Shell Multiple Residences - Elderly Assisted Living</t>
        </is>
      </c>
      <c r="C485" t="inlineStr">
        <is>
          <t>782</t>
        </is>
      </c>
      <c r="D485" t="inlineStr">
        <is>
          <t>12</t>
        </is>
      </c>
      <c r="E485" t="inlineStr">
        <is>
          <t>21</t>
        </is>
      </c>
      <c r="F485" t="inlineStr">
        <is>
          <t>D</t>
        </is>
      </c>
      <c r="G485" t="inlineStr">
        <is>
          <t>Excellent</t>
        </is>
      </c>
      <c r="H485" t="n">
        <v>78.5</v>
      </c>
      <c r="I485">
        <f>B485&amp;"|"&amp;F485&amp;"|"&amp;G485</f>
        <v/>
      </c>
      <c r="J485" t="inlineStr">
        <is>
          <t>MVS Sec.12 p.21</t>
        </is>
      </c>
    </row>
    <row r="486">
      <c r="B486" t="inlineStr">
        <is>
          <t>Shell Multiple Residences - Elderly Assisted Living</t>
        </is>
      </c>
      <c r="C486" t="inlineStr">
        <is>
          <t>782</t>
        </is>
      </c>
      <c r="D486" t="inlineStr">
        <is>
          <t>12</t>
        </is>
      </c>
      <c r="E486" t="inlineStr">
        <is>
          <t>21</t>
        </is>
      </c>
      <c r="F486" t="inlineStr">
        <is>
          <t>D</t>
        </is>
      </c>
      <c r="G486" t="inlineStr">
        <is>
          <t>Good</t>
        </is>
      </c>
      <c r="H486" t="n">
        <v>67.5</v>
      </c>
      <c r="I486">
        <f>B486&amp;"|"&amp;F486&amp;"|"&amp;G486</f>
        <v/>
      </c>
      <c r="J486" t="inlineStr">
        <is>
          <t>MVS Sec.12 p.21</t>
        </is>
      </c>
    </row>
    <row r="487">
      <c r="B487" t="inlineStr">
        <is>
          <t>Shell Multiple Residences - Elderly Assisted Living</t>
        </is>
      </c>
      <c r="C487" t="inlineStr">
        <is>
          <t>782</t>
        </is>
      </c>
      <c r="D487" t="inlineStr">
        <is>
          <t>12</t>
        </is>
      </c>
      <c r="E487" t="inlineStr">
        <is>
          <t>21</t>
        </is>
      </c>
      <c r="F487" t="inlineStr">
        <is>
          <t>D</t>
        </is>
      </c>
      <c r="G487" t="inlineStr">
        <is>
          <t>Average</t>
        </is>
      </c>
      <c r="H487" t="n">
        <v>57.5</v>
      </c>
      <c r="I487">
        <f>B487&amp;"|"&amp;F487&amp;"|"&amp;G487</f>
        <v/>
      </c>
      <c r="J487" t="inlineStr">
        <is>
          <t>MVS Sec.12 p.21</t>
        </is>
      </c>
    </row>
    <row r="488">
      <c r="B488" t="inlineStr">
        <is>
          <t>Shell Multiple Residences - Elderly Assisted Living</t>
        </is>
      </c>
      <c r="C488" t="inlineStr">
        <is>
          <t>782</t>
        </is>
      </c>
      <c r="D488" t="inlineStr">
        <is>
          <t>12</t>
        </is>
      </c>
      <c r="E488" t="inlineStr">
        <is>
          <t>21</t>
        </is>
      </c>
      <c r="F488" t="inlineStr">
        <is>
          <t>D</t>
        </is>
      </c>
      <c r="G488" t="inlineStr">
        <is>
          <t>Fair</t>
        </is>
      </c>
      <c r="H488" t="n">
        <v>53.5</v>
      </c>
      <c r="I488">
        <f>B488&amp;"|"&amp;F488&amp;"|"&amp;G488</f>
        <v/>
      </c>
      <c r="J488" t="inlineStr">
        <is>
          <t>MVS Sec.12 p.21</t>
        </is>
      </c>
    </row>
    <row r="489">
      <c r="B489" t="inlineStr">
        <is>
          <t>Shell Multiple Residences - Elderly Assisted Living</t>
        </is>
      </c>
      <c r="C489" t="inlineStr">
        <is>
          <t>782</t>
        </is>
      </c>
      <c r="D489" t="inlineStr">
        <is>
          <t>12</t>
        </is>
      </c>
      <c r="E489" t="inlineStr">
        <is>
          <t>21</t>
        </is>
      </c>
      <c r="F489" t="inlineStr">
        <is>
          <t>D</t>
        </is>
      </c>
      <c r="G489" t="inlineStr">
        <is>
          <t>Low Cost</t>
        </is>
      </c>
      <c r="H489" t="n">
        <v>49.25</v>
      </c>
      <c r="I489">
        <f>B489&amp;"|"&amp;F489&amp;"|"&amp;G489</f>
        <v/>
      </c>
      <c r="J489" t="inlineStr">
        <is>
          <t>MVS Sec.12 p.21</t>
        </is>
      </c>
    </row>
    <row r="490">
      <c r="B490" t="inlineStr">
        <is>
          <t>Shell Multiple Residences - Elderly Assisted Living</t>
        </is>
      </c>
      <c r="C490" t="inlineStr">
        <is>
          <t>782</t>
        </is>
      </c>
      <c r="D490" t="inlineStr">
        <is>
          <t>12</t>
        </is>
      </c>
      <c r="E490" t="inlineStr">
        <is>
          <t>21</t>
        </is>
      </c>
      <c r="F490" t="inlineStr">
        <is>
          <t>S</t>
        </is>
      </c>
      <c r="G490" t="inlineStr">
        <is>
          <t>Good</t>
        </is>
      </c>
      <c r="H490" t="n">
        <v>65</v>
      </c>
      <c r="I490">
        <f>B490&amp;"|"&amp;F490&amp;"|"&amp;G490</f>
        <v/>
      </c>
      <c r="J490" t="inlineStr">
        <is>
          <t>MVS Sec.12 p.21</t>
        </is>
      </c>
    </row>
    <row r="491">
      <c r="B491" t="inlineStr">
        <is>
          <t>Shell Multiple Residences - Elderly Assisted Living</t>
        </is>
      </c>
      <c r="C491" t="inlineStr">
        <is>
          <t>782</t>
        </is>
      </c>
      <c r="D491" t="inlineStr">
        <is>
          <t>12</t>
        </is>
      </c>
      <c r="E491" t="inlineStr">
        <is>
          <t>21</t>
        </is>
      </c>
      <c r="F491" t="inlineStr">
        <is>
          <t>S</t>
        </is>
      </c>
      <c r="G491" t="inlineStr">
        <is>
          <t>Average</t>
        </is>
      </c>
      <c r="H491" t="n">
        <v>55.5</v>
      </c>
      <c r="I491">
        <f>B491&amp;"|"&amp;F491&amp;"|"&amp;G491</f>
        <v/>
      </c>
      <c r="J491" t="inlineStr">
        <is>
          <t>MVS Sec.12 p.21</t>
        </is>
      </c>
    </row>
    <row r="492">
      <c r="B492" t="inlineStr">
        <is>
          <t>Multiple Residences – Retirement Community Complex</t>
        </is>
      </c>
      <c r="C492" t="inlineStr">
        <is>
          <t>710</t>
        </is>
      </c>
      <c r="D492" t="inlineStr">
        <is>
          <t>12</t>
        </is>
      </c>
      <c r="E492" t="inlineStr">
        <is>
          <t>22</t>
        </is>
      </c>
      <c r="F492" t="inlineStr">
        <is>
          <t>C</t>
        </is>
      </c>
      <c r="G492" t="inlineStr">
        <is>
          <t>Good</t>
        </is>
      </c>
      <c r="H492" t="n">
        <v>234</v>
      </c>
      <c r="I492">
        <f>B492&amp;"|"&amp;F492&amp;"|"&amp;G492</f>
        <v/>
      </c>
      <c r="J492" t="inlineStr">
        <is>
          <t>MVS Sec.12 p.22</t>
        </is>
      </c>
    </row>
    <row r="493">
      <c r="B493" t="inlineStr">
        <is>
          <t>Multiple Residences – Retirement Community Complex</t>
        </is>
      </c>
      <c r="C493" t="inlineStr">
        <is>
          <t>710</t>
        </is>
      </c>
      <c r="D493" t="inlineStr">
        <is>
          <t>12</t>
        </is>
      </c>
      <c r="E493" t="inlineStr">
        <is>
          <t>22</t>
        </is>
      </c>
      <c r="F493" t="inlineStr">
        <is>
          <t>C</t>
        </is>
      </c>
      <c r="G493" t="inlineStr">
        <is>
          <t>Average</t>
        </is>
      </c>
      <c r="H493" t="n">
        <v>188</v>
      </c>
      <c r="I493">
        <f>B493&amp;"|"&amp;F493&amp;"|"&amp;G493</f>
        <v/>
      </c>
      <c r="J493" t="inlineStr">
        <is>
          <t>MVS Sec.12 p.22</t>
        </is>
      </c>
    </row>
    <row r="494">
      <c r="B494" t="inlineStr">
        <is>
          <t>Multiple Residences – Retirement Community Complex</t>
        </is>
      </c>
      <c r="C494" t="inlineStr">
        <is>
          <t>710</t>
        </is>
      </c>
      <c r="D494" t="inlineStr">
        <is>
          <t>12</t>
        </is>
      </c>
      <c r="E494" t="inlineStr">
        <is>
          <t>22</t>
        </is>
      </c>
      <c r="F494" t="inlineStr">
        <is>
          <t>C</t>
        </is>
      </c>
      <c r="G494" t="inlineStr">
        <is>
          <t>Fair</t>
        </is>
      </c>
      <c r="H494" t="n">
        <v>168</v>
      </c>
      <c r="I494">
        <f>B494&amp;"|"&amp;F494&amp;"|"&amp;G494</f>
        <v/>
      </c>
      <c r="J494" t="inlineStr">
        <is>
          <t>MVS Sec.12 p.22</t>
        </is>
      </c>
    </row>
    <row r="495">
      <c r="B495" t="inlineStr">
        <is>
          <t>Multiple Residences – Retirement Community Complex</t>
        </is>
      </c>
      <c r="C495" t="inlineStr">
        <is>
          <t>710</t>
        </is>
      </c>
      <c r="D495" t="inlineStr">
        <is>
          <t>12</t>
        </is>
      </c>
      <c r="E495" t="inlineStr">
        <is>
          <t>22</t>
        </is>
      </c>
      <c r="F495" t="inlineStr">
        <is>
          <t>C</t>
        </is>
      </c>
      <c r="G495" t="inlineStr">
        <is>
          <t>Low Cost</t>
        </is>
      </c>
      <c r="H495" t="n">
        <v>147</v>
      </c>
      <c r="I495">
        <f>B495&amp;"|"&amp;F495&amp;"|"&amp;G495</f>
        <v/>
      </c>
      <c r="J495" t="inlineStr">
        <is>
          <t>MVS Sec.12 p.22</t>
        </is>
      </c>
    </row>
    <row r="496">
      <c r="B496" t="inlineStr">
        <is>
          <t>Multiple Residences – Retirement Community Complex</t>
        </is>
      </c>
      <c r="C496" t="inlineStr">
        <is>
          <t>710</t>
        </is>
      </c>
      <c r="D496" t="inlineStr">
        <is>
          <t>12</t>
        </is>
      </c>
      <c r="E496" t="inlineStr">
        <is>
          <t>22</t>
        </is>
      </c>
      <c r="F496" t="inlineStr">
        <is>
          <t>DMASVEN</t>
        </is>
      </c>
      <c r="G496" t="inlineStr">
        <is>
          <t>Good</t>
        </is>
      </c>
      <c r="H496" t="n">
        <v>233</v>
      </c>
      <c r="I496">
        <f>B496&amp;"|"&amp;F496&amp;"|"&amp;G496</f>
        <v/>
      </c>
      <c r="J496" t="inlineStr">
        <is>
          <t>MVS Sec.12 p.22</t>
        </is>
      </c>
    </row>
    <row r="497">
      <c r="B497" t="inlineStr">
        <is>
          <t>Multiple Residences – Retirement Community Complex</t>
        </is>
      </c>
      <c r="C497" t="inlineStr">
        <is>
          <t>710</t>
        </is>
      </c>
      <c r="D497" t="inlineStr">
        <is>
          <t>12</t>
        </is>
      </c>
      <c r="E497" t="inlineStr">
        <is>
          <t>22</t>
        </is>
      </c>
      <c r="F497" t="inlineStr">
        <is>
          <t>DMASVEN</t>
        </is>
      </c>
      <c r="G497" t="inlineStr">
        <is>
          <t>Average</t>
        </is>
      </c>
      <c r="H497" t="n">
        <v>186</v>
      </c>
      <c r="I497">
        <f>B497&amp;"|"&amp;F497&amp;"|"&amp;G497</f>
        <v/>
      </c>
      <c r="J497" t="inlineStr">
        <is>
          <t>MVS Sec.12 p.22</t>
        </is>
      </c>
    </row>
    <row r="498">
      <c r="B498" t="inlineStr">
        <is>
          <t>Multiple Residences – Retirement Community Complex</t>
        </is>
      </c>
      <c r="C498" t="inlineStr">
        <is>
          <t>710</t>
        </is>
      </c>
      <c r="D498" t="inlineStr">
        <is>
          <t>12</t>
        </is>
      </c>
      <c r="E498" t="inlineStr">
        <is>
          <t>22</t>
        </is>
      </c>
      <c r="F498" t="inlineStr">
        <is>
          <t>DMASVEN</t>
        </is>
      </c>
      <c r="G498" t="inlineStr">
        <is>
          <t>Fair</t>
        </is>
      </c>
      <c r="H498" t="n">
        <v>167</v>
      </c>
      <c r="I498">
        <f>B498&amp;"|"&amp;F498&amp;"|"&amp;G498</f>
        <v/>
      </c>
      <c r="J498" t="inlineStr">
        <is>
          <t>MVS Sec.12 p.22</t>
        </is>
      </c>
    </row>
    <row r="499">
      <c r="B499" t="inlineStr">
        <is>
          <t>Multiple Residences – Retirement Community Complex</t>
        </is>
      </c>
      <c r="C499" t="inlineStr">
        <is>
          <t>710</t>
        </is>
      </c>
      <c r="D499" t="inlineStr">
        <is>
          <t>12</t>
        </is>
      </c>
      <c r="E499" t="inlineStr">
        <is>
          <t>22</t>
        </is>
      </c>
      <c r="F499" t="inlineStr">
        <is>
          <t>DMASVEN</t>
        </is>
      </c>
      <c r="G499" t="inlineStr">
        <is>
          <t>Low Cost</t>
        </is>
      </c>
      <c r="H499" t="n">
        <v>146</v>
      </c>
      <c r="I499">
        <f>B499&amp;"|"&amp;F499&amp;"|"&amp;G499</f>
        <v/>
      </c>
      <c r="J499" t="inlineStr">
        <is>
          <t>MVS Sec.12 p.22</t>
        </is>
      </c>
    </row>
    <row r="500">
      <c r="B500" t="inlineStr">
        <is>
          <t>Multiple Residences – Retirement Community Complex</t>
        </is>
      </c>
      <c r="C500" t="inlineStr">
        <is>
          <t>710</t>
        </is>
      </c>
      <c r="D500" t="inlineStr">
        <is>
          <t>12</t>
        </is>
      </c>
      <c r="E500" t="inlineStr">
        <is>
          <t>22</t>
        </is>
      </c>
      <c r="F500" t="inlineStr">
        <is>
          <t>D</t>
        </is>
      </c>
      <c r="G500" t="inlineStr">
        <is>
          <t>Good</t>
        </is>
      </c>
      <c r="H500" t="n">
        <v>228</v>
      </c>
      <c r="I500">
        <f>B500&amp;"|"&amp;F500&amp;"|"&amp;G500</f>
        <v/>
      </c>
      <c r="J500" t="inlineStr">
        <is>
          <t>MVS Sec.12 p.22</t>
        </is>
      </c>
    </row>
    <row r="501">
      <c r="B501" t="inlineStr">
        <is>
          <t>Multiple Residences – Retirement Community Complex</t>
        </is>
      </c>
      <c r="C501" t="inlineStr">
        <is>
          <t>710</t>
        </is>
      </c>
      <c r="D501" t="inlineStr">
        <is>
          <t>12</t>
        </is>
      </c>
      <c r="E501" t="inlineStr">
        <is>
          <t>22</t>
        </is>
      </c>
      <c r="F501" t="inlineStr">
        <is>
          <t>D</t>
        </is>
      </c>
      <c r="G501" t="inlineStr">
        <is>
          <t>Average</t>
        </is>
      </c>
      <c r="H501" t="n">
        <v>182</v>
      </c>
      <c r="I501">
        <f>B501&amp;"|"&amp;F501&amp;"|"&amp;G501</f>
        <v/>
      </c>
      <c r="J501" t="inlineStr">
        <is>
          <t>MVS Sec.12 p.22</t>
        </is>
      </c>
    </row>
    <row r="502">
      <c r="B502" t="inlineStr">
        <is>
          <t>Multiple Residences – Retirement Community Complex</t>
        </is>
      </c>
      <c r="C502" t="inlineStr">
        <is>
          <t>710</t>
        </is>
      </c>
      <c r="D502" t="inlineStr">
        <is>
          <t>12</t>
        </is>
      </c>
      <c r="E502" t="inlineStr">
        <is>
          <t>22</t>
        </is>
      </c>
      <c r="F502" t="inlineStr">
        <is>
          <t>D</t>
        </is>
      </c>
      <c r="G502" t="inlineStr">
        <is>
          <t>Fair</t>
        </is>
      </c>
      <c r="H502" t="n">
        <v>162</v>
      </c>
      <c r="I502">
        <f>B502&amp;"|"&amp;F502&amp;"|"&amp;G502</f>
        <v/>
      </c>
      <c r="J502" t="inlineStr">
        <is>
          <t>MVS Sec.12 p.22</t>
        </is>
      </c>
    </row>
    <row r="503">
      <c r="B503" t="inlineStr">
        <is>
          <t>Multiple Residences – Retirement Community Complex</t>
        </is>
      </c>
      <c r="C503" t="inlineStr">
        <is>
          <t>710</t>
        </is>
      </c>
      <c r="D503" t="inlineStr">
        <is>
          <t>12</t>
        </is>
      </c>
      <c r="E503" t="inlineStr">
        <is>
          <t>22</t>
        </is>
      </c>
      <c r="F503" t="inlineStr">
        <is>
          <t>D</t>
        </is>
      </c>
      <c r="G503" t="inlineStr">
        <is>
          <t>Low Cost</t>
        </is>
      </c>
      <c r="H503" t="n">
        <v>142</v>
      </c>
      <c r="I503">
        <f>B503&amp;"|"&amp;F503&amp;"|"&amp;G503</f>
        <v/>
      </c>
      <c r="J503" t="inlineStr">
        <is>
          <t>MVS Sec.12 p.22</t>
        </is>
      </c>
    </row>
    <row r="504">
      <c r="B504" t="inlineStr">
        <is>
          <t>Multiple Residences – Retirement Community Complex</t>
        </is>
      </c>
      <c r="C504" t="inlineStr">
        <is>
          <t>710</t>
        </is>
      </c>
      <c r="D504" t="inlineStr">
        <is>
          <t>12</t>
        </is>
      </c>
      <c r="E504" t="inlineStr">
        <is>
          <t>22</t>
        </is>
      </c>
      <c r="F504" t="inlineStr">
        <is>
          <t>S</t>
        </is>
      </c>
      <c r="G504" t="inlineStr">
        <is>
          <t>Average</t>
        </is>
      </c>
      <c r="H504" t="n">
        <v>177</v>
      </c>
      <c r="I504">
        <f>B504&amp;"|"&amp;F504&amp;"|"&amp;G504</f>
        <v/>
      </c>
      <c r="J504" t="inlineStr">
        <is>
          <t>MVS Sec.12 p.22</t>
        </is>
      </c>
    </row>
    <row r="505">
      <c r="B505" t="inlineStr">
        <is>
          <t>Multiple Residences – Retirement Community Complex</t>
        </is>
      </c>
      <c r="C505" t="inlineStr">
        <is>
          <t>710</t>
        </is>
      </c>
      <c r="D505" t="inlineStr">
        <is>
          <t>12</t>
        </is>
      </c>
      <c r="E505" t="inlineStr">
        <is>
          <t>22</t>
        </is>
      </c>
      <c r="F505" t="inlineStr">
        <is>
          <t>S</t>
        </is>
      </c>
      <c r="G505" t="inlineStr">
        <is>
          <t>Fair</t>
        </is>
      </c>
      <c r="H505" t="n">
        <v>158</v>
      </c>
      <c r="I505">
        <f>B505&amp;"|"&amp;F505&amp;"|"&amp;G505</f>
        <v/>
      </c>
      <c r="J505" t="inlineStr">
        <is>
          <t>MVS Sec.12 p.22</t>
        </is>
      </c>
    </row>
    <row r="506">
      <c r="B506" t="inlineStr">
        <is>
          <t>Shell Multiple Residences - Retirement Community Complex</t>
        </is>
      </c>
      <c r="C506" t="inlineStr">
        <is>
          <t>783</t>
        </is>
      </c>
      <c r="D506" t="inlineStr">
        <is>
          <t>12</t>
        </is>
      </c>
      <c r="E506" t="inlineStr">
        <is>
          <t>23</t>
        </is>
      </c>
      <c r="F506" t="inlineStr">
        <is>
          <t>C</t>
        </is>
      </c>
      <c r="G506" t="inlineStr">
        <is>
          <t>Good</t>
        </is>
      </c>
      <c r="H506" t="n">
        <v>120</v>
      </c>
      <c r="I506">
        <f>B506&amp;"|"&amp;F506&amp;"|"&amp;G506</f>
        <v/>
      </c>
      <c r="J506" t="inlineStr">
        <is>
          <t>MVS Sec.12 p.23</t>
        </is>
      </c>
    </row>
    <row r="507">
      <c r="B507" t="inlineStr">
        <is>
          <t>Shell Multiple Residences - Retirement Community Complex</t>
        </is>
      </c>
      <c r="C507" t="inlineStr">
        <is>
          <t>783</t>
        </is>
      </c>
      <c r="D507" t="inlineStr">
        <is>
          <t>12</t>
        </is>
      </c>
      <c r="E507" t="inlineStr">
        <is>
          <t>23</t>
        </is>
      </c>
      <c r="F507" t="inlineStr">
        <is>
          <t>C</t>
        </is>
      </c>
      <c r="G507" t="inlineStr">
        <is>
          <t>Average</t>
        </is>
      </c>
      <c r="H507" t="n">
        <v>100</v>
      </c>
      <c r="I507">
        <f>B507&amp;"|"&amp;F507&amp;"|"&amp;G507</f>
        <v/>
      </c>
      <c r="J507" t="inlineStr">
        <is>
          <t>MVS Sec.12 p.23</t>
        </is>
      </c>
    </row>
    <row r="508">
      <c r="B508" t="inlineStr">
        <is>
          <t>Shell Multiple Residences - Retirement Community Complex</t>
        </is>
      </c>
      <c r="C508" t="inlineStr">
        <is>
          <t>783</t>
        </is>
      </c>
      <c r="D508" t="inlineStr">
        <is>
          <t>12</t>
        </is>
      </c>
      <c r="E508" t="inlineStr">
        <is>
          <t>23</t>
        </is>
      </c>
      <c r="F508" t="inlineStr">
        <is>
          <t>C</t>
        </is>
      </c>
      <c r="G508" t="inlineStr">
        <is>
          <t>Fair</t>
        </is>
      </c>
      <c r="H508" t="n">
        <v>91.5</v>
      </c>
      <c r="I508">
        <f>B508&amp;"|"&amp;F508&amp;"|"&amp;G508</f>
        <v/>
      </c>
      <c r="J508" t="inlineStr">
        <is>
          <t>MVS Sec.12 p.23</t>
        </is>
      </c>
    </row>
    <row r="509">
      <c r="B509" t="inlineStr">
        <is>
          <t>Shell Multiple Residences - Retirement Community Complex</t>
        </is>
      </c>
      <c r="C509" t="inlineStr">
        <is>
          <t>783</t>
        </is>
      </c>
      <c r="D509" t="inlineStr">
        <is>
          <t>12</t>
        </is>
      </c>
      <c r="E509" t="inlineStr">
        <is>
          <t>23</t>
        </is>
      </c>
      <c r="F509" t="inlineStr">
        <is>
          <t>C</t>
        </is>
      </c>
      <c r="G509" t="inlineStr">
        <is>
          <t>Low Cost</t>
        </is>
      </c>
      <c r="H509" t="n">
        <v>83.5</v>
      </c>
      <c r="I509">
        <f>B509&amp;"|"&amp;F509&amp;"|"&amp;G509</f>
        <v/>
      </c>
      <c r="J509" t="inlineStr">
        <is>
          <t>MVS Sec.12 p.23</t>
        </is>
      </c>
    </row>
    <row r="510">
      <c r="B510" t="inlineStr">
        <is>
          <t>Shell Multiple Residences - Retirement Community Complex</t>
        </is>
      </c>
      <c r="C510" t="inlineStr">
        <is>
          <t>783</t>
        </is>
      </c>
      <c r="D510" t="inlineStr">
        <is>
          <t>12</t>
        </is>
      </c>
      <c r="E510" t="inlineStr">
        <is>
          <t>23</t>
        </is>
      </c>
      <c r="F510" t="inlineStr">
        <is>
          <t>DMASVEN</t>
        </is>
      </c>
      <c r="G510" t="inlineStr">
        <is>
          <t>Good</t>
        </is>
      </c>
      <c r="H510" t="n">
        <v>116</v>
      </c>
      <c r="I510">
        <f>B510&amp;"|"&amp;F510&amp;"|"&amp;G510</f>
        <v/>
      </c>
      <c r="J510" t="inlineStr">
        <is>
          <t>MVS Sec.12 p.23</t>
        </is>
      </c>
    </row>
    <row r="511">
      <c r="B511" t="inlineStr">
        <is>
          <t>Shell Multiple Residences - Retirement Community Complex</t>
        </is>
      </c>
      <c r="C511" t="inlineStr">
        <is>
          <t>783</t>
        </is>
      </c>
      <c r="D511" t="inlineStr">
        <is>
          <t>12</t>
        </is>
      </c>
      <c r="E511" t="inlineStr">
        <is>
          <t>23</t>
        </is>
      </c>
      <c r="F511" t="inlineStr">
        <is>
          <t>DMASVEN</t>
        </is>
      </c>
      <c r="G511" t="inlineStr">
        <is>
          <t>Average</t>
        </is>
      </c>
      <c r="H511" t="n">
        <v>96.5</v>
      </c>
      <c r="I511">
        <f>B511&amp;"|"&amp;F511&amp;"|"&amp;G511</f>
        <v/>
      </c>
      <c r="J511" t="inlineStr">
        <is>
          <t>MVS Sec.12 p.23</t>
        </is>
      </c>
    </row>
    <row r="512">
      <c r="B512" t="inlineStr">
        <is>
          <t>Shell Multiple Residences - Retirement Community Complex</t>
        </is>
      </c>
      <c r="C512" t="inlineStr">
        <is>
          <t>783</t>
        </is>
      </c>
      <c r="D512" t="inlineStr">
        <is>
          <t>12</t>
        </is>
      </c>
      <c r="E512" t="inlineStr">
        <is>
          <t>23</t>
        </is>
      </c>
      <c r="F512" t="inlineStr">
        <is>
          <t>DMASVEN</t>
        </is>
      </c>
      <c r="G512" t="inlineStr">
        <is>
          <t>Fair</t>
        </is>
      </c>
      <c r="H512" t="n">
        <v>88</v>
      </c>
      <c r="I512">
        <f>B512&amp;"|"&amp;F512&amp;"|"&amp;G512</f>
        <v/>
      </c>
      <c r="J512" t="inlineStr">
        <is>
          <t>MVS Sec.12 p.23</t>
        </is>
      </c>
    </row>
    <row r="513">
      <c r="B513" t="inlineStr">
        <is>
          <t>Shell Multiple Residences - Retirement Community Complex</t>
        </is>
      </c>
      <c r="C513" t="inlineStr">
        <is>
          <t>783</t>
        </is>
      </c>
      <c r="D513" t="inlineStr">
        <is>
          <t>12</t>
        </is>
      </c>
      <c r="E513" t="inlineStr">
        <is>
          <t>23</t>
        </is>
      </c>
      <c r="F513" t="inlineStr">
        <is>
          <t>DMASVEN</t>
        </is>
      </c>
      <c r="G513" t="inlineStr">
        <is>
          <t>Low Cost</t>
        </is>
      </c>
      <c r="H513" t="n">
        <v>80</v>
      </c>
      <c r="I513">
        <f>B513&amp;"|"&amp;F513&amp;"|"&amp;G513</f>
        <v/>
      </c>
      <c r="J513" t="inlineStr">
        <is>
          <t>MVS Sec.12 p.23</t>
        </is>
      </c>
    </row>
    <row r="514">
      <c r="B514" t="inlineStr">
        <is>
          <t>Shell Multiple Residences - Retirement Community Complex</t>
        </is>
      </c>
      <c r="C514" t="inlineStr">
        <is>
          <t>783</t>
        </is>
      </c>
      <c r="D514" t="inlineStr">
        <is>
          <t>12</t>
        </is>
      </c>
      <c r="E514" t="inlineStr">
        <is>
          <t>23</t>
        </is>
      </c>
      <c r="F514" t="inlineStr">
        <is>
          <t>D</t>
        </is>
      </c>
      <c r="G514" t="inlineStr">
        <is>
          <t>Good</t>
        </is>
      </c>
      <c r="H514" t="n">
        <v>114</v>
      </c>
      <c r="I514">
        <f>B514&amp;"|"&amp;F514&amp;"|"&amp;G514</f>
        <v/>
      </c>
      <c r="J514" t="inlineStr">
        <is>
          <t>MVS Sec.12 p.23</t>
        </is>
      </c>
    </row>
    <row r="515">
      <c r="B515" t="inlineStr">
        <is>
          <t>Shell Multiple Residences - Retirement Community Complex</t>
        </is>
      </c>
      <c r="C515" t="inlineStr">
        <is>
          <t>783</t>
        </is>
      </c>
      <c r="D515" t="inlineStr">
        <is>
          <t>12</t>
        </is>
      </c>
      <c r="E515" t="inlineStr">
        <is>
          <t>23</t>
        </is>
      </c>
      <c r="F515" t="inlineStr">
        <is>
          <t>D</t>
        </is>
      </c>
      <c r="G515" t="inlineStr">
        <is>
          <t>Average</t>
        </is>
      </c>
      <c r="H515" t="n">
        <v>94</v>
      </c>
      <c r="I515">
        <f>B515&amp;"|"&amp;F515&amp;"|"&amp;G515</f>
        <v/>
      </c>
      <c r="J515" t="inlineStr">
        <is>
          <t>MVS Sec.12 p.23</t>
        </is>
      </c>
    </row>
    <row r="516">
      <c r="B516" t="inlineStr">
        <is>
          <t>Shell Multiple Residences - Retirement Community Complex</t>
        </is>
      </c>
      <c r="C516" t="inlineStr">
        <is>
          <t>783</t>
        </is>
      </c>
      <c r="D516" t="inlineStr">
        <is>
          <t>12</t>
        </is>
      </c>
      <c r="E516" t="inlineStr">
        <is>
          <t>23</t>
        </is>
      </c>
      <c r="F516" t="inlineStr">
        <is>
          <t>D</t>
        </is>
      </c>
      <c r="G516" t="inlineStr">
        <is>
          <t>Fair</t>
        </is>
      </c>
      <c r="H516" t="n">
        <v>85.5</v>
      </c>
      <c r="I516">
        <f>B516&amp;"|"&amp;F516&amp;"|"&amp;G516</f>
        <v/>
      </c>
      <c r="J516" t="inlineStr">
        <is>
          <t>MVS Sec.12 p.23</t>
        </is>
      </c>
    </row>
    <row r="517">
      <c r="B517" t="inlineStr">
        <is>
          <t>Shell Multiple Residences - Retirement Community Complex</t>
        </is>
      </c>
      <c r="C517" t="inlineStr">
        <is>
          <t>783</t>
        </is>
      </c>
      <c r="D517" t="inlineStr">
        <is>
          <t>12</t>
        </is>
      </c>
      <c r="E517" t="inlineStr">
        <is>
          <t>23</t>
        </is>
      </c>
      <c r="F517" t="inlineStr">
        <is>
          <t>D</t>
        </is>
      </c>
      <c r="G517" t="inlineStr">
        <is>
          <t>Low Cost</t>
        </is>
      </c>
      <c r="H517" t="n">
        <v>78</v>
      </c>
      <c r="I517">
        <f>B517&amp;"|"&amp;F517&amp;"|"&amp;G517</f>
        <v/>
      </c>
      <c r="J517" t="inlineStr">
        <is>
          <t>MVS Sec.12 p.23</t>
        </is>
      </c>
    </row>
    <row r="518">
      <c r="B518" t="inlineStr">
        <is>
          <t>Shell Multiple Residences - Retirement Community Complex</t>
        </is>
      </c>
      <c r="C518" t="inlineStr">
        <is>
          <t>783</t>
        </is>
      </c>
      <c r="D518" t="inlineStr">
        <is>
          <t>12</t>
        </is>
      </c>
      <c r="E518" t="inlineStr">
        <is>
          <t>23</t>
        </is>
      </c>
      <c r="F518" t="inlineStr">
        <is>
          <t>S</t>
        </is>
      </c>
      <c r="G518" t="inlineStr">
        <is>
          <t>Average</t>
        </is>
      </c>
      <c r="H518" t="n">
        <v>91</v>
      </c>
      <c r="I518">
        <f>B518&amp;"|"&amp;F518&amp;"|"&amp;G518</f>
        <v/>
      </c>
      <c r="J518" t="inlineStr">
        <is>
          <t>MVS Sec.12 p.23</t>
        </is>
      </c>
    </row>
    <row r="519">
      <c r="B519" t="inlineStr">
        <is>
          <t>Shell Multiple Residences - Retirement Community Complex</t>
        </is>
      </c>
      <c r="C519" t="inlineStr">
        <is>
          <t>783</t>
        </is>
      </c>
      <c r="D519" t="inlineStr">
        <is>
          <t>12</t>
        </is>
      </c>
      <c r="E519" t="inlineStr">
        <is>
          <t>23</t>
        </is>
      </c>
      <c r="F519" t="inlineStr">
        <is>
          <t>S</t>
        </is>
      </c>
      <c r="G519" t="inlineStr">
        <is>
          <t>Fair</t>
        </is>
      </c>
      <c r="H519" t="n">
        <v>83</v>
      </c>
      <c r="I519">
        <f>B519&amp;"|"&amp;F519&amp;"|"&amp;G519</f>
        <v/>
      </c>
      <c r="J519" t="inlineStr">
        <is>
          <t>MVS Sec.12 p.23</t>
        </is>
      </c>
    </row>
    <row r="520">
      <c r="B520" t="inlineStr">
        <is>
          <t>Single-Family Residences</t>
        </is>
      </c>
      <c r="C520" t="inlineStr">
        <is>
          <t>351</t>
        </is>
      </c>
      <c r="D520" t="inlineStr">
        <is>
          <t>12</t>
        </is>
      </c>
      <c r="E520" t="inlineStr">
        <is>
          <t>25</t>
        </is>
      </c>
      <c r="F520" t="inlineStr">
        <is>
          <t>C</t>
        </is>
      </c>
      <c r="G520" t="inlineStr">
        <is>
          <t>Excellent</t>
        </is>
      </c>
      <c r="H520" t="n">
        <v>266</v>
      </c>
      <c r="I520">
        <f>B520&amp;"|"&amp;F520&amp;"|"&amp;G520</f>
        <v/>
      </c>
      <c r="J520" t="inlineStr">
        <is>
          <t>MVS Sec.12 p.25</t>
        </is>
      </c>
    </row>
    <row r="521">
      <c r="B521" t="inlineStr">
        <is>
          <t>Single-Family Residences</t>
        </is>
      </c>
      <c r="C521" t="inlineStr">
        <is>
          <t>351</t>
        </is>
      </c>
      <c r="D521" t="inlineStr">
        <is>
          <t>12</t>
        </is>
      </c>
      <c r="E521" t="inlineStr">
        <is>
          <t>25</t>
        </is>
      </c>
      <c r="F521" t="inlineStr">
        <is>
          <t>C</t>
        </is>
      </c>
      <c r="G521" t="inlineStr">
        <is>
          <t>Very Good</t>
        </is>
      </c>
      <c r="H521" t="n">
        <v>220</v>
      </c>
      <c r="I521">
        <f>B521&amp;"|"&amp;F521&amp;"|"&amp;G521</f>
        <v/>
      </c>
      <c r="J521" t="inlineStr">
        <is>
          <t>MVS Sec.12 p.25</t>
        </is>
      </c>
    </row>
    <row r="522">
      <c r="B522" t="inlineStr">
        <is>
          <t>Single-Family Residences</t>
        </is>
      </c>
      <c r="C522" t="inlineStr">
        <is>
          <t>351</t>
        </is>
      </c>
      <c r="D522" t="inlineStr">
        <is>
          <t>12</t>
        </is>
      </c>
      <c r="E522" t="inlineStr">
        <is>
          <t>25</t>
        </is>
      </c>
      <c r="F522" t="inlineStr">
        <is>
          <t>C</t>
        </is>
      </c>
      <c r="G522" t="inlineStr">
        <is>
          <t>Good</t>
        </is>
      </c>
      <c r="H522" t="n">
        <v>185</v>
      </c>
      <c r="I522">
        <f>B522&amp;"|"&amp;F522&amp;"|"&amp;G522</f>
        <v/>
      </c>
      <c r="J522" t="inlineStr">
        <is>
          <t>MVS Sec.12 p.25</t>
        </is>
      </c>
    </row>
    <row r="523">
      <c r="B523" t="inlineStr">
        <is>
          <t>Single-Family Residences</t>
        </is>
      </c>
      <c r="C523" t="inlineStr">
        <is>
          <t>351</t>
        </is>
      </c>
      <c r="D523" t="inlineStr">
        <is>
          <t>12</t>
        </is>
      </c>
      <c r="E523" t="inlineStr">
        <is>
          <t>25</t>
        </is>
      </c>
      <c r="F523" t="inlineStr">
        <is>
          <t>C</t>
        </is>
      </c>
      <c r="G523" t="inlineStr">
        <is>
          <t>Average</t>
        </is>
      </c>
      <c r="H523" t="n">
        <v>132</v>
      </c>
      <c r="I523">
        <f>B523&amp;"|"&amp;F523&amp;"|"&amp;G523</f>
        <v/>
      </c>
      <c r="J523" t="inlineStr">
        <is>
          <t>MVS Sec.12 p.25</t>
        </is>
      </c>
    </row>
    <row r="524">
      <c r="B524" t="inlineStr">
        <is>
          <t>Single-Family Residences</t>
        </is>
      </c>
      <c r="C524" t="inlineStr">
        <is>
          <t>351</t>
        </is>
      </c>
      <c r="D524" t="inlineStr">
        <is>
          <t>12</t>
        </is>
      </c>
      <c r="E524" t="inlineStr">
        <is>
          <t>25</t>
        </is>
      </c>
      <c r="F524" t="inlineStr">
        <is>
          <t>C</t>
        </is>
      </c>
      <c r="G524" t="inlineStr">
        <is>
          <t>Fair</t>
        </is>
      </c>
      <c r="H524" t="n">
        <v>113</v>
      </c>
      <c r="I524">
        <f>B524&amp;"|"&amp;F524&amp;"|"&amp;G524</f>
        <v/>
      </c>
      <c r="J524" t="inlineStr">
        <is>
          <t>MVS Sec.12 p.25</t>
        </is>
      </c>
    </row>
    <row r="525">
      <c r="B525" t="inlineStr">
        <is>
          <t>Single-Family Residences</t>
        </is>
      </c>
      <c r="C525" t="inlineStr">
        <is>
          <t>351</t>
        </is>
      </c>
      <c r="D525" t="inlineStr">
        <is>
          <t>12</t>
        </is>
      </c>
      <c r="E525" t="inlineStr">
        <is>
          <t>25</t>
        </is>
      </c>
      <c r="F525" t="inlineStr">
        <is>
          <t>C</t>
        </is>
      </c>
      <c r="G525" t="inlineStr">
        <is>
          <t>Low Cost</t>
        </is>
      </c>
      <c r="H525" t="n">
        <v>94.5</v>
      </c>
      <c r="I525">
        <f>B525&amp;"|"&amp;F525&amp;"|"&amp;G525</f>
        <v/>
      </c>
      <c r="J525" t="inlineStr">
        <is>
          <t>MVS Sec.12 p.25</t>
        </is>
      </c>
    </row>
    <row r="526">
      <c r="B526" t="inlineStr">
        <is>
          <t>Single-Family Residences</t>
        </is>
      </c>
      <c r="C526" t="inlineStr">
        <is>
          <t>351</t>
        </is>
      </c>
      <c r="D526" t="inlineStr">
        <is>
          <t>12</t>
        </is>
      </c>
      <c r="E526" t="inlineStr">
        <is>
          <t>25</t>
        </is>
      </c>
      <c r="F526" t="inlineStr">
        <is>
          <t>C</t>
        </is>
      </c>
      <c r="G526" t="inlineStr">
        <is>
          <t>Cheap</t>
        </is>
      </c>
      <c r="H526" t="n">
        <v>79.5</v>
      </c>
      <c r="I526">
        <f>B526&amp;"|"&amp;F526&amp;"|"&amp;G526</f>
        <v/>
      </c>
      <c r="J526" t="inlineStr">
        <is>
          <t>MVS Sec.12 p.25</t>
        </is>
      </c>
    </row>
    <row r="527">
      <c r="B527" t="inlineStr">
        <is>
          <t>Single-Family Residences</t>
        </is>
      </c>
      <c r="C527" t="inlineStr">
        <is>
          <t>351</t>
        </is>
      </c>
      <c r="D527" t="inlineStr">
        <is>
          <t>12</t>
        </is>
      </c>
      <c r="E527" t="inlineStr">
        <is>
          <t>25</t>
        </is>
      </c>
      <c r="F527" t="inlineStr">
        <is>
          <t>DMASVEN</t>
        </is>
      </c>
      <c r="G527" t="inlineStr">
        <is>
          <t>Excellent</t>
        </is>
      </c>
      <c r="H527" t="n">
        <v>263</v>
      </c>
      <c r="I527">
        <f>B527&amp;"|"&amp;F527&amp;"|"&amp;G527</f>
        <v/>
      </c>
      <c r="J527" t="inlineStr">
        <is>
          <t>MVS Sec.12 p.25</t>
        </is>
      </c>
    </row>
    <row r="528">
      <c r="B528" t="inlineStr">
        <is>
          <t>Single-Family Residences</t>
        </is>
      </c>
      <c r="C528" t="inlineStr">
        <is>
          <t>351</t>
        </is>
      </c>
      <c r="D528" t="inlineStr">
        <is>
          <t>12</t>
        </is>
      </c>
      <c r="E528" t="inlineStr">
        <is>
          <t>25</t>
        </is>
      </c>
      <c r="F528" t="inlineStr">
        <is>
          <t>DMASVEN</t>
        </is>
      </c>
      <c r="G528" t="inlineStr">
        <is>
          <t>Very Good</t>
        </is>
      </c>
      <c r="H528" t="n">
        <v>218</v>
      </c>
      <c r="I528">
        <f>B528&amp;"|"&amp;F528&amp;"|"&amp;G528</f>
        <v/>
      </c>
      <c r="J528" t="inlineStr">
        <is>
          <t>MVS Sec.12 p.25</t>
        </is>
      </c>
    </row>
    <row r="529">
      <c r="B529" t="inlineStr">
        <is>
          <t>Single-Family Residences</t>
        </is>
      </c>
      <c r="C529" t="inlineStr">
        <is>
          <t>351</t>
        </is>
      </c>
      <c r="D529" t="inlineStr">
        <is>
          <t>12</t>
        </is>
      </c>
      <c r="E529" t="inlineStr">
        <is>
          <t>25</t>
        </is>
      </c>
      <c r="F529" t="inlineStr">
        <is>
          <t>DMASVEN</t>
        </is>
      </c>
      <c r="G529" t="inlineStr">
        <is>
          <t>Good</t>
        </is>
      </c>
      <c r="H529" t="n">
        <v>184</v>
      </c>
      <c r="I529">
        <f>B529&amp;"|"&amp;F529&amp;"|"&amp;G529</f>
        <v/>
      </c>
      <c r="J529" t="inlineStr">
        <is>
          <t>MVS Sec.12 p.25</t>
        </is>
      </c>
    </row>
    <row r="530">
      <c r="B530" t="inlineStr">
        <is>
          <t>Single-Family Residences</t>
        </is>
      </c>
      <c r="C530" t="inlineStr">
        <is>
          <t>351</t>
        </is>
      </c>
      <c r="D530" t="inlineStr">
        <is>
          <t>12</t>
        </is>
      </c>
      <c r="E530" t="inlineStr">
        <is>
          <t>25</t>
        </is>
      </c>
      <c r="F530" t="inlineStr">
        <is>
          <t>DMASVEN</t>
        </is>
      </c>
      <c r="G530" t="inlineStr">
        <is>
          <t>Average</t>
        </is>
      </c>
      <c r="H530" t="n">
        <v>132</v>
      </c>
      <c r="I530">
        <f>B530&amp;"|"&amp;F530&amp;"|"&amp;G530</f>
        <v/>
      </c>
      <c r="J530" t="inlineStr">
        <is>
          <t>MVS Sec.12 p.25</t>
        </is>
      </c>
    </row>
    <row r="531">
      <c r="B531" t="inlineStr">
        <is>
          <t>Single-Family Residences</t>
        </is>
      </c>
      <c r="C531" t="inlineStr">
        <is>
          <t>351</t>
        </is>
      </c>
      <c r="D531" t="inlineStr">
        <is>
          <t>12</t>
        </is>
      </c>
      <c r="E531" t="inlineStr">
        <is>
          <t>25</t>
        </is>
      </c>
      <c r="F531" t="inlineStr">
        <is>
          <t>DMASVEN</t>
        </is>
      </c>
      <c r="G531" t="inlineStr">
        <is>
          <t>Fair</t>
        </is>
      </c>
      <c r="H531" t="n">
        <v>113</v>
      </c>
      <c r="I531">
        <f>B531&amp;"|"&amp;F531&amp;"|"&amp;G531</f>
        <v/>
      </c>
      <c r="J531" t="inlineStr">
        <is>
          <t>MVS Sec.12 p.25</t>
        </is>
      </c>
    </row>
    <row r="532">
      <c r="B532" t="inlineStr">
        <is>
          <t>Single-Family Residences</t>
        </is>
      </c>
      <c r="C532" t="inlineStr">
        <is>
          <t>351</t>
        </is>
      </c>
      <c r="D532" t="inlineStr">
        <is>
          <t>12</t>
        </is>
      </c>
      <c r="E532" t="inlineStr">
        <is>
          <t>25</t>
        </is>
      </c>
      <c r="F532" t="inlineStr">
        <is>
          <t>DMASVEN</t>
        </is>
      </c>
      <c r="G532" t="inlineStr">
        <is>
          <t>Low Cost</t>
        </is>
      </c>
      <c r="H532" t="n">
        <v>95</v>
      </c>
      <c r="I532">
        <f>B532&amp;"|"&amp;F532&amp;"|"&amp;G532</f>
        <v/>
      </c>
      <c r="J532" t="inlineStr">
        <is>
          <t>MVS Sec.12 p.25</t>
        </is>
      </c>
    </row>
    <row r="533">
      <c r="B533" t="inlineStr">
        <is>
          <t>Single-Family Residences</t>
        </is>
      </c>
      <c r="C533" t="inlineStr">
        <is>
          <t>351</t>
        </is>
      </c>
      <c r="D533" t="inlineStr">
        <is>
          <t>12</t>
        </is>
      </c>
      <c r="E533" t="inlineStr">
        <is>
          <t>25</t>
        </is>
      </c>
      <c r="F533" t="inlineStr">
        <is>
          <t>D</t>
        </is>
      </c>
      <c r="G533" t="inlineStr">
        <is>
          <t>Excellent</t>
        </is>
      </c>
      <c r="H533" t="n">
        <v>243</v>
      </c>
      <c r="I533">
        <f>B533&amp;"|"&amp;F533&amp;"|"&amp;G533</f>
        <v/>
      </c>
      <c r="J533" t="inlineStr">
        <is>
          <t>MVS Sec.12 p.25</t>
        </is>
      </c>
    </row>
    <row r="534">
      <c r="B534" t="inlineStr">
        <is>
          <t>Single-Family Residences</t>
        </is>
      </c>
      <c r="C534" t="inlineStr">
        <is>
          <t>351</t>
        </is>
      </c>
      <c r="D534" t="inlineStr">
        <is>
          <t>12</t>
        </is>
      </c>
      <c r="E534" t="inlineStr">
        <is>
          <t>25</t>
        </is>
      </c>
      <c r="F534" t="inlineStr">
        <is>
          <t>D</t>
        </is>
      </c>
      <c r="G534" t="inlineStr">
        <is>
          <t>Very Good</t>
        </is>
      </c>
      <c r="H534" t="n">
        <v>202</v>
      </c>
      <c r="I534">
        <f>B534&amp;"|"&amp;F534&amp;"|"&amp;G534</f>
        <v/>
      </c>
      <c r="J534" t="inlineStr">
        <is>
          <t>MVS Sec.12 p.25</t>
        </is>
      </c>
    </row>
    <row r="535">
      <c r="B535" t="inlineStr">
        <is>
          <t>Single-Family Residences</t>
        </is>
      </c>
      <c r="C535" t="inlineStr">
        <is>
          <t>351</t>
        </is>
      </c>
      <c r="D535" t="inlineStr">
        <is>
          <t>12</t>
        </is>
      </c>
      <c r="E535" t="inlineStr">
        <is>
          <t>25</t>
        </is>
      </c>
      <c r="F535" t="inlineStr">
        <is>
          <t>D</t>
        </is>
      </c>
      <c r="G535" t="inlineStr">
        <is>
          <t>Good</t>
        </is>
      </c>
      <c r="H535" t="n">
        <v>172</v>
      </c>
      <c r="I535">
        <f>B535&amp;"|"&amp;F535&amp;"|"&amp;G535</f>
        <v/>
      </c>
      <c r="J535" t="inlineStr">
        <is>
          <t>MVS Sec.12 p.25</t>
        </is>
      </c>
    </row>
    <row r="536">
      <c r="B536" t="inlineStr">
        <is>
          <t>Single-Family Residences</t>
        </is>
      </c>
      <c r="C536" t="inlineStr">
        <is>
          <t>351</t>
        </is>
      </c>
      <c r="D536" t="inlineStr">
        <is>
          <t>12</t>
        </is>
      </c>
      <c r="E536" t="inlineStr">
        <is>
          <t>25</t>
        </is>
      </c>
      <c r="F536" t="inlineStr">
        <is>
          <t>D</t>
        </is>
      </c>
      <c r="G536" t="inlineStr">
        <is>
          <t>Average</t>
        </is>
      </c>
      <c r="H536" t="n">
        <v>124</v>
      </c>
      <c r="I536">
        <f>B536&amp;"|"&amp;F536&amp;"|"&amp;G536</f>
        <v/>
      </c>
      <c r="J536" t="inlineStr">
        <is>
          <t>MVS Sec.12 p.25</t>
        </is>
      </c>
    </row>
    <row r="537">
      <c r="B537" t="inlineStr">
        <is>
          <t>Single-Family Residences</t>
        </is>
      </c>
      <c r="C537" t="inlineStr">
        <is>
          <t>351</t>
        </is>
      </c>
      <c r="D537" t="inlineStr">
        <is>
          <t>12</t>
        </is>
      </c>
      <c r="E537" t="inlineStr">
        <is>
          <t>25</t>
        </is>
      </c>
      <c r="F537" t="inlineStr">
        <is>
          <t>D</t>
        </is>
      </c>
      <c r="G537" t="inlineStr">
        <is>
          <t>Fair</t>
        </is>
      </c>
      <c r="H537" t="n">
        <v>106</v>
      </c>
      <c r="I537">
        <f>B537&amp;"|"&amp;F537&amp;"|"&amp;G537</f>
        <v/>
      </c>
      <c r="J537" t="inlineStr">
        <is>
          <t>MVS Sec.12 p.25</t>
        </is>
      </c>
    </row>
    <row r="538">
      <c r="B538" t="inlineStr">
        <is>
          <t>Single-Family Residences</t>
        </is>
      </c>
      <c r="C538" t="inlineStr">
        <is>
          <t>351</t>
        </is>
      </c>
      <c r="D538" t="inlineStr">
        <is>
          <t>12</t>
        </is>
      </c>
      <c r="E538" t="inlineStr">
        <is>
          <t>25</t>
        </is>
      </c>
      <c r="F538" t="inlineStr">
        <is>
          <t>D</t>
        </is>
      </c>
      <c r="G538" t="inlineStr">
        <is>
          <t>Low Cost</t>
        </is>
      </c>
      <c r="H538" t="n">
        <v>89.5</v>
      </c>
      <c r="I538">
        <f>B538&amp;"|"&amp;F538&amp;"|"&amp;G538</f>
        <v/>
      </c>
      <c r="J538" t="inlineStr">
        <is>
          <t>MVS Sec.12 p.25</t>
        </is>
      </c>
    </row>
    <row r="539">
      <c r="B539" t="inlineStr">
        <is>
          <t>Single-Family Residences</t>
        </is>
      </c>
      <c r="C539" t="inlineStr">
        <is>
          <t>351</t>
        </is>
      </c>
      <c r="D539" t="inlineStr">
        <is>
          <t>12</t>
        </is>
      </c>
      <c r="E539" t="inlineStr">
        <is>
          <t>25</t>
        </is>
      </c>
      <c r="F539" t="inlineStr">
        <is>
          <t>D</t>
        </is>
      </c>
      <c r="G539" t="inlineStr">
        <is>
          <t>Cheap</t>
        </is>
      </c>
      <c r="H539" t="n">
        <v>75.5</v>
      </c>
      <c r="I539">
        <f>B539&amp;"|"&amp;F539&amp;"|"&amp;G539</f>
        <v/>
      </c>
      <c r="J539" t="inlineStr">
        <is>
          <t>MVS Sec.12 p.25</t>
        </is>
      </c>
    </row>
    <row r="540">
      <c r="B540" t="inlineStr">
        <is>
          <t>Single-Family Residences</t>
        </is>
      </c>
      <c r="C540" t="inlineStr">
        <is>
          <t>351</t>
        </is>
      </c>
      <c r="D540" t="inlineStr">
        <is>
          <t>12</t>
        </is>
      </c>
      <c r="E540" t="inlineStr">
        <is>
          <t>25</t>
        </is>
      </c>
      <c r="F540" t="inlineStr">
        <is>
          <t>S</t>
        </is>
      </c>
      <c r="G540" t="inlineStr">
        <is>
          <t>Average</t>
        </is>
      </c>
      <c r="H540" t="n">
        <v>123</v>
      </c>
      <c r="I540">
        <f>B540&amp;"|"&amp;F540&amp;"|"&amp;G540</f>
        <v/>
      </c>
      <c r="J540" t="inlineStr">
        <is>
          <t>MVS Sec.12 p.25</t>
        </is>
      </c>
    </row>
    <row r="541">
      <c r="B541" t="inlineStr">
        <is>
          <t>Guest Houses</t>
        </is>
      </c>
      <c r="D541" t="inlineStr">
        <is>
          <t>12</t>
        </is>
      </c>
      <c r="E541" t="inlineStr">
        <is>
          <t>29</t>
        </is>
      </c>
      <c r="F541" t="inlineStr">
        <is>
          <t>C</t>
        </is>
      </c>
      <c r="G541" t="inlineStr">
        <is>
          <t>Excellent</t>
        </is>
      </c>
      <c r="H541" t="n">
        <v>276</v>
      </c>
      <c r="I541">
        <f>B541&amp;"|"&amp;F541&amp;"|"&amp;G541</f>
        <v/>
      </c>
      <c r="J541" t="inlineStr">
        <is>
          <t>MVS Sec.12 p.29</t>
        </is>
      </c>
    </row>
    <row r="542">
      <c r="B542" t="inlineStr">
        <is>
          <t>Guest Houses</t>
        </is>
      </c>
      <c r="D542" t="inlineStr">
        <is>
          <t>12</t>
        </is>
      </c>
      <c r="E542" t="inlineStr">
        <is>
          <t>29</t>
        </is>
      </c>
      <c r="F542" t="inlineStr">
        <is>
          <t>C</t>
        </is>
      </c>
      <c r="G542" t="inlineStr">
        <is>
          <t>Very Good</t>
        </is>
      </c>
      <c r="H542" t="n">
        <v>208</v>
      </c>
      <c r="I542">
        <f>B542&amp;"|"&amp;F542&amp;"|"&amp;G542</f>
        <v/>
      </c>
      <c r="J542" t="inlineStr">
        <is>
          <t>MVS Sec.12 p.29</t>
        </is>
      </c>
    </row>
    <row r="543">
      <c r="B543" t="inlineStr">
        <is>
          <t>Guest Houses</t>
        </is>
      </c>
      <c r="D543" t="inlineStr">
        <is>
          <t>12</t>
        </is>
      </c>
      <c r="E543" t="inlineStr">
        <is>
          <t>29</t>
        </is>
      </c>
      <c r="F543" t="inlineStr">
        <is>
          <t>C</t>
        </is>
      </c>
      <c r="G543" t="inlineStr">
        <is>
          <t>Good</t>
        </is>
      </c>
      <c r="H543" t="n">
        <v>157</v>
      </c>
      <c r="I543">
        <f>B543&amp;"|"&amp;F543&amp;"|"&amp;G543</f>
        <v/>
      </c>
      <c r="J543" t="inlineStr">
        <is>
          <t>MVS Sec.12 p.29</t>
        </is>
      </c>
    </row>
    <row r="544">
      <c r="B544" t="inlineStr">
        <is>
          <t>Guest Houses</t>
        </is>
      </c>
      <c r="D544" t="inlineStr">
        <is>
          <t>12</t>
        </is>
      </c>
      <c r="E544" t="inlineStr">
        <is>
          <t>29</t>
        </is>
      </c>
      <c r="F544" t="inlineStr">
        <is>
          <t>C</t>
        </is>
      </c>
      <c r="G544" t="inlineStr">
        <is>
          <t>Average</t>
        </is>
      </c>
      <c r="H544" t="n">
        <v>117</v>
      </c>
      <c r="I544">
        <f>B544&amp;"|"&amp;F544&amp;"|"&amp;G544</f>
        <v/>
      </c>
      <c r="J544" t="inlineStr">
        <is>
          <t>MVS Sec.12 p.29</t>
        </is>
      </c>
    </row>
    <row r="545">
      <c r="B545" t="inlineStr">
        <is>
          <t>Guest Houses</t>
        </is>
      </c>
      <c r="D545" t="inlineStr">
        <is>
          <t>12</t>
        </is>
      </c>
      <c r="E545" t="inlineStr">
        <is>
          <t>29</t>
        </is>
      </c>
      <c r="F545" t="inlineStr">
        <is>
          <t>C</t>
        </is>
      </c>
      <c r="G545" t="inlineStr">
        <is>
          <t>Low Cost</t>
        </is>
      </c>
      <c r="H545" t="n">
        <v>88.5</v>
      </c>
      <c r="I545">
        <f>B545&amp;"|"&amp;F545&amp;"|"&amp;G545</f>
        <v/>
      </c>
      <c r="J545" t="inlineStr">
        <is>
          <t>MVS Sec.12 p.29</t>
        </is>
      </c>
    </row>
    <row r="546">
      <c r="B546" t="inlineStr">
        <is>
          <t>Guest Houses</t>
        </is>
      </c>
      <c r="D546" t="inlineStr">
        <is>
          <t>12</t>
        </is>
      </c>
      <c r="E546" t="inlineStr">
        <is>
          <t>29</t>
        </is>
      </c>
      <c r="F546" t="inlineStr">
        <is>
          <t>D</t>
        </is>
      </c>
      <c r="G546" t="inlineStr">
        <is>
          <t>Excellent</t>
        </is>
      </c>
      <c r="H546" t="n">
        <v>275</v>
      </c>
      <c r="I546">
        <f>B546&amp;"|"&amp;F546&amp;"|"&amp;G546</f>
        <v/>
      </c>
      <c r="J546" t="inlineStr">
        <is>
          <t>MVS Sec.12 p.29</t>
        </is>
      </c>
    </row>
    <row r="547">
      <c r="B547" t="inlineStr">
        <is>
          <t>Guest Houses</t>
        </is>
      </c>
      <c r="D547" t="inlineStr">
        <is>
          <t>12</t>
        </is>
      </c>
      <c r="E547" t="inlineStr">
        <is>
          <t>29</t>
        </is>
      </c>
      <c r="F547" t="inlineStr">
        <is>
          <t>D</t>
        </is>
      </c>
      <c r="G547" t="inlineStr">
        <is>
          <t>Very Good</t>
        </is>
      </c>
      <c r="H547" t="n">
        <v>204</v>
      </c>
      <c r="I547">
        <f>B547&amp;"|"&amp;F547&amp;"|"&amp;G547</f>
        <v/>
      </c>
      <c r="J547" t="inlineStr">
        <is>
          <t>MVS Sec.12 p.29</t>
        </is>
      </c>
    </row>
    <row r="548">
      <c r="B548" t="inlineStr">
        <is>
          <t>Guest Houses</t>
        </is>
      </c>
      <c r="D548" t="inlineStr">
        <is>
          <t>12</t>
        </is>
      </c>
      <c r="E548" t="inlineStr">
        <is>
          <t>29</t>
        </is>
      </c>
      <c r="F548" t="inlineStr">
        <is>
          <t>D</t>
        </is>
      </c>
      <c r="G548" t="inlineStr">
        <is>
          <t>Good</t>
        </is>
      </c>
      <c r="H548" t="n">
        <v>153</v>
      </c>
      <c r="I548">
        <f>B548&amp;"|"&amp;F548&amp;"|"&amp;G548</f>
        <v/>
      </c>
      <c r="J548" t="inlineStr">
        <is>
          <t>MVS Sec.12 p.29</t>
        </is>
      </c>
    </row>
    <row r="549">
      <c r="B549" t="inlineStr">
        <is>
          <t>Guest Houses</t>
        </is>
      </c>
      <c r="D549" t="inlineStr">
        <is>
          <t>12</t>
        </is>
      </c>
      <c r="E549" t="inlineStr">
        <is>
          <t>29</t>
        </is>
      </c>
      <c r="F549" t="inlineStr">
        <is>
          <t>D</t>
        </is>
      </c>
      <c r="G549" t="inlineStr">
        <is>
          <t>Average</t>
        </is>
      </c>
      <c r="H549" t="n">
        <v>112</v>
      </c>
      <c r="I549">
        <f>B549&amp;"|"&amp;F549&amp;"|"&amp;G549</f>
        <v/>
      </c>
      <c r="J549" t="inlineStr">
        <is>
          <t>MVS Sec.12 p.29</t>
        </is>
      </c>
    </row>
    <row r="550">
      <c r="B550" t="inlineStr">
        <is>
          <t>Guest Houses</t>
        </is>
      </c>
      <c r="D550" t="inlineStr">
        <is>
          <t>12</t>
        </is>
      </c>
      <c r="E550" t="inlineStr">
        <is>
          <t>29</t>
        </is>
      </c>
      <c r="F550" t="inlineStr">
        <is>
          <t>D</t>
        </is>
      </c>
      <c r="G550" t="inlineStr">
        <is>
          <t>Low Cost</t>
        </is>
      </c>
      <c r="H550" t="n">
        <v>83.5</v>
      </c>
      <c r="I550">
        <f>B550&amp;"|"&amp;F550&amp;"|"&amp;G550</f>
        <v/>
      </c>
      <c r="J550" t="inlineStr">
        <is>
          <t>MVS Sec.12 p.29</t>
        </is>
      </c>
    </row>
    <row r="551">
      <c r="B551" t="inlineStr">
        <is>
          <t>Guest Houses</t>
        </is>
      </c>
      <c r="D551" t="inlineStr">
        <is>
          <t>12</t>
        </is>
      </c>
      <c r="E551" t="inlineStr">
        <is>
          <t>29</t>
        </is>
      </c>
      <c r="F551" t="inlineStr">
        <is>
          <t>D</t>
        </is>
      </c>
      <c r="G551" t="inlineStr">
        <is>
          <t>Cheap</t>
        </is>
      </c>
      <c r="H551" t="n">
        <v>76</v>
      </c>
      <c r="I551">
        <f>B551&amp;"|"&amp;F551&amp;"|"&amp;G551</f>
        <v/>
      </c>
      <c r="J551" t="inlineStr">
        <is>
          <t>MVS Sec.12 p.29</t>
        </is>
      </c>
    </row>
    <row r="552">
      <c r="B552" t="inlineStr">
        <is>
          <t>Log Homes</t>
        </is>
      </c>
      <c r="C552" t="inlineStr">
        <is>
          <t>445</t>
        </is>
      </c>
      <c r="D552" t="inlineStr">
        <is>
          <t>12</t>
        </is>
      </c>
      <c r="E552" t="inlineStr">
        <is>
          <t>30</t>
        </is>
      </c>
      <c r="F552" t="inlineStr">
        <is>
          <t>D</t>
        </is>
      </c>
      <c r="G552" t="inlineStr">
        <is>
          <t>Excellent</t>
        </is>
      </c>
      <c r="H552" t="n">
        <v>271</v>
      </c>
      <c r="I552">
        <f>B552&amp;"|"&amp;F552&amp;"|"&amp;G552</f>
        <v/>
      </c>
      <c r="J552" t="inlineStr">
        <is>
          <t>MVS Sec.12 p.30</t>
        </is>
      </c>
    </row>
    <row r="553">
      <c r="B553" t="inlineStr">
        <is>
          <t>Log Homes</t>
        </is>
      </c>
      <c r="C553" t="inlineStr">
        <is>
          <t>445</t>
        </is>
      </c>
      <c r="D553" t="inlineStr">
        <is>
          <t>12</t>
        </is>
      </c>
      <c r="E553" t="inlineStr">
        <is>
          <t>30</t>
        </is>
      </c>
      <c r="F553" t="inlineStr">
        <is>
          <t>D</t>
        </is>
      </c>
      <c r="G553" t="inlineStr">
        <is>
          <t>Good</t>
        </is>
      </c>
      <c r="H553" t="n">
        <v>192</v>
      </c>
      <c r="I553">
        <f>B553&amp;"|"&amp;F553&amp;"|"&amp;G553</f>
        <v/>
      </c>
      <c r="J553" t="inlineStr">
        <is>
          <t>MVS Sec.12 p.30</t>
        </is>
      </c>
    </row>
    <row r="554">
      <c r="B554" t="inlineStr">
        <is>
          <t>Log Homes</t>
        </is>
      </c>
      <c r="C554" t="inlineStr">
        <is>
          <t>445</t>
        </is>
      </c>
      <c r="D554" t="inlineStr">
        <is>
          <t>12</t>
        </is>
      </c>
      <c r="E554" t="inlineStr">
        <is>
          <t>30</t>
        </is>
      </c>
      <c r="F554" t="inlineStr">
        <is>
          <t>D</t>
        </is>
      </c>
      <c r="G554" t="inlineStr">
        <is>
          <t>Average</t>
        </is>
      </c>
      <c r="H554" t="n">
        <v>138</v>
      </c>
      <c r="I554">
        <f>B554&amp;"|"&amp;F554&amp;"|"&amp;G554</f>
        <v/>
      </c>
      <c r="J554" t="inlineStr">
        <is>
          <t>MVS Sec.12 p.30</t>
        </is>
      </c>
    </row>
    <row r="555">
      <c r="B555" t="inlineStr">
        <is>
          <t>Log Homes</t>
        </is>
      </c>
      <c r="C555" t="inlineStr">
        <is>
          <t>445</t>
        </is>
      </c>
      <c r="D555" t="inlineStr">
        <is>
          <t>12</t>
        </is>
      </c>
      <c r="E555" t="inlineStr">
        <is>
          <t>30</t>
        </is>
      </c>
      <c r="F555" t="inlineStr">
        <is>
          <t>D</t>
        </is>
      </c>
      <c r="G555" t="inlineStr">
        <is>
          <t>Low Cost</t>
        </is>
      </c>
      <c r="H555" t="n">
        <v>99.5</v>
      </c>
      <c r="I555">
        <f>B555&amp;"|"&amp;F555&amp;"|"&amp;G555</f>
        <v/>
      </c>
      <c r="J555" t="inlineStr">
        <is>
          <t>MVS Sec.12 p.30</t>
        </is>
      </c>
    </row>
    <row r="556">
      <c r="B556" t="inlineStr">
        <is>
          <t>Town Houses</t>
        </is>
      </c>
      <c r="C556" t="inlineStr">
        <is>
          <t>401</t>
        </is>
      </c>
      <c r="D556" t="inlineStr">
        <is>
          <t>12</t>
        </is>
      </c>
      <c r="E556" t="inlineStr">
        <is>
          <t>31</t>
        </is>
      </c>
      <c r="F556" t="inlineStr">
        <is>
          <t>C</t>
        </is>
      </c>
      <c r="G556" t="inlineStr">
        <is>
          <t>Excellent</t>
        </is>
      </c>
      <c r="H556" t="n">
        <v>221</v>
      </c>
      <c r="I556">
        <f>B556&amp;"|"&amp;F556&amp;"|"&amp;G556</f>
        <v/>
      </c>
      <c r="J556" t="inlineStr">
        <is>
          <t>MVS Sec.12 p.31</t>
        </is>
      </c>
    </row>
    <row r="557">
      <c r="B557" t="inlineStr">
        <is>
          <t>Town Houses</t>
        </is>
      </c>
      <c r="C557" t="inlineStr">
        <is>
          <t>401</t>
        </is>
      </c>
      <c r="D557" t="inlineStr">
        <is>
          <t>12</t>
        </is>
      </c>
      <c r="E557" t="inlineStr">
        <is>
          <t>31</t>
        </is>
      </c>
      <c r="F557" t="inlineStr">
        <is>
          <t>C</t>
        </is>
      </c>
      <c r="G557" t="inlineStr">
        <is>
          <t>Good</t>
        </is>
      </c>
      <c r="H557" t="n">
        <v>161</v>
      </c>
      <c r="I557">
        <f>B557&amp;"|"&amp;F557&amp;"|"&amp;G557</f>
        <v/>
      </c>
      <c r="J557" t="inlineStr">
        <is>
          <t>MVS Sec.12 p.31</t>
        </is>
      </c>
    </row>
    <row r="558">
      <c r="B558" t="inlineStr">
        <is>
          <t>Town Houses</t>
        </is>
      </c>
      <c r="C558" t="inlineStr">
        <is>
          <t>401</t>
        </is>
      </c>
      <c r="D558" t="inlineStr">
        <is>
          <t>12</t>
        </is>
      </c>
      <c r="E558" t="inlineStr">
        <is>
          <t>31</t>
        </is>
      </c>
      <c r="F558" t="inlineStr">
        <is>
          <t>C</t>
        </is>
      </c>
      <c r="G558" t="inlineStr">
        <is>
          <t>Average</t>
        </is>
      </c>
      <c r="H558" t="n">
        <v>117</v>
      </c>
      <c r="I558">
        <f>B558&amp;"|"&amp;F558&amp;"|"&amp;G558</f>
        <v/>
      </c>
      <c r="J558" t="inlineStr">
        <is>
          <t>MVS Sec.12 p.31</t>
        </is>
      </c>
    </row>
    <row r="559">
      <c r="B559" t="inlineStr">
        <is>
          <t>Town Houses</t>
        </is>
      </c>
      <c r="C559" t="inlineStr">
        <is>
          <t>401</t>
        </is>
      </c>
      <c r="D559" t="inlineStr">
        <is>
          <t>12</t>
        </is>
      </c>
      <c r="E559" t="inlineStr">
        <is>
          <t>31</t>
        </is>
      </c>
      <c r="F559" t="inlineStr">
        <is>
          <t>C</t>
        </is>
      </c>
      <c r="G559" t="inlineStr">
        <is>
          <t>Fair</t>
        </is>
      </c>
      <c r="H559" t="n">
        <v>101</v>
      </c>
      <c r="I559">
        <f>B559&amp;"|"&amp;F559&amp;"|"&amp;G559</f>
        <v/>
      </c>
      <c r="J559" t="inlineStr">
        <is>
          <t>MVS Sec.12 p.31</t>
        </is>
      </c>
    </row>
    <row r="560">
      <c r="B560" t="inlineStr">
        <is>
          <t>Town Houses</t>
        </is>
      </c>
      <c r="C560" t="inlineStr">
        <is>
          <t>401</t>
        </is>
      </c>
      <c r="D560" t="inlineStr">
        <is>
          <t>12</t>
        </is>
      </c>
      <c r="E560" t="inlineStr">
        <is>
          <t>31</t>
        </is>
      </c>
      <c r="F560" t="inlineStr">
        <is>
          <t>C</t>
        </is>
      </c>
      <c r="G560" t="inlineStr">
        <is>
          <t>Low Cost</t>
        </is>
      </c>
      <c r="H560" t="n">
        <v>85.5</v>
      </c>
      <c r="I560">
        <f>B560&amp;"|"&amp;F560&amp;"|"&amp;G560</f>
        <v/>
      </c>
      <c r="J560" t="inlineStr">
        <is>
          <t>MVS Sec.12 p.31</t>
        </is>
      </c>
    </row>
    <row r="561">
      <c r="B561" t="inlineStr">
        <is>
          <t>Town Houses</t>
        </is>
      </c>
      <c r="C561" t="inlineStr">
        <is>
          <t>401</t>
        </is>
      </c>
      <c r="D561" t="inlineStr">
        <is>
          <t>12</t>
        </is>
      </c>
      <c r="E561" t="inlineStr">
        <is>
          <t>31</t>
        </is>
      </c>
      <c r="F561" t="inlineStr">
        <is>
          <t>DMASVEN</t>
        </is>
      </c>
      <c r="G561" t="inlineStr">
        <is>
          <t>Excellent</t>
        </is>
      </c>
      <c r="H561" t="n">
        <v>219</v>
      </c>
      <c r="I561">
        <f>B561&amp;"|"&amp;F561&amp;"|"&amp;G561</f>
        <v/>
      </c>
      <c r="J561" t="inlineStr">
        <is>
          <t>MVS Sec.12 p.31</t>
        </is>
      </c>
    </row>
    <row r="562">
      <c r="B562" t="inlineStr">
        <is>
          <t>Town Houses</t>
        </is>
      </c>
      <c r="C562" t="inlineStr">
        <is>
          <t>401</t>
        </is>
      </c>
      <c r="D562" t="inlineStr">
        <is>
          <t>12</t>
        </is>
      </c>
      <c r="E562" t="inlineStr">
        <is>
          <t>31</t>
        </is>
      </c>
      <c r="F562" t="inlineStr">
        <is>
          <t>DMASVEN</t>
        </is>
      </c>
      <c r="G562" t="inlineStr">
        <is>
          <t>Good</t>
        </is>
      </c>
      <c r="H562" t="n">
        <v>160</v>
      </c>
      <c r="I562">
        <f>B562&amp;"|"&amp;F562&amp;"|"&amp;G562</f>
        <v/>
      </c>
      <c r="J562" t="inlineStr">
        <is>
          <t>MVS Sec.12 p.31</t>
        </is>
      </c>
    </row>
    <row r="563">
      <c r="B563" t="inlineStr">
        <is>
          <t>Town Houses</t>
        </is>
      </c>
      <c r="C563" t="inlineStr">
        <is>
          <t>401</t>
        </is>
      </c>
      <c r="D563" t="inlineStr">
        <is>
          <t>12</t>
        </is>
      </c>
      <c r="E563" t="inlineStr">
        <is>
          <t>31</t>
        </is>
      </c>
      <c r="F563" t="inlineStr">
        <is>
          <t>DMASVEN</t>
        </is>
      </c>
      <c r="G563" t="inlineStr">
        <is>
          <t>Average</t>
        </is>
      </c>
      <c r="H563" t="n">
        <v>117</v>
      </c>
      <c r="I563">
        <f>B563&amp;"|"&amp;F563&amp;"|"&amp;G563</f>
        <v/>
      </c>
      <c r="J563" t="inlineStr">
        <is>
          <t>MVS Sec.12 p.31</t>
        </is>
      </c>
    </row>
    <row r="564">
      <c r="B564" t="inlineStr">
        <is>
          <t>Town Houses</t>
        </is>
      </c>
      <c r="C564" t="inlineStr">
        <is>
          <t>401</t>
        </is>
      </c>
      <c r="D564" t="inlineStr">
        <is>
          <t>12</t>
        </is>
      </c>
      <c r="E564" t="inlineStr">
        <is>
          <t>31</t>
        </is>
      </c>
      <c r="F564" t="inlineStr">
        <is>
          <t>DMASVEN</t>
        </is>
      </c>
      <c r="G564" t="inlineStr">
        <is>
          <t>Fair</t>
        </is>
      </c>
      <c r="H564" t="n">
        <v>100</v>
      </c>
      <c r="I564">
        <f>B564&amp;"|"&amp;F564&amp;"|"&amp;G564</f>
        <v/>
      </c>
      <c r="J564" t="inlineStr">
        <is>
          <t>MVS Sec.12 p.31</t>
        </is>
      </c>
    </row>
    <row r="565">
      <c r="B565" t="inlineStr">
        <is>
          <t>Town Houses</t>
        </is>
      </c>
      <c r="C565" t="inlineStr">
        <is>
          <t>401</t>
        </is>
      </c>
      <c r="D565" t="inlineStr">
        <is>
          <t>12</t>
        </is>
      </c>
      <c r="E565" t="inlineStr">
        <is>
          <t>31</t>
        </is>
      </c>
      <c r="F565" t="inlineStr">
        <is>
          <t>DMASVEN</t>
        </is>
      </c>
      <c r="G565" t="inlineStr">
        <is>
          <t>Low Cost</t>
        </is>
      </c>
      <c r="H565" t="n">
        <v>85</v>
      </c>
      <c r="I565">
        <f>B565&amp;"|"&amp;F565&amp;"|"&amp;G565</f>
        <v/>
      </c>
      <c r="J565" t="inlineStr">
        <is>
          <t>MVS Sec.12 p.31</t>
        </is>
      </c>
    </row>
    <row r="566">
      <c r="B566" t="inlineStr">
        <is>
          <t>Town Houses</t>
        </is>
      </c>
      <c r="C566" t="inlineStr">
        <is>
          <t>401</t>
        </is>
      </c>
      <c r="D566" t="inlineStr">
        <is>
          <t>12</t>
        </is>
      </c>
      <c r="E566" t="inlineStr">
        <is>
          <t>31</t>
        </is>
      </c>
      <c r="F566" t="inlineStr">
        <is>
          <t>D</t>
        </is>
      </c>
      <c r="G566" t="inlineStr">
        <is>
          <t>Excellent</t>
        </is>
      </c>
      <c r="H566" t="n">
        <v>210</v>
      </c>
      <c r="I566">
        <f>B566&amp;"|"&amp;F566&amp;"|"&amp;G566</f>
        <v/>
      </c>
      <c r="J566" t="inlineStr">
        <is>
          <t>MVS Sec.12 p.31</t>
        </is>
      </c>
    </row>
    <row r="567">
      <c r="B567" t="inlineStr">
        <is>
          <t>Town Houses</t>
        </is>
      </c>
      <c r="C567" t="inlineStr">
        <is>
          <t>401</t>
        </is>
      </c>
      <c r="D567" t="inlineStr">
        <is>
          <t>12</t>
        </is>
      </c>
      <c r="E567" t="inlineStr">
        <is>
          <t>31</t>
        </is>
      </c>
      <c r="F567" t="inlineStr">
        <is>
          <t>D</t>
        </is>
      </c>
      <c r="G567" t="inlineStr">
        <is>
          <t>Good</t>
        </is>
      </c>
      <c r="H567" t="n">
        <v>154</v>
      </c>
      <c r="I567">
        <f>B567&amp;"|"&amp;F567&amp;"|"&amp;G567</f>
        <v/>
      </c>
      <c r="J567" t="inlineStr">
        <is>
          <t>MVS Sec.12 p.31</t>
        </is>
      </c>
    </row>
    <row r="568">
      <c r="B568" t="inlineStr">
        <is>
          <t>Town Houses</t>
        </is>
      </c>
      <c r="C568" t="inlineStr">
        <is>
          <t>401</t>
        </is>
      </c>
      <c r="D568" t="inlineStr">
        <is>
          <t>12</t>
        </is>
      </c>
      <c r="E568" t="inlineStr">
        <is>
          <t>31</t>
        </is>
      </c>
      <c r="F568" t="inlineStr">
        <is>
          <t>D</t>
        </is>
      </c>
      <c r="G568" t="inlineStr">
        <is>
          <t>Average</t>
        </is>
      </c>
      <c r="H568" t="n">
        <v>112</v>
      </c>
      <c r="I568">
        <f>B568&amp;"|"&amp;F568&amp;"|"&amp;G568</f>
        <v/>
      </c>
      <c r="J568" t="inlineStr">
        <is>
          <t>MVS Sec.12 p.31</t>
        </is>
      </c>
    </row>
    <row r="569">
      <c r="B569" t="inlineStr">
        <is>
          <t>Town Houses</t>
        </is>
      </c>
      <c r="C569" t="inlineStr">
        <is>
          <t>401</t>
        </is>
      </c>
      <c r="D569" t="inlineStr">
        <is>
          <t>12</t>
        </is>
      </c>
      <c r="E569" t="inlineStr">
        <is>
          <t>31</t>
        </is>
      </c>
      <c r="F569" t="inlineStr">
        <is>
          <t>D</t>
        </is>
      </c>
      <c r="G569" t="inlineStr">
        <is>
          <t>Fair</t>
        </is>
      </c>
      <c r="H569" t="n">
        <v>96.5</v>
      </c>
      <c r="I569">
        <f>B569&amp;"|"&amp;F569&amp;"|"&amp;G569</f>
        <v/>
      </c>
      <c r="J569" t="inlineStr">
        <is>
          <t>MVS Sec.12 p.31</t>
        </is>
      </c>
    </row>
    <row r="570">
      <c r="B570" t="inlineStr">
        <is>
          <t>Town Houses</t>
        </is>
      </c>
      <c r="C570" t="inlineStr">
        <is>
          <t>401</t>
        </is>
      </c>
      <c r="D570" t="inlineStr">
        <is>
          <t>12</t>
        </is>
      </c>
      <c r="E570" t="inlineStr">
        <is>
          <t>31</t>
        </is>
      </c>
      <c r="F570" t="inlineStr">
        <is>
          <t>D</t>
        </is>
      </c>
      <c r="G570" t="inlineStr">
        <is>
          <t>Low Cost</t>
        </is>
      </c>
      <c r="H570" t="n">
        <v>81.5</v>
      </c>
      <c r="I570">
        <f>B570&amp;"|"&amp;F570&amp;"|"&amp;G570</f>
        <v/>
      </c>
      <c r="J570" t="inlineStr">
        <is>
          <t>MVS Sec.12 p.31</t>
        </is>
      </c>
    </row>
    <row r="571">
      <c r="B571" t="inlineStr">
        <is>
          <t>Senior Citizen Town Houses</t>
        </is>
      </c>
      <c r="C571" t="inlineStr">
        <is>
          <t>546</t>
        </is>
      </c>
      <c r="D571" t="inlineStr">
        <is>
          <t>12</t>
        </is>
      </c>
      <c r="E571" t="inlineStr">
        <is>
          <t>32</t>
        </is>
      </c>
      <c r="F571" t="inlineStr">
        <is>
          <t>C</t>
        </is>
      </c>
      <c r="G571" t="inlineStr">
        <is>
          <t>Excellent</t>
        </is>
      </c>
      <c r="H571" t="n">
        <v>218</v>
      </c>
      <c r="I571">
        <f>B571&amp;"|"&amp;F571&amp;"|"&amp;G571</f>
        <v/>
      </c>
      <c r="J571" t="inlineStr">
        <is>
          <t>MVS Sec.12 p.32</t>
        </is>
      </c>
    </row>
    <row r="572">
      <c r="B572" t="inlineStr">
        <is>
          <t>Senior Citizen Town Houses</t>
        </is>
      </c>
      <c r="C572" t="inlineStr">
        <is>
          <t>546</t>
        </is>
      </c>
      <c r="D572" t="inlineStr">
        <is>
          <t>12</t>
        </is>
      </c>
      <c r="E572" t="inlineStr">
        <is>
          <t>32</t>
        </is>
      </c>
      <c r="F572" t="inlineStr">
        <is>
          <t>C</t>
        </is>
      </c>
      <c r="G572" t="inlineStr">
        <is>
          <t>Good</t>
        </is>
      </c>
      <c r="H572" t="n">
        <v>166</v>
      </c>
      <c r="I572">
        <f>B572&amp;"|"&amp;F572&amp;"|"&amp;G572</f>
        <v/>
      </c>
      <c r="J572" t="inlineStr">
        <is>
          <t>MVS Sec.12 p.32</t>
        </is>
      </c>
    </row>
    <row r="573">
      <c r="B573" t="inlineStr">
        <is>
          <t>Senior Citizen Town Houses</t>
        </is>
      </c>
      <c r="C573" t="inlineStr">
        <is>
          <t>546</t>
        </is>
      </c>
      <c r="D573" t="inlineStr">
        <is>
          <t>12</t>
        </is>
      </c>
      <c r="E573" t="inlineStr">
        <is>
          <t>32</t>
        </is>
      </c>
      <c r="F573" t="inlineStr">
        <is>
          <t>C</t>
        </is>
      </c>
      <c r="G573" t="inlineStr">
        <is>
          <t>Average</t>
        </is>
      </c>
      <c r="H573" t="n">
        <v>127</v>
      </c>
      <c r="I573">
        <f>B573&amp;"|"&amp;F573&amp;"|"&amp;G573</f>
        <v/>
      </c>
      <c r="J573" t="inlineStr">
        <is>
          <t>MVS Sec.12 p.32</t>
        </is>
      </c>
    </row>
    <row r="574">
      <c r="B574" t="inlineStr">
        <is>
          <t>Senior Citizen Town Houses</t>
        </is>
      </c>
      <c r="C574" t="inlineStr">
        <is>
          <t>546</t>
        </is>
      </c>
      <c r="D574" t="inlineStr">
        <is>
          <t>12</t>
        </is>
      </c>
      <c r="E574" t="inlineStr">
        <is>
          <t>32</t>
        </is>
      </c>
      <c r="F574" t="inlineStr">
        <is>
          <t>C</t>
        </is>
      </c>
      <c r="G574" t="inlineStr">
        <is>
          <t>Fair</t>
        </is>
      </c>
      <c r="H574" t="n">
        <v>108</v>
      </c>
      <c r="I574">
        <f>B574&amp;"|"&amp;F574&amp;"|"&amp;G574</f>
        <v/>
      </c>
      <c r="J574" t="inlineStr">
        <is>
          <t>MVS Sec.12 p.32</t>
        </is>
      </c>
    </row>
    <row r="575">
      <c r="B575" t="inlineStr">
        <is>
          <t>Senior Citizen Town Houses</t>
        </is>
      </c>
      <c r="C575" t="inlineStr">
        <is>
          <t>546</t>
        </is>
      </c>
      <c r="D575" t="inlineStr">
        <is>
          <t>12</t>
        </is>
      </c>
      <c r="E575" t="inlineStr">
        <is>
          <t>32</t>
        </is>
      </c>
      <c r="F575" t="inlineStr">
        <is>
          <t>DMASVEN</t>
        </is>
      </c>
      <c r="G575" t="inlineStr">
        <is>
          <t>Excellent</t>
        </is>
      </c>
      <c r="H575" t="n">
        <v>216</v>
      </c>
      <c r="I575">
        <f>B575&amp;"|"&amp;F575&amp;"|"&amp;G575</f>
        <v/>
      </c>
      <c r="J575" t="inlineStr">
        <is>
          <t>MVS Sec.12 p.32</t>
        </is>
      </c>
    </row>
    <row r="576">
      <c r="B576" t="inlineStr">
        <is>
          <t>Senior Citizen Town Houses</t>
        </is>
      </c>
      <c r="C576" t="inlineStr">
        <is>
          <t>546</t>
        </is>
      </c>
      <c r="D576" t="inlineStr">
        <is>
          <t>12</t>
        </is>
      </c>
      <c r="E576" t="inlineStr">
        <is>
          <t>32</t>
        </is>
      </c>
      <c r="F576" t="inlineStr">
        <is>
          <t>DMASVEN</t>
        </is>
      </c>
      <c r="G576" t="inlineStr">
        <is>
          <t>Good</t>
        </is>
      </c>
      <c r="H576" t="n">
        <v>165</v>
      </c>
      <c r="I576">
        <f>B576&amp;"|"&amp;F576&amp;"|"&amp;G576</f>
        <v/>
      </c>
      <c r="J576" t="inlineStr">
        <is>
          <t>MVS Sec.12 p.32</t>
        </is>
      </c>
    </row>
    <row r="577">
      <c r="B577" t="inlineStr">
        <is>
          <t>Senior Citizen Town Houses</t>
        </is>
      </c>
      <c r="C577" t="inlineStr">
        <is>
          <t>546</t>
        </is>
      </c>
      <c r="D577" t="inlineStr">
        <is>
          <t>12</t>
        </is>
      </c>
      <c r="E577" t="inlineStr">
        <is>
          <t>32</t>
        </is>
      </c>
      <c r="F577" t="inlineStr">
        <is>
          <t>DMASVEN</t>
        </is>
      </c>
      <c r="G577" t="inlineStr">
        <is>
          <t>Average</t>
        </is>
      </c>
      <c r="H577" t="n">
        <v>126</v>
      </c>
      <c r="I577">
        <f>B577&amp;"|"&amp;F577&amp;"|"&amp;G577</f>
        <v/>
      </c>
      <c r="J577" t="inlineStr">
        <is>
          <t>MVS Sec.12 p.32</t>
        </is>
      </c>
    </row>
    <row r="578">
      <c r="B578" t="inlineStr">
        <is>
          <t>Senior Citizen Town Houses</t>
        </is>
      </c>
      <c r="C578" t="inlineStr">
        <is>
          <t>546</t>
        </is>
      </c>
      <c r="D578" t="inlineStr">
        <is>
          <t>12</t>
        </is>
      </c>
      <c r="E578" t="inlineStr">
        <is>
          <t>32</t>
        </is>
      </c>
      <c r="F578" t="inlineStr">
        <is>
          <t>DMASVEN</t>
        </is>
      </c>
      <c r="G578" t="inlineStr">
        <is>
          <t>Fair</t>
        </is>
      </c>
      <c r="H578" t="n">
        <v>107</v>
      </c>
      <c r="I578">
        <f>B578&amp;"|"&amp;F578&amp;"|"&amp;G578</f>
        <v/>
      </c>
      <c r="J578" t="inlineStr">
        <is>
          <t>MVS Sec.12 p.32</t>
        </is>
      </c>
    </row>
    <row r="579">
      <c r="B579" t="inlineStr">
        <is>
          <t>Senior Citizen Town Houses</t>
        </is>
      </c>
      <c r="C579" t="inlineStr">
        <is>
          <t>546</t>
        </is>
      </c>
      <c r="D579" t="inlineStr">
        <is>
          <t>12</t>
        </is>
      </c>
      <c r="E579" t="inlineStr">
        <is>
          <t>32</t>
        </is>
      </c>
      <c r="F579" t="inlineStr">
        <is>
          <t>D</t>
        </is>
      </c>
      <c r="G579" t="inlineStr">
        <is>
          <t>Excellent</t>
        </is>
      </c>
      <c r="H579" t="n">
        <v>208</v>
      </c>
      <c r="I579">
        <f>B579&amp;"|"&amp;F579&amp;"|"&amp;G579</f>
        <v/>
      </c>
      <c r="J579" t="inlineStr">
        <is>
          <t>MVS Sec.12 p.32</t>
        </is>
      </c>
    </row>
    <row r="580">
      <c r="B580" t="inlineStr">
        <is>
          <t>Senior Citizen Town Houses</t>
        </is>
      </c>
      <c r="C580" t="inlineStr">
        <is>
          <t>546</t>
        </is>
      </c>
      <c r="D580" t="inlineStr">
        <is>
          <t>12</t>
        </is>
      </c>
      <c r="E580" t="inlineStr">
        <is>
          <t>32</t>
        </is>
      </c>
      <c r="F580" t="inlineStr">
        <is>
          <t>D</t>
        </is>
      </c>
      <c r="G580" t="inlineStr">
        <is>
          <t>Good</t>
        </is>
      </c>
      <c r="H580" t="n">
        <v>158</v>
      </c>
      <c r="I580">
        <f>B580&amp;"|"&amp;F580&amp;"|"&amp;G580</f>
        <v/>
      </c>
      <c r="J580" t="inlineStr">
        <is>
          <t>MVS Sec.12 p.32</t>
        </is>
      </c>
    </row>
    <row r="581">
      <c r="B581" t="inlineStr">
        <is>
          <t>Senior Citizen Town Houses</t>
        </is>
      </c>
      <c r="C581" t="inlineStr">
        <is>
          <t>546</t>
        </is>
      </c>
      <c r="D581" t="inlineStr">
        <is>
          <t>12</t>
        </is>
      </c>
      <c r="E581" t="inlineStr">
        <is>
          <t>32</t>
        </is>
      </c>
      <c r="F581" t="inlineStr">
        <is>
          <t>D</t>
        </is>
      </c>
      <c r="G581" t="inlineStr">
        <is>
          <t>Average</t>
        </is>
      </c>
      <c r="H581" t="n">
        <v>121</v>
      </c>
      <c r="I581">
        <f>B581&amp;"|"&amp;F581&amp;"|"&amp;G581</f>
        <v/>
      </c>
      <c r="J581" t="inlineStr">
        <is>
          <t>MVS Sec.12 p.32</t>
        </is>
      </c>
    </row>
    <row r="582">
      <c r="B582" t="inlineStr">
        <is>
          <t>Senior Citizen Town Houses</t>
        </is>
      </c>
      <c r="C582" t="inlineStr">
        <is>
          <t>546</t>
        </is>
      </c>
      <c r="D582" t="inlineStr">
        <is>
          <t>12</t>
        </is>
      </c>
      <c r="E582" t="inlineStr">
        <is>
          <t>32</t>
        </is>
      </c>
      <c r="F582" t="inlineStr">
        <is>
          <t>D</t>
        </is>
      </c>
      <c r="G582" t="inlineStr">
        <is>
          <t>Fair</t>
        </is>
      </c>
      <c r="H582" t="n">
        <v>103</v>
      </c>
      <c r="I582">
        <f>B582&amp;"|"&amp;F582&amp;"|"&amp;G582</f>
        <v/>
      </c>
      <c r="J582" t="inlineStr">
        <is>
          <t>MVS Sec.12 p.32</t>
        </is>
      </c>
    </row>
    <row r="583">
      <c r="B583" t="inlineStr">
        <is>
          <t>Urban Row (Town) Houses</t>
        </is>
      </c>
      <c r="C583" t="inlineStr">
        <is>
          <t>549</t>
        </is>
      </c>
      <c r="D583" t="inlineStr">
        <is>
          <t>12</t>
        </is>
      </c>
      <c r="E583" t="inlineStr">
        <is>
          <t>33</t>
        </is>
      </c>
      <c r="F583" t="inlineStr">
        <is>
          <t>C</t>
        </is>
      </c>
      <c r="G583" t="inlineStr">
        <is>
          <t>Excellent</t>
        </is>
      </c>
      <c r="H583" t="n">
        <v>237</v>
      </c>
      <c r="I583">
        <f>B583&amp;"|"&amp;F583&amp;"|"&amp;G583</f>
        <v/>
      </c>
      <c r="J583" t="inlineStr">
        <is>
          <t>MVS Sec.12 p.33</t>
        </is>
      </c>
    </row>
    <row r="584">
      <c r="B584" t="inlineStr">
        <is>
          <t>Urban Row (Town) Houses</t>
        </is>
      </c>
      <c r="C584" t="inlineStr">
        <is>
          <t>549</t>
        </is>
      </c>
      <c r="D584" t="inlineStr">
        <is>
          <t>12</t>
        </is>
      </c>
      <c r="E584" t="inlineStr">
        <is>
          <t>33</t>
        </is>
      </c>
      <c r="F584" t="inlineStr">
        <is>
          <t>C</t>
        </is>
      </c>
      <c r="G584" t="inlineStr">
        <is>
          <t>Good</t>
        </is>
      </c>
      <c r="H584" t="n">
        <v>173</v>
      </c>
      <c r="I584">
        <f>B584&amp;"|"&amp;F584&amp;"|"&amp;G584</f>
        <v/>
      </c>
      <c r="J584" t="inlineStr">
        <is>
          <t>MVS Sec.12 p.33</t>
        </is>
      </c>
    </row>
    <row r="585">
      <c r="B585" t="inlineStr">
        <is>
          <t>Urban Row (Town) Houses</t>
        </is>
      </c>
      <c r="C585" t="inlineStr">
        <is>
          <t>549</t>
        </is>
      </c>
      <c r="D585" t="inlineStr">
        <is>
          <t>12</t>
        </is>
      </c>
      <c r="E585" t="inlineStr">
        <is>
          <t>33</t>
        </is>
      </c>
      <c r="F585" t="inlineStr">
        <is>
          <t>C</t>
        </is>
      </c>
      <c r="G585" t="inlineStr">
        <is>
          <t>Average</t>
        </is>
      </c>
      <c r="H585" t="n">
        <v>126</v>
      </c>
      <c r="I585">
        <f>B585&amp;"|"&amp;F585&amp;"|"&amp;G585</f>
        <v/>
      </c>
      <c r="J585" t="inlineStr">
        <is>
          <t>MVS Sec.12 p.33</t>
        </is>
      </c>
    </row>
    <row r="586">
      <c r="B586" t="inlineStr">
        <is>
          <t>Urban Row (Town) Houses</t>
        </is>
      </c>
      <c r="C586" t="inlineStr">
        <is>
          <t>549</t>
        </is>
      </c>
      <c r="D586" t="inlineStr">
        <is>
          <t>12</t>
        </is>
      </c>
      <c r="E586" t="inlineStr">
        <is>
          <t>33</t>
        </is>
      </c>
      <c r="F586" t="inlineStr">
        <is>
          <t>C</t>
        </is>
      </c>
      <c r="G586" t="inlineStr">
        <is>
          <t>Fair</t>
        </is>
      </c>
      <c r="H586" t="n">
        <v>108</v>
      </c>
      <c r="I586">
        <f>B586&amp;"|"&amp;F586&amp;"|"&amp;G586</f>
        <v/>
      </c>
      <c r="J586" t="inlineStr">
        <is>
          <t>MVS Sec.12 p.33</t>
        </is>
      </c>
    </row>
    <row r="587">
      <c r="B587" t="inlineStr">
        <is>
          <t>Urban Row (Town) Houses</t>
        </is>
      </c>
      <c r="C587" t="inlineStr">
        <is>
          <t>549</t>
        </is>
      </c>
      <c r="D587" t="inlineStr">
        <is>
          <t>12</t>
        </is>
      </c>
      <c r="E587" t="inlineStr">
        <is>
          <t>33</t>
        </is>
      </c>
      <c r="F587" t="inlineStr">
        <is>
          <t>CMILL</t>
        </is>
      </c>
      <c r="G587" t="inlineStr">
        <is>
          <t>Excellent</t>
        </is>
      </c>
      <c r="H587" t="n">
        <v>258</v>
      </c>
      <c r="I587">
        <f>B587&amp;"|"&amp;F587&amp;"|"&amp;G587</f>
        <v/>
      </c>
      <c r="J587" t="inlineStr">
        <is>
          <t>MVS Sec.12 p.33</t>
        </is>
      </c>
    </row>
    <row r="588">
      <c r="B588" t="inlineStr">
        <is>
          <t>Urban Row (Town) Houses</t>
        </is>
      </c>
      <c r="C588" t="inlineStr">
        <is>
          <t>549</t>
        </is>
      </c>
      <c r="D588" t="inlineStr">
        <is>
          <t>12</t>
        </is>
      </c>
      <c r="E588" t="inlineStr">
        <is>
          <t>33</t>
        </is>
      </c>
      <c r="F588" t="inlineStr">
        <is>
          <t>CMILL</t>
        </is>
      </c>
      <c r="G588" t="inlineStr">
        <is>
          <t>Good</t>
        </is>
      </c>
      <c r="H588" t="n">
        <v>203</v>
      </c>
      <c r="I588">
        <f>B588&amp;"|"&amp;F588&amp;"|"&amp;G588</f>
        <v/>
      </c>
      <c r="J588" t="inlineStr">
        <is>
          <t>MVS Sec.12 p.33</t>
        </is>
      </c>
    </row>
    <row r="589">
      <c r="B589" t="inlineStr">
        <is>
          <t>Urban Row (Town) Houses</t>
        </is>
      </c>
      <c r="C589" t="inlineStr">
        <is>
          <t>549</t>
        </is>
      </c>
      <c r="D589" t="inlineStr">
        <is>
          <t>12</t>
        </is>
      </c>
      <c r="E589" t="inlineStr">
        <is>
          <t>33</t>
        </is>
      </c>
      <c r="F589" t="inlineStr">
        <is>
          <t>CMILL</t>
        </is>
      </c>
      <c r="G589" t="inlineStr">
        <is>
          <t>Average</t>
        </is>
      </c>
      <c r="H589" t="n">
        <v>160</v>
      </c>
      <c r="I589">
        <f>B589&amp;"|"&amp;F589&amp;"|"&amp;G589</f>
        <v/>
      </c>
      <c r="J589" t="inlineStr">
        <is>
          <t>MVS Sec.12 p.33</t>
        </is>
      </c>
    </row>
    <row r="590">
      <c r="B590" t="inlineStr">
        <is>
          <t>Urban Row (Town) Houses</t>
        </is>
      </c>
      <c r="C590" t="inlineStr">
        <is>
          <t>549</t>
        </is>
      </c>
      <c r="D590" t="inlineStr">
        <is>
          <t>12</t>
        </is>
      </c>
      <c r="E590" t="inlineStr">
        <is>
          <t>33</t>
        </is>
      </c>
      <c r="F590" t="inlineStr">
        <is>
          <t>DMASVEN</t>
        </is>
      </c>
      <c r="G590" t="inlineStr">
        <is>
          <t>Excellent</t>
        </is>
      </c>
      <c r="H590" t="n">
        <v>236</v>
      </c>
      <c r="I590">
        <f>B590&amp;"|"&amp;F590&amp;"|"&amp;G590</f>
        <v/>
      </c>
      <c r="J590" t="inlineStr">
        <is>
          <t>MVS Sec.12 p.33</t>
        </is>
      </c>
    </row>
    <row r="591">
      <c r="B591" t="inlineStr">
        <is>
          <t>Urban Row (Town) Houses</t>
        </is>
      </c>
      <c r="C591" t="inlineStr">
        <is>
          <t>549</t>
        </is>
      </c>
      <c r="D591" t="inlineStr">
        <is>
          <t>12</t>
        </is>
      </c>
      <c r="E591" t="inlineStr">
        <is>
          <t>33</t>
        </is>
      </c>
      <c r="F591" t="inlineStr">
        <is>
          <t>DMASVEN</t>
        </is>
      </c>
      <c r="G591" t="inlineStr">
        <is>
          <t>Good</t>
        </is>
      </c>
      <c r="H591" t="n">
        <v>172</v>
      </c>
      <c r="I591">
        <f>B591&amp;"|"&amp;F591&amp;"|"&amp;G591</f>
        <v/>
      </c>
      <c r="J591" t="inlineStr">
        <is>
          <t>MVS Sec.12 p.33</t>
        </is>
      </c>
    </row>
    <row r="592">
      <c r="B592" t="inlineStr">
        <is>
          <t>Urban Row (Town) Houses</t>
        </is>
      </c>
      <c r="C592" t="inlineStr">
        <is>
          <t>549</t>
        </is>
      </c>
      <c r="D592" t="inlineStr">
        <is>
          <t>12</t>
        </is>
      </c>
      <c r="E592" t="inlineStr">
        <is>
          <t>33</t>
        </is>
      </c>
      <c r="F592" t="inlineStr">
        <is>
          <t>DMASVEN</t>
        </is>
      </c>
      <c r="G592" t="inlineStr">
        <is>
          <t>Average</t>
        </is>
      </c>
      <c r="H592" t="n">
        <v>125</v>
      </c>
      <c r="I592">
        <f>B592&amp;"|"&amp;F592&amp;"|"&amp;G592</f>
        <v/>
      </c>
      <c r="J592" t="inlineStr">
        <is>
          <t>MVS Sec.12 p.33</t>
        </is>
      </c>
    </row>
    <row r="593">
      <c r="B593" t="inlineStr">
        <is>
          <t>Urban Row (Town) Houses</t>
        </is>
      </c>
      <c r="C593" t="inlineStr">
        <is>
          <t>549</t>
        </is>
      </c>
      <c r="D593" t="inlineStr">
        <is>
          <t>12</t>
        </is>
      </c>
      <c r="E593" t="inlineStr">
        <is>
          <t>33</t>
        </is>
      </c>
      <c r="F593" t="inlineStr">
        <is>
          <t>DMASVEN</t>
        </is>
      </c>
      <c r="G593" t="inlineStr">
        <is>
          <t>Fair</t>
        </is>
      </c>
      <c r="H593" t="n">
        <v>107</v>
      </c>
      <c r="I593">
        <f>B593&amp;"|"&amp;F593&amp;"|"&amp;G593</f>
        <v/>
      </c>
      <c r="J593" t="inlineStr">
        <is>
          <t>MVS Sec.12 p.33</t>
        </is>
      </c>
    </row>
    <row r="594">
      <c r="B594" t="inlineStr">
        <is>
          <t>Urban Row (Town) Houses</t>
        </is>
      </c>
      <c r="C594" t="inlineStr">
        <is>
          <t>549</t>
        </is>
      </c>
      <c r="D594" t="inlineStr">
        <is>
          <t>12</t>
        </is>
      </c>
      <c r="E594" t="inlineStr">
        <is>
          <t>33</t>
        </is>
      </c>
      <c r="F594" t="inlineStr">
        <is>
          <t>D</t>
        </is>
      </c>
      <c r="G594" t="inlineStr">
        <is>
          <t>Excellent</t>
        </is>
      </c>
      <c r="H594" t="n">
        <v>226</v>
      </c>
      <c r="I594">
        <f>B594&amp;"|"&amp;F594&amp;"|"&amp;G594</f>
        <v/>
      </c>
      <c r="J594" t="inlineStr">
        <is>
          <t>MVS Sec.12 p.33</t>
        </is>
      </c>
    </row>
    <row r="595">
      <c r="B595" t="inlineStr">
        <is>
          <t>Urban Row (Town) Houses</t>
        </is>
      </c>
      <c r="C595" t="inlineStr">
        <is>
          <t>549</t>
        </is>
      </c>
      <c r="D595" t="inlineStr">
        <is>
          <t>12</t>
        </is>
      </c>
      <c r="E595" t="inlineStr">
        <is>
          <t>33</t>
        </is>
      </c>
      <c r="F595" t="inlineStr">
        <is>
          <t>D</t>
        </is>
      </c>
      <c r="G595" t="inlineStr">
        <is>
          <t>Good</t>
        </is>
      </c>
      <c r="H595" t="n">
        <v>165</v>
      </c>
      <c r="I595">
        <f>B595&amp;"|"&amp;F595&amp;"|"&amp;G595</f>
        <v/>
      </c>
      <c r="J595" t="inlineStr">
        <is>
          <t>MVS Sec.12 p.33</t>
        </is>
      </c>
    </row>
    <row r="596">
      <c r="B596" t="inlineStr">
        <is>
          <t>Urban Row (Town) Houses</t>
        </is>
      </c>
      <c r="C596" t="inlineStr">
        <is>
          <t>549</t>
        </is>
      </c>
      <c r="D596" t="inlineStr">
        <is>
          <t>12</t>
        </is>
      </c>
      <c r="E596" t="inlineStr">
        <is>
          <t>33</t>
        </is>
      </c>
      <c r="F596" t="inlineStr">
        <is>
          <t>D</t>
        </is>
      </c>
      <c r="G596" t="inlineStr">
        <is>
          <t>Average</t>
        </is>
      </c>
      <c r="H596" t="n">
        <v>120</v>
      </c>
      <c r="I596">
        <f>B596&amp;"|"&amp;F596&amp;"|"&amp;G596</f>
        <v/>
      </c>
      <c r="J596" t="inlineStr">
        <is>
          <t>MVS Sec.12 p.33</t>
        </is>
      </c>
    </row>
    <row r="597">
      <c r="B597" t="inlineStr">
        <is>
          <t>Urban Row (Town) Houses</t>
        </is>
      </c>
      <c r="C597" t="inlineStr">
        <is>
          <t>549</t>
        </is>
      </c>
      <c r="D597" t="inlineStr">
        <is>
          <t>12</t>
        </is>
      </c>
      <c r="E597" t="inlineStr">
        <is>
          <t>33</t>
        </is>
      </c>
      <c r="F597" t="inlineStr">
        <is>
          <t>D</t>
        </is>
      </c>
      <c r="G597" t="inlineStr">
        <is>
          <t>Fair</t>
        </is>
      </c>
      <c r="H597" t="n">
        <v>103</v>
      </c>
      <c r="I597">
        <f>B597&amp;"|"&amp;F597&amp;"|"&amp;G597</f>
        <v/>
      </c>
      <c r="J597" t="inlineStr">
        <is>
          <t>MVS Sec.12 p.33</t>
        </is>
      </c>
    </row>
    <row r="598">
      <c r="B598" t="inlineStr">
        <is>
          <t>Shell Town House Buildings</t>
        </is>
      </c>
      <c r="C598" t="inlineStr">
        <is>
          <t>774</t>
        </is>
      </c>
      <c r="D598" t="inlineStr">
        <is>
          <t>12</t>
        </is>
      </c>
      <c r="E598" t="inlineStr">
        <is>
          <t>34</t>
        </is>
      </c>
      <c r="F598" t="inlineStr">
        <is>
          <t>C</t>
        </is>
      </c>
      <c r="G598" t="inlineStr">
        <is>
          <t>Excellent</t>
        </is>
      </c>
      <c r="H598" t="n">
        <v>101</v>
      </c>
      <c r="I598">
        <f>B598&amp;"|"&amp;F598&amp;"|"&amp;G598</f>
        <v/>
      </c>
      <c r="J598" t="inlineStr">
        <is>
          <t>MVS Sec.12 p.34</t>
        </is>
      </c>
    </row>
    <row r="599">
      <c r="B599" t="inlineStr">
        <is>
          <t>Shell Town House Buildings</t>
        </is>
      </c>
      <c r="C599" t="inlineStr">
        <is>
          <t>774</t>
        </is>
      </c>
      <c r="D599" t="inlineStr">
        <is>
          <t>12</t>
        </is>
      </c>
      <c r="E599" t="inlineStr">
        <is>
          <t>34</t>
        </is>
      </c>
      <c r="F599" t="inlineStr">
        <is>
          <t>C</t>
        </is>
      </c>
      <c r="G599" t="inlineStr">
        <is>
          <t>Good</t>
        </is>
      </c>
      <c r="H599" t="n">
        <v>76.5</v>
      </c>
      <c r="I599">
        <f>B599&amp;"|"&amp;F599&amp;"|"&amp;G599</f>
        <v/>
      </c>
      <c r="J599" t="inlineStr">
        <is>
          <t>MVS Sec.12 p.34</t>
        </is>
      </c>
    </row>
    <row r="600">
      <c r="B600" t="inlineStr">
        <is>
          <t>Shell Town House Buildings</t>
        </is>
      </c>
      <c r="C600" t="inlineStr">
        <is>
          <t>774</t>
        </is>
      </c>
      <c r="D600" t="inlineStr">
        <is>
          <t>12</t>
        </is>
      </c>
      <c r="E600" t="inlineStr">
        <is>
          <t>34</t>
        </is>
      </c>
      <c r="F600" t="inlineStr">
        <is>
          <t>C</t>
        </is>
      </c>
      <c r="G600" t="inlineStr">
        <is>
          <t>Average</t>
        </is>
      </c>
      <c r="H600" t="n">
        <v>58</v>
      </c>
      <c r="I600">
        <f>B600&amp;"|"&amp;F600&amp;"|"&amp;G600</f>
        <v/>
      </c>
      <c r="J600" t="inlineStr">
        <is>
          <t>MVS Sec.12 p.34</t>
        </is>
      </c>
    </row>
    <row r="601">
      <c r="B601" t="inlineStr">
        <is>
          <t>Shell Town House Buildings</t>
        </is>
      </c>
      <c r="C601" t="inlineStr">
        <is>
          <t>774</t>
        </is>
      </c>
      <c r="D601" t="inlineStr">
        <is>
          <t>12</t>
        </is>
      </c>
      <c r="E601" t="inlineStr">
        <is>
          <t>34</t>
        </is>
      </c>
      <c r="F601" t="inlineStr">
        <is>
          <t>C</t>
        </is>
      </c>
      <c r="G601" t="inlineStr">
        <is>
          <t>Fair</t>
        </is>
      </c>
      <c r="H601" t="n">
        <v>51</v>
      </c>
      <c r="I601">
        <f>B601&amp;"|"&amp;F601&amp;"|"&amp;G601</f>
        <v/>
      </c>
      <c r="J601" t="inlineStr">
        <is>
          <t>MVS Sec.12 p.34</t>
        </is>
      </c>
    </row>
    <row r="602">
      <c r="B602" t="inlineStr">
        <is>
          <t>Shell Town House Buildings</t>
        </is>
      </c>
      <c r="C602" t="inlineStr">
        <is>
          <t>774</t>
        </is>
      </c>
      <c r="D602" t="inlineStr">
        <is>
          <t>12</t>
        </is>
      </c>
      <c r="E602" t="inlineStr">
        <is>
          <t>34</t>
        </is>
      </c>
      <c r="F602" t="inlineStr">
        <is>
          <t>DMASVEN</t>
        </is>
      </c>
      <c r="G602" t="inlineStr">
        <is>
          <t>Excellent</t>
        </is>
      </c>
      <c r="H602" t="n">
        <v>98.5</v>
      </c>
      <c r="I602">
        <f>B602&amp;"|"&amp;F602&amp;"|"&amp;G602</f>
        <v/>
      </c>
      <c r="J602" t="inlineStr">
        <is>
          <t>MVS Sec.12 p.34</t>
        </is>
      </c>
    </row>
    <row r="603">
      <c r="B603" t="inlineStr">
        <is>
          <t>Shell Town House Buildings</t>
        </is>
      </c>
      <c r="C603" t="inlineStr">
        <is>
          <t>774</t>
        </is>
      </c>
      <c r="D603" t="inlineStr">
        <is>
          <t>12</t>
        </is>
      </c>
      <c r="E603" t="inlineStr">
        <is>
          <t>34</t>
        </is>
      </c>
      <c r="F603" t="inlineStr">
        <is>
          <t>DMASVEN</t>
        </is>
      </c>
      <c r="G603" t="inlineStr">
        <is>
          <t>Good</t>
        </is>
      </c>
      <c r="H603" t="n">
        <v>74.5</v>
      </c>
      <c r="I603">
        <f>B603&amp;"|"&amp;F603&amp;"|"&amp;G603</f>
        <v/>
      </c>
      <c r="J603" t="inlineStr">
        <is>
          <t>MVS Sec.12 p.34</t>
        </is>
      </c>
    </row>
    <row r="604">
      <c r="B604" t="inlineStr">
        <is>
          <t>Shell Town House Buildings</t>
        </is>
      </c>
      <c r="C604" t="inlineStr">
        <is>
          <t>774</t>
        </is>
      </c>
      <c r="D604" t="inlineStr">
        <is>
          <t>12</t>
        </is>
      </c>
      <c r="E604" t="inlineStr">
        <is>
          <t>34</t>
        </is>
      </c>
      <c r="F604" t="inlineStr">
        <is>
          <t>DMASVEN</t>
        </is>
      </c>
      <c r="G604" t="inlineStr">
        <is>
          <t>Average</t>
        </is>
      </c>
      <c r="H604" t="n">
        <v>57</v>
      </c>
      <c r="I604">
        <f>B604&amp;"|"&amp;F604&amp;"|"&amp;G604</f>
        <v/>
      </c>
      <c r="J604" t="inlineStr">
        <is>
          <t>MVS Sec.12 p.34</t>
        </is>
      </c>
    </row>
    <row r="605">
      <c r="B605" t="inlineStr">
        <is>
          <t>Shell Town House Buildings</t>
        </is>
      </c>
      <c r="C605" t="inlineStr">
        <is>
          <t>774</t>
        </is>
      </c>
      <c r="D605" t="inlineStr">
        <is>
          <t>12</t>
        </is>
      </c>
      <c r="E605" t="inlineStr">
        <is>
          <t>34</t>
        </is>
      </c>
      <c r="F605" t="inlineStr">
        <is>
          <t>DMASVEN</t>
        </is>
      </c>
      <c r="G605" t="inlineStr">
        <is>
          <t>Fair</t>
        </is>
      </c>
      <c r="H605" t="n">
        <v>49.75</v>
      </c>
      <c r="I605">
        <f>B605&amp;"|"&amp;F605&amp;"|"&amp;G605</f>
        <v/>
      </c>
      <c r="J605" t="inlineStr">
        <is>
          <t>MVS Sec.12 p.34</t>
        </is>
      </c>
    </row>
    <row r="606">
      <c r="B606" t="inlineStr">
        <is>
          <t>Shell Town House Buildings</t>
        </is>
      </c>
      <c r="C606" t="inlineStr">
        <is>
          <t>774</t>
        </is>
      </c>
      <c r="D606" t="inlineStr">
        <is>
          <t>12</t>
        </is>
      </c>
      <c r="E606" t="inlineStr">
        <is>
          <t>34</t>
        </is>
      </c>
      <c r="F606" t="inlineStr">
        <is>
          <t>D</t>
        </is>
      </c>
      <c r="G606" t="inlineStr">
        <is>
          <t>Excellent</t>
        </is>
      </c>
      <c r="H606" t="n">
        <v>89.5</v>
      </c>
      <c r="I606">
        <f>B606&amp;"|"&amp;F606&amp;"|"&amp;G606</f>
        <v/>
      </c>
      <c r="J606" t="inlineStr">
        <is>
          <t>MVS Sec.12 p.34</t>
        </is>
      </c>
    </row>
    <row r="607">
      <c r="B607" t="inlineStr">
        <is>
          <t>Shell Town House Buildings</t>
        </is>
      </c>
      <c r="C607" t="inlineStr">
        <is>
          <t>774</t>
        </is>
      </c>
      <c r="D607" t="inlineStr">
        <is>
          <t>12</t>
        </is>
      </c>
      <c r="E607" t="inlineStr">
        <is>
          <t>34</t>
        </is>
      </c>
      <c r="F607" t="inlineStr">
        <is>
          <t>D</t>
        </is>
      </c>
      <c r="G607" t="inlineStr">
        <is>
          <t>Good</t>
        </is>
      </c>
      <c r="H607" t="n">
        <v>68</v>
      </c>
      <c r="I607">
        <f>B607&amp;"|"&amp;F607&amp;"|"&amp;G607</f>
        <v/>
      </c>
      <c r="J607" t="inlineStr">
        <is>
          <t>MVS Sec.12 p.34</t>
        </is>
      </c>
    </row>
    <row r="608">
      <c r="B608" t="inlineStr">
        <is>
          <t>Shell Town House Buildings</t>
        </is>
      </c>
      <c r="C608" t="inlineStr">
        <is>
          <t>774</t>
        </is>
      </c>
      <c r="D608" t="inlineStr">
        <is>
          <t>12</t>
        </is>
      </c>
      <c r="E608" t="inlineStr">
        <is>
          <t>34</t>
        </is>
      </c>
      <c r="F608" t="inlineStr">
        <is>
          <t>D</t>
        </is>
      </c>
      <c r="G608" t="inlineStr">
        <is>
          <t>Average</t>
        </is>
      </c>
      <c r="H608" t="n">
        <v>52</v>
      </c>
      <c r="I608">
        <f>B608&amp;"|"&amp;F608&amp;"|"&amp;G608</f>
        <v/>
      </c>
      <c r="J608" t="inlineStr">
        <is>
          <t>MVS Sec.12 p.34</t>
        </is>
      </c>
    </row>
    <row r="609">
      <c r="B609" t="inlineStr">
        <is>
          <t>Shell Town House Buildings</t>
        </is>
      </c>
      <c r="C609" t="inlineStr">
        <is>
          <t>774</t>
        </is>
      </c>
      <c r="D609" t="inlineStr">
        <is>
          <t>12</t>
        </is>
      </c>
      <c r="E609" t="inlineStr">
        <is>
          <t>34</t>
        </is>
      </c>
      <c r="F609" t="inlineStr">
        <is>
          <t>D</t>
        </is>
      </c>
      <c r="G609" t="inlineStr">
        <is>
          <t>Fair</t>
        </is>
      </c>
      <c r="H609" t="n">
        <v>45.75</v>
      </c>
      <c r="I609">
        <f>B609&amp;"|"&amp;F609&amp;"|"&amp;G609</f>
        <v/>
      </c>
      <c r="J609" t="inlineStr">
        <is>
          <t>MVS Sec.12 p.34</t>
        </is>
      </c>
    </row>
    <row r="610">
      <c r="B610" t="inlineStr">
        <is>
          <t>Bars/Taverns</t>
        </is>
      </c>
      <c r="C610" t="inlineStr">
        <is>
          <t>442</t>
        </is>
      </c>
      <c r="D610" t="inlineStr">
        <is>
          <t>13</t>
        </is>
      </c>
      <c r="E610" t="inlineStr">
        <is>
          <t>13</t>
        </is>
      </c>
      <c r="F610" t="inlineStr">
        <is>
          <t>A-B</t>
        </is>
      </c>
      <c r="G610" t="inlineStr">
        <is>
          <t>Average</t>
        </is>
      </c>
      <c r="H610" t="n">
        <v>181</v>
      </c>
      <c r="I610">
        <f>B610&amp;"|"&amp;F610&amp;"|"&amp;G610</f>
        <v/>
      </c>
      <c r="J610" t="inlineStr">
        <is>
          <t>MVS Sec.13 p.13</t>
        </is>
      </c>
    </row>
    <row r="611">
      <c r="B611" t="inlineStr">
        <is>
          <t>Bars/Taverns</t>
        </is>
      </c>
      <c r="C611" t="inlineStr">
        <is>
          <t>442</t>
        </is>
      </c>
      <c r="D611" t="inlineStr">
        <is>
          <t>13</t>
        </is>
      </c>
      <c r="E611" t="inlineStr">
        <is>
          <t>13</t>
        </is>
      </c>
      <c r="F611" t="inlineStr">
        <is>
          <t>C</t>
        </is>
      </c>
      <c r="G611" t="inlineStr">
        <is>
          <t>Good</t>
        </is>
      </c>
      <c r="H611" t="n">
        <v>187</v>
      </c>
      <c r="I611">
        <f>B611&amp;"|"&amp;F611&amp;"|"&amp;G611</f>
        <v/>
      </c>
      <c r="J611" t="inlineStr">
        <is>
          <t>MVS Sec.13 p.13</t>
        </is>
      </c>
    </row>
    <row r="612">
      <c r="B612" t="inlineStr">
        <is>
          <t>Bars/Taverns</t>
        </is>
      </c>
      <c r="C612" t="inlineStr">
        <is>
          <t>442</t>
        </is>
      </c>
      <c r="D612" t="inlineStr">
        <is>
          <t>13</t>
        </is>
      </c>
      <c r="E612" t="inlineStr">
        <is>
          <t>13</t>
        </is>
      </c>
      <c r="F612" t="inlineStr">
        <is>
          <t>C</t>
        </is>
      </c>
      <c r="G612" t="inlineStr">
        <is>
          <t>Average</t>
        </is>
      </c>
      <c r="H612" t="n">
        <v>143</v>
      </c>
      <c r="I612">
        <f>B612&amp;"|"&amp;F612&amp;"|"&amp;G612</f>
        <v/>
      </c>
      <c r="J612" t="inlineStr">
        <is>
          <t>MVS Sec.13 p.13</t>
        </is>
      </c>
    </row>
    <row r="613">
      <c r="B613" t="inlineStr">
        <is>
          <t>Bars/Taverns</t>
        </is>
      </c>
      <c r="C613" t="inlineStr">
        <is>
          <t>442</t>
        </is>
      </c>
      <c r="D613" t="inlineStr">
        <is>
          <t>13</t>
        </is>
      </c>
      <c r="E613" t="inlineStr">
        <is>
          <t>13</t>
        </is>
      </c>
      <c r="F613" t="inlineStr">
        <is>
          <t>C</t>
        </is>
      </c>
      <c r="G613" t="inlineStr">
        <is>
          <t>Low Cost</t>
        </is>
      </c>
      <c r="H613" t="n">
        <v>110</v>
      </c>
      <c r="I613">
        <f>B613&amp;"|"&amp;F613&amp;"|"&amp;G613</f>
        <v/>
      </c>
      <c r="J613" t="inlineStr">
        <is>
          <t>MVS Sec.13 p.13</t>
        </is>
      </c>
    </row>
    <row r="614">
      <c r="B614" t="inlineStr">
        <is>
          <t>Bars/Taverns</t>
        </is>
      </c>
      <c r="C614" t="inlineStr">
        <is>
          <t>442</t>
        </is>
      </c>
      <c r="D614" t="inlineStr">
        <is>
          <t>13</t>
        </is>
      </c>
      <c r="E614" t="inlineStr">
        <is>
          <t>13</t>
        </is>
      </c>
      <c r="F614" t="inlineStr">
        <is>
          <t>D</t>
        </is>
      </c>
      <c r="G614" t="inlineStr">
        <is>
          <t>Good</t>
        </is>
      </c>
      <c r="H614" t="n">
        <v>175</v>
      </c>
      <c r="I614">
        <f>B614&amp;"|"&amp;F614&amp;"|"&amp;G614</f>
        <v/>
      </c>
      <c r="J614" t="inlineStr">
        <is>
          <t>MVS Sec.13 p.13</t>
        </is>
      </c>
    </row>
    <row r="615">
      <c r="B615" t="inlineStr">
        <is>
          <t>Bars/Taverns</t>
        </is>
      </c>
      <c r="C615" t="inlineStr">
        <is>
          <t>442</t>
        </is>
      </c>
      <c r="D615" t="inlineStr">
        <is>
          <t>13</t>
        </is>
      </c>
      <c r="E615" t="inlineStr">
        <is>
          <t>13</t>
        </is>
      </c>
      <c r="F615" t="inlineStr">
        <is>
          <t>D</t>
        </is>
      </c>
      <c r="G615" t="inlineStr">
        <is>
          <t>Average</t>
        </is>
      </c>
      <c r="H615" t="n">
        <v>134</v>
      </c>
      <c r="I615">
        <f>B615&amp;"|"&amp;F615&amp;"|"&amp;G615</f>
        <v/>
      </c>
      <c r="J615" t="inlineStr">
        <is>
          <t>MVS Sec.13 p.13</t>
        </is>
      </c>
    </row>
    <row r="616">
      <c r="B616" t="inlineStr">
        <is>
          <t>Bars/Taverns</t>
        </is>
      </c>
      <c r="C616" t="inlineStr">
        <is>
          <t>442</t>
        </is>
      </c>
      <c r="D616" t="inlineStr">
        <is>
          <t>13</t>
        </is>
      </c>
      <c r="E616" t="inlineStr">
        <is>
          <t>13</t>
        </is>
      </c>
      <c r="F616" t="inlineStr">
        <is>
          <t>D</t>
        </is>
      </c>
      <c r="G616" t="inlineStr">
        <is>
          <t>Low Cost</t>
        </is>
      </c>
      <c r="H616" t="n">
        <v>103</v>
      </c>
      <c r="I616">
        <f>B616&amp;"|"&amp;F616&amp;"|"&amp;G616</f>
        <v/>
      </c>
      <c r="J616" t="inlineStr">
        <is>
          <t>MVS Sec.13 p.13</t>
        </is>
      </c>
    </row>
    <row r="617">
      <c r="B617" t="inlineStr">
        <is>
          <t>Bars/Taverns</t>
        </is>
      </c>
      <c r="C617" t="inlineStr">
        <is>
          <t>442</t>
        </is>
      </c>
      <c r="D617" t="inlineStr">
        <is>
          <t>13</t>
        </is>
      </c>
      <c r="E617" t="inlineStr">
        <is>
          <t>13</t>
        </is>
      </c>
      <c r="F617" t="inlineStr">
        <is>
          <t>DPOLE</t>
        </is>
      </c>
      <c r="G617" t="inlineStr">
        <is>
          <t>Low Cost</t>
        </is>
      </c>
      <c r="H617" t="n">
        <v>98.5</v>
      </c>
      <c r="I617">
        <f>B617&amp;"|"&amp;F617&amp;"|"&amp;G617</f>
        <v/>
      </c>
      <c r="J617" t="inlineStr">
        <is>
          <t>MVS Sec.13 p.13</t>
        </is>
      </c>
    </row>
    <row r="618">
      <c r="B618" t="inlineStr">
        <is>
          <t>Bars/Taverns</t>
        </is>
      </c>
      <c r="C618" t="inlineStr">
        <is>
          <t>442</t>
        </is>
      </c>
      <c r="D618" t="inlineStr">
        <is>
          <t>13</t>
        </is>
      </c>
      <c r="E618" t="inlineStr">
        <is>
          <t>13</t>
        </is>
      </c>
      <c r="F618" t="inlineStr">
        <is>
          <t>S</t>
        </is>
      </c>
      <c r="G618" t="inlineStr">
        <is>
          <t>Average</t>
        </is>
      </c>
      <c r="H618" t="n">
        <v>134</v>
      </c>
      <c r="I618">
        <f>B618&amp;"|"&amp;F618&amp;"|"&amp;G618</f>
        <v/>
      </c>
      <c r="J618" t="inlineStr">
        <is>
          <t>MVS Sec.13 p.13</t>
        </is>
      </c>
    </row>
    <row r="619">
      <c r="B619" t="inlineStr">
        <is>
          <t>Bars/Taverns</t>
        </is>
      </c>
      <c r="C619" t="inlineStr">
        <is>
          <t>442</t>
        </is>
      </c>
      <c r="D619" t="inlineStr">
        <is>
          <t>13</t>
        </is>
      </c>
      <c r="E619" t="inlineStr">
        <is>
          <t>13</t>
        </is>
      </c>
      <c r="F619" t="inlineStr">
        <is>
          <t>S</t>
        </is>
      </c>
      <c r="G619" t="inlineStr">
        <is>
          <t>Low Cost</t>
        </is>
      </c>
      <c r="H619" t="n">
        <v>101</v>
      </c>
      <c r="I619">
        <f>B619&amp;"|"&amp;F619&amp;"|"&amp;G619</f>
        <v/>
      </c>
      <c r="J619" t="inlineStr">
        <is>
          <t>MVS Sec.13 p.13</t>
        </is>
      </c>
    </row>
    <row r="620">
      <c r="B620" t="inlineStr">
        <is>
          <t>Cocktail Lounges</t>
        </is>
      </c>
      <c r="C620" t="inlineStr">
        <is>
          <t>441</t>
        </is>
      </c>
      <c r="D620" t="inlineStr">
        <is>
          <t>13</t>
        </is>
      </c>
      <c r="E620" t="inlineStr">
        <is>
          <t>13</t>
        </is>
      </c>
      <c r="F620" t="inlineStr">
        <is>
          <t>A-B</t>
        </is>
      </c>
      <c r="G620" t="inlineStr">
        <is>
          <t>Good</t>
        </is>
      </c>
      <c r="H620" t="n">
        <v>258</v>
      </c>
      <c r="I620">
        <f>B620&amp;"|"&amp;F620&amp;"|"&amp;G620</f>
        <v/>
      </c>
      <c r="J620" t="inlineStr">
        <is>
          <t>MVS Sec.13 p.13</t>
        </is>
      </c>
    </row>
    <row r="621">
      <c r="B621" t="inlineStr">
        <is>
          <t>Cocktail Lounges</t>
        </is>
      </c>
      <c r="C621" t="inlineStr">
        <is>
          <t>441</t>
        </is>
      </c>
      <c r="D621" t="inlineStr">
        <is>
          <t>13</t>
        </is>
      </c>
      <c r="E621" t="inlineStr">
        <is>
          <t>13</t>
        </is>
      </c>
      <c r="F621" t="inlineStr">
        <is>
          <t>A-B</t>
        </is>
      </c>
      <c r="G621" t="inlineStr">
        <is>
          <t>Average</t>
        </is>
      </c>
      <c r="H621" t="n">
        <v>202</v>
      </c>
      <c r="I621">
        <f>B621&amp;"|"&amp;F621&amp;"|"&amp;G621</f>
        <v/>
      </c>
      <c r="J621" t="inlineStr">
        <is>
          <t>MVS Sec.13 p.13</t>
        </is>
      </c>
    </row>
    <row r="622">
      <c r="B622" t="inlineStr">
        <is>
          <t>Cocktail Lounges</t>
        </is>
      </c>
      <c r="C622" t="inlineStr">
        <is>
          <t>441</t>
        </is>
      </c>
      <c r="D622" t="inlineStr">
        <is>
          <t>13</t>
        </is>
      </c>
      <c r="E622" t="inlineStr">
        <is>
          <t>13</t>
        </is>
      </c>
      <c r="F622" t="inlineStr">
        <is>
          <t>C</t>
        </is>
      </c>
      <c r="G622" t="inlineStr">
        <is>
          <t>Excellent</t>
        </is>
      </c>
      <c r="H622" t="n">
        <v>283</v>
      </c>
      <c r="I622">
        <f>B622&amp;"|"&amp;F622&amp;"|"&amp;G622</f>
        <v/>
      </c>
      <c r="J622" t="inlineStr">
        <is>
          <t>MVS Sec.13 p.13</t>
        </is>
      </c>
    </row>
    <row r="623">
      <c r="B623" t="inlineStr">
        <is>
          <t>Cocktail Lounges</t>
        </is>
      </c>
      <c r="C623" t="inlineStr">
        <is>
          <t>441</t>
        </is>
      </c>
      <c r="D623" t="inlineStr">
        <is>
          <t>13</t>
        </is>
      </c>
      <c r="E623" t="inlineStr">
        <is>
          <t>13</t>
        </is>
      </c>
      <c r="F623" t="inlineStr">
        <is>
          <t>C</t>
        </is>
      </c>
      <c r="G623" t="inlineStr">
        <is>
          <t>Good</t>
        </is>
      </c>
      <c r="H623" t="n">
        <v>209</v>
      </c>
      <c r="I623">
        <f>B623&amp;"|"&amp;F623&amp;"|"&amp;G623</f>
        <v/>
      </c>
      <c r="J623" t="inlineStr">
        <is>
          <t>MVS Sec.13 p.13</t>
        </is>
      </c>
    </row>
    <row r="624">
      <c r="B624" t="inlineStr">
        <is>
          <t>Cocktail Lounges</t>
        </is>
      </c>
      <c r="C624" t="inlineStr">
        <is>
          <t>441</t>
        </is>
      </c>
      <c r="D624" t="inlineStr">
        <is>
          <t>13</t>
        </is>
      </c>
      <c r="E624" t="inlineStr">
        <is>
          <t>13</t>
        </is>
      </c>
      <c r="F624" t="inlineStr">
        <is>
          <t>C</t>
        </is>
      </c>
      <c r="G624" t="inlineStr">
        <is>
          <t>Average</t>
        </is>
      </c>
      <c r="H624" t="n">
        <v>159</v>
      </c>
      <c r="I624">
        <f>B624&amp;"|"&amp;F624&amp;"|"&amp;G624</f>
        <v/>
      </c>
      <c r="J624" t="inlineStr">
        <is>
          <t>MVS Sec.13 p.13</t>
        </is>
      </c>
    </row>
    <row r="625">
      <c r="B625" t="inlineStr">
        <is>
          <t>Cocktail Lounges</t>
        </is>
      </c>
      <c r="C625" t="inlineStr">
        <is>
          <t>441</t>
        </is>
      </c>
      <c r="D625" t="inlineStr">
        <is>
          <t>13</t>
        </is>
      </c>
      <c r="E625" t="inlineStr">
        <is>
          <t>13</t>
        </is>
      </c>
      <c r="F625" t="inlineStr">
        <is>
          <t>C</t>
        </is>
      </c>
      <c r="G625" t="inlineStr">
        <is>
          <t>Low Cost</t>
        </is>
      </c>
      <c r="H625" t="n">
        <v>121</v>
      </c>
      <c r="I625">
        <f>B625&amp;"|"&amp;F625&amp;"|"&amp;G625</f>
        <v/>
      </c>
      <c r="J625" t="inlineStr">
        <is>
          <t>MVS Sec.13 p.13</t>
        </is>
      </c>
    </row>
    <row r="626">
      <c r="B626" t="inlineStr">
        <is>
          <t>Cocktail Lounges</t>
        </is>
      </c>
      <c r="C626" t="inlineStr">
        <is>
          <t>441</t>
        </is>
      </c>
      <c r="D626" t="inlineStr">
        <is>
          <t>13</t>
        </is>
      </c>
      <c r="E626" t="inlineStr">
        <is>
          <t>13</t>
        </is>
      </c>
      <c r="F626" t="inlineStr">
        <is>
          <t>D</t>
        </is>
      </c>
      <c r="G626" t="inlineStr">
        <is>
          <t>Excellent</t>
        </is>
      </c>
      <c r="H626" t="n">
        <v>270</v>
      </c>
      <c r="I626">
        <f>B626&amp;"|"&amp;F626&amp;"|"&amp;G626</f>
        <v/>
      </c>
      <c r="J626" t="inlineStr">
        <is>
          <t>MVS Sec.13 p.13</t>
        </is>
      </c>
    </row>
    <row r="627">
      <c r="B627" t="inlineStr">
        <is>
          <t>Cocktail Lounges</t>
        </is>
      </c>
      <c r="C627" t="inlineStr">
        <is>
          <t>441</t>
        </is>
      </c>
      <c r="D627" t="inlineStr">
        <is>
          <t>13</t>
        </is>
      </c>
      <c r="E627" t="inlineStr">
        <is>
          <t>13</t>
        </is>
      </c>
      <c r="F627" t="inlineStr">
        <is>
          <t>D</t>
        </is>
      </c>
      <c r="G627" t="inlineStr">
        <is>
          <t>Good</t>
        </is>
      </c>
      <c r="H627" t="n">
        <v>198</v>
      </c>
      <c r="I627">
        <f>B627&amp;"|"&amp;F627&amp;"|"&amp;G627</f>
        <v/>
      </c>
      <c r="J627" t="inlineStr">
        <is>
          <t>MVS Sec.13 p.13</t>
        </is>
      </c>
    </row>
    <row r="628">
      <c r="B628" t="inlineStr">
        <is>
          <t>Cocktail Lounges</t>
        </is>
      </c>
      <c r="C628" t="inlineStr">
        <is>
          <t>441</t>
        </is>
      </c>
      <c r="D628" t="inlineStr">
        <is>
          <t>13</t>
        </is>
      </c>
      <c r="E628" t="inlineStr">
        <is>
          <t>13</t>
        </is>
      </c>
      <c r="F628" t="inlineStr">
        <is>
          <t>D</t>
        </is>
      </c>
      <c r="G628" t="inlineStr">
        <is>
          <t>Average</t>
        </is>
      </c>
      <c r="H628" t="n">
        <v>149</v>
      </c>
      <c r="I628">
        <f>B628&amp;"|"&amp;F628&amp;"|"&amp;G628</f>
        <v/>
      </c>
      <c r="J628" t="inlineStr">
        <is>
          <t>MVS Sec.13 p.13</t>
        </is>
      </c>
    </row>
    <row r="629">
      <c r="B629" t="inlineStr">
        <is>
          <t>Cocktail Lounges</t>
        </is>
      </c>
      <c r="C629" t="inlineStr">
        <is>
          <t>441</t>
        </is>
      </c>
      <c r="D629" t="inlineStr">
        <is>
          <t>13</t>
        </is>
      </c>
      <c r="E629" t="inlineStr">
        <is>
          <t>13</t>
        </is>
      </c>
      <c r="F629" t="inlineStr">
        <is>
          <t>D</t>
        </is>
      </c>
      <c r="G629" t="inlineStr">
        <is>
          <t>Low Cost</t>
        </is>
      </c>
      <c r="H629" t="n">
        <v>113</v>
      </c>
      <c r="I629">
        <f>B629&amp;"|"&amp;F629&amp;"|"&amp;G629</f>
        <v/>
      </c>
      <c r="J629" t="inlineStr">
        <is>
          <t>MVS Sec.13 p.13</t>
        </is>
      </c>
    </row>
    <row r="630">
      <c r="B630" t="inlineStr">
        <is>
          <t>Cocktail Lounges</t>
        </is>
      </c>
      <c r="C630" t="inlineStr">
        <is>
          <t>441</t>
        </is>
      </c>
      <c r="D630" t="inlineStr">
        <is>
          <t>13</t>
        </is>
      </c>
      <c r="E630" t="inlineStr">
        <is>
          <t>13</t>
        </is>
      </c>
      <c r="F630" t="inlineStr">
        <is>
          <t>DPOLE</t>
        </is>
      </c>
      <c r="G630" t="inlineStr">
        <is>
          <t>Low Cost</t>
        </is>
      </c>
      <c r="H630" t="n">
        <v>110</v>
      </c>
      <c r="I630">
        <f>B630&amp;"|"&amp;F630&amp;"|"&amp;G630</f>
        <v/>
      </c>
      <c r="J630" t="inlineStr">
        <is>
          <t>MVS Sec.13 p.13</t>
        </is>
      </c>
    </row>
    <row r="631">
      <c r="B631" t="inlineStr">
        <is>
          <t>Cocktail Lounges</t>
        </is>
      </c>
      <c r="C631" t="inlineStr">
        <is>
          <t>441</t>
        </is>
      </c>
      <c r="D631" t="inlineStr">
        <is>
          <t>13</t>
        </is>
      </c>
      <c r="E631" t="inlineStr">
        <is>
          <t>13</t>
        </is>
      </c>
      <c r="F631" t="inlineStr">
        <is>
          <t>S</t>
        </is>
      </c>
      <c r="G631" t="inlineStr">
        <is>
          <t>Good</t>
        </is>
      </c>
      <c r="H631" t="n">
        <v>201</v>
      </c>
      <c r="I631">
        <f>B631&amp;"|"&amp;F631&amp;"|"&amp;G631</f>
        <v/>
      </c>
      <c r="J631" t="inlineStr">
        <is>
          <t>MVS Sec.13 p.13</t>
        </is>
      </c>
    </row>
    <row r="632">
      <c r="B632" t="inlineStr">
        <is>
          <t>Cocktail Lounges</t>
        </is>
      </c>
      <c r="C632" t="inlineStr">
        <is>
          <t>441</t>
        </is>
      </c>
      <c r="D632" t="inlineStr">
        <is>
          <t>13</t>
        </is>
      </c>
      <c r="E632" t="inlineStr">
        <is>
          <t>13</t>
        </is>
      </c>
      <c r="F632" t="inlineStr">
        <is>
          <t>S</t>
        </is>
      </c>
      <c r="G632" t="inlineStr">
        <is>
          <t>Average</t>
        </is>
      </c>
      <c r="H632" t="n">
        <v>150</v>
      </c>
      <c r="I632">
        <f>B632&amp;"|"&amp;F632&amp;"|"&amp;G632</f>
        <v/>
      </c>
      <c r="J632" t="inlineStr">
        <is>
          <t>MVS Sec.13 p.13</t>
        </is>
      </c>
    </row>
    <row r="633">
      <c r="B633" t="inlineStr">
        <is>
          <t>Cocktail Lounges</t>
        </is>
      </c>
      <c r="C633" t="inlineStr">
        <is>
          <t>441</t>
        </is>
      </c>
      <c r="D633" t="inlineStr">
        <is>
          <t>13</t>
        </is>
      </c>
      <c r="E633" t="inlineStr">
        <is>
          <t>13</t>
        </is>
      </c>
      <c r="F633" t="inlineStr">
        <is>
          <t>S</t>
        </is>
      </c>
      <c r="G633" t="inlineStr">
        <is>
          <t>Low Cost</t>
        </is>
      </c>
      <c r="H633" t="n">
        <v>113</v>
      </c>
      <c r="I633">
        <f>B633&amp;"|"&amp;F633&amp;"|"&amp;G633</f>
        <v/>
      </c>
      <c r="J633" t="inlineStr">
        <is>
          <t>MVS Sec.13 p.13</t>
        </is>
      </c>
    </row>
    <row r="634">
      <c r="B634" t="inlineStr">
        <is>
          <t>Restaurants</t>
        </is>
      </c>
      <c r="C634" t="inlineStr">
        <is>
          <t>350</t>
        </is>
      </c>
      <c r="D634" t="inlineStr">
        <is>
          <t>13</t>
        </is>
      </c>
      <c r="E634" t="inlineStr">
        <is>
          <t>14</t>
        </is>
      </c>
      <c r="F634" t="inlineStr">
        <is>
          <t>A-B</t>
        </is>
      </c>
      <c r="G634" t="inlineStr">
        <is>
          <t>Excellent</t>
        </is>
      </c>
      <c r="H634" t="n">
        <v>412</v>
      </c>
      <c r="I634">
        <f>B634&amp;"|"&amp;F634&amp;"|"&amp;G634</f>
        <v/>
      </c>
      <c r="J634" t="inlineStr">
        <is>
          <t>MVS Sec.13 p.14</t>
        </is>
      </c>
    </row>
    <row r="635">
      <c r="B635" t="inlineStr">
        <is>
          <t>Restaurants</t>
        </is>
      </c>
      <c r="C635" t="inlineStr">
        <is>
          <t>350</t>
        </is>
      </c>
      <c r="D635" t="inlineStr">
        <is>
          <t>13</t>
        </is>
      </c>
      <c r="E635" t="inlineStr">
        <is>
          <t>14</t>
        </is>
      </c>
      <c r="F635" t="inlineStr">
        <is>
          <t>A-B</t>
        </is>
      </c>
      <c r="G635" t="inlineStr">
        <is>
          <t>Good</t>
        </is>
      </c>
      <c r="H635" t="n">
        <v>308</v>
      </c>
      <c r="I635">
        <f>B635&amp;"|"&amp;F635&amp;"|"&amp;G635</f>
        <v/>
      </c>
      <c r="J635" t="inlineStr">
        <is>
          <t>MVS Sec.13 p.14</t>
        </is>
      </c>
    </row>
    <row r="636">
      <c r="B636" t="inlineStr">
        <is>
          <t>Restaurants</t>
        </is>
      </c>
      <c r="C636" t="inlineStr">
        <is>
          <t>350</t>
        </is>
      </c>
      <c r="D636" t="inlineStr">
        <is>
          <t>13</t>
        </is>
      </c>
      <c r="E636" t="inlineStr">
        <is>
          <t>14</t>
        </is>
      </c>
      <c r="F636" t="inlineStr">
        <is>
          <t>A-B</t>
        </is>
      </c>
      <c r="G636" t="inlineStr">
        <is>
          <t>Average</t>
        </is>
      </c>
      <c r="H636" t="n">
        <v>232</v>
      </c>
      <c r="I636">
        <f>B636&amp;"|"&amp;F636&amp;"|"&amp;G636</f>
        <v/>
      </c>
      <c r="J636" t="inlineStr">
        <is>
          <t>MVS Sec.13 p.14</t>
        </is>
      </c>
    </row>
    <row r="637">
      <c r="B637" t="inlineStr">
        <is>
          <t>Restaurants</t>
        </is>
      </c>
      <c r="C637" t="inlineStr">
        <is>
          <t>350</t>
        </is>
      </c>
      <c r="D637" t="inlineStr">
        <is>
          <t>13</t>
        </is>
      </c>
      <c r="E637" t="inlineStr">
        <is>
          <t>14</t>
        </is>
      </c>
      <c r="F637" t="inlineStr">
        <is>
          <t>C</t>
        </is>
      </c>
      <c r="G637" t="inlineStr">
        <is>
          <t>Excellent</t>
        </is>
      </c>
      <c r="H637" t="n">
        <v>379</v>
      </c>
      <c r="I637">
        <f>B637&amp;"|"&amp;F637&amp;"|"&amp;G637</f>
        <v/>
      </c>
      <c r="J637" t="inlineStr">
        <is>
          <t>MVS Sec.13 p.14</t>
        </is>
      </c>
    </row>
    <row r="638">
      <c r="B638" t="inlineStr">
        <is>
          <t>Restaurants</t>
        </is>
      </c>
      <c r="C638" t="inlineStr">
        <is>
          <t>350</t>
        </is>
      </c>
      <c r="D638" t="inlineStr">
        <is>
          <t>13</t>
        </is>
      </c>
      <c r="E638" t="inlineStr">
        <is>
          <t>14</t>
        </is>
      </c>
      <c r="F638" t="inlineStr">
        <is>
          <t>C</t>
        </is>
      </c>
      <c r="G638" t="inlineStr">
        <is>
          <t>Very Good</t>
        </is>
      </c>
      <c r="H638" t="n">
        <v>294</v>
      </c>
      <c r="I638">
        <f>B638&amp;"|"&amp;F638&amp;"|"&amp;G638</f>
        <v/>
      </c>
      <c r="J638" t="inlineStr">
        <is>
          <t>MVS Sec.13 p.14</t>
        </is>
      </c>
    </row>
    <row r="639">
      <c r="B639" t="inlineStr">
        <is>
          <t>Restaurants</t>
        </is>
      </c>
      <c r="C639" t="inlineStr">
        <is>
          <t>350</t>
        </is>
      </c>
      <c r="D639" t="inlineStr">
        <is>
          <t>13</t>
        </is>
      </c>
      <c r="E639" t="inlineStr">
        <is>
          <t>14</t>
        </is>
      </c>
      <c r="F639" t="inlineStr">
        <is>
          <t>C</t>
        </is>
      </c>
      <c r="G639" t="inlineStr">
        <is>
          <t>Good</t>
        </is>
      </c>
      <c r="H639" t="n">
        <v>229</v>
      </c>
      <c r="I639">
        <f>B639&amp;"|"&amp;F639&amp;"|"&amp;G639</f>
        <v/>
      </c>
      <c r="J639" t="inlineStr">
        <is>
          <t>MVS Sec.13 p.14</t>
        </is>
      </c>
    </row>
    <row r="640">
      <c r="B640" t="inlineStr">
        <is>
          <t>Restaurants</t>
        </is>
      </c>
      <c r="C640" t="inlineStr">
        <is>
          <t>350</t>
        </is>
      </c>
      <c r="D640" t="inlineStr">
        <is>
          <t>13</t>
        </is>
      </c>
      <c r="E640" t="inlineStr">
        <is>
          <t>14</t>
        </is>
      </c>
      <c r="F640" t="inlineStr">
        <is>
          <t>C</t>
        </is>
      </c>
      <c r="G640" t="inlineStr">
        <is>
          <t>Average</t>
        </is>
      </c>
      <c r="H640" t="n">
        <v>178</v>
      </c>
      <c r="I640">
        <f>B640&amp;"|"&amp;F640&amp;"|"&amp;G640</f>
        <v/>
      </c>
      <c r="J640" t="inlineStr">
        <is>
          <t>MVS Sec.13 p.14</t>
        </is>
      </c>
    </row>
    <row r="641">
      <c r="B641" t="inlineStr">
        <is>
          <t>Restaurants</t>
        </is>
      </c>
      <c r="C641" t="inlineStr">
        <is>
          <t>350</t>
        </is>
      </c>
      <c r="D641" t="inlineStr">
        <is>
          <t>13</t>
        </is>
      </c>
      <c r="E641" t="inlineStr">
        <is>
          <t>14</t>
        </is>
      </c>
      <c r="F641" t="inlineStr">
        <is>
          <t>C</t>
        </is>
      </c>
      <c r="G641" t="inlineStr">
        <is>
          <t>Low Cost</t>
        </is>
      </c>
      <c r="H641" t="n">
        <v>129</v>
      </c>
      <c r="I641">
        <f>B641&amp;"|"&amp;F641&amp;"|"&amp;G641</f>
        <v/>
      </c>
      <c r="J641" t="inlineStr">
        <is>
          <t>MVS Sec.13 p.14</t>
        </is>
      </c>
    </row>
    <row r="642">
      <c r="B642" t="inlineStr">
        <is>
          <t>Restaurants</t>
        </is>
      </c>
      <c r="C642" t="inlineStr">
        <is>
          <t>350</t>
        </is>
      </c>
      <c r="D642" t="inlineStr">
        <is>
          <t>13</t>
        </is>
      </c>
      <c r="E642" t="inlineStr">
        <is>
          <t>14</t>
        </is>
      </c>
      <c r="F642" t="inlineStr">
        <is>
          <t>D</t>
        </is>
      </c>
      <c r="G642" t="inlineStr">
        <is>
          <t>Excellent</t>
        </is>
      </c>
      <c r="H642" t="n">
        <v>364</v>
      </c>
      <c r="I642">
        <f>B642&amp;"|"&amp;F642&amp;"|"&amp;G642</f>
        <v/>
      </c>
      <c r="J642" t="inlineStr">
        <is>
          <t>MVS Sec.13 p.14</t>
        </is>
      </c>
    </row>
    <row r="643">
      <c r="B643" t="inlineStr">
        <is>
          <t>Restaurants</t>
        </is>
      </c>
      <c r="C643" t="inlineStr">
        <is>
          <t>350</t>
        </is>
      </c>
      <c r="D643" t="inlineStr">
        <is>
          <t>13</t>
        </is>
      </c>
      <c r="E643" t="inlineStr">
        <is>
          <t>14</t>
        </is>
      </c>
      <c r="F643" t="inlineStr">
        <is>
          <t>D</t>
        </is>
      </c>
      <c r="G643" t="inlineStr">
        <is>
          <t>Very Good</t>
        </is>
      </c>
      <c r="H643" t="n">
        <v>278</v>
      </c>
      <c r="I643">
        <f>B643&amp;"|"&amp;F643&amp;"|"&amp;G643</f>
        <v/>
      </c>
      <c r="J643" t="inlineStr">
        <is>
          <t>MVS Sec.13 p.14</t>
        </is>
      </c>
    </row>
    <row r="644">
      <c r="B644" t="inlineStr">
        <is>
          <t>Restaurants</t>
        </is>
      </c>
      <c r="C644" t="inlineStr">
        <is>
          <t>350</t>
        </is>
      </c>
      <c r="D644" t="inlineStr">
        <is>
          <t>13</t>
        </is>
      </c>
      <c r="E644" t="inlineStr">
        <is>
          <t>14</t>
        </is>
      </c>
      <c r="F644" t="inlineStr">
        <is>
          <t>D</t>
        </is>
      </c>
      <c r="G644" t="inlineStr">
        <is>
          <t>Good</t>
        </is>
      </c>
      <c r="H644" t="n">
        <v>214</v>
      </c>
      <c r="I644">
        <f>B644&amp;"|"&amp;F644&amp;"|"&amp;G644</f>
        <v/>
      </c>
      <c r="J644" t="inlineStr">
        <is>
          <t>MVS Sec.13 p.14</t>
        </is>
      </c>
    </row>
    <row r="645">
      <c r="B645" t="inlineStr">
        <is>
          <t>Restaurants</t>
        </is>
      </c>
      <c r="C645" t="inlineStr">
        <is>
          <t>350</t>
        </is>
      </c>
      <c r="D645" t="inlineStr">
        <is>
          <t>13</t>
        </is>
      </c>
      <c r="E645" t="inlineStr">
        <is>
          <t>14</t>
        </is>
      </c>
      <c r="F645" t="inlineStr">
        <is>
          <t>D</t>
        </is>
      </c>
      <c r="G645" t="inlineStr">
        <is>
          <t>Average</t>
        </is>
      </c>
      <c r="H645" t="n">
        <v>165</v>
      </c>
      <c r="I645">
        <f>B645&amp;"|"&amp;F645&amp;"|"&amp;G645</f>
        <v/>
      </c>
      <c r="J645" t="inlineStr">
        <is>
          <t>MVS Sec.13 p.14</t>
        </is>
      </c>
    </row>
    <row r="646">
      <c r="B646" t="inlineStr">
        <is>
          <t>Restaurants</t>
        </is>
      </c>
      <c r="C646" t="inlineStr">
        <is>
          <t>350</t>
        </is>
      </c>
      <c r="D646" t="inlineStr">
        <is>
          <t>13</t>
        </is>
      </c>
      <c r="E646" t="inlineStr">
        <is>
          <t>14</t>
        </is>
      </c>
      <c r="F646" t="inlineStr">
        <is>
          <t>D</t>
        </is>
      </c>
      <c r="G646" t="inlineStr">
        <is>
          <t>Low Cost</t>
        </is>
      </c>
      <c r="H646" t="n">
        <v>117</v>
      </c>
      <c r="I646">
        <f>B646&amp;"|"&amp;F646&amp;"|"&amp;G646</f>
        <v/>
      </c>
      <c r="J646" t="inlineStr">
        <is>
          <t>MVS Sec.13 p.14</t>
        </is>
      </c>
    </row>
    <row r="647">
      <c r="B647" t="inlineStr">
        <is>
          <t>Restaurants</t>
        </is>
      </c>
      <c r="C647" t="inlineStr">
        <is>
          <t>350</t>
        </is>
      </c>
      <c r="D647" t="inlineStr">
        <is>
          <t>13</t>
        </is>
      </c>
      <c r="E647" t="inlineStr">
        <is>
          <t>14</t>
        </is>
      </c>
      <c r="F647" t="inlineStr">
        <is>
          <t>DPOLE</t>
        </is>
      </c>
      <c r="G647" t="inlineStr">
        <is>
          <t>Low Cost</t>
        </is>
      </c>
      <c r="H647" t="n">
        <v>109</v>
      </c>
      <c r="I647">
        <f>B647&amp;"|"&amp;F647&amp;"|"&amp;G647</f>
        <v/>
      </c>
      <c r="J647" t="inlineStr">
        <is>
          <t>MVS Sec.13 p.14</t>
        </is>
      </c>
    </row>
    <row r="648">
      <c r="B648" t="inlineStr">
        <is>
          <t>Restaurants</t>
        </is>
      </c>
      <c r="C648" t="inlineStr">
        <is>
          <t>350</t>
        </is>
      </c>
      <c r="D648" t="inlineStr">
        <is>
          <t>13</t>
        </is>
      </c>
      <c r="E648" t="inlineStr">
        <is>
          <t>14</t>
        </is>
      </c>
      <c r="F648" t="inlineStr">
        <is>
          <t>S</t>
        </is>
      </c>
      <c r="G648" t="inlineStr">
        <is>
          <t>Good</t>
        </is>
      </c>
      <c r="H648" t="n">
        <v>216</v>
      </c>
      <c r="I648">
        <f>B648&amp;"|"&amp;F648&amp;"|"&amp;G648</f>
        <v/>
      </c>
      <c r="J648" t="inlineStr">
        <is>
          <t>MVS Sec.13 p.14</t>
        </is>
      </c>
    </row>
    <row r="649">
      <c r="B649" t="inlineStr">
        <is>
          <t>Restaurants</t>
        </is>
      </c>
      <c r="C649" t="inlineStr">
        <is>
          <t>350</t>
        </is>
      </c>
      <c r="D649" t="inlineStr">
        <is>
          <t>13</t>
        </is>
      </c>
      <c r="E649" t="inlineStr">
        <is>
          <t>14</t>
        </is>
      </c>
      <c r="F649" t="inlineStr">
        <is>
          <t>S</t>
        </is>
      </c>
      <c r="G649" t="inlineStr">
        <is>
          <t>Average</t>
        </is>
      </c>
      <c r="H649" t="n">
        <v>162</v>
      </c>
      <c r="I649">
        <f>B649&amp;"|"&amp;F649&amp;"|"&amp;G649</f>
        <v/>
      </c>
      <c r="J649" t="inlineStr">
        <is>
          <t>MVS Sec.13 p.14</t>
        </is>
      </c>
    </row>
    <row r="650">
      <c r="B650" t="inlineStr">
        <is>
          <t>Restaurants</t>
        </is>
      </c>
      <c r="C650" t="inlineStr">
        <is>
          <t>350</t>
        </is>
      </c>
      <c r="D650" t="inlineStr">
        <is>
          <t>13</t>
        </is>
      </c>
      <c r="E650" t="inlineStr">
        <is>
          <t>14</t>
        </is>
      </c>
      <c r="F650" t="inlineStr">
        <is>
          <t>S</t>
        </is>
      </c>
      <c r="G650" t="inlineStr">
        <is>
          <t>Low Cost</t>
        </is>
      </c>
      <c r="H650" t="n">
        <v>112</v>
      </c>
      <c r="I650">
        <f>B650&amp;"|"&amp;F650&amp;"|"&amp;G650</f>
        <v/>
      </c>
      <c r="J650" t="inlineStr">
        <is>
          <t>MVS Sec.13 p.14</t>
        </is>
      </c>
    </row>
    <row r="651">
      <c r="B651" t="inlineStr">
        <is>
          <t>Restaurants – Cafeterias</t>
        </is>
      </c>
      <c r="C651" t="inlineStr">
        <is>
          <t>530</t>
        </is>
      </c>
      <c r="D651" t="inlineStr">
        <is>
          <t>13</t>
        </is>
      </c>
      <c r="E651" t="inlineStr">
        <is>
          <t>15</t>
        </is>
      </c>
      <c r="F651" t="inlineStr">
        <is>
          <t>A-B</t>
        </is>
      </c>
      <c r="G651" t="inlineStr">
        <is>
          <t>Good</t>
        </is>
      </c>
      <c r="H651" t="n">
        <v>276</v>
      </c>
      <c r="I651">
        <f>B651&amp;"|"&amp;F651&amp;"|"&amp;G651</f>
        <v/>
      </c>
      <c r="J651" t="inlineStr">
        <is>
          <t>MVS Sec.13 p.15</t>
        </is>
      </c>
    </row>
    <row r="652">
      <c r="B652" t="inlineStr">
        <is>
          <t>Restaurants – Cafeterias</t>
        </is>
      </c>
      <c r="C652" t="inlineStr">
        <is>
          <t>530</t>
        </is>
      </c>
      <c r="D652" t="inlineStr">
        <is>
          <t>13</t>
        </is>
      </c>
      <c r="E652" t="inlineStr">
        <is>
          <t>15</t>
        </is>
      </c>
      <c r="F652" t="inlineStr">
        <is>
          <t>A-B</t>
        </is>
      </c>
      <c r="G652" t="inlineStr">
        <is>
          <t>Average</t>
        </is>
      </c>
      <c r="H652" t="n">
        <v>212</v>
      </c>
      <c r="I652">
        <f>B652&amp;"|"&amp;F652&amp;"|"&amp;G652</f>
        <v/>
      </c>
      <c r="J652" t="inlineStr">
        <is>
          <t>MVS Sec.13 p.15</t>
        </is>
      </c>
    </row>
    <row r="653">
      <c r="B653" t="inlineStr">
        <is>
          <t>Restaurants – Cafeterias</t>
        </is>
      </c>
      <c r="C653" t="inlineStr">
        <is>
          <t>530</t>
        </is>
      </c>
      <c r="D653" t="inlineStr">
        <is>
          <t>13</t>
        </is>
      </c>
      <c r="E653" t="inlineStr">
        <is>
          <t>15</t>
        </is>
      </c>
      <c r="F653" t="inlineStr">
        <is>
          <t>C</t>
        </is>
      </c>
      <c r="G653" t="inlineStr">
        <is>
          <t>Excellent</t>
        </is>
      </c>
      <c r="H653" t="n">
        <v>318</v>
      </c>
      <c r="I653">
        <f>B653&amp;"|"&amp;F653&amp;"|"&amp;G653</f>
        <v/>
      </c>
      <c r="J653" t="inlineStr">
        <is>
          <t>MVS Sec.13 p.15</t>
        </is>
      </c>
    </row>
    <row r="654">
      <c r="B654" t="inlineStr">
        <is>
          <t>Restaurants – Cafeterias</t>
        </is>
      </c>
      <c r="C654" t="inlineStr">
        <is>
          <t>530</t>
        </is>
      </c>
      <c r="D654" t="inlineStr">
        <is>
          <t>13</t>
        </is>
      </c>
      <c r="E654" t="inlineStr">
        <is>
          <t>15</t>
        </is>
      </c>
      <c r="F654" t="inlineStr">
        <is>
          <t>C</t>
        </is>
      </c>
      <c r="G654" t="inlineStr">
        <is>
          <t>Good</t>
        </is>
      </c>
      <c r="H654" t="n">
        <v>226</v>
      </c>
      <c r="I654">
        <f>B654&amp;"|"&amp;F654&amp;"|"&amp;G654</f>
        <v/>
      </c>
      <c r="J654" t="inlineStr">
        <is>
          <t>MVS Sec.13 p.15</t>
        </is>
      </c>
    </row>
    <row r="655">
      <c r="B655" t="inlineStr">
        <is>
          <t>Restaurants – Cafeterias</t>
        </is>
      </c>
      <c r="C655" t="inlineStr">
        <is>
          <t>530</t>
        </is>
      </c>
      <c r="D655" t="inlineStr">
        <is>
          <t>13</t>
        </is>
      </c>
      <c r="E655" t="inlineStr">
        <is>
          <t>15</t>
        </is>
      </c>
      <c r="F655" t="inlineStr">
        <is>
          <t>C</t>
        </is>
      </c>
      <c r="G655" t="inlineStr">
        <is>
          <t>Average</t>
        </is>
      </c>
      <c r="H655" t="n">
        <v>165</v>
      </c>
      <c r="I655">
        <f>B655&amp;"|"&amp;F655&amp;"|"&amp;G655</f>
        <v/>
      </c>
      <c r="J655" t="inlineStr">
        <is>
          <t>MVS Sec.13 p.15</t>
        </is>
      </c>
    </row>
    <row r="656">
      <c r="B656" t="inlineStr">
        <is>
          <t>Restaurants – Cafeterias</t>
        </is>
      </c>
      <c r="C656" t="inlineStr">
        <is>
          <t>530</t>
        </is>
      </c>
      <c r="D656" t="inlineStr">
        <is>
          <t>13</t>
        </is>
      </c>
      <c r="E656" t="inlineStr">
        <is>
          <t>15</t>
        </is>
      </c>
      <c r="F656" t="inlineStr">
        <is>
          <t>C</t>
        </is>
      </c>
      <c r="G656" t="inlineStr">
        <is>
          <t>Low Cost</t>
        </is>
      </c>
      <c r="H656" t="n">
        <v>111</v>
      </c>
      <c r="I656">
        <f>B656&amp;"|"&amp;F656&amp;"|"&amp;G656</f>
        <v/>
      </c>
      <c r="J656" t="inlineStr">
        <is>
          <t>MVS Sec.13 p.15</t>
        </is>
      </c>
    </row>
    <row r="657">
      <c r="B657" t="inlineStr">
        <is>
          <t>Restaurants – Cafeterias</t>
        </is>
      </c>
      <c r="C657" t="inlineStr">
        <is>
          <t>530</t>
        </is>
      </c>
      <c r="D657" t="inlineStr">
        <is>
          <t>13</t>
        </is>
      </c>
      <c r="E657" t="inlineStr">
        <is>
          <t>15</t>
        </is>
      </c>
      <c r="F657" t="inlineStr">
        <is>
          <t>D</t>
        </is>
      </c>
      <c r="G657" t="inlineStr">
        <is>
          <t>Excellent</t>
        </is>
      </c>
      <c r="H657" t="n">
        <v>306</v>
      </c>
      <c r="I657">
        <f>B657&amp;"|"&amp;F657&amp;"|"&amp;G657</f>
        <v/>
      </c>
      <c r="J657" t="inlineStr">
        <is>
          <t>MVS Sec.13 p.15</t>
        </is>
      </c>
    </row>
    <row r="658">
      <c r="B658" t="inlineStr">
        <is>
          <t>Restaurants – Cafeterias</t>
        </is>
      </c>
      <c r="C658" t="inlineStr">
        <is>
          <t>530</t>
        </is>
      </c>
      <c r="D658" t="inlineStr">
        <is>
          <t>13</t>
        </is>
      </c>
      <c r="E658" t="inlineStr">
        <is>
          <t>15</t>
        </is>
      </c>
      <c r="F658" t="inlineStr">
        <is>
          <t>D</t>
        </is>
      </c>
      <c r="G658" t="inlineStr">
        <is>
          <t>Good</t>
        </is>
      </c>
      <c r="H658" t="n">
        <v>214</v>
      </c>
      <c r="I658">
        <f>B658&amp;"|"&amp;F658&amp;"|"&amp;G658</f>
        <v/>
      </c>
      <c r="J658" t="inlineStr">
        <is>
          <t>MVS Sec.13 p.15</t>
        </is>
      </c>
    </row>
    <row r="659">
      <c r="B659" t="inlineStr">
        <is>
          <t>Restaurants – Cafeterias</t>
        </is>
      </c>
      <c r="C659" t="inlineStr">
        <is>
          <t>530</t>
        </is>
      </c>
      <c r="D659" t="inlineStr">
        <is>
          <t>13</t>
        </is>
      </c>
      <c r="E659" t="inlineStr">
        <is>
          <t>15</t>
        </is>
      </c>
      <c r="F659" t="inlineStr">
        <is>
          <t>D</t>
        </is>
      </c>
      <c r="G659" t="inlineStr">
        <is>
          <t>Average</t>
        </is>
      </c>
      <c r="H659" t="n">
        <v>154</v>
      </c>
      <c r="I659">
        <f>B659&amp;"|"&amp;F659&amp;"|"&amp;G659</f>
        <v/>
      </c>
      <c r="J659" t="inlineStr">
        <is>
          <t>MVS Sec.13 p.15</t>
        </is>
      </c>
    </row>
    <row r="660">
      <c r="B660" t="inlineStr">
        <is>
          <t>Restaurants – Cafeterias</t>
        </is>
      </c>
      <c r="C660" t="inlineStr">
        <is>
          <t>530</t>
        </is>
      </c>
      <c r="D660" t="inlineStr">
        <is>
          <t>13</t>
        </is>
      </c>
      <c r="E660" t="inlineStr">
        <is>
          <t>15</t>
        </is>
      </c>
      <c r="F660" t="inlineStr">
        <is>
          <t>D</t>
        </is>
      </c>
      <c r="G660" t="inlineStr">
        <is>
          <t>Low Cost</t>
        </is>
      </c>
      <c r="H660" t="n">
        <v>101</v>
      </c>
      <c r="I660">
        <f>B660&amp;"|"&amp;F660&amp;"|"&amp;G660</f>
        <v/>
      </c>
      <c r="J660" t="inlineStr">
        <is>
          <t>MVS Sec.13 p.15</t>
        </is>
      </c>
    </row>
    <row r="661">
      <c r="B661" t="inlineStr">
        <is>
          <t>Restaurants – Cafeterias</t>
        </is>
      </c>
      <c r="C661" t="inlineStr">
        <is>
          <t>530</t>
        </is>
      </c>
      <c r="D661" t="inlineStr">
        <is>
          <t>13</t>
        </is>
      </c>
      <c r="E661" t="inlineStr">
        <is>
          <t>15</t>
        </is>
      </c>
      <c r="F661" t="inlineStr">
        <is>
          <t>DPOLE</t>
        </is>
      </c>
      <c r="G661" t="inlineStr">
        <is>
          <t>Low Cost</t>
        </is>
      </c>
      <c r="H661" t="n">
        <v>98</v>
      </c>
      <c r="I661">
        <f>B661&amp;"|"&amp;F661&amp;"|"&amp;G661</f>
        <v/>
      </c>
      <c r="J661" t="inlineStr">
        <is>
          <t>MVS Sec.13 p.15</t>
        </is>
      </c>
    </row>
    <row r="662">
      <c r="B662" t="inlineStr">
        <is>
          <t>Restaurants – Cafeterias</t>
        </is>
      </c>
      <c r="C662" t="inlineStr">
        <is>
          <t>530</t>
        </is>
      </c>
      <c r="D662" t="inlineStr">
        <is>
          <t>13</t>
        </is>
      </c>
      <c r="E662" t="inlineStr">
        <is>
          <t>15</t>
        </is>
      </c>
      <c r="F662" t="inlineStr">
        <is>
          <t>S</t>
        </is>
      </c>
      <c r="G662" t="inlineStr">
        <is>
          <t>Good</t>
        </is>
      </c>
      <c r="H662" t="n">
        <v>216</v>
      </c>
      <c r="I662">
        <f>B662&amp;"|"&amp;F662&amp;"|"&amp;G662</f>
        <v/>
      </c>
      <c r="J662" t="inlineStr">
        <is>
          <t>MVS Sec.13 p.15</t>
        </is>
      </c>
    </row>
    <row r="663">
      <c r="B663" t="inlineStr">
        <is>
          <t>Restaurants – Cafeterias</t>
        </is>
      </c>
      <c r="C663" t="inlineStr">
        <is>
          <t>530</t>
        </is>
      </c>
      <c r="D663" t="inlineStr">
        <is>
          <t>13</t>
        </is>
      </c>
      <c r="E663" t="inlineStr">
        <is>
          <t>15</t>
        </is>
      </c>
      <c r="F663" t="inlineStr">
        <is>
          <t>S</t>
        </is>
      </c>
      <c r="G663" t="inlineStr">
        <is>
          <t>Average</t>
        </is>
      </c>
      <c r="H663" t="n">
        <v>154</v>
      </c>
      <c r="I663">
        <f>B663&amp;"|"&amp;F663&amp;"|"&amp;G663</f>
        <v/>
      </c>
      <c r="J663" t="inlineStr">
        <is>
          <t>MVS Sec.13 p.15</t>
        </is>
      </c>
    </row>
    <row r="664">
      <c r="B664" t="inlineStr">
        <is>
          <t>Restaurants – Cafeterias</t>
        </is>
      </c>
      <c r="C664" t="inlineStr">
        <is>
          <t>530</t>
        </is>
      </c>
      <c r="D664" t="inlineStr">
        <is>
          <t>13</t>
        </is>
      </c>
      <c r="E664" t="inlineStr">
        <is>
          <t>15</t>
        </is>
      </c>
      <c r="F664" t="inlineStr">
        <is>
          <t>S</t>
        </is>
      </c>
      <c r="G664" t="inlineStr">
        <is>
          <t>Low Cost</t>
        </is>
      </c>
      <c r="H664" t="n">
        <v>101</v>
      </c>
      <c r="I664">
        <f>B664&amp;"|"&amp;F664&amp;"|"&amp;G664</f>
        <v/>
      </c>
      <c r="J664" t="inlineStr">
        <is>
          <t>MVS Sec.13 p.15</t>
        </is>
      </c>
    </row>
    <row r="665">
      <c r="B665" t="inlineStr">
        <is>
          <t>Truck Stop Restaurants</t>
        </is>
      </c>
      <c r="C665" t="inlineStr">
        <is>
          <t>580</t>
        </is>
      </c>
      <c r="D665" t="inlineStr">
        <is>
          <t>13</t>
        </is>
      </c>
      <c r="E665" t="inlineStr">
        <is>
          <t>16</t>
        </is>
      </c>
      <c r="F665" t="inlineStr">
        <is>
          <t>C</t>
        </is>
      </c>
      <c r="G665" t="inlineStr">
        <is>
          <t>Excellent</t>
        </is>
      </c>
      <c r="H665" t="n">
        <v>279</v>
      </c>
      <c r="I665">
        <f>B665&amp;"|"&amp;F665&amp;"|"&amp;G665</f>
        <v/>
      </c>
      <c r="J665" t="inlineStr">
        <is>
          <t>MVS Sec.13 p.16</t>
        </is>
      </c>
    </row>
    <row r="666">
      <c r="B666" t="inlineStr">
        <is>
          <t>Truck Stop Restaurants</t>
        </is>
      </c>
      <c r="C666" t="inlineStr">
        <is>
          <t>580</t>
        </is>
      </c>
      <c r="D666" t="inlineStr">
        <is>
          <t>13</t>
        </is>
      </c>
      <c r="E666" t="inlineStr">
        <is>
          <t>16</t>
        </is>
      </c>
      <c r="F666" t="inlineStr">
        <is>
          <t>C</t>
        </is>
      </c>
      <c r="G666" t="inlineStr">
        <is>
          <t>Good</t>
        </is>
      </c>
      <c r="H666" t="n">
        <v>230</v>
      </c>
      <c r="I666">
        <f>B666&amp;"|"&amp;F666&amp;"|"&amp;G666</f>
        <v/>
      </c>
      <c r="J666" t="inlineStr">
        <is>
          <t>MVS Sec.13 p.16</t>
        </is>
      </c>
    </row>
    <row r="667">
      <c r="B667" t="inlineStr">
        <is>
          <t>Truck Stop Restaurants</t>
        </is>
      </c>
      <c r="C667" t="inlineStr">
        <is>
          <t>580</t>
        </is>
      </c>
      <c r="D667" t="inlineStr">
        <is>
          <t>13</t>
        </is>
      </c>
      <c r="E667" t="inlineStr">
        <is>
          <t>16</t>
        </is>
      </c>
      <c r="F667" t="inlineStr">
        <is>
          <t>C</t>
        </is>
      </c>
      <c r="G667" t="inlineStr">
        <is>
          <t>Average</t>
        </is>
      </c>
      <c r="H667" t="n">
        <v>189</v>
      </c>
      <c r="I667">
        <f>B667&amp;"|"&amp;F667&amp;"|"&amp;G667</f>
        <v/>
      </c>
      <c r="J667" t="inlineStr">
        <is>
          <t>MVS Sec.13 p.16</t>
        </is>
      </c>
    </row>
    <row r="668">
      <c r="B668" t="inlineStr">
        <is>
          <t>Truck Stop Restaurants</t>
        </is>
      </c>
      <c r="C668" t="inlineStr">
        <is>
          <t>580</t>
        </is>
      </c>
      <c r="D668" t="inlineStr">
        <is>
          <t>13</t>
        </is>
      </c>
      <c r="E668" t="inlineStr">
        <is>
          <t>16</t>
        </is>
      </c>
      <c r="F668" t="inlineStr">
        <is>
          <t>D</t>
        </is>
      </c>
      <c r="G668" t="inlineStr">
        <is>
          <t>Excellent</t>
        </is>
      </c>
      <c r="H668" t="n">
        <v>267</v>
      </c>
      <c r="I668">
        <f>B668&amp;"|"&amp;F668&amp;"|"&amp;G668</f>
        <v/>
      </c>
      <c r="J668" t="inlineStr">
        <is>
          <t>MVS Sec.13 p.16</t>
        </is>
      </c>
    </row>
    <row r="669">
      <c r="B669" t="inlineStr">
        <is>
          <t>Truck Stop Restaurants</t>
        </is>
      </c>
      <c r="C669" t="inlineStr">
        <is>
          <t>580</t>
        </is>
      </c>
      <c r="D669" t="inlineStr">
        <is>
          <t>13</t>
        </is>
      </c>
      <c r="E669" t="inlineStr">
        <is>
          <t>16</t>
        </is>
      </c>
      <c r="F669" t="inlineStr">
        <is>
          <t>D</t>
        </is>
      </c>
      <c r="G669" t="inlineStr">
        <is>
          <t>Good</t>
        </is>
      </c>
      <c r="H669" t="n">
        <v>219</v>
      </c>
      <c r="I669">
        <f>B669&amp;"|"&amp;F669&amp;"|"&amp;G669</f>
        <v/>
      </c>
      <c r="J669" t="inlineStr">
        <is>
          <t>MVS Sec.13 p.16</t>
        </is>
      </c>
    </row>
    <row r="670">
      <c r="B670" t="inlineStr">
        <is>
          <t>Truck Stop Restaurants</t>
        </is>
      </c>
      <c r="C670" t="inlineStr">
        <is>
          <t>580</t>
        </is>
      </c>
      <c r="D670" t="inlineStr">
        <is>
          <t>13</t>
        </is>
      </c>
      <c r="E670" t="inlineStr">
        <is>
          <t>16</t>
        </is>
      </c>
      <c r="F670" t="inlineStr">
        <is>
          <t>D</t>
        </is>
      </c>
      <c r="G670" t="inlineStr">
        <is>
          <t>Average</t>
        </is>
      </c>
      <c r="H670" t="n">
        <v>179</v>
      </c>
      <c r="I670">
        <f>B670&amp;"|"&amp;F670&amp;"|"&amp;G670</f>
        <v/>
      </c>
      <c r="J670" t="inlineStr">
        <is>
          <t>MVS Sec.13 p.16</t>
        </is>
      </c>
    </row>
    <row r="671">
      <c r="B671" t="inlineStr">
        <is>
          <t>Truck Stop Restaurants</t>
        </is>
      </c>
      <c r="C671" t="inlineStr">
        <is>
          <t>580</t>
        </is>
      </c>
      <c r="D671" t="inlineStr">
        <is>
          <t>13</t>
        </is>
      </c>
      <c r="E671" t="inlineStr">
        <is>
          <t>16</t>
        </is>
      </c>
      <c r="F671" t="inlineStr">
        <is>
          <t>S</t>
        </is>
      </c>
      <c r="G671" t="inlineStr">
        <is>
          <t>Good</t>
        </is>
      </c>
      <c r="H671" t="n">
        <v>221</v>
      </c>
      <c r="I671">
        <f>B671&amp;"|"&amp;F671&amp;"|"&amp;G671</f>
        <v/>
      </c>
      <c r="J671" t="inlineStr">
        <is>
          <t>MVS Sec.13 p.16</t>
        </is>
      </c>
    </row>
    <row r="672">
      <c r="B672" t="inlineStr">
        <is>
          <t>Truck Stop Restaurants</t>
        </is>
      </c>
      <c r="C672" t="inlineStr">
        <is>
          <t>580</t>
        </is>
      </c>
      <c r="D672" t="inlineStr">
        <is>
          <t>13</t>
        </is>
      </c>
      <c r="E672" t="inlineStr">
        <is>
          <t>16</t>
        </is>
      </c>
      <c r="F672" t="inlineStr">
        <is>
          <t>S</t>
        </is>
      </c>
      <c r="G672" t="inlineStr">
        <is>
          <t>Average</t>
        </is>
      </c>
      <c r="H672" t="n">
        <v>180</v>
      </c>
      <c r="I672">
        <f>B672&amp;"|"&amp;F672&amp;"|"&amp;G672</f>
        <v/>
      </c>
      <c r="J672" t="inlineStr">
        <is>
          <t>MVS Sec.13 p.16</t>
        </is>
      </c>
    </row>
    <row r="673">
      <c r="B673" t="inlineStr">
        <is>
          <t>Dining Atriums/Play Rooms</t>
        </is>
      </c>
      <c r="C673" t="inlineStr">
        <is>
          <t>575</t>
        </is>
      </c>
      <c r="D673" t="inlineStr">
        <is>
          <t>13</t>
        </is>
      </c>
      <c r="E673" t="inlineStr">
        <is>
          <t>16</t>
        </is>
      </c>
      <c r="F673" t="inlineStr">
        <is>
          <t>C</t>
        </is>
      </c>
      <c r="G673" t="inlineStr">
        <is>
          <t>Good</t>
        </is>
      </c>
      <c r="H673" t="n">
        <v>193</v>
      </c>
      <c r="I673">
        <f>B673&amp;"|"&amp;F673&amp;"|"&amp;G673</f>
        <v/>
      </c>
      <c r="J673" t="inlineStr">
        <is>
          <t>MVS Sec.13 p.16</t>
        </is>
      </c>
    </row>
    <row r="674">
      <c r="B674" t="inlineStr">
        <is>
          <t>Dining Atriums/Play Rooms</t>
        </is>
      </c>
      <c r="C674" t="inlineStr">
        <is>
          <t>575</t>
        </is>
      </c>
      <c r="D674" t="inlineStr">
        <is>
          <t>13</t>
        </is>
      </c>
      <c r="E674" t="inlineStr">
        <is>
          <t>16</t>
        </is>
      </c>
      <c r="F674" t="inlineStr">
        <is>
          <t>C</t>
        </is>
      </c>
      <c r="G674" t="inlineStr">
        <is>
          <t>Average</t>
        </is>
      </c>
      <c r="H674" t="n">
        <v>118</v>
      </c>
      <c r="I674">
        <f>B674&amp;"|"&amp;F674&amp;"|"&amp;G674</f>
        <v/>
      </c>
      <c r="J674" t="inlineStr">
        <is>
          <t>MVS Sec.13 p.16</t>
        </is>
      </c>
    </row>
    <row r="675">
      <c r="B675" t="inlineStr">
        <is>
          <t>Dining Atriums/Play Rooms</t>
        </is>
      </c>
      <c r="C675" t="inlineStr">
        <is>
          <t>575</t>
        </is>
      </c>
      <c r="D675" t="inlineStr">
        <is>
          <t>13</t>
        </is>
      </c>
      <c r="E675" t="inlineStr">
        <is>
          <t>16</t>
        </is>
      </c>
      <c r="F675" t="inlineStr">
        <is>
          <t>C</t>
        </is>
      </c>
      <c r="G675" t="inlineStr">
        <is>
          <t>Low Cost</t>
        </is>
      </c>
      <c r="H675" t="n">
        <v>73</v>
      </c>
      <c r="I675">
        <f>B675&amp;"|"&amp;F675&amp;"|"&amp;G675</f>
        <v/>
      </c>
      <c r="J675" t="inlineStr">
        <is>
          <t>MVS Sec.13 p.16</t>
        </is>
      </c>
    </row>
    <row r="676">
      <c r="B676" t="inlineStr">
        <is>
          <t>Dining Atriums/Play Rooms</t>
        </is>
      </c>
      <c r="C676" t="inlineStr">
        <is>
          <t>575</t>
        </is>
      </c>
      <c r="D676" t="inlineStr">
        <is>
          <t>13</t>
        </is>
      </c>
      <c r="E676" t="inlineStr">
        <is>
          <t>16</t>
        </is>
      </c>
      <c r="F676" t="inlineStr">
        <is>
          <t>D</t>
        </is>
      </c>
      <c r="G676" t="inlineStr">
        <is>
          <t>Good</t>
        </is>
      </c>
      <c r="H676" t="n">
        <v>177</v>
      </c>
      <c r="I676">
        <f>B676&amp;"|"&amp;F676&amp;"|"&amp;G676</f>
        <v/>
      </c>
      <c r="J676" t="inlineStr">
        <is>
          <t>MVS Sec.13 p.16</t>
        </is>
      </c>
    </row>
    <row r="677">
      <c r="B677" t="inlineStr">
        <is>
          <t>Dining Atriums/Play Rooms</t>
        </is>
      </c>
      <c r="C677" t="inlineStr">
        <is>
          <t>575</t>
        </is>
      </c>
      <c r="D677" t="inlineStr">
        <is>
          <t>13</t>
        </is>
      </c>
      <c r="E677" t="inlineStr">
        <is>
          <t>16</t>
        </is>
      </c>
      <c r="F677" t="inlineStr">
        <is>
          <t>D</t>
        </is>
      </c>
      <c r="G677" t="inlineStr">
        <is>
          <t>Average</t>
        </is>
      </c>
      <c r="H677" t="n">
        <v>104</v>
      </c>
      <c r="I677">
        <f>B677&amp;"|"&amp;F677&amp;"|"&amp;G677</f>
        <v/>
      </c>
      <c r="J677" t="inlineStr">
        <is>
          <t>MVS Sec.13 p.16</t>
        </is>
      </c>
    </row>
    <row r="678">
      <c r="B678" t="inlineStr">
        <is>
          <t>Dining Atriums/Play Rooms</t>
        </is>
      </c>
      <c r="C678" t="inlineStr">
        <is>
          <t>575</t>
        </is>
      </c>
      <c r="D678" t="inlineStr">
        <is>
          <t>13</t>
        </is>
      </c>
      <c r="E678" t="inlineStr">
        <is>
          <t>16</t>
        </is>
      </c>
      <c r="F678" t="inlineStr">
        <is>
          <t>D</t>
        </is>
      </c>
      <c r="G678" t="inlineStr">
        <is>
          <t>Low Cost</t>
        </is>
      </c>
      <c r="H678" t="n">
        <v>61.5</v>
      </c>
      <c r="I678">
        <f>B678&amp;"|"&amp;F678&amp;"|"&amp;G678</f>
        <v/>
      </c>
      <c r="J678" t="inlineStr">
        <is>
          <t>MVS Sec.13 p.16</t>
        </is>
      </c>
    </row>
    <row r="679">
      <c r="B679" t="inlineStr">
        <is>
          <t>Dining Atriums/Play Rooms</t>
        </is>
      </c>
      <c r="C679" t="inlineStr">
        <is>
          <t>575</t>
        </is>
      </c>
      <c r="D679" t="inlineStr">
        <is>
          <t>13</t>
        </is>
      </c>
      <c r="E679" t="inlineStr">
        <is>
          <t>16</t>
        </is>
      </c>
      <c r="F679" t="inlineStr">
        <is>
          <t>S</t>
        </is>
      </c>
      <c r="G679" t="inlineStr">
        <is>
          <t>Excellent</t>
        </is>
      </c>
      <c r="H679" t="n">
        <v>305</v>
      </c>
      <c r="I679">
        <f>B679&amp;"|"&amp;F679&amp;"|"&amp;G679</f>
        <v/>
      </c>
      <c r="J679" t="inlineStr">
        <is>
          <t>MVS Sec.13 p.16</t>
        </is>
      </c>
    </row>
    <row r="680">
      <c r="B680" t="inlineStr">
        <is>
          <t>Dining Atriums/Play Rooms</t>
        </is>
      </c>
      <c r="C680" t="inlineStr">
        <is>
          <t>575</t>
        </is>
      </c>
      <c r="D680" t="inlineStr">
        <is>
          <t>13</t>
        </is>
      </c>
      <c r="E680" t="inlineStr">
        <is>
          <t>16</t>
        </is>
      </c>
      <c r="F680" t="inlineStr">
        <is>
          <t>S</t>
        </is>
      </c>
      <c r="G680" t="inlineStr">
        <is>
          <t>Very Good</t>
        </is>
      </c>
      <c r="H680" t="n">
        <v>229</v>
      </c>
      <c r="I680">
        <f>B680&amp;"|"&amp;F680&amp;"|"&amp;G680</f>
        <v/>
      </c>
      <c r="J680" t="inlineStr">
        <is>
          <t>MVS Sec.13 p.16</t>
        </is>
      </c>
    </row>
    <row r="681">
      <c r="B681" t="inlineStr">
        <is>
          <t>Dining Atriums/Play Rooms</t>
        </is>
      </c>
      <c r="C681" t="inlineStr">
        <is>
          <t>575</t>
        </is>
      </c>
      <c r="D681" t="inlineStr">
        <is>
          <t>13</t>
        </is>
      </c>
      <c r="E681" t="inlineStr">
        <is>
          <t>16</t>
        </is>
      </c>
      <c r="F681" t="inlineStr">
        <is>
          <t>S</t>
        </is>
      </c>
      <c r="G681" t="inlineStr">
        <is>
          <t>Good</t>
        </is>
      </c>
      <c r="H681" t="n">
        <v>172</v>
      </c>
      <c r="I681">
        <f>B681&amp;"|"&amp;F681&amp;"|"&amp;G681</f>
        <v/>
      </c>
      <c r="J681" t="inlineStr">
        <is>
          <t>MVS Sec.13 p.16</t>
        </is>
      </c>
    </row>
    <row r="682">
      <c r="B682" t="inlineStr">
        <is>
          <t>Dining Atriums/Play Rooms</t>
        </is>
      </c>
      <c r="C682" t="inlineStr">
        <is>
          <t>575</t>
        </is>
      </c>
      <c r="D682" t="inlineStr">
        <is>
          <t>13</t>
        </is>
      </c>
      <c r="E682" t="inlineStr">
        <is>
          <t>16</t>
        </is>
      </c>
      <c r="F682" t="inlineStr">
        <is>
          <t>S</t>
        </is>
      </c>
      <c r="G682" t="inlineStr">
        <is>
          <t>Average</t>
        </is>
      </c>
      <c r="H682" t="n">
        <v>98</v>
      </c>
      <c r="I682">
        <f>B682&amp;"|"&amp;F682&amp;"|"&amp;G682</f>
        <v/>
      </c>
      <c r="J682" t="inlineStr">
        <is>
          <t>MVS Sec.13 p.16</t>
        </is>
      </c>
    </row>
    <row r="683">
      <c r="B683" t="inlineStr">
        <is>
          <t>Dining Atriums/Play Rooms</t>
        </is>
      </c>
      <c r="C683" t="inlineStr">
        <is>
          <t>575</t>
        </is>
      </c>
      <c r="D683" t="inlineStr">
        <is>
          <t>13</t>
        </is>
      </c>
      <c r="E683" t="inlineStr">
        <is>
          <t>16</t>
        </is>
      </c>
      <c r="F683" t="inlineStr">
        <is>
          <t>S</t>
        </is>
      </c>
      <c r="G683" t="inlineStr">
        <is>
          <t>Low Cost</t>
        </is>
      </c>
      <c r="H683" t="n">
        <v>55.5</v>
      </c>
      <c r="I683">
        <f>B683&amp;"|"&amp;F683&amp;"|"&amp;G683</f>
        <v/>
      </c>
      <c r="J683" t="inlineStr">
        <is>
          <t>MVS Sec.13 p.16</t>
        </is>
      </c>
    </row>
    <row r="684">
      <c r="B684" t="inlineStr">
        <is>
          <t>Dining Atriums/Play Rooms</t>
        </is>
      </c>
      <c r="C684" t="inlineStr">
        <is>
          <t>575</t>
        </is>
      </c>
      <c r="D684" t="inlineStr">
        <is>
          <t>13</t>
        </is>
      </c>
      <c r="E684" t="inlineStr">
        <is>
          <t>16</t>
        </is>
      </c>
      <c r="F684" t="inlineStr">
        <is>
          <t>S</t>
        </is>
      </c>
      <c r="G684" t="inlineStr">
        <is>
          <t>Cheap</t>
        </is>
      </c>
      <c r="H684" t="n">
        <v>31.5</v>
      </c>
      <c r="I684">
        <f>B684&amp;"|"&amp;F684&amp;"|"&amp;G684</f>
        <v/>
      </c>
      <c r="J684" t="inlineStr">
        <is>
          <t>MVS Sec.13 p.16</t>
        </is>
      </c>
    </row>
    <row r="685">
      <c r="B685" t="inlineStr">
        <is>
          <t>Restaurants – Fast Food</t>
        </is>
      </c>
      <c r="C685" t="inlineStr">
        <is>
          <t>349</t>
        </is>
      </c>
      <c r="D685" t="inlineStr">
        <is>
          <t>13</t>
        </is>
      </c>
      <c r="E685" t="inlineStr">
        <is>
          <t>17</t>
        </is>
      </c>
      <c r="F685" t="inlineStr">
        <is>
          <t>A-B</t>
        </is>
      </c>
      <c r="G685" t="inlineStr">
        <is>
          <t>Good</t>
        </is>
      </c>
      <c r="H685" t="n">
        <v>340</v>
      </c>
      <c r="I685">
        <f>B685&amp;"|"&amp;F685&amp;"|"&amp;G685</f>
        <v/>
      </c>
      <c r="J685" t="inlineStr">
        <is>
          <t>MVS Sec.13 p.17</t>
        </is>
      </c>
    </row>
    <row r="686">
      <c r="B686" t="inlineStr">
        <is>
          <t>Restaurants – Fast Food</t>
        </is>
      </c>
      <c r="C686" t="inlineStr">
        <is>
          <t>349</t>
        </is>
      </c>
      <c r="D686" t="inlineStr">
        <is>
          <t>13</t>
        </is>
      </c>
      <c r="E686" t="inlineStr">
        <is>
          <t>17</t>
        </is>
      </c>
      <c r="F686" t="inlineStr">
        <is>
          <t>A-B</t>
        </is>
      </c>
      <c r="G686" t="inlineStr">
        <is>
          <t>Average</t>
        </is>
      </c>
      <c r="H686" t="n">
        <v>257</v>
      </c>
      <c r="I686">
        <f>B686&amp;"|"&amp;F686&amp;"|"&amp;G686</f>
        <v/>
      </c>
      <c r="J686" t="inlineStr">
        <is>
          <t>MVS Sec.13 p.17</t>
        </is>
      </c>
    </row>
    <row r="687">
      <c r="B687" t="inlineStr">
        <is>
          <t>Restaurants – Fast Food</t>
        </is>
      </c>
      <c r="C687" t="inlineStr">
        <is>
          <t>349</t>
        </is>
      </c>
      <c r="D687" t="inlineStr">
        <is>
          <t>13</t>
        </is>
      </c>
      <c r="E687" t="inlineStr">
        <is>
          <t>17</t>
        </is>
      </c>
      <c r="F687" t="inlineStr">
        <is>
          <t>C</t>
        </is>
      </c>
      <c r="G687" t="inlineStr">
        <is>
          <t>Excellent</t>
        </is>
      </c>
      <c r="H687" t="n">
        <v>416</v>
      </c>
      <c r="I687">
        <f>B687&amp;"|"&amp;F687&amp;"|"&amp;G687</f>
        <v/>
      </c>
      <c r="J687" t="inlineStr">
        <is>
          <t>MVS Sec.13 p.17</t>
        </is>
      </c>
    </row>
    <row r="688">
      <c r="B688" t="inlineStr">
        <is>
          <t>Restaurants – Fast Food</t>
        </is>
      </c>
      <c r="C688" t="inlineStr">
        <is>
          <t>349</t>
        </is>
      </c>
      <c r="D688" t="inlineStr">
        <is>
          <t>13</t>
        </is>
      </c>
      <c r="E688" t="inlineStr">
        <is>
          <t>17</t>
        </is>
      </c>
      <c r="F688" t="inlineStr">
        <is>
          <t>C</t>
        </is>
      </c>
      <c r="G688" t="inlineStr">
        <is>
          <t>Very Good</t>
        </is>
      </c>
      <c r="H688" t="n">
        <v>319</v>
      </c>
      <c r="I688">
        <f>B688&amp;"|"&amp;F688&amp;"|"&amp;G688</f>
        <v/>
      </c>
      <c r="J688" t="inlineStr">
        <is>
          <t>MVS Sec.13 p.17</t>
        </is>
      </c>
    </row>
    <row r="689">
      <c r="B689" t="inlineStr">
        <is>
          <t>Restaurants – Fast Food</t>
        </is>
      </c>
      <c r="C689" t="inlineStr">
        <is>
          <t>349</t>
        </is>
      </c>
      <c r="D689" t="inlineStr">
        <is>
          <t>13</t>
        </is>
      </c>
      <c r="E689" t="inlineStr">
        <is>
          <t>17</t>
        </is>
      </c>
      <c r="F689" t="inlineStr">
        <is>
          <t>C</t>
        </is>
      </c>
      <c r="G689" t="inlineStr">
        <is>
          <t>Good</t>
        </is>
      </c>
      <c r="H689" t="n">
        <v>246</v>
      </c>
      <c r="I689">
        <f>B689&amp;"|"&amp;F689&amp;"|"&amp;G689</f>
        <v/>
      </c>
      <c r="J689" t="inlineStr">
        <is>
          <t>MVS Sec.13 p.17</t>
        </is>
      </c>
    </row>
    <row r="690">
      <c r="B690" t="inlineStr">
        <is>
          <t>Restaurants – Fast Food</t>
        </is>
      </c>
      <c r="C690" t="inlineStr">
        <is>
          <t>349</t>
        </is>
      </c>
      <c r="D690" t="inlineStr">
        <is>
          <t>13</t>
        </is>
      </c>
      <c r="E690" t="inlineStr">
        <is>
          <t>17</t>
        </is>
      </c>
      <c r="F690" t="inlineStr">
        <is>
          <t>C</t>
        </is>
      </c>
      <c r="G690" t="inlineStr">
        <is>
          <t>Average</t>
        </is>
      </c>
      <c r="H690" t="n">
        <v>191</v>
      </c>
      <c r="I690">
        <f>B690&amp;"|"&amp;F690&amp;"|"&amp;G690</f>
        <v/>
      </c>
      <c r="J690" t="inlineStr">
        <is>
          <t>MVS Sec.13 p.17</t>
        </is>
      </c>
    </row>
    <row r="691">
      <c r="B691" t="inlineStr">
        <is>
          <t>Restaurants – Fast Food</t>
        </is>
      </c>
      <c r="C691" t="inlineStr">
        <is>
          <t>349</t>
        </is>
      </c>
      <c r="D691" t="inlineStr">
        <is>
          <t>13</t>
        </is>
      </c>
      <c r="E691" t="inlineStr">
        <is>
          <t>17</t>
        </is>
      </c>
      <c r="F691" t="inlineStr">
        <is>
          <t>C</t>
        </is>
      </c>
      <c r="G691" t="inlineStr">
        <is>
          <t>Low Cost</t>
        </is>
      </c>
      <c r="H691" t="n">
        <v>138</v>
      </c>
      <c r="I691">
        <f>B691&amp;"|"&amp;F691&amp;"|"&amp;G691</f>
        <v/>
      </c>
      <c r="J691" t="inlineStr">
        <is>
          <t>MVS Sec.13 p.17</t>
        </is>
      </c>
    </row>
    <row r="692">
      <c r="B692" t="inlineStr">
        <is>
          <t>Restaurants – Fast Food</t>
        </is>
      </c>
      <c r="C692" t="inlineStr">
        <is>
          <t>349</t>
        </is>
      </c>
      <c r="D692" t="inlineStr">
        <is>
          <t>13</t>
        </is>
      </c>
      <c r="E692" t="inlineStr">
        <is>
          <t>17</t>
        </is>
      </c>
      <c r="F692" t="inlineStr">
        <is>
          <t>D</t>
        </is>
      </c>
      <c r="G692" t="inlineStr">
        <is>
          <t>Excellent</t>
        </is>
      </c>
      <c r="H692" t="n">
        <v>399</v>
      </c>
      <c r="I692">
        <f>B692&amp;"|"&amp;F692&amp;"|"&amp;G692</f>
        <v/>
      </c>
      <c r="J692" t="inlineStr">
        <is>
          <t>MVS Sec.13 p.17</t>
        </is>
      </c>
    </row>
    <row r="693">
      <c r="B693" t="inlineStr">
        <is>
          <t>Restaurants – Fast Food</t>
        </is>
      </c>
      <c r="C693" t="inlineStr">
        <is>
          <t>349</t>
        </is>
      </c>
      <c r="D693" t="inlineStr">
        <is>
          <t>13</t>
        </is>
      </c>
      <c r="E693" t="inlineStr">
        <is>
          <t>17</t>
        </is>
      </c>
      <c r="F693" t="inlineStr">
        <is>
          <t>D</t>
        </is>
      </c>
      <c r="G693" t="inlineStr">
        <is>
          <t>Very Good</t>
        </is>
      </c>
      <c r="H693" t="n">
        <v>302</v>
      </c>
      <c r="I693">
        <f>B693&amp;"|"&amp;F693&amp;"|"&amp;G693</f>
        <v/>
      </c>
      <c r="J693" t="inlineStr">
        <is>
          <t>MVS Sec.13 p.17</t>
        </is>
      </c>
    </row>
    <row r="694">
      <c r="B694" t="inlineStr">
        <is>
          <t>Restaurants – Fast Food</t>
        </is>
      </c>
      <c r="C694" t="inlineStr">
        <is>
          <t>349</t>
        </is>
      </c>
      <c r="D694" t="inlineStr">
        <is>
          <t>13</t>
        </is>
      </c>
      <c r="E694" t="inlineStr">
        <is>
          <t>17</t>
        </is>
      </c>
      <c r="F694" t="inlineStr">
        <is>
          <t>D</t>
        </is>
      </c>
      <c r="G694" t="inlineStr">
        <is>
          <t>Good</t>
        </is>
      </c>
      <c r="H694" t="n">
        <v>230</v>
      </c>
      <c r="I694">
        <f>B694&amp;"|"&amp;F694&amp;"|"&amp;G694</f>
        <v/>
      </c>
      <c r="J694" t="inlineStr">
        <is>
          <t>MVS Sec.13 p.17</t>
        </is>
      </c>
    </row>
    <row r="695">
      <c r="B695" t="inlineStr">
        <is>
          <t>Restaurants – Fast Food</t>
        </is>
      </c>
      <c r="C695" t="inlineStr">
        <is>
          <t>349</t>
        </is>
      </c>
      <c r="D695" t="inlineStr">
        <is>
          <t>13</t>
        </is>
      </c>
      <c r="E695" t="inlineStr">
        <is>
          <t>17</t>
        </is>
      </c>
      <c r="F695" t="inlineStr">
        <is>
          <t>D</t>
        </is>
      </c>
      <c r="G695" t="inlineStr">
        <is>
          <t>Average</t>
        </is>
      </c>
      <c r="H695" t="n">
        <v>176</v>
      </c>
      <c r="I695">
        <f>B695&amp;"|"&amp;F695&amp;"|"&amp;G695</f>
        <v/>
      </c>
      <c r="J695" t="inlineStr">
        <is>
          <t>MVS Sec.13 p.17</t>
        </is>
      </c>
    </row>
    <row r="696">
      <c r="B696" t="inlineStr">
        <is>
          <t>Restaurants – Fast Food</t>
        </is>
      </c>
      <c r="C696" t="inlineStr">
        <is>
          <t>349</t>
        </is>
      </c>
      <c r="D696" t="inlineStr">
        <is>
          <t>13</t>
        </is>
      </c>
      <c r="E696" t="inlineStr">
        <is>
          <t>17</t>
        </is>
      </c>
      <c r="F696" t="inlineStr">
        <is>
          <t>D</t>
        </is>
      </c>
      <c r="G696" t="inlineStr">
        <is>
          <t>Low Cost</t>
        </is>
      </c>
      <c r="H696" t="n">
        <v>125</v>
      </c>
      <c r="I696">
        <f>B696&amp;"|"&amp;F696&amp;"|"&amp;G696</f>
        <v/>
      </c>
      <c r="J696" t="inlineStr">
        <is>
          <t>MVS Sec.13 p.17</t>
        </is>
      </c>
    </row>
    <row r="697">
      <c r="B697" t="inlineStr">
        <is>
          <t>Restaurants – Fast Food</t>
        </is>
      </c>
      <c r="C697" t="inlineStr">
        <is>
          <t>349</t>
        </is>
      </c>
      <c r="D697" t="inlineStr">
        <is>
          <t>13</t>
        </is>
      </c>
      <c r="E697" t="inlineStr">
        <is>
          <t>17</t>
        </is>
      </c>
      <c r="F697" t="inlineStr">
        <is>
          <t>S</t>
        </is>
      </c>
      <c r="G697" t="inlineStr">
        <is>
          <t>Excellent</t>
        </is>
      </c>
      <c r="H697" t="n">
        <v>321</v>
      </c>
      <c r="I697">
        <f>B697&amp;"|"&amp;F697&amp;"|"&amp;G697</f>
        <v/>
      </c>
      <c r="J697" t="inlineStr">
        <is>
          <t>MVS Sec.13 p.17</t>
        </is>
      </c>
    </row>
    <row r="698">
      <c r="B698" t="inlineStr">
        <is>
          <t>Restaurants – Fast Food</t>
        </is>
      </c>
      <c r="C698" t="inlineStr">
        <is>
          <t>349</t>
        </is>
      </c>
      <c r="D698" t="inlineStr">
        <is>
          <t>13</t>
        </is>
      </c>
      <c r="E698" t="inlineStr">
        <is>
          <t>17</t>
        </is>
      </c>
      <c r="F698" t="inlineStr">
        <is>
          <t>S</t>
        </is>
      </c>
      <c r="G698" t="inlineStr">
        <is>
          <t>Good</t>
        </is>
      </c>
      <c r="H698" t="n">
        <v>233</v>
      </c>
      <c r="I698">
        <f>B698&amp;"|"&amp;F698&amp;"|"&amp;G698</f>
        <v/>
      </c>
      <c r="J698" t="inlineStr">
        <is>
          <t>MVS Sec.13 p.17</t>
        </is>
      </c>
    </row>
    <row r="699">
      <c r="B699" t="inlineStr">
        <is>
          <t>Restaurants – Fast Food</t>
        </is>
      </c>
      <c r="C699" t="inlineStr">
        <is>
          <t>349</t>
        </is>
      </c>
      <c r="D699" t="inlineStr">
        <is>
          <t>13</t>
        </is>
      </c>
      <c r="E699" t="inlineStr">
        <is>
          <t>17</t>
        </is>
      </c>
      <c r="F699" t="inlineStr">
        <is>
          <t>S</t>
        </is>
      </c>
      <c r="G699" t="inlineStr">
        <is>
          <t>Average</t>
        </is>
      </c>
      <c r="H699" t="n">
        <v>174</v>
      </c>
      <c r="I699">
        <f>B699&amp;"|"&amp;F699&amp;"|"&amp;G699</f>
        <v/>
      </c>
      <c r="J699" t="inlineStr">
        <is>
          <t>MVS Sec.13 p.17</t>
        </is>
      </c>
    </row>
    <row r="700">
      <c r="B700" t="inlineStr">
        <is>
          <t>Restaurants – Fast Food</t>
        </is>
      </c>
      <c r="C700" t="inlineStr">
        <is>
          <t>349</t>
        </is>
      </c>
      <c r="D700" t="inlineStr">
        <is>
          <t>13</t>
        </is>
      </c>
      <c r="E700" t="inlineStr">
        <is>
          <t>17</t>
        </is>
      </c>
      <c r="F700" t="inlineStr">
        <is>
          <t>S</t>
        </is>
      </c>
      <c r="G700" t="inlineStr">
        <is>
          <t>Low Cost</t>
        </is>
      </c>
      <c r="H700" t="n">
        <v>121</v>
      </c>
      <c r="I700">
        <f>B700&amp;"|"&amp;F700&amp;"|"&amp;G700</f>
        <v/>
      </c>
      <c r="J700" t="inlineStr">
        <is>
          <t>MVS Sec.13 p.17</t>
        </is>
      </c>
    </row>
    <row r="701">
      <c r="B701" t="inlineStr">
        <is>
          <t>Snack Bars</t>
        </is>
      </c>
      <c r="C701" t="inlineStr">
        <is>
          <t>529</t>
        </is>
      </c>
      <c r="D701" t="inlineStr">
        <is>
          <t>13</t>
        </is>
      </c>
      <c r="E701" t="inlineStr">
        <is>
          <t>18</t>
        </is>
      </c>
      <c r="F701" t="inlineStr">
        <is>
          <t>C</t>
        </is>
      </c>
      <c r="G701" t="inlineStr">
        <is>
          <t>Excellent</t>
        </is>
      </c>
      <c r="H701" t="n">
        <v>258</v>
      </c>
      <c r="I701">
        <f>B701&amp;"|"&amp;F701&amp;"|"&amp;G701</f>
        <v/>
      </c>
      <c r="J701" t="inlineStr">
        <is>
          <t>MVS Sec.13 p.18</t>
        </is>
      </c>
    </row>
    <row r="702">
      <c r="B702" t="inlineStr">
        <is>
          <t>Snack Bars</t>
        </is>
      </c>
      <c r="C702" t="inlineStr">
        <is>
          <t>529</t>
        </is>
      </c>
      <c r="D702" t="inlineStr">
        <is>
          <t>13</t>
        </is>
      </c>
      <c r="E702" t="inlineStr">
        <is>
          <t>18</t>
        </is>
      </c>
      <c r="F702" t="inlineStr">
        <is>
          <t>C</t>
        </is>
      </c>
      <c r="G702" t="inlineStr">
        <is>
          <t>Good</t>
        </is>
      </c>
      <c r="H702" t="n">
        <v>171</v>
      </c>
      <c r="I702">
        <f>B702&amp;"|"&amp;F702&amp;"|"&amp;G702</f>
        <v/>
      </c>
      <c r="J702" t="inlineStr">
        <is>
          <t>MVS Sec.13 p.18</t>
        </is>
      </c>
    </row>
    <row r="703">
      <c r="B703" t="inlineStr">
        <is>
          <t>Snack Bars</t>
        </is>
      </c>
      <c r="C703" t="inlineStr">
        <is>
          <t>529</t>
        </is>
      </c>
      <c r="D703" t="inlineStr">
        <is>
          <t>13</t>
        </is>
      </c>
      <c r="E703" t="inlineStr">
        <is>
          <t>18</t>
        </is>
      </c>
      <c r="F703" t="inlineStr">
        <is>
          <t>C</t>
        </is>
      </c>
      <c r="G703" t="inlineStr">
        <is>
          <t>Average</t>
        </is>
      </c>
      <c r="H703" t="n">
        <v>114</v>
      </c>
      <c r="I703">
        <f>B703&amp;"|"&amp;F703&amp;"|"&amp;G703</f>
        <v/>
      </c>
      <c r="J703" t="inlineStr">
        <is>
          <t>MVS Sec.13 p.18</t>
        </is>
      </c>
    </row>
    <row r="704">
      <c r="B704" t="inlineStr">
        <is>
          <t>Snack Bars</t>
        </is>
      </c>
      <c r="C704" t="inlineStr">
        <is>
          <t>529</t>
        </is>
      </c>
      <c r="D704" t="inlineStr">
        <is>
          <t>13</t>
        </is>
      </c>
      <c r="E704" t="inlineStr">
        <is>
          <t>18</t>
        </is>
      </c>
      <c r="F704" t="inlineStr">
        <is>
          <t>C</t>
        </is>
      </c>
      <c r="G704" t="inlineStr">
        <is>
          <t>Low Cost</t>
        </is>
      </c>
      <c r="H704" t="n">
        <v>74</v>
      </c>
      <c r="I704">
        <f>B704&amp;"|"&amp;F704&amp;"|"&amp;G704</f>
        <v/>
      </c>
      <c r="J704" t="inlineStr">
        <is>
          <t>MVS Sec.13 p.18</t>
        </is>
      </c>
    </row>
    <row r="705">
      <c r="B705" t="inlineStr">
        <is>
          <t>Snack Bars</t>
        </is>
      </c>
      <c r="C705" t="inlineStr">
        <is>
          <t>529</t>
        </is>
      </c>
      <c r="D705" t="inlineStr">
        <is>
          <t>13</t>
        </is>
      </c>
      <c r="E705" t="inlineStr">
        <is>
          <t>18</t>
        </is>
      </c>
      <c r="F705" t="inlineStr">
        <is>
          <t>C</t>
        </is>
      </c>
      <c r="G705" t="inlineStr">
        <is>
          <t>Cheap</t>
        </is>
      </c>
      <c r="H705" t="n">
        <v>60</v>
      </c>
      <c r="I705">
        <f>B705&amp;"|"&amp;F705&amp;"|"&amp;G705</f>
        <v/>
      </c>
      <c r="J705" t="inlineStr">
        <is>
          <t>MVS Sec.13 p.18</t>
        </is>
      </c>
    </row>
    <row r="706">
      <c r="B706" t="inlineStr">
        <is>
          <t>Snack Bars</t>
        </is>
      </c>
      <c r="C706" t="inlineStr">
        <is>
          <t>529</t>
        </is>
      </c>
      <c r="D706" t="inlineStr">
        <is>
          <t>13</t>
        </is>
      </c>
      <c r="E706" t="inlineStr">
        <is>
          <t>18</t>
        </is>
      </c>
      <c r="F706" t="inlineStr">
        <is>
          <t>D</t>
        </is>
      </c>
      <c r="G706" t="inlineStr">
        <is>
          <t>Excellent</t>
        </is>
      </c>
      <c r="H706" t="n">
        <v>249</v>
      </c>
      <c r="I706">
        <f>B706&amp;"|"&amp;F706&amp;"|"&amp;G706</f>
        <v/>
      </c>
      <c r="J706" t="inlineStr">
        <is>
          <t>MVS Sec.13 p.18</t>
        </is>
      </c>
    </row>
    <row r="707">
      <c r="B707" t="inlineStr">
        <is>
          <t>Snack Bars</t>
        </is>
      </c>
      <c r="C707" t="inlineStr">
        <is>
          <t>529</t>
        </is>
      </c>
      <c r="D707" t="inlineStr">
        <is>
          <t>13</t>
        </is>
      </c>
      <c r="E707" t="inlineStr">
        <is>
          <t>18</t>
        </is>
      </c>
      <c r="F707" t="inlineStr">
        <is>
          <t>D</t>
        </is>
      </c>
      <c r="G707" t="inlineStr">
        <is>
          <t>Good</t>
        </is>
      </c>
      <c r="H707" t="n">
        <v>159</v>
      </c>
      <c r="I707">
        <f>B707&amp;"|"&amp;F707&amp;"|"&amp;G707</f>
        <v/>
      </c>
      <c r="J707" t="inlineStr">
        <is>
          <t>MVS Sec.13 p.18</t>
        </is>
      </c>
    </row>
    <row r="708">
      <c r="B708" t="inlineStr">
        <is>
          <t>Snack Bars</t>
        </is>
      </c>
      <c r="C708" t="inlineStr">
        <is>
          <t>529</t>
        </is>
      </c>
      <c r="D708" t="inlineStr">
        <is>
          <t>13</t>
        </is>
      </c>
      <c r="E708" t="inlineStr">
        <is>
          <t>18</t>
        </is>
      </c>
      <c r="F708" t="inlineStr">
        <is>
          <t>D</t>
        </is>
      </c>
      <c r="G708" t="inlineStr">
        <is>
          <t>Average</t>
        </is>
      </c>
      <c r="H708" t="n">
        <v>103</v>
      </c>
      <c r="I708">
        <f>B708&amp;"|"&amp;F708&amp;"|"&amp;G708</f>
        <v/>
      </c>
      <c r="J708" t="inlineStr">
        <is>
          <t>MVS Sec.13 p.18</t>
        </is>
      </c>
    </row>
    <row r="709">
      <c r="B709" t="inlineStr">
        <is>
          <t>Snack Bars</t>
        </is>
      </c>
      <c r="C709" t="inlineStr">
        <is>
          <t>529</t>
        </is>
      </c>
      <c r="D709" t="inlineStr">
        <is>
          <t>13</t>
        </is>
      </c>
      <c r="E709" t="inlineStr">
        <is>
          <t>18</t>
        </is>
      </c>
      <c r="F709" t="inlineStr">
        <is>
          <t>D</t>
        </is>
      </c>
      <c r="G709" t="inlineStr">
        <is>
          <t>Low Cost</t>
        </is>
      </c>
      <c r="H709" t="n">
        <v>64</v>
      </c>
      <c r="I709">
        <f>B709&amp;"|"&amp;F709&amp;"|"&amp;G709</f>
        <v/>
      </c>
      <c r="J709" t="inlineStr">
        <is>
          <t>MVS Sec.13 p.18</t>
        </is>
      </c>
    </row>
    <row r="710">
      <c r="B710" t="inlineStr">
        <is>
          <t>Snack Bars</t>
        </is>
      </c>
      <c r="C710" t="inlineStr">
        <is>
          <t>529</t>
        </is>
      </c>
      <c r="D710" t="inlineStr">
        <is>
          <t>13</t>
        </is>
      </c>
      <c r="E710" t="inlineStr">
        <is>
          <t>18</t>
        </is>
      </c>
      <c r="F710" t="inlineStr">
        <is>
          <t>D</t>
        </is>
      </c>
      <c r="G710" t="inlineStr">
        <is>
          <t>Cheap</t>
        </is>
      </c>
      <c r="H710" t="n">
        <v>46</v>
      </c>
      <c r="I710">
        <f>B710&amp;"|"&amp;F710&amp;"|"&amp;G710</f>
        <v/>
      </c>
      <c r="J710" t="inlineStr">
        <is>
          <t>MVS Sec.13 p.18</t>
        </is>
      </c>
    </row>
    <row r="711">
      <c r="B711" t="inlineStr">
        <is>
          <t>Snack Bars</t>
        </is>
      </c>
      <c r="C711" t="inlineStr">
        <is>
          <t>529</t>
        </is>
      </c>
      <c r="D711" t="inlineStr">
        <is>
          <t>13</t>
        </is>
      </c>
      <c r="E711" t="inlineStr">
        <is>
          <t>18</t>
        </is>
      </c>
      <c r="F711" t="inlineStr">
        <is>
          <t>DPOLE</t>
        </is>
      </c>
      <c r="G711" t="inlineStr">
        <is>
          <t>Average</t>
        </is>
      </c>
      <c r="H711" t="n">
        <v>96</v>
      </c>
      <c r="I711">
        <f>B711&amp;"|"&amp;F711&amp;"|"&amp;G711</f>
        <v/>
      </c>
      <c r="J711" t="inlineStr">
        <is>
          <t>MVS Sec.13 p.18</t>
        </is>
      </c>
    </row>
    <row r="712">
      <c r="B712" t="inlineStr">
        <is>
          <t>Snack Bars</t>
        </is>
      </c>
      <c r="C712" t="inlineStr">
        <is>
          <t>529</t>
        </is>
      </c>
      <c r="D712" t="inlineStr">
        <is>
          <t>13</t>
        </is>
      </c>
      <c r="E712" t="inlineStr">
        <is>
          <t>18</t>
        </is>
      </c>
      <c r="F712" t="inlineStr">
        <is>
          <t>DPOLE</t>
        </is>
      </c>
      <c r="G712" t="inlineStr">
        <is>
          <t>Low Cost</t>
        </is>
      </c>
      <c r="H712" t="n">
        <v>58.5</v>
      </c>
      <c r="I712">
        <f>B712&amp;"|"&amp;F712&amp;"|"&amp;G712</f>
        <v/>
      </c>
      <c r="J712" t="inlineStr">
        <is>
          <t>MVS Sec.13 p.18</t>
        </is>
      </c>
    </row>
    <row r="713">
      <c r="B713" t="inlineStr">
        <is>
          <t>Snack Bars</t>
        </is>
      </c>
      <c r="C713" t="inlineStr">
        <is>
          <t>529</t>
        </is>
      </c>
      <c r="D713" t="inlineStr">
        <is>
          <t>13</t>
        </is>
      </c>
      <c r="E713" t="inlineStr">
        <is>
          <t>18</t>
        </is>
      </c>
      <c r="F713" t="inlineStr">
        <is>
          <t>DPOLE</t>
        </is>
      </c>
      <c r="G713" t="inlineStr">
        <is>
          <t>Cheap</t>
        </is>
      </c>
      <c r="H713" t="n">
        <v>46.25</v>
      </c>
      <c r="I713">
        <f>B713&amp;"|"&amp;F713&amp;"|"&amp;G713</f>
        <v/>
      </c>
      <c r="J713" t="inlineStr">
        <is>
          <t>MVS Sec.13 p.18</t>
        </is>
      </c>
    </row>
    <row r="714">
      <c r="B714" t="inlineStr">
        <is>
          <t>Snack Bars</t>
        </is>
      </c>
      <c r="C714" t="inlineStr">
        <is>
          <t>529</t>
        </is>
      </c>
      <c r="D714" t="inlineStr">
        <is>
          <t>13</t>
        </is>
      </c>
      <c r="E714" t="inlineStr">
        <is>
          <t>18</t>
        </is>
      </c>
      <c r="F714" t="inlineStr">
        <is>
          <t>S</t>
        </is>
      </c>
      <c r="G714" t="inlineStr">
        <is>
          <t>Average</t>
        </is>
      </c>
      <c r="H714" t="n">
        <v>101</v>
      </c>
      <c r="I714">
        <f>B714&amp;"|"&amp;F714&amp;"|"&amp;G714</f>
        <v/>
      </c>
      <c r="J714" t="inlineStr">
        <is>
          <t>MVS Sec.13 p.18</t>
        </is>
      </c>
    </row>
    <row r="715">
      <c r="B715" t="inlineStr">
        <is>
          <t>Snack Bars</t>
        </is>
      </c>
      <c r="C715" t="inlineStr">
        <is>
          <t>529</t>
        </is>
      </c>
      <c r="D715" t="inlineStr">
        <is>
          <t>13</t>
        </is>
      </c>
      <c r="E715" t="inlineStr">
        <is>
          <t>18</t>
        </is>
      </c>
      <c r="F715" t="inlineStr">
        <is>
          <t>S</t>
        </is>
      </c>
      <c r="G715" t="inlineStr">
        <is>
          <t>Low Cost</t>
        </is>
      </c>
      <c r="H715" t="n">
        <v>62.5</v>
      </c>
      <c r="I715">
        <f>B715&amp;"|"&amp;F715&amp;"|"&amp;G715</f>
        <v/>
      </c>
      <c r="J715" t="inlineStr">
        <is>
          <t>MVS Sec.13 p.18</t>
        </is>
      </c>
    </row>
    <row r="716">
      <c r="B716" t="inlineStr">
        <is>
          <t>Snack Bars</t>
        </is>
      </c>
      <c r="C716" t="inlineStr">
        <is>
          <t>529</t>
        </is>
      </c>
      <c r="D716" t="inlineStr">
        <is>
          <t>13</t>
        </is>
      </c>
      <c r="E716" t="inlineStr">
        <is>
          <t>18</t>
        </is>
      </c>
      <c r="F716" t="inlineStr">
        <is>
          <t>S</t>
        </is>
      </c>
      <c r="G716" t="inlineStr">
        <is>
          <t>Cheap</t>
        </is>
      </c>
      <c r="H716" t="n">
        <v>49.5</v>
      </c>
      <c r="I716">
        <f>B716&amp;"|"&amp;F716&amp;"|"&amp;G716</f>
        <v/>
      </c>
      <c r="J716" t="inlineStr">
        <is>
          <t>MVS Sec.13 p.18</t>
        </is>
      </c>
    </row>
    <row r="717">
      <c r="B717" t="inlineStr">
        <is>
          <t>Banquet Halls</t>
        </is>
      </c>
      <c r="C717" t="inlineStr">
        <is>
          <t>718</t>
        </is>
      </c>
      <c r="D717" t="inlineStr">
        <is>
          <t>13</t>
        </is>
      </c>
      <c r="E717" t="inlineStr">
        <is>
          <t>19</t>
        </is>
      </c>
      <c r="F717" t="inlineStr">
        <is>
          <t>C</t>
        </is>
      </c>
      <c r="G717" t="inlineStr">
        <is>
          <t>Excellent</t>
        </is>
      </c>
      <c r="H717" t="n">
        <v>290</v>
      </c>
      <c r="I717">
        <f>B717&amp;"|"&amp;F717&amp;"|"&amp;G717</f>
        <v/>
      </c>
      <c r="J717" t="inlineStr">
        <is>
          <t>MVS Sec.13 p.19</t>
        </is>
      </c>
    </row>
    <row r="718">
      <c r="B718" t="inlineStr">
        <is>
          <t>Banquet Halls</t>
        </is>
      </c>
      <c r="C718" t="inlineStr">
        <is>
          <t>718</t>
        </is>
      </c>
      <c r="D718" t="inlineStr">
        <is>
          <t>13</t>
        </is>
      </c>
      <c r="E718" t="inlineStr">
        <is>
          <t>19</t>
        </is>
      </c>
      <c r="F718" t="inlineStr">
        <is>
          <t>C</t>
        </is>
      </c>
      <c r="G718" t="inlineStr">
        <is>
          <t>Good</t>
        </is>
      </c>
      <c r="H718" t="n">
        <v>209</v>
      </c>
      <c r="I718">
        <f>B718&amp;"|"&amp;F718&amp;"|"&amp;G718</f>
        <v/>
      </c>
      <c r="J718" t="inlineStr">
        <is>
          <t>MVS Sec.13 p.19</t>
        </is>
      </c>
    </row>
    <row r="719">
      <c r="B719" t="inlineStr">
        <is>
          <t>Banquet Halls</t>
        </is>
      </c>
      <c r="C719" t="inlineStr">
        <is>
          <t>718</t>
        </is>
      </c>
      <c r="D719" t="inlineStr">
        <is>
          <t>13</t>
        </is>
      </c>
      <c r="E719" t="inlineStr">
        <is>
          <t>19</t>
        </is>
      </c>
      <c r="F719" t="inlineStr">
        <is>
          <t>C</t>
        </is>
      </c>
      <c r="G719" t="inlineStr">
        <is>
          <t>Average</t>
        </is>
      </c>
      <c r="H719" t="n">
        <v>151</v>
      </c>
      <c r="I719">
        <f>B719&amp;"|"&amp;F719&amp;"|"&amp;G719</f>
        <v/>
      </c>
      <c r="J719" t="inlineStr">
        <is>
          <t>MVS Sec.13 p.19</t>
        </is>
      </c>
    </row>
    <row r="720">
      <c r="B720" t="inlineStr">
        <is>
          <t>Banquet Halls</t>
        </is>
      </c>
      <c r="C720" t="inlineStr">
        <is>
          <t>718</t>
        </is>
      </c>
      <c r="D720" t="inlineStr">
        <is>
          <t>13</t>
        </is>
      </c>
      <c r="E720" t="inlineStr">
        <is>
          <t>19</t>
        </is>
      </c>
      <c r="F720" t="inlineStr">
        <is>
          <t>C</t>
        </is>
      </c>
      <c r="G720" t="inlineStr">
        <is>
          <t>Low Cost</t>
        </is>
      </c>
      <c r="H720" t="n">
        <v>106</v>
      </c>
      <c r="I720">
        <f>B720&amp;"|"&amp;F720&amp;"|"&amp;G720</f>
        <v/>
      </c>
      <c r="J720" t="inlineStr">
        <is>
          <t>MVS Sec.13 p.19</t>
        </is>
      </c>
    </row>
    <row r="721">
      <c r="B721" t="inlineStr">
        <is>
          <t>Banquet Halls</t>
        </is>
      </c>
      <c r="C721" t="inlineStr">
        <is>
          <t>718</t>
        </is>
      </c>
      <c r="D721" t="inlineStr">
        <is>
          <t>13</t>
        </is>
      </c>
      <c r="E721" t="inlineStr">
        <is>
          <t>19</t>
        </is>
      </c>
      <c r="F721" t="inlineStr">
        <is>
          <t>D</t>
        </is>
      </c>
      <c r="G721" t="inlineStr">
        <is>
          <t>Excellent</t>
        </is>
      </c>
      <c r="H721" t="n">
        <v>277</v>
      </c>
      <c r="I721">
        <f>B721&amp;"|"&amp;F721&amp;"|"&amp;G721</f>
        <v/>
      </c>
      <c r="J721" t="inlineStr">
        <is>
          <t>MVS Sec.13 p.19</t>
        </is>
      </c>
    </row>
    <row r="722">
      <c r="B722" t="inlineStr">
        <is>
          <t>Banquet Halls</t>
        </is>
      </c>
      <c r="C722" t="inlineStr">
        <is>
          <t>718</t>
        </is>
      </c>
      <c r="D722" t="inlineStr">
        <is>
          <t>13</t>
        </is>
      </c>
      <c r="E722" t="inlineStr">
        <is>
          <t>19</t>
        </is>
      </c>
      <c r="F722" t="inlineStr">
        <is>
          <t>D</t>
        </is>
      </c>
      <c r="G722" t="inlineStr">
        <is>
          <t>Good</t>
        </is>
      </c>
      <c r="H722" t="n">
        <v>197</v>
      </c>
      <c r="I722">
        <f>B722&amp;"|"&amp;F722&amp;"|"&amp;G722</f>
        <v/>
      </c>
      <c r="J722" t="inlineStr">
        <is>
          <t>MVS Sec.13 p.19</t>
        </is>
      </c>
    </row>
    <row r="723">
      <c r="B723" t="inlineStr">
        <is>
          <t>Banquet Halls</t>
        </is>
      </c>
      <c r="C723" t="inlineStr">
        <is>
          <t>718</t>
        </is>
      </c>
      <c r="D723" t="inlineStr">
        <is>
          <t>13</t>
        </is>
      </c>
      <c r="E723" t="inlineStr">
        <is>
          <t>19</t>
        </is>
      </c>
      <c r="F723" t="inlineStr">
        <is>
          <t>D</t>
        </is>
      </c>
      <c r="G723" t="inlineStr">
        <is>
          <t>Average</t>
        </is>
      </c>
      <c r="H723" t="n">
        <v>141</v>
      </c>
      <c r="I723">
        <f>B723&amp;"|"&amp;F723&amp;"|"&amp;G723</f>
        <v/>
      </c>
      <c r="J723" t="inlineStr">
        <is>
          <t>MVS Sec.13 p.19</t>
        </is>
      </c>
    </row>
    <row r="724">
      <c r="B724" t="inlineStr">
        <is>
          <t>Banquet Halls</t>
        </is>
      </c>
      <c r="C724" t="inlineStr">
        <is>
          <t>718</t>
        </is>
      </c>
      <c r="D724" t="inlineStr">
        <is>
          <t>13</t>
        </is>
      </c>
      <c r="E724" t="inlineStr">
        <is>
          <t>19</t>
        </is>
      </c>
      <c r="F724" t="inlineStr">
        <is>
          <t>D</t>
        </is>
      </c>
      <c r="G724" t="inlineStr">
        <is>
          <t>Low Cost</t>
        </is>
      </c>
      <c r="H724" t="n">
        <v>97.5</v>
      </c>
      <c r="I724">
        <f>B724&amp;"|"&amp;F724&amp;"|"&amp;G724</f>
        <v/>
      </c>
      <c r="J724" t="inlineStr">
        <is>
          <t>MVS Sec.13 p.19</t>
        </is>
      </c>
    </row>
    <row r="725">
      <c r="B725" t="inlineStr">
        <is>
          <t>Banquet Halls</t>
        </is>
      </c>
      <c r="C725" t="inlineStr">
        <is>
          <t>718</t>
        </is>
      </c>
      <c r="D725" t="inlineStr">
        <is>
          <t>13</t>
        </is>
      </c>
      <c r="E725" t="inlineStr">
        <is>
          <t>19</t>
        </is>
      </c>
      <c r="F725" t="inlineStr">
        <is>
          <t>DPOLE</t>
        </is>
      </c>
      <c r="G725" t="inlineStr">
        <is>
          <t>Low Cost</t>
        </is>
      </c>
      <c r="H725" t="n">
        <v>91.5</v>
      </c>
      <c r="I725">
        <f>B725&amp;"|"&amp;F725&amp;"|"&amp;G725</f>
        <v/>
      </c>
      <c r="J725" t="inlineStr">
        <is>
          <t>MVS Sec.13 p.19</t>
        </is>
      </c>
    </row>
    <row r="726">
      <c r="B726" t="inlineStr">
        <is>
          <t>Banquet Halls</t>
        </is>
      </c>
      <c r="C726" t="inlineStr">
        <is>
          <t>718</t>
        </is>
      </c>
      <c r="D726" t="inlineStr">
        <is>
          <t>13</t>
        </is>
      </c>
      <c r="E726" t="inlineStr">
        <is>
          <t>19</t>
        </is>
      </c>
      <c r="F726" t="inlineStr">
        <is>
          <t>S</t>
        </is>
      </c>
      <c r="G726" t="inlineStr">
        <is>
          <t>Good</t>
        </is>
      </c>
      <c r="H726" t="n">
        <v>193</v>
      </c>
      <c r="I726">
        <f>B726&amp;"|"&amp;F726&amp;"|"&amp;G726</f>
        <v/>
      </c>
      <c r="J726" t="inlineStr">
        <is>
          <t>MVS Sec.13 p.19</t>
        </is>
      </c>
    </row>
    <row r="727">
      <c r="B727" t="inlineStr">
        <is>
          <t>Banquet Halls</t>
        </is>
      </c>
      <c r="C727" t="inlineStr">
        <is>
          <t>718</t>
        </is>
      </c>
      <c r="D727" t="inlineStr">
        <is>
          <t>13</t>
        </is>
      </c>
      <c r="E727" t="inlineStr">
        <is>
          <t>19</t>
        </is>
      </c>
      <c r="F727" t="inlineStr">
        <is>
          <t>S</t>
        </is>
      </c>
      <c r="G727" t="inlineStr">
        <is>
          <t>Average</t>
        </is>
      </c>
      <c r="H727" t="n">
        <v>138</v>
      </c>
      <c r="I727">
        <f>B727&amp;"|"&amp;F727&amp;"|"&amp;G727</f>
        <v/>
      </c>
      <c r="J727" t="inlineStr">
        <is>
          <t>MVS Sec.13 p.19</t>
        </is>
      </c>
    </row>
    <row r="728">
      <c r="B728" t="inlineStr">
        <is>
          <t>Banquet Halls</t>
        </is>
      </c>
      <c r="C728" t="inlineStr">
        <is>
          <t>718</t>
        </is>
      </c>
      <c r="D728" t="inlineStr">
        <is>
          <t>13</t>
        </is>
      </c>
      <c r="E728" t="inlineStr">
        <is>
          <t>19</t>
        </is>
      </c>
      <c r="F728" t="inlineStr">
        <is>
          <t>S</t>
        </is>
      </c>
      <c r="G728" t="inlineStr">
        <is>
          <t>Low Cost</t>
        </is>
      </c>
      <c r="H728" t="n">
        <v>94.5</v>
      </c>
      <c r="I728">
        <f>B728&amp;"|"&amp;F728&amp;"|"&amp;G728</f>
        <v/>
      </c>
      <c r="J728" t="inlineStr">
        <is>
          <t>MVS Sec.13 p.19</t>
        </is>
      </c>
    </row>
    <row r="729">
      <c r="B729" t="inlineStr">
        <is>
          <t>Modular Restaurants – Diners</t>
        </is>
      </c>
      <c r="C729" t="inlineStr">
        <is>
          <t>719</t>
        </is>
      </c>
      <c r="D729" t="inlineStr">
        <is>
          <t>13</t>
        </is>
      </c>
      <c r="E729" t="inlineStr">
        <is>
          <t>19</t>
        </is>
      </c>
      <c r="F729" t="inlineStr">
        <is>
          <t>S</t>
        </is>
      </c>
      <c r="G729" t="inlineStr">
        <is>
          <t>Excellent</t>
        </is>
      </c>
      <c r="H729" t="n">
        <v>350</v>
      </c>
      <c r="I729">
        <f>B729&amp;"|"&amp;F729&amp;"|"&amp;G729</f>
        <v/>
      </c>
      <c r="J729" t="inlineStr">
        <is>
          <t>MVS Sec.13 p.19</t>
        </is>
      </c>
    </row>
    <row r="730">
      <c r="B730" t="inlineStr">
        <is>
          <t>Modular Restaurants – Diners</t>
        </is>
      </c>
      <c r="C730" t="inlineStr">
        <is>
          <t>719</t>
        </is>
      </c>
      <c r="D730" t="inlineStr">
        <is>
          <t>13</t>
        </is>
      </c>
      <c r="E730" t="inlineStr">
        <is>
          <t>19</t>
        </is>
      </c>
      <c r="F730" t="inlineStr">
        <is>
          <t>S</t>
        </is>
      </c>
      <c r="G730" t="inlineStr">
        <is>
          <t>Good</t>
        </is>
      </c>
      <c r="H730" t="n">
        <v>329</v>
      </c>
      <c r="I730">
        <f>B730&amp;"|"&amp;F730&amp;"|"&amp;G730</f>
        <v/>
      </c>
      <c r="J730" t="inlineStr">
        <is>
          <t>MVS Sec.13 p.19</t>
        </is>
      </c>
    </row>
    <row r="731">
      <c r="B731" t="inlineStr">
        <is>
          <t>Modular Restaurants – Diners</t>
        </is>
      </c>
      <c r="C731" t="inlineStr">
        <is>
          <t>719</t>
        </is>
      </c>
      <c r="D731" t="inlineStr">
        <is>
          <t>13</t>
        </is>
      </c>
      <c r="E731" t="inlineStr">
        <is>
          <t>19</t>
        </is>
      </c>
      <c r="F731" t="inlineStr">
        <is>
          <t>S</t>
        </is>
      </c>
      <c r="G731" t="inlineStr">
        <is>
          <t>Average</t>
        </is>
      </c>
      <c r="H731" t="n">
        <v>309</v>
      </c>
      <c r="I731">
        <f>B731&amp;"|"&amp;F731&amp;"|"&amp;G731</f>
        <v/>
      </c>
      <c r="J731" t="inlineStr">
        <is>
          <t>MVS Sec.13 p.19</t>
        </is>
      </c>
    </row>
    <row r="732">
      <c r="B732" t="inlineStr">
        <is>
          <t>Modular Restaurants – Diners</t>
        </is>
      </c>
      <c r="C732" t="inlineStr">
        <is>
          <t>719</t>
        </is>
      </c>
      <c r="D732" t="inlineStr">
        <is>
          <t>13</t>
        </is>
      </c>
      <c r="E732" t="inlineStr">
        <is>
          <t>19</t>
        </is>
      </c>
      <c r="F732" t="inlineStr">
        <is>
          <t>S</t>
        </is>
      </c>
      <c r="G732" t="inlineStr">
        <is>
          <t>Low Cost</t>
        </is>
      </c>
      <c r="H732" t="n">
        <v>291</v>
      </c>
      <c r="I732">
        <f>B732&amp;"|"&amp;F732&amp;"|"&amp;G732</f>
        <v/>
      </c>
      <c r="J732" t="inlineStr">
        <is>
          <t>MVS Sec.13 p.19</t>
        </is>
      </c>
    </row>
    <row r="733">
      <c r="B733" t="inlineStr">
        <is>
          <t>Supermarkets</t>
        </is>
      </c>
      <c r="C733" t="inlineStr">
        <is>
          <t>446</t>
        </is>
      </c>
      <c r="D733" t="inlineStr">
        <is>
          <t>13</t>
        </is>
      </c>
      <c r="E733" t="inlineStr">
        <is>
          <t>20</t>
        </is>
      </c>
      <c r="F733" t="inlineStr">
        <is>
          <t>A-B</t>
        </is>
      </c>
      <c r="G733" t="inlineStr">
        <is>
          <t>Good</t>
        </is>
      </c>
      <c r="H733" t="n">
        <v>176</v>
      </c>
      <c r="I733">
        <f>B733&amp;"|"&amp;F733&amp;"|"&amp;G733</f>
        <v/>
      </c>
      <c r="J733" t="inlineStr">
        <is>
          <t>MVS Sec.13 p.20</t>
        </is>
      </c>
    </row>
    <row r="734">
      <c r="B734" t="inlineStr">
        <is>
          <t>Supermarkets</t>
        </is>
      </c>
      <c r="C734" t="inlineStr">
        <is>
          <t>446</t>
        </is>
      </c>
      <c r="D734" t="inlineStr">
        <is>
          <t>13</t>
        </is>
      </c>
      <c r="E734" t="inlineStr">
        <is>
          <t>20</t>
        </is>
      </c>
      <c r="F734" t="inlineStr">
        <is>
          <t>A-B</t>
        </is>
      </c>
      <c r="G734" t="inlineStr">
        <is>
          <t>Average</t>
        </is>
      </c>
      <c r="H734" t="n">
        <v>153</v>
      </c>
      <c r="I734">
        <f>B734&amp;"|"&amp;F734&amp;"|"&amp;G734</f>
        <v/>
      </c>
      <c r="J734" t="inlineStr">
        <is>
          <t>MVS Sec.13 p.20</t>
        </is>
      </c>
    </row>
    <row r="735">
      <c r="B735" t="inlineStr">
        <is>
          <t>Supermarkets</t>
        </is>
      </c>
      <c r="C735" t="inlineStr">
        <is>
          <t>446</t>
        </is>
      </c>
      <c r="D735" t="inlineStr">
        <is>
          <t>13</t>
        </is>
      </c>
      <c r="E735" t="inlineStr">
        <is>
          <t>20</t>
        </is>
      </c>
      <c r="F735" t="inlineStr">
        <is>
          <t>C</t>
        </is>
      </c>
      <c r="G735" t="inlineStr">
        <is>
          <t>Excellent</t>
        </is>
      </c>
      <c r="H735" t="n">
        <v>177</v>
      </c>
      <c r="I735">
        <f>B735&amp;"|"&amp;F735&amp;"|"&amp;G735</f>
        <v/>
      </c>
      <c r="J735" t="inlineStr">
        <is>
          <t>MVS Sec.13 p.20</t>
        </is>
      </c>
    </row>
    <row r="736">
      <c r="B736" t="inlineStr">
        <is>
          <t>Supermarkets</t>
        </is>
      </c>
      <c r="C736" t="inlineStr">
        <is>
          <t>446</t>
        </is>
      </c>
      <c r="D736" t="inlineStr">
        <is>
          <t>13</t>
        </is>
      </c>
      <c r="E736" t="inlineStr">
        <is>
          <t>20</t>
        </is>
      </c>
      <c r="F736" t="inlineStr">
        <is>
          <t>C</t>
        </is>
      </c>
      <c r="G736" t="inlineStr">
        <is>
          <t>Good</t>
        </is>
      </c>
      <c r="H736" t="n">
        <v>149</v>
      </c>
      <c r="I736">
        <f>B736&amp;"|"&amp;F736&amp;"|"&amp;G736</f>
        <v/>
      </c>
      <c r="J736" t="inlineStr">
        <is>
          <t>MVS Sec.13 p.20</t>
        </is>
      </c>
    </row>
    <row r="737">
      <c r="B737" t="inlineStr">
        <is>
          <t>Supermarkets</t>
        </is>
      </c>
      <c r="C737" t="inlineStr">
        <is>
          <t>446</t>
        </is>
      </c>
      <c r="D737" t="inlineStr">
        <is>
          <t>13</t>
        </is>
      </c>
      <c r="E737" t="inlineStr">
        <is>
          <t>20</t>
        </is>
      </c>
      <c r="F737" t="inlineStr">
        <is>
          <t>C</t>
        </is>
      </c>
      <c r="G737" t="inlineStr">
        <is>
          <t>Average</t>
        </is>
      </c>
      <c r="H737" t="n">
        <v>121</v>
      </c>
      <c r="I737">
        <f>B737&amp;"|"&amp;F737&amp;"|"&amp;G737</f>
        <v/>
      </c>
      <c r="J737" t="inlineStr">
        <is>
          <t>MVS Sec.13 p.20</t>
        </is>
      </c>
    </row>
    <row r="738">
      <c r="B738" t="inlineStr">
        <is>
          <t>Supermarkets</t>
        </is>
      </c>
      <c r="C738" t="inlineStr">
        <is>
          <t>446</t>
        </is>
      </c>
      <c r="D738" t="inlineStr">
        <is>
          <t>13</t>
        </is>
      </c>
      <c r="E738" t="inlineStr">
        <is>
          <t>20</t>
        </is>
      </c>
      <c r="F738" t="inlineStr">
        <is>
          <t>C</t>
        </is>
      </c>
      <c r="G738" t="inlineStr">
        <is>
          <t>Low Cost</t>
        </is>
      </c>
      <c r="H738" t="n">
        <v>102</v>
      </c>
      <c r="I738">
        <f>B738&amp;"|"&amp;F738&amp;"|"&amp;G738</f>
        <v/>
      </c>
      <c r="J738" t="inlineStr">
        <is>
          <t>MVS Sec.13 p.20</t>
        </is>
      </c>
    </row>
    <row r="739">
      <c r="B739" t="inlineStr">
        <is>
          <t>Supermarkets</t>
        </is>
      </c>
      <c r="C739" t="inlineStr">
        <is>
          <t>446</t>
        </is>
      </c>
      <c r="D739" t="inlineStr">
        <is>
          <t>13</t>
        </is>
      </c>
      <c r="E739" t="inlineStr">
        <is>
          <t>20</t>
        </is>
      </c>
      <c r="F739" t="inlineStr">
        <is>
          <t>D</t>
        </is>
      </c>
      <c r="G739" t="inlineStr">
        <is>
          <t>Excellent</t>
        </is>
      </c>
      <c r="H739" t="n">
        <v>166</v>
      </c>
      <c r="I739">
        <f>B739&amp;"|"&amp;F739&amp;"|"&amp;G739</f>
        <v/>
      </c>
      <c r="J739" t="inlineStr">
        <is>
          <t>MVS Sec.13 p.20</t>
        </is>
      </c>
    </row>
    <row r="740">
      <c r="B740" t="inlineStr">
        <is>
          <t>Supermarkets</t>
        </is>
      </c>
      <c r="C740" t="inlineStr">
        <is>
          <t>446</t>
        </is>
      </c>
      <c r="D740" t="inlineStr">
        <is>
          <t>13</t>
        </is>
      </c>
      <c r="E740" t="inlineStr">
        <is>
          <t>20</t>
        </is>
      </c>
      <c r="F740" t="inlineStr">
        <is>
          <t>D</t>
        </is>
      </c>
      <c r="G740" t="inlineStr">
        <is>
          <t>Good</t>
        </is>
      </c>
      <c r="H740" t="n">
        <v>139</v>
      </c>
      <c r="I740">
        <f>B740&amp;"|"&amp;F740&amp;"|"&amp;G740</f>
        <v/>
      </c>
      <c r="J740" t="inlineStr">
        <is>
          <t>MVS Sec.13 p.20</t>
        </is>
      </c>
    </row>
    <row r="741">
      <c r="B741" t="inlineStr">
        <is>
          <t>Supermarkets</t>
        </is>
      </c>
      <c r="C741" t="inlineStr">
        <is>
          <t>446</t>
        </is>
      </c>
      <c r="D741" t="inlineStr">
        <is>
          <t>13</t>
        </is>
      </c>
      <c r="E741" t="inlineStr">
        <is>
          <t>20</t>
        </is>
      </c>
      <c r="F741" t="inlineStr">
        <is>
          <t>D</t>
        </is>
      </c>
      <c r="G741" t="inlineStr">
        <is>
          <t>Average</t>
        </is>
      </c>
      <c r="H741" t="n">
        <v>113</v>
      </c>
      <c r="I741">
        <f>B741&amp;"|"&amp;F741&amp;"|"&amp;G741</f>
        <v/>
      </c>
      <c r="J741" t="inlineStr">
        <is>
          <t>MVS Sec.13 p.20</t>
        </is>
      </c>
    </row>
    <row r="742">
      <c r="B742" t="inlineStr">
        <is>
          <t>Supermarkets</t>
        </is>
      </c>
      <c r="C742" t="inlineStr">
        <is>
          <t>446</t>
        </is>
      </c>
      <c r="D742" t="inlineStr">
        <is>
          <t>13</t>
        </is>
      </c>
      <c r="E742" t="inlineStr">
        <is>
          <t>20</t>
        </is>
      </c>
      <c r="F742" t="inlineStr">
        <is>
          <t>S</t>
        </is>
      </c>
      <c r="G742" t="inlineStr">
        <is>
          <t>Good</t>
        </is>
      </c>
      <c r="H742" t="n">
        <v>139</v>
      </c>
      <c r="I742">
        <f>B742&amp;"|"&amp;F742&amp;"|"&amp;G742</f>
        <v/>
      </c>
      <c r="J742" t="inlineStr">
        <is>
          <t>MVS Sec.13 p.20</t>
        </is>
      </c>
    </row>
    <row r="743">
      <c r="B743" t="inlineStr">
        <is>
          <t>Supermarkets</t>
        </is>
      </c>
      <c r="C743" t="inlineStr">
        <is>
          <t>446</t>
        </is>
      </c>
      <c r="D743" t="inlineStr">
        <is>
          <t>13</t>
        </is>
      </c>
      <c r="E743" t="inlineStr">
        <is>
          <t>20</t>
        </is>
      </c>
      <c r="F743" t="inlineStr">
        <is>
          <t>S</t>
        </is>
      </c>
      <c r="G743" t="inlineStr">
        <is>
          <t>Average</t>
        </is>
      </c>
      <c r="H743" t="n">
        <v>111</v>
      </c>
      <c r="I743">
        <f>B743&amp;"|"&amp;F743&amp;"|"&amp;G743</f>
        <v/>
      </c>
      <c r="J743" t="inlineStr">
        <is>
          <t>MVS Sec.13 p.20</t>
        </is>
      </c>
    </row>
    <row r="744">
      <c r="B744" t="inlineStr">
        <is>
          <t>Supermarkets</t>
        </is>
      </c>
      <c r="C744" t="inlineStr">
        <is>
          <t>446</t>
        </is>
      </c>
      <c r="D744" t="inlineStr">
        <is>
          <t>13</t>
        </is>
      </c>
      <c r="E744" t="inlineStr">
        <is>
          <t>20</t>
        </is>
      </c>
      <c r="F744" t="inlineStr">
        <is>
          <t>S</t>
        </is>
      </c>
      <c r="G744" t="inlineStr">
        <is>
          <t>Low Cost</t>
        </is>
      </c>
      <c r="H744" t="n">
        <v>92</v>
      </c>
      <c r="I744">
        <f>B744&amp;"|"&amp;F744&amp;"|"&amp;G744</f>
        <v/>
      </c>
      <c r="J744" t="inlineStr">
        <is>
          <t>MVS Sec.13 p.20</t>
        </is>
      </c>
    </row>
    <row r="745">
      <c r="B745" t="inlineStr">
        <is>
          <t>Drug Stores</t>
        </is>
      </c>
      <c r="C745" t="inlineStr">
        <is>
          <t>511</t>
        </is>
      </c>
      <c r="D745" t="inlineStr">
        <is>
          <t>13</t>
        </is>
      </c>
      <c r="E745" t="inlineStr">
        <is>
          <t>20</t>
        </is>
      </c>
      <c r="F745" t="inlineStr">
        <is>
          <t>A-B</t>
        </is>
      </c>
      <c r="G745" t="inlineStr">
        <is>
          <t>Average</t>
        </is>
      </c>
      <c r="H745" t="n">
        <v>179</v>
      </c>
      <c r="I745">
        <f>B745&amp;"|"&amp;F745&amp;"|"&amp;G745</f>
        <v/>
      </c>
      <c r="J745" t="inlineStr">
        <is>
          <t>MVS Sec.13 p.20</t>
        </is>
      </c>
    </row>
    <row r="746">
      <c r="B746" t="inlineStr">
        <is>
          <t>Drug Stores</t>
        </is>
      </c>
      <c r="C746" t="inlineStr">
        <is>
          <t>511</t>
        </is>
      </c>
      <c r="D746" t="inlineStr">
        <is>
          <t>13</t>
        </is>
      </c>
      <c r="E746" t="inlineStr">
        <is>
          <t>20</t>
        </is>
      </c>
      <c r="F746" t="inlineStr">
        <is>
          <t>C</t>
        </is>
      </c>
      <c r="G746" t="inlineStr">
        <is>
          <t>Excellent</t>
        </is>
      </c>
      <c r="H746" t="n">
        <v>208</v>
      </c>
      <c r="I746">
        <f>B746&amp;"|"&amp;F746&amp;"|"&amp;G746</f>
        <v/>
      </c>
      <c r="J746" t="inlineStr">
        <is>
          <t>MVS Sec.13 p.20</t>
        </is>
      </c>
    </row>
    <row r="747">
      <c r="B747" t="inlineStr">
        <is>
          <t>Drug Stores</t>
        </is>
      </c>
      <c r="C747" t="inlineStr">
        <is>
          <t>511</t>
        </is>
      </c>
      <c r="D747" t="inlineStr">
        <is>
          <t>13</t>
        </is>
      </c>
      <c r="E747" t="inlineStr">
        <is>
          <t>20</t>
        </is>
      </c>
      <c r="F747" t="inlineStr">
        <is>
          <t>C</t>
        </is>
      </c>
      <c r="G747" t="inlineStr">
        <is>
          <t>Good</t>
        </is>
      </c>
      <c r="H747" t="n">
        <v>174</v>
      </c>
      <c r="I747">
        <f>B747&amp;"|"&amp;F747&amp;"|"&amp;G747</f>
        <v/>
      </c>
      <c r="J747" t="inlineStr">
        <is>
          <t>MVS Sec.13 p.20</t>
        </is>
      </c>
    </row>
    <row r="748">
      <c r="B748" t="inlineStr">
        <is>
          <t>Drug Stores</t>
        </is>
      </c>
      <c r="C748" t="inlineStr">
        <is>
          <t>511</t>
        </is>
      </c>
      <c r="D748" t="inlineStr">
        <is>
          <t>13</t>
        </is>
      </c>
      <c r="E748" t="inlineStr">
        <is>
          <t>20</t>
        </is>
      </c>
      <c r="F748" t="inlineStr">
        <is>
          <t>C</t>
        </is>
      </c>
      <c r="G748" t="inlineStr">
        <is>
          <t>Average</t>
        </is>
      </c>
      <c r="H748" t="n">
        <v>146</v>
      </c>
      <c r="I748">
        <f>B748&amp;"|"&amp;F748&amp;"|"&amp;G748</f>
        <v/>
      </c>
      <c r="J748" t="inlineStr">
        <is>
          <t>MVS Sec.13 p.20</t>
        </is>
      </c>
    </row>
    <row r="749">
      <c r="B749" t="inlineStr">
        <is>
          <t>Drug Stores</t>
        </is>
      </c>
      <c r="C749" t="inlineStr">
        <is>
          <t>511</t>
        </is>
      </c>
      <c r="D749" t="inlineStr">
        <is>
          <t>13</t>
        </is>
      </c>
      <c r="E749" t="inlineStr">
        <is>
          <t>20</t>
        </is>
      </c>
      <c r="F749" t="inlineStr">
        <is>
          <t>C</t>
        </is>
      </c>
      <c r="G749" t="inlineStr">
        <is>
          <t>Low Cost</t>
        </is>
      </c>
      <c r="H749" t="n">
        <v>123</v>
      </c>
      <c r="I749">
        <f>B749&amp;"|"&amp;F749&amp;"|"&amp;G749</f>
        <v/>
      </c>
      <c r="J749" t="inlineStr">
        <is>
          <t>MVS Sec.13 p.20</t>
        </is>
      </c>
    </row>
    <row r="750">
      <c r="B750" t="inlineStr">
        <is>
          <t>Drug Stores</t>
        </is>
      </c>
      <c r="C750" t="inlineStr">
        <is>
          <t>511</t>
        </is>
      </c>
      <c r="D750" t="inlineStr">
        <is>
          <t>13</t>
        </is>
      </c>
      <c r="E750" t="inlineStr">
        <is>
          <t>20</t>
        </is>
      </c>
      <c r="F750" t="inlineStr">
        <is>
          <t>D</t>
        </is>
      </c>
      <c r="G750" t="inlineStr">
        <is>
          <t>Excellent</t>
        </is>
      </c>
      <c r="H750" t="n">
        <v>197</v>
      </c>
      <c r="I750">
        <f>B750&amp;"|"&amp;F750&amp;"|"&amp;G750</f>
        <v/>
      </c>
      <c r="J750" t="inlineStr">
        <is>
          <t>MVS Sec.13 p.20</t>
        </is>
      </c>
    </row>
    <row r="751">
      <c r="B751" t="inlineStr">
        <is>
          <t>Drug Stores</t>
        </is>
      </c>
      <c r="C751" t="inlineStr">
        <is>
          <t>511</t>
        </is>
      </c>
      <c r="D751" t="inlineStr">
        <is>
          <t>13</t>
        </is>
      </c>
      <c r="E751" t="inlineStr">
        <is>
          <t>20</t>
        </is>
      </c>
      <c r="F751" t="inlineStr">
        <is>
          <t>D</t>
        </is>
      </c>
      <c r="G751" t="inlineStr">
        <is>
          <t>Good</t>
        </is>
      </c>
      <c r="H751" t="n">
        <v>165</v>
      </c>
      <c r="I751">
        <f>B751&amp;"|"&amp;F751&amp;"|"&amp;G751</f>
        <v/>
      </c>
      <c r="J751" t="inlineStr">
        <is>
          <t>MVS Sec.13 p.20</t>
        </is>
      </c>
    </row>
    <row r="752">
      <c r="B752" t="inlineStr">
        <is>
          <t>Drug Stores</t>
        </is>
      </c>
      <c r="C752" t="inlineStr">
        <is>
          <t>511</t>
        </is>
      </c>
      <c r="D752" t="inlineStr">
        <is>
          <t>13</t>
        </is>
      </c>
      <c r="E752" t="inlineStr">
        <is>
          <t>20</t>
        </is>
      </c>
      <c r="F752" t="inlineStr">
        <is>
          <t>D</t>
        </is>
      </c>
      <c r="G752" t="inlineStr">
        <is>
          <t>Average</t>
        </is>
      </c>
      <c r="H752" t="n">
        <v>138</v>
      </c>
      <c r="I752">
        <f>B752&amp;"|"&amp;F752&amp;"|"&amp;G752</f>
        <v/>
      </c>
      <c r="J752" t="inlineStr">
        <is>
          <t>MVS Sec.13 p.20</t>
        </is>
      </c>
    </row>
    <row r="753">
      <c r="B753" t="inlineStr">
        <is>
          <t>Drug Stores</t>
        </is>
      </c>
      <c r="C753" t="inlineStr">
        <is>
          <t>511</t>
        </is>
      </c>
      <c r="D753" t="inlineStr">
        <is>
          <t>13</t>
        </is>
      </c>
      <c r="E753" t="inlineStr">
        <is>
          <t>20</t>
        </is>
      </c>
      <c r="F753" t="inlineStr">
        <is>
          <t>D</t>
        </is>
      </c>
      <c r="G753" t="inlineStr">
        <is>
          <t>Low Cost</t>
        </is>
      </c>
      <c r="H753" t="n">
        <v>116</v>
      </c>
      <c r="I753">
        <f>B753&amp;"|"&amp;F753&amp;"|"&amp;G753</f>
        <v/>
      </c>
      <c r="J753" t="inlineStr">
        <is>
          <t>MVS Sec.13 p.20</t>
        </is>
      </c>
    </row>
    <row r="754">
      <c r="B754" t="inlineStr">
        <is>
          <t>Drug Stores</t>
        </is>
      </c>
      <c r="C754" t="inlineStr">
        <is>
          <t>511</t>
        </is>
      </c>
      <c r="D754" t="inlineStr">
        <is>
          <t>13</t>
        </is>
      </c>
      <c r="E754" t="inlineStr">
        <is>
          <t>20</t>
        </is>
      </c>
      <c r="F754" t="inlineStr">
        <is>
          <t>S</t>
        </is>
      </c>
      <c r="G754" t="inlineStr">
        <is>
          <t>Low Cost</t>
        </is>
      </c>
      <c r="H754" t="n">
        <v>114</v>
      </c>
      <c r="I754">
        <f>B754&amp;"|"&amp;F754&amp;"|"&amp;G754</f>
        <v/>
      </c>
      <c r="J754" t="inlineStr">
        <is>
          <t>MVS Sec.13 p.20</t>
        </is>
      </c>
    </row>
    <row r="755">
      <c r="B755" t="inlineStr">
        <is>
          <t>Markets</t>
        </is>
      </c>
      <c r="C755" t="inlineStr">
        <is>
          <t>340</t>
        </is>
      </c>
      <c r="D755" t="inlineStr">
        <is>
          <t>13</t>
        </is>
      </c>
      <c r="E755" t="inlineStr">
        <is>
          <t>21</t>
        </is>
      </c>
      <c r="F755" t="inlineStr">
        <is>
          <t>A-B</t>
        </is>
      </c>
      <c r="G755" t="inlineStr">
        <is>
          <t>Average</t>
        </is>
      </c>
      <c r="H755" t="n">
        <v>155</v>
      </c>
      <c r="I755">
        <f>B755&amp;"|"&amp;F755&amp;"|"&amp;G755</f>
        <v/>
      </c>
      <c r="J755" t="inlineStr">
        <is>
          <t>MVS Sec.13 p.21</t>
        </is>
      </c>
    </row>
    <row r="756">
      <c r="B756" t="inlineStr">
        <is>
          <t>Markets</t>
        </is>
      </c>
      <c r="C756" t="inlineStr">
        <is>
          <t>340</t>
        </is>
      </c>
      <c r="D756" t="inlineStr">
        <is>
          <t>13</t>
        </is>
      </c>
      <c r="E756" t="inlineStr">
        <is>
          <t>21</t>
        </is>
      </c>
      <c r="F756" t="inlineStr">
        <is>
          <t>C</t>
        </is>
      </c>
      <c r="G756" t="inlineStr">
        <is>
          <t>Excellent</t>
        </is>
      </c>
      <c r="H756" t="n">
        <v>186</v>
      </c>
      <c r="I756">
        <f>B756&amp;"|"&amp;F756&amp;"|"&amp;G756</f>
        <v/>
      </c>
      <c r="J756" t="inlineStr">
        <is>
          <t>MVS Sec.13 p.21</t>
        </is>
      </c>
    </row>
    <row r="757">
      <c r="B757" t="inlineStr">
        <is>
          <t>Markets</t>
        </is>
      </c>
      <c r="C757" t="inlineStr">
        <is>
          <t>340</t>
        </is>
      </c>
      <c r="D757" t="inlineStr">
        <is>
          <t>13</t>
        </is>
      </c>
      <c r="E757" t="inlineStr">
        <is>
          <t>21</t>
        </is>
      </c>
      <c r="F757" t="inlineStr">
        <is>
          <t>C</t>
        </is>
      </c>
      <c r="G757" t="inlineStr">
        <is>
          <t>Good</t>
        </is>
      </c>
      <c r="H757" t="n">
        <v>151</v>
      </c>
      <c r="I757">
        <f>B757&amp;"|"&amp;F757&amp;"|"&amp;G757</f>
        <v/>
      </c>
      <c r="J757" t="inlineStr">
        <is>
          <t>MVS Sec.13 p.21</t>
        </is>
      </c>
    </row>
    <row r="758">
      <c r="B758" t="inlineStr">
        <is>
          <t>Markets</t>
        </is>
      </c>
      <c r="C758" t="inlineStr">
        <is>
          <t>340</t>
        </is>
      </c>
      <c r="D758" t="inlineStr">
        <is>
          <t>13</t>
        </is>
      </c>
      <c r="E758" t="inlineStr">
        <is>
          <t>21</t>
        </is>
      </c>
      <c r="F758" t="inlineStr">
        <is>
          <t>C</t>
        </is>
      </c>
      <c r="G758" t="inlineStr">
        <is>
          <t>Average</t>
        </is>
      </c>
      <c r="H758" t="n">
        <v>120</v>
      </c>
      <c r="I758">
        <f>B758&amp;"|"&amp;F758&amp;"|"&amp;G758</f>
        <v/>
      </c>
      <c r="J758" t="inlineStr">
        <is>
          <t>MVS Sec.13 p.21</t>
        </is>
      </c>
    </row>
    <row r="759">
      <c r="B759" t="inlineStr">
        <is>
          <t>Markets</t>
        </is>
      </c>
      <c r="C759" t="inlineStr">
        <is>
          <t>340</t>
        </is>
      </c>
      <c r="D759" t="inlineStr">
        <is>
          <t>13</t>
        </is>
      </c>
      <c r="E759" t="inlineStr">
        <is>
          <t>21</t>
        </is>
      </c>
      <c r="F759" t="inlineStr">
        <is>
          <t>C</t>
        </is>
      </c>
      <c r="G759" t="inlineStr">
        <is>
          <t>Low Cost</t>
        </is>
      </c>
      <c r="H759" t="n">
        <v>92</v>
      </c>
      <c r="I759">
        <f>B759&amp;"|"&amp;F759&amp;"|"&amp;G759</f>
        <v/>
      </c>
      <c r="J759" t="inlineStr">
        <is>
          <t>MVS Sec.13 p.21</t>
        </is>
      </c>
    </row>
    <row r="760">
      <c r="B760" t="inlineStr">
        <is>
          <t>Markets</t>
        </is>
      </c>
      <c r="C760" t="inlineStr">
        <is>
          <t>340</t>
        </is>
      </c>
      <c r="D760" t="inlineStr">
        <is>
          <t>13</t>
        </is>
      </c>
      <c r="E760" t="inlineStr">
        <is>
          <t>21</t>
        </is>
      </c>
      <c r="F760" t="inlineStr">
        <is>
          <t>D</t>
        </is>
      </c>
      <c r="G760" t="inlineStr">
        <is>
          <t>Excellent</t>
        </is>
      </c>
      <c r="H760" t="n">
        <v>174</v>
      </c>
      <c r="I760">
        <f>B760&amp;"|"&amp;F760&amp;"|"&amp;G760</f>
        <v/>
      </c>
      <c r="J760" t="inlineStr">
        <is>
          <t>MVS Sec.13 p.21</t>
        </is>
      </c>
    </row>
    <row r="761">
      <c r="B761" t="inlineStr">
        <is>
          <t>Markets</t>
        </is>
      </c>
      <c r="C761" t="inlineStr">
        <is>
          <t>340</t>
        </is>
      </c>
      <c r="D761" t="inlineStr">
        <is>
          <t>13</t>
        </is>
      </c>
      <c r="E761" t="inlineStr">
        <is>
          <t>21</t>
        </is>
      </c>
      <c r="F761" t="inlineStr">
        <is>
          <t>D</t>
        </is>
      </c>
      <c r="G761" t="inlineStr">
        <is>
          <t>Good</t>
        </is>
      </c>
      <c r="H761" t="n">
        <v>141</v>
      </c>
      <c r="I761">
        <f>B761&amp;"|"&amp;F761&amp;"|"&amp;G761</f>
        <v/>
      </c>
      <c r="J761" t="inlineStr">
        <is>
          <t>MVS Sec.13 p.21</t>
        </is>
      </c>
    </row>
    <row r="762">
      <c r="B762" t="inlineStr">
        <is>
          <t>Markets</t>
        </is>
      </c>
      <c r="C762" t="inlineStr">
        <is>
          <t>340</t>
        </is>
      </c>
      <c r="D762" t="inlineStr">
        <is>
          <t>13</t>
        </is>
      </c>
      <c r="E762" t="inlineStr">
        <is>
          <t>21</t>
        </is>
      </c>
      <c r="F762" t="inlineStr">
        <is>
          <t>D</t>
        </is>
      </c>
      <c r="G762" t="inlineStr">
        <is>
          <t>Average</t>
        </is>
      </c>
      <c r="H762" t="n">
        <v>111</v>
      </c>
      <c r="I762">
        <f>B762&amp;"|"&amp;F762&amp;"|"&amp;G762</f>
        <v/>
      </c>
      <c r="J762" t="inlineStr">
        <is>
          <t>MVS Sec.13 p.21</t>
        </is>
      </c>
    </row>
    <row r="763">
      <c r="B763" t="inlineStr">
        <is>
          <t>Markets</t>
        </is>
      </c>
      <c r="C763" t="inlineStr">
        <is>
          <t>340</t>
        </is>
      </c>
      <c r="D763" t="inlineStr">
        <is>
          <t>13</t>
        </is>
      </c>
      <c r="E763" t="inlineStr">
        <is>
          <t>21</t>
        </is>
      </c>
      <c r="F763" t="inlineStr">
        <is>
          <t>D</t>
        </is>
      </c>
      <c r="G763" t="inlineStr">
        <is>
          <t>Low Cost</t>
        </is>
      </c>
      <c r="H763" t="n">
        <v>85</v>
      </c>
      <c r="I763">
        <f>B763&amp;"|"&amp;F763&amp;"|"&amp;G763</f>
        <v/>
      </c>
      <c r="J763" t="inlineStr">
        <is>
          <t>MVS Sec.13 p.21</t>
        </is>
      </c>
    </row>
    <row r="764">
      <c r="B764" t="inlineStr">
        <is>
          <t>Markets</t>
        </is>
      </c>
      <c r="C764" t="inlineStr">
        <is>
          <t>340</t>
        </is>
      </c>
      <c r="D764" t="inlineStr">
        <is>
          <t>13</t>
        </is>
      </c>
      <c r="E764" t="inlineStr">
        <is>
          <t>21</t>
        </is>
      </c>
      <c r="F764" t="inlineStr">
        <is>
          <t>DPOLE</t>
        </is>
      </c>
      <c r="G764" t="inlineStr">
        <is>
          <t>Average</t>
        </is>
      </c>
      <c r="H764" t="n">
        <v>107</v>
      </c>
      <c r="I764">
        <f>B764&amp;"|"&amp;F764&amp;"|"&amp;G764</f>
        <v/>
      </c>
      <c r="J764" t="inlineStr">
        <is>
          <t>MVS Sec.13 p.21</t>
        </is>
      </c>
    </row>
    <row r="765">
      <c r="B765" t="inlineStr">
        <is>
          <t>Markets</t>
        </is>
      </c>
      <c r="C765" t="inlineStr">
        <is>
          <t>340</t>
        </is>
      </c>
      <c r="D765" t="inlineStr">
        <is>
          <t>13</t>
        </is>
      </c>
      <c r="E765" t="inlineStr">
        <is>
          <t>21</t>
        </is>
      </c>
      <c r="F765" t="inlineStr">
        <is>
          <t>DPOLE</t>
        </is>
      </c>
      <c r="G765" t="inlineStr">
        <is>
          <t>Low Cost</t>
        </is>
      </c>
      <c r="H765" t="n">
        <v>80.5</v>
      </c>
      <c r="I765">
        <f>B765&amp;"|"&amp;F765&amp;"|"&amp;G765</f>
        <v/>
      </c>
      <c r="J765" t="inlineStr">
        <is>
          <t>MVS Sec.13 p.21</t>
        </is>
      </c>
    </row>
    <row r="766">
      <c r="B766" t="inlineStr">
        <is>
          <t>Markets</t>
        </is>
      </c>
      <c r="C766" t="inlineStr">
        <is>
          <t>340</t>
        </is>
      </c>
      <c r="D766" t="inlineStr">
        <is>
          <t>13</t>
        </is>
      </c>
      <c r="E766" t="inlineStr">
        <is>
          <t>21</t>
        </is>
      </c>
      <c r="F766" t="inlineStr">
        <is>
          <t>S</t>
        </is>
      </c>
      <c r="G766" t="inlineStr">
        <is>
          <t>Good</t>
        </is>
      </c>
      <c r="H766" t="n">
        <v>142</v>
      </c>
      <c r="I766">
        <f>B766&amp;"|"&amp;F766&amp;"|"&amp;G766</f>
        <v/>
      </c>
      <c r="J766" t="inlineStr">
        <is>
          <t>MVS Sec.13 p.21</t>
        </is>
      </c>
    </row>
    <row r="767">
      <c r="B767" t="inlineStr">
        <is>
          <t>Markets</t>
        </is>
      </c>
      <c r="C767" t="inlineStr">
        <is>
          <t>340</t>
        </is>
      </c>
      <c r="D767" t="inlineStr">
        <is>
          <t>13</t>
        </is>
      </c>
      <c r="E767" t="inlineStr">
        <is>
          <t>21</t>
        </is>
      </c>
      <c r="F767" t="inlineStr">
        <is>
          <t>S</t>
        </is>
      </c>
      <c r="G767" t="inlineStr">
        <is>
          <t>Average</t>
        </is>
      </c>
      <c r="H767" t="n">
        <v>109</v>
      </c>
      <c r="I767">
        <f>B767&amp;"|"&amp;F767&amp;"|"&amp;G767</f>
        <v/>
      </c>
      <c r="J767" t="inlineStr">
        <is>
          <t>MVS Sec.13 p.21</t>
        </is>
      </c>
    </row>
    <row r="768">
      <c r="B768" t="inlineStr">
        <is>
          <t>Markets</t>
        </is>
      </c>
      <c r="C768" t="inlineStr">
        <is>
          <t>340</t>
        </is>
      </c>
      <c r="D768" t="inlineStr">
        <is>
          <t>13</t>
        </is>
      </c>
      <c r="E768" t="inlineStr">
        <is>
          <t>21</t>
        </is>
      </c>
      <c r="F768" t="inlineStr">
        <is>
          <t>S</t>
        </is>
      </c>
      <c r="G768" t="inlineStr">
        <is>
          <t>Low Cost</t>
        </is>
      </c>
      <c r="H768" t="n">
        <v>82</v>
      </c>
      <c r="I768">
        <f>B768&amp;"|"&amp;F768&amp;"|"&amp;G768</f>
        <v/>
      </c>
      <c r="J768" t="inlineStr">
        <is>
          <t>MVS Sec.13 p.21</t>
        </is>
      </c>
    </row>
    <row r="769">
      <c r="B769" t="inlineStr">
        <is>
          <t>Florist Shops</t>
        </is>
      </c>
      <c r="C769" t="inlineStr">
        <is>
          <t>532</t>
        </is>
      </c>
      <c r="D769" t="inlineStr">
        <is>
          <t>13</t>
        </is>
      </c>
      <c r="E769" t="inlineStr">
        <is>
          <t>21</t>
        </is>
      </c>
      <c r="F769" t="inlineStr">
        <is>
          <t>A-B</t>
        </is>
      </c>
      <c r="G769" t="inlineStr">
        <is>
          <t>Average</t>
        </is>
      </c>
      <c r="H769" t="n">
        <v>152</v>
      </c>
      <c r="I769">
        <f>B769&amp;"|"&amp;F769&amp;"|"&amp;G769</f>
        <v/>
      </c>
      <c r="J769" t="inlineStr">
        <is>
          <t>MVS Sec.13 p.21</t>
        </is>
      </c>
    </row>
    <row r="770">
      <c r="B770" t="inlineStr">
        <is>
          <t>Florist Shops</t>
        </is>
      </c>
      <c r="C770" t="inlineStr">
        <is>
          <t>532</t>
        </is>
      </c>
      <c r="D770" t="inlineStr">
        <is>
          <t>13</t>
        </is>
      </c>
      <c r="E770" t="inlineStr">
        <is>
          <t>21</t>
        </is>
      </c>
      <c r="F770" t="inlineStr">
        <is>
          <t>C</t>
        </is>
      </c>
      <c r="G770" t="inlineStr">
        <is>
          <t>Excellent</t>
        </is>
      </c>
      <c r="H770" t="n">
        <v>179</v>
      </c>
      <c r="I770">
        <f>B770&amp;"|"&amp;F770&amp;"|"&amp;G770</f>
        <v/>
      </c>
      <c r="J770" t="inlineStr">
        <is>
          <t>MVS Sec.13 p.21</t>
        </is>
      </c>
    </row>
    <row r="771">
      <c r="B771" t="inlineStr">
        <is>
          <t>Florist Shops</t>
        </is>
      </c>
      <c r="C771" t="inlineStr">
        <is>
          <t>532</t>
        </is>
      </c>
      <c r="D771" t="inlineStr">
        <is>
          <t>13</t>
        </is>
      </c>
      <c r="E771" t="inlineStr">
        <is>
          <t>21</t>
        </is>
      </c>
      <c r="F771" t="inlineStr">
        <is>
          <t>C</t>
        </is>
      </c>
      <c r="G771" t="inlineStr">
        <is>
          <t>Good</t>
        </is>
      </c>
      <c r="H771" t="n">
        <v>148</v>
      </c>
      <c r="I771">
        <f>B771&amp;"|"&amp;F771&amp;"|"&amp;G771</f>
        <v/>
      </c>
      <c r="J771" t="inlineStr">
        <is>
          <t>MVS Sec.13 p.21</t>
        </is>
      </c>
    </row>
    <row r="772">
      <c r="B772" t="inlineStr">
        <is>
          <t>Florist Shops</t>
        </is>
      </c>
      <c r="C772" t="inlineStr">
        <is>
          <t>532</t>
        </is>
      </c>
      <c r="D772" t="inlineStr">
        <is>
          <t>13</t>
        </is>
      </c>
      <c r="E772" t="inlineStr">
        <is>
          <t>21</t>
        </is>
      </c>
      <c r="F772" t="inlineStr">
        <is>
          <t>C</t>
        </is>
      </c>
      <c r="G772" t="inlineStr">
        <is>
          <t>Average</t>
        </is>
      </c>
      <c r="H772" t="n">
        <v>118</v>
      </c>
      <c r="I772">
        <f>B772&amp;"|"&amp;F772&amp;"|"&amp;G772</f>
        <v/>
      </c>
      <c r="J772" t="inlineStr">
        <is>
          <t>MVS Sec.13 p.21</t>
        </is>
      </c>
    </row>
    <row r="773">
      <c r="B773" t="inlineStr">
        <is>
          <t>Florist Shops</t>
        </is>
      </c>
      <c r="C773" t="inlineStr">
        <is>
          <t>532</t>
        </is>
      </c>
      <c r="D773" t="inlineStr">
        <is>
          <t>13</t>
        </is>
      </c>
      <c r="E773" t="inlineStr">
        <is>
          <t>21</t>
        </is>
      </c>
      <c r="F773" t="inlineStr">
        <is>
          <t>C</t>
        </is>
      </c>
      <c r="G773" t="inlineStr">
        <is>
          <t>Low Cost</t>
        </is>
      </c>
      <c r="H773" t="n">
        <v>94</v>
      </c>
      <c r="I773">
        <f>B773&amp;"|"&amp;F773&amp;"|"&amp;G773</f>
        <v/>
      </c>
      <c r="J773" t="inlineStr">
        <is>
          <t>MVS Sec.13 p.21</t>
        </is>
      </c>
    </row>
    <row r="774">
      <c r="B774" t="inlineStr">
        <is>
          <t>Florist Shops</t>
        </is>
      </c>
      <c r="C774" t="inlineStr">
        <is>
          <t>532</t>
        </is>
      </c>
      <c r="D774" t="inlineStr">
        <is>
          <t>13</t>
        </is>
      </c>
      <c r="E774" t="inlineStr">
        <is>
          <t>21</t>
        </is>
      </c>
      <c r="F774" t="inlineStr">
        <is>
          <t>D</t>
        </is>
      </c>
      <c r="G774" t="inlineStr">
        <is>
          <t>Excellent</t>
        </is>
      </c>
      <c r="H774" t="n">
        <v>168</v>
      </c>
      <c r="I774">
        <f>B774&amp;"|"&amp;F774&amp;"|"&amp;G774</f>
        <v/>
      </c>
      <c r="J774" t="inlineStr">
        <is>
          <t>MVS Sec.13 p.21</t>
        </is>
      </c>
    </row>
    <row r="775">
      <c r="B775" t="inlineStr">
        <is>
          <t>Florist Shops</t>
        </is>
      </c>
      <c r="C775" t="inlineStr">
        <is>
          <t>532</t>
        </is>
      </c>
      <c r="D775" t="inlineStr">
        <is>
          <t>13</t>
        </is>
      </c>
      <c r="E775" t="inlineStr">
        <is>
          <t>21</t>
        </is>
      </c>
      <c r="F775" t="inlineStr">
        <is>
          <t>D</t>
        </is>
      </c>
      <c r="G775" t="inlineStr">
        <is>
          <t>Good</t>
        </is>
      </c>
      <c r="H775" t="n">
        <v>139</v>
      </c>
      <c r="I775">
        <f>B775&amp;"|"&amp;F775&amp;"|"&amp;G775</f>
        <v/>
      </c>
      <c r="J775" t="inlineStr">
        <is>
          <t>MVS Sec.13 p.21</t>
        </is>
      </c>
    </row>
    <row r="776">
      <c r="B776" t="inlineStr">
        <is>
          <t>Florist Shops</t>
        </is>
      </c>
      <c r="C776" t="inlineStr">
        <is>
          <t>532</t>
        </is>
      </c>
      <c r="D776" t="inlineStr">
        <is>
          <t>13</t>
        </is>
      </c>
      <c r="E776" t="inlineStr">
        <is>
          <t>21</t>
        </is>
      </c>
      <c r="F776" t="inlineStr">
        <is>
          <t>D</t>
        </is>
      </c>
      <c r="G776" t="inlineStr">
        <is>
          <t>Average</t>
        </is>
      </c>
      <c r="H776" t="n">
        <v>110</v>
      </c>
      <c r="I776">
        <f>B776&amp;"|"&amp;F776&amp;"|"&amp;G776</f>
        <v/>
      </c>
      <c r="J776" t="inlineStr">
        <is>
          <t>MVS Sec.13 p.21</t>
        </is>
      </c>
    </row>
    <row r="777">
      <c r="B777" t="inlineStr">
        <is>
          <t>Florist Shops</t>
        </is>
      </c>
      <c r="C777" t="inlineStr">
        <is>
          <t>532</t>
        </is>
      </c>
      <c r="D777" t="inlineStr">
        <is>
          <t>13</t>
        </is>
      </c>
      <c r="E777" t="inlineStr">
        <is>
          <t>21</t>
        </is>
      </c>
      <c r="F777" t="inlineStr">
        <is>
          <t>D</t>
        </is>
      </c>
      <c r="G777" t="inlineStr">
        <is>
          <t>Low Cost</t>
        </is>
      </c>
      <c r="H777" t="n">
        <v>87.5</v>
      </c>
      <c r="I777">
        <f>B777&amp;"|"&amp;F777&amp;"|"&amp;G777</f>
        <v/>
      </c>
      <c r="J777" t="inlineStr">
        <is>
          <t>MVS Sec.13 p.21</t>
        </is>
      </c>
    </row>
    <row r="778">
      <c r="B778" t="inlineStr">
        <is>
          <t>Florist Shops</t>
        </is>
      </c>
      <c r="C778" t="inlineStr">
        <is>
          <t>532</t>
        </is>
      </c>
      <c r="D778" t="inlineStr">
        <is>
          <t>13</t>
        </is>
      </c>
      <c r="E778" t="inlineStr">
        <is>
          <t>21</t>
        </is>
      </c>
      <c r="F778" t="inlineStr">
        <is>
          <t>DPOLE</t>
        </is>
      </c>
      <c r="G778" t="inlineStr">
        <is>
          <t>Low Cost</t>
        </is>
      </c>
      <c r="H778" t="n">
        <v>83.5</v>
      </c>
      <c r="I778">
        <f>B778&amp;"|"&amp;F778&amp;"|"&amp;G778</f>
        <v/>
      </c>
      <c r="J778" t="inlineStr">
        <is>
          <t>MVS Sec.13 p.21</t>
        </is>
      </c>
    </row>
    <row r="779">
      <c r="B779" t="inlineStr">
        <is>
          <t>Florist Shops</t>
        </is>
      </c>
      <c r="C779" t="inlineStr">
        <is>
          <t>532</t>
        </is>
      </c>
      <c r="D779" t="inlineStr">
        <is>
          <t>13</t>
        </is>
      </c>
      <c r="E779" t="inlineStr">
        <is>
          <t>21</t>
        </is>
      </c>
      <c r="F779" t="inlineStr">
        <is>
          <t>S</t>
        </is>
      </c>
      <c r="G779" t="inlineStr">
        <is>
          <t>Low Cost</t>
        </is>
      </c>
      <c r="H779" t="n">
        <v>86</v>
      </c>
      <c r="I779">
        <f>B779&amp;"|"&amp;F779&amp;"|"&amp;G779</f>
        <v/>
      </c>
      <c r="J779" t="inlineStr">
        <is>
          <t>MVS Sec.13 p.21</t>
        </is>
      </c>
    </row>
    <row r="780">
      <c r="B780" t="inlineStr">
        <is>
          <t>Convenience Stores</t>
        </is>
      </c>
      <c r="C780" t="inlineStr">
        <is>
          <t>419</t>
        </is>
      </c>
      <c r="D780" t="inlineStr">
        <is>
          <t>13</t>
        </is>
      </c>
      <c r="E780" t="inlineStr">
        <is>
          <t>22</t>
        </is>
      </c>
      <c r="F780" t="inlineStr">
        <is>
          <t>A-B</t>
        </is>
      </c>
      <c r="G780" t="inlineStr">
        <is>
          <t>Average</t>
        </is>
      </c>
      <c r="H780" t="n">
        <v>159</v>
      </c>
      <c r="I780">
        <f>B780&amp;"|"&amp;F780&amp;"|"&amp;G780</f>
        <v/>
      </c>
      <c r="J780" t="inlineStr">
        <is>
          <t>MVS Sec.13 p.22</t>
        </is>
      </c>
    </row>
    <row r="781">
      <c r="B781" t="inlineStr">
        <is>
          <t>Convenience Stores</t>
        </is>
      </c>
      <c r="C781" t="inlineStr">
        <is>
          <t>419</t>
        </is>
      </c>
      <c r="D781" t="inlineStr">
        <is>
          <t>13</t>
        </is>
      </c>
      <c r="E781" t="inlineStr">
        <is>
          <t>22</t>
        </is>
      </c>
      <c r="F781" t="inlineStr">
        <is>
          <t>C</t>
        </is>
      </c>
      <c r="G781" t="inlineStr">
        <is>
          <t>Excellent</t>
        </is>
      </c>
      <c r="H781" t="n">
        <v>186</v>
      </c>
      <c r="I781">
        <f>B781&amp;"|"&amp;F781&amp;"|"&amp;G781</f>
        <v/>
      </c>
      <c r="J781" t="inlineStr">
        <is>
          <t>MVS Sec.13 p.22</t>
        </is>
      </c>
    </row>
    <row r="782">
      <c r="B782" t="inlineStr">
        <is>
          <t>Convenience Stores</t>
        </is>
      </c>
      <c r="C782" t="inlineStr">
        <is>
          <t>419</t>
        </is>
      </c>
      <c r="D782" t="inlineStr">
        <is>
          <t>13</t>
        </is>
      </c>
      <c r="E782" t="inlineStr">
        <is>
          <t>22</t>
        </is>
      </c>
      <c r="F782" t="inlineStr">
        <is>
          <t>C</t>
        </is>
      </c>
      <c r="G782" t="inlineStr">
        <is>
          <t>Good</t>
        </is>
      </c>
      <c r="H782" t="n">
        <v>156</v>
      </c>
      <c r="I782">
        <f>B782&amp;"|"&amp;F782&amp;"|"&amp;G782</f>
        <v/>
      </c>
      <c r="J782" t="inlineStr">
        <is>
          <t>MVS Sec.13 p.22</t>
        </is>
      </c>
    </row>
    <row r="783">
      <c r="B783" t="inlineStr">
        <is>
          <t>Convenience Stores</t>
        </is>
      </c>
      <c r="C783" t="inlineStr">
        <is>
          <t>419</t>
        </is>
      </c>
      <c r="D783" t="inlineStr">
        <is>
          <t>13</t>
        </is>
      </c>
      <c r="E783" t="inlineStr">
        <is>
          <t>22</t>
        </is>
      </c>
      <c r="F783" t="inlineStr">
        <is>
          <t>C</t>
        </is>
      </c>
      <c r="G783" t="inlineStr">
        <is>
          <t>Average</t>
        </is>
      </c>
      <c r="H783" t="n">
        <v>125</v>
      </c>
      <c r="I783">
        <f>B783&amp;"|"&amp;F783&amp;"|"&amp;G783</f>
        <v/>
      </c>
      <c r="J783" t="inlineStr">
        <is>
          <t>MVS Sec.13 p.22</t>
        </is>
      </c>
    </row>
    <row r="784">
      <c r="B784" t="inlineStr">
        <is>
          <t>Convenience Stores</t>
        </is>
      </c>
      <c r="C784" t="inlineStr">
        <is>
          <t>419</t>
        </is>
      </c>
      <c r="D784" t="inlineStr">
        <is>
          <t>13</t>
        </is>
      </c>
      <c r="E784" t="inlineStr">
        <is>
          <t>22</t>
        </is>
      </c>
      <c r="F784" t="inlineStr">
        <is>
          <t>C</t>
        </is>
      </c>
      <c r="G784" t="inlineStr">
        <is>
          <t>Low Cost</t>
        </is>
      </c>
      <c r="H784" t="n">
        <v>101</v>
      </c>
      <c r="I784">
        <f>B784&amp;"|"&amp;F784&amp;"|"&amp;G784</f>
        <v/>
      </c>
      <c r="J784" t="inlineStr">
        <is>
          <t>MVS Sec.13 p.22</t>
        </is>
      </c>
    </row>
    <row r="785">
      <c r="B785" t="inlineStr">
        <is>
          <t>Convenience Stores</t>
        </is>
      </c>
      <c r="C785" t="inlineStr">
        <is>
          <t>419</t>
        </is>
      </c>
      <c r="D785" t="inlineStr">
        <is>
          <t>13</t>
        </is>
      </c>
      <c r="E785" t="inlineStr">
        <is>
          <t>22</t>
        </is>
      </c>
      <c r="F785" t="inlineStr">
        <is>
          <t>D</t>
        </is>
      </c>
      <c r="G785" t="inlineStr">
        <is>
          <t>Excellent</t>
        </is>
      </c>
      <c r="H785" t="n">
        <v>176</v>
      </c>
      <c r="I785">
        <f>B785&amp;"|"&amp;F785&amp;"|"&amp;G785</f>
        <v/>
      </c>
      <c r="J785" t="inlineStr">
        <is>
          <t>MVS Sec.13 p.22</t>
        </is>
      </c>
    </row>
    <row r="786">
      <c r="B786" t="inlineStr">
        <is>
          <t>Convenience Stores</t>
        </is>
      </c>
      <c r="C786" t="inlineStr">
        <is>
          <t>419</t>
        </is>
      </c>
      <c r="D786" t="inlineStr">
        <is>
          <t>13</t>
        </is>
      </c>
      <c r="E786" t="inlineStr">
        <is>
          <t>22</t>
        </is>
      </c>
      <c r="F786" t="inlineStr">
        <is>
          <t>D</t>
        </is>
      </c>
      <c r="G786" t="inlineStr">
        <is>
          <t>Good</t>
        </is>
      </c>
      <c r="H786" t="n">
        <v>147</v>
      </c>
      <c r="I786">
        <f>B786&amp;"|"&amp;F786&amp;"|"&amp;G786</f>
        <v/>
      </c>
      <c r="J786" t="inlineStr">
        <is>
          <t>MVS Sec.13 p.22</t>
        </is>
      </c>
    </row>
    <row r="787">
      <c r="B787" t="inlineStr">
        <is>
          <t>Convenience Stores</t>
        </is>
      </c>
      <c r="C787" t="inlineStr">
        <is>
          <t>419</t>
        </is>
      </c>
      <c r="D787" t="inlineStr">
        <is>
          <t>13</t>
        </is>
      </c>
      <c r="E787" t="inlineStr">
        <is>
          <t>22</t>
        </is>
      </c>
      <c r="F787" t="inlineStr">
        <is>
          <t>D</t>
        </is>
      </c>
      <c r="G787" t="inlineStr">
        <is>
          <t>Average</t>
        </is>
      </c>
      <c r="H787" t="n">
        <v>117</v>
      </c>
      <c r="I787">
        <f>B787&amp;"|"&amp;F787&amp;"|"&amp;G787</f>
        <v/>
      </c>
      <c r="J787" t="inlineStr">
        <is>
          <t>MVS Sec.13 p.22</t>
        </is>
      </c>
    </row>
    <row r="788">
      <c r="B788" t="inlineStr">
        <is>
          <t>Convenience Stores</t>
        </is>
      </c>
      <c r="C788" t="inlineStr">
        <is>
          <t>419</t>
        </is>
      </c>
      <c r="D788" t="inlineStr">
        <is>
          <t>13</t>
        </is>
      </c>
      <c r="E788" t="inlineStr">
        <is>
          <t>22</t>
        </is>
      </c>
      <c r="F788" t="inlineStr">
        <is>
          <t>D</t>
        </is>
      </c>
      <c r="G788" t="inlineStr">
        <is>
          <t>Low Cost</t>
        </is>
      </c>
      <c r="H788" t="n">
        <v>94</v>
      </c>
      <c r="I788">
        <f>B788&amp;"|"&amp;F788&amp;"|"&amp;G788</f>
        <v/>
      </c>
      <c r="J788" t="inlineStr">
        <is>
          <t>MVS Sec.13 p.22</t>
        </is>
      </c>
    </row>
    <row r="789">
      <c r="B789" t="inlineStr">
        <is>
          <t>Convenience Stores</t>
        </is>
      </c>
      <c r="C789" t="inlineStr">
        <is>
          <t>419</t>
        </is>
      </c>
      <c r="D789" t="inlineStr">
        <is>
          <t>13</t>
        </is>
      </c>
      <c r="E789" t="inlineStr">
        <is>
          <t>22</t>
        </is>
      </c>
      <c r="F789" t="inlineStr">
        <is>
          <t>DPOLE</t>
        </is>
      </c>
      <c r="G789" t="inlineStr">
        <is>
          <t>Low Cost</t>
        </is>
      </c>
      <c r="H789" t="n">
        <v>90.5</v>
      </c>
      <c r="I789">
        <f>B789&amp;"|"&amp;F789&amp;"|"&amp;G789</f>
        <v/>
      </c>
      <c r="J789" t="inlineStr">
        <is>
          <t>MVS Sec.13 p.22</t>
        </is>
      </c>
    </row>
    <row r="790">
      <c r="B790" t="inlineStr">
        <is>
          <t>Convenience Stores</t>
        </is>
      </c>
      <c r="C790" t="inlineStr">
        <is>
          <t>419</t>
        </is>
      </c>
      <c r="D790" t="inlineStr">
        <is>
          <t>13</t>
        </is>
      </c>
      <c r="E790" t="inlineStr">
        <is>
          <t>22</t>
        </is>
      </c>
      <c r="F790" t="inlineStr">
        <is>
          <t>S</t>
        </is>
      </c>
      <c r="G790" t="inlineStr">
        <is>
          <t>Excellent</t>
        </is>
      </c>
      <c r="H790" t="n">
        <v>179</v>
      </c>
      <c r="I790">
        <f>B790&amp;"|"&amp;F790&amp;"|"&amp;G790</f>
        <v/>
      </c>
      <c r="J790" t="inlineStr">
        <is>
          <t>MVS Sec.13 p.22</t>
        </is>
      </c>
    </row>
    <row r="791">
      <c r="B791" t="inlineStr">
        <is>
          <t>Convenience Stores</t>
        </is>
      </c>
      <c r="C791" t="inlineStr">
        <is>
          <t>419</t>
        </is>
      </c>
      <c r="D791" t="inlineStr">
        <is>
          <t>13</t>
        </is>
      </c>
      <c r="E791" t="inlineStr">
        <is>
          <t>22</t>
        </is>
      </c>
      <c r="F791" t="inlineStr">
        <is>
          <t>S</t>
        </is>
      </c>
      <c r="G791" t="inlineStr">
        <is>
          <t>Good</t>
        </is>
      </c>
      <c r="H791" t="n">
        <v>148</v>
      </c>
      <c r="I791">
        <f>B791&amp;"|"&amp;F791&amp;"|"&amp;G791</f>
        <v/>
      </c>
      <c r="J791" t="inlineStr">
        <is>
          <t>MVS Sec.13 p.22</t>
        </is>
      </c>
    </row>
    <row r="792">
      <c r="B792" t="inlineStr">
        <is>
          <t>Convenience Stores</t>
        </is>
      </c>
      <c r="C792" t="inlineStr">
        <is>
          <t>419</t>
        </is>
      </c>
      <c r="D792" t="inlineStr">
        <is>
          <t>13</t>
        </is>
      </c>
      <c r="E792" t="inlineStr">
        <is>
          <t>22</t>
        </is>
      </c>
      <c r="F792" t="inlineStr">
        <is>
          <t>S</t>
        </is>
      </c>
      <c r="G792" t="inlineStr">
        <is>
          <t>Average</t>
        </is>
      </c>
      <c r="H792" t="n">
        <v>117</v>
      </c>
      <c r="I792">
        <f>B792&amp;"|"&amp;F792&amp;"|"&amp;G792</f>
        <v/>
      </c>
      <c r="J792" t="inlineStr">
        <is>
          <t>MVS Sec.13 p.22</t>
        </is>
      </c>
    </row>
    <row r="793">
      <c r="B793" t="inlineStr">
        <is>
          <t>Convenience Stores</t>
        </is>
      </c>
      <c r="C793" t="inlineStr">
        <is>
          <t>419</t>
        </is>
      </c>
      <c r="D793" t="inlineStr">
        <is>
          <t>13</t>
        </is>
      </c>
      <c r="E793" t="inlineStr">
        <is>
          <t>22</t>
        </is>
      </c>
      <c r="F793" t="inlineStr">
        <is>
          <t>S</t>
        </is>
      </c>
      <c r="G793" t="inlineStr">
        <is>
          <t>Low Cost</t>
        </is>
      </c>
      <c r="H793" t="n">
        <v>92.5</v>
      </c>
      <c r="I793">
        <f>B793&amp;"|"&amp;F793&amp;"|"&amp;G793</f>
        <v/>
      </c>
      <c r="J793" t="inlineStr">
        <is>
          <t>MVS Sec.13 p.22</t>
        </is>
      </c>
    </row>
    <row r="794">
      <c r="B794" t="inlineStr">
        <is>
          <t>Mini-Mart Convenience Stores</t>
        </is>
      </c>
      <c r="C794" t="inlineStr">
        <is>
          <t>531</t>
        </is>
      </c>
      <c r="D794" t="inlineStr">
        <is>
          <t>13</t>
        </is>
      </c>
      <c r="E794" t="inlineStr">
        <is>
          <t>22</t>
        </is>
      </c>
      <c r="F794" t="inlineStr">
        <is>
          <t>C</t>
        </is>
      </c>
      <c r="G794" t="inlineStr">
        <is>
          <t>Excellent</t>
        </is>
      </c>
      <c r="H794" t="n">
        <v>286</v>
      </c>
      <c r="I794">
        <f>B794&amp;"|"&amp;F794&amp;"|"&amp;G794</f>
        <v/>
      </c>
      <c r="J794" t="inlineStr">
        <is>
          <t>MVS Sec.13 p.22</t>
        </is>
      </c>
    </row>
    <row r="795">
      <c r="B795" t="inlineStr">
        <is>
          <t>Mini-Mart Convenience Stores</t>
        </is>
      </c>
      <c r="C795" t="inlineStr">
        <is>
          <t>531</t>
        </is>
      </c>
      <c r="D795" t="inlineStr">
        <is>
          <t>13</t>
        </is>
      </c>
      <c r="E795" t="inlineStr">
        <is>
          <t>22</t>
        </is>
      </c>
      <c r="F795" t="inlineStr">
        <is>
          <t>C</t>
        </is>
      </c>
      <c r="G795" t="inlineStr">
        <is>
          <t>Good</t>
        </is>
      </c>
      <c r="H795" t="n">
        <v>244</v>
      </c>
      <c r="I795">
        <f>B795&amp;"|"&amp;F795&amp;"|"&amp;G795</f>
        <v/>
      </c>
      <c r="J795" t="inlineStr">
        <is>
          <t>MVS Sec.13 p.22</t>
        </is>
      </c>
    </row>
    <row r="796">
      <c r="B796" t="inlineStr">
        <is>
          <t>Mini-Mart Convenience Stores</t>
        </is>
      </c>
      <c r="C796" t="inlineStr">
        <is>
          <t>531</t>
        </is>
      </c>
      <c r="D796" t="inlineStr">
        <is>
          <t>13</t>
        </is>
      </c>
      <c r="E796" t="inlineStr">
        <is>
          <t>22</t>
        </is>
      </c>
      <c r="F796" t="inlineStr">
        <is>
          <t>C</t>
        </is>
      </c>
      <c r="G796" t="inlineStr">
        <is>
          <t>Average</t>
        </is>
      </c>
      <c r="H796" t="n">
        <v>208</v>
      </c>
      <c r="I796">
        <f>B796&amp;"|"&amp;F796&amp;"|"&amp;G796</f>
        <v/>
      </c>
      <c r="J796" t="inlineStr">
        <is>
          <t>MVS Sec.13 p.22</t>
        </is>
      </c>
    </row>
    <row r="797">
      <c r="B797" t="inlineStr">
        <is>
          <t>Mini-Mart Convenience Stores</t>
        </is>
      </c>
      <c r="C797" t="inlineStr">
        <is>
          <t>531</t>
        </is>
      </c>
      <c r="D797" t="inlineStr">
        <is>
          <t>13</t>
        </is>
      </c>
      <c r="E797" t="inlineStr">
        <is>
          <t>22</t>
        </is>
      </c>
      <c r="F797" t="inlineStr">
        <is>
          <t>C</t>
        </is>
      </c>
      <c r="G797" t="inlineStr">
        <is>
          <t>Low Cost</t>
        </is>
      </c>
      <c r="H797" t="n">
        <v>178</v>
      </c>
      <c r="I797">
        <f>B797&amp;"|"&amp;F797&amp;"|"&amp;G797</f>
        <v/>
      </c>
      <c r="J797" t="inlineStr">
        <is>
          <t>MVS Sec.13 p.22</t>
        </is>
      </c>
    </row>
    <row r="798">
      <c r="B798" t="inlineStr">
        <is>
          <t>Mini-Mart Convenience Stores</t>
        </is>
      </c>
      <c r="C798" t="inlineStr">
        <is>
          <t>531</t>
        </is>
      </c>
      <c r="D798" t="inlineStr">
        <is>
          <t>13</t>
        </is>
      </c>
      <c r="E798" t="inlineStr">
        <is>
          <t>22</t>
        </is>
      </c>
      <c r="F798" t="inlineStr">
        <is>
          <t>D</t>
        </is>
      </c>
      <c r="G798" t="inlineStr">
        <is>
          <t>Good</t>
        </is>
      </c>
      <c r="H798" t="n">
        <v>234</v>
      </c>
      <c r="I798">
        <f>B798&amp;"|"&amp;F798&amp;"|"&amp;G798</f>
        <v/>
      </c>
      <c r="J798" t="inlineStr">
        <is>
          <t>MVS Sec.13 p.22</t>
        </is>
      </c>
    </row>
    <row r="799">
      <c r="B799" t="inlineStr">
        <is>
          <t>Mini-Mart Convenience Stores</t>
        </is>
      </c>
      <c r="C799" t="inlineStr">
        <is>
          <t>531</t>
        </is>
      </c>
      <c r="D799" t="inlineStr">
        <is>
          <t>13</t>
        </is>
      </c>
      <c r="E799" t="inlineStr">
        <is>
          <t>22</t>
        </is>
      </c>
      <c r="F799" t="inlineStr">
        <is>
          <t>D</t>
        </is>
      </c>
      <c r="G799" t="inlineStr">
        <is>
          <t>Average</t>
        </is>
      </c>
      <c r="H799" t="n">
        <v>199</v>
      </c>
      <c r="I799">
        <f>B799&amp;"|"&amp;F799&amp;"|"&amp;G799</f>
        <v/>
      </c>
      <c r="J799" t="inlineStr">
        <is>
          <t>MVS Sec.13 p.22</t>
        </is>
      </c>
    </row>
    <row r="800">
      <c r="B800" t="inlineStr">
        <is>
          <t>Mini-Mart Convenience Stores</t>
        </is>
      </c>
      <c r="C800" t="inlineStr">
        <is>
          <t>531</t>
        </is>
      </c>
      <c r="D800" t="inlineStr">
        <is>
          <t>13</t>
        </is>
      </c>
      <c r="E800" t="inlineStr">
        <is>
          <t>22</t>
        </is>
      </c>
      <c r="F800" t="inlineStr">
        <is>
          <t>D</t>
        </is>
      </c>
      <c r="G800" t="inlineStr">
        <is>
          <t>Low Cost</t>
        </is>
      </c>
      <c r="H800" t="n">
        <v>170</v>
      </c>
      <c r="I800">
        <f>B800&amp;"|"&amp;F800&amp;"|"&amp;G800</f>
        <v/>
      </c>
      <c r="J800" t="inlineStr">
        <is>
          <t>MVS Sec.13 p.22</t>
        </is>
      </c>
    </row>
    <row r="801">
      <c r="B801" t="inlineStr">
        <is>
          <t>Mini-Mart Convenience Stores</t>
        </is>
      </c>
      <c r="C801" t="inlineStr">
        <is>
          <t>531</t>
        </is>
      </c>
      <c r="D801" t="inlineStr">
        <is>
          <t>13</t>
        </is>
      </c>
      <c r="E801" t="inlineStr">
        <is>
          <t>22</t>
        </is>
      </c>
      <c r="F801" t="inlineStr">
        <is>
          <t>DPOLE</t>
        </is>
      </c>
      <c r="G801" t="inlineStr">
        <is>
          <t>Low Cost</t>
        </is>
      </c>
      <c r="H801" t="n">
        <v>169</v>
      </c>
      <c r="I801">
        <f>B801&amp;"|"&amp;F801&amp;"|"&amp;G801</f>
        <v/>
      </c>
      <c r="J801" t="inlineStr">
        <is>
          <t>MVS Sec.13 p.22</t>
        </is>
      </c>
    </row>
    <row r="802">
      <c r="B802" t="inlineStr">
        <is>
          <t>Mini-Mart Convenience Stores</t>
        </is>
      </c>
      <c r="C802" t="inlineStr">
        <is>
          <t>531</t>
        </is>
      </c>
      <c r="D802" t="inlineStr">
        <is>
          <t>13</t>
        </is>
      </c>
      <c r="E802" t="inlineStr">
        <is>
          <t>22</t>
        </is>
      </c>
      <c r="F802" t="inlineStr">
        <is>
          <t>S</t>
        </is>
      </c>
      <c r="G802" t="inlineStr">
        <is>
          <t>Excellent</t>
        </is>
      </c>
      <c r="H802" t="n">
        <v>284</v>
      </c>
      <c r="I802">
        <f>B802&amp;"|"&amp;F802&amp;"|"&amp;G802</f>
        <v/>
      </c>
      <c r="J802" t="inlineStr">
        <is>
          <t>MVS Sec.13 p.22</t>
        </is>
      </c>
    </row>
    <row r="803">
      <c r="B803" t="inlineStr">
        <is>
          <t>Mini-Mart Convenience Stores</t>
        </is>
      </c>
      <c r="C803" t="inlineStr">
        <is>
          <t>531</t>
        </is>
      </c>
      <c r="D803" t="inlineStr">
        <is>
          <t>13</t>
        </is>
      </c>
      <c r="E803" t="inlineStr">
        <is>
          <t>22</t>
        </is>
      </c>
      <c r="F803" t="inlineStr">
        <is>
          <t>S</t>
        </is>
      </c>
      <c r="G803" t="inlineStr">
        <is>
          <t>Good</t>
        </is>
      </c>
      <c r="H803" t="n">
        <v>245</v>
      </c>
      <c r="I803">
        <f>B803&amp;"|"&amp;F803&amp;"|"&amp;G803</f>
        <v/>
      </c>
      <c r="J803" t="inlineStr">
        <is>
          <t>MVS Sec.13 p.22</t>
        </is>
      </c>
    </row>
    <row r="804">
      <c r="B804" t="inlineStr">
        <is>
          <t>Mini-Mart Convenience Stores</t>
        </is>
      </c>
      <c r="C804" t="inlineStr">
        <is>
          <t>531</t>
        </is>
      </c>
      <c r="D804" t="inlineStr">
        <is>
          <t>13</t>
        </is>
      </c>
      <c r="E804" t="inlineStr">
        <is>
          <t>22</t>
        </is>
      </c>
      <c r="F804" t="inlineStr">
        <is>
          <t>S</t>
        </is>
      </c>
      <c r="G804" t="inlineStr">
        <is>
          <t>Average</t>
        </is>
      </c>
      <c r="H804" t="n">
        <v>212</v>
      </c>
      <c r="I804">
        <f>B804&amp;"|"&amp;F804&amp;"|"&amp;G804</f>
        <v/>
      </c>
      <c r="J804" t="inlineStr">
        <is>
          <t>MVS Sec.13 p.22</t>
        </is>
      </c>
    </row>
    <row r="805">
      <c r="B805" t="inlineStr">
        <is>
          <t>Mini-Mart Convenience Stores</t>
        </is>
      </c>
      <c r="C805" t="inlineStr">
        <is>
          <t>531</t>
        </is>
      </c>
      <c r="D805" t="inlineStr">
        <is>
          <t>13</t>
        </is>
      </c>
      <c r="E805" t="inlineStr">
        <is>
          <t>22</t>
        </is>
      </c>
      <c r="F805" t="inlineStr">
        <is>
          <t>S</t>
        </is>
      </c>
      <c r="G805" t="inlineStr">
        <is>
          <t>Low Cost</t>
        </is>
      </c>
      <c r="H805" t="n">
        <v>183</v>
      </c>
      <c r="I805">
        <f>B805&amp;"|"&amp;F805&amp;"|"&amp;G805</f>
        <v/>
      </c>
      <c r="J805" t="inlineStr">
        <is>
          <t>MVS Sec.13 p.22</t>
        </is>
      </c>
    </row>
    <row r="806">
      <c r="B806" t="inlineStr">
        <is>
          <t>Roadside Markets</t>
        </is>
      </c>
      <c r="C806" t="inlineStr">
        <is>
          <t>586</t>
        </is>
      </c>
      <c r="D806" t="inlineStr">
        <is>
          <t>13</t>
        </is>
      </c>
      <c r="E806" t="inlineStr">
        <is>
          <t>23</t>
        </is>
      </c>
      <c r="F806" t="inlineStr">
        <is>
          <t>C</t>
        </is>
      </c>
      <c r="G806" t="inlineStr">
        <is>
          <t>Excellent</t>
        </is>
      </c>
      <c r="H806" t="n">
        <v>133</v>
      </c>
      <c r="I806">
        <f>B806&amp;"|"&amp;F806&amp;"|"&amp;G806</f>
        <v/>
      </c>
      <c r="J806" t="inlineStr">
        <is>
          <t>MVS Sec.13 p.23</t>
        </is>
      </c>
    </row>
    <row r="807">
      <c r="B807" t="inlineStr">
        <is>
          <t>Roadside Markets</t>
        </is>
      </c>
      <c r="C807" t="inlineStr">
        <is>
          <t>586</t>
        </is>
      </c>
      <c r="D807" t="inlineStr">
        <is>
          <t>13</t>
        </is>
      </c>
      <c r="E807" t="inlineStr">
        <is>
          <t>23</t>
        </is>
      </c>
      <c r="F807" t="inlineStr">
        <is>
          <t>C</t>
        </is>
      </c>
      <c r="G807" t="inlineStr">
        <is>
          <t>Good</t>
        </is>
      </c>
      <c r="H807" t="n">
        <v>83.5</v>
      </c>
      <c r="I807">
        <f>B807&amp;"|"&amp;F807&amp;"|"&amp;G807</f>
        <v/>
      </c>
      <c r="J807" t="inlineStr">
        <is>
          <t>MVS Sec.13 p.23</t>
        </is>
      </c>
    </row>
    <row r="808">
      <c r="B808" t="inlineStr">
        <is>
          <t>Roadside Markets</t>
        </is>
      </c>
      <c r="C808" t="inlineStr">
        <is>
          <t>586</t>
        </is>
      </c>
      <c r="D808" t="inlineStr">
        <is>
          <t>13</t>
        </is>
      </c>
      <c r="E808" t="inlineStr">
        <is>
          <t>23</t>
        </is>
      </c>
      <c r="F808" t="inlineStr">
        <is>
          <t>C</t>
        </is>
      </c>
      <c r="G808" t="inlineStr">
        <is>
          <t>Average</t>
        </is>
      </c>
      <c r="H808" t="n">
        <v>53.5</v>
      </c>
      <c r="I808">
        <f>B808&amp;"|"&amp;F808&amp;"|"&amp;G808</f>
        <v/>
      </c>
      <c r="J808" t="inlineStr">
        <is>
          <t>MVS Sec.13 p.23</t>
        </is>
      </c>
    </row>
    <row r="809">
      <c r="B809" t="inlineStr">
        <is>
          <t>Roadside Markets</t>
        </is>
      </c>
      <c r="C809" t="inlineStr">
        <is>
          <t>586</t>
        </is>
      </c>
      <c r="D809" t="inlineStr">
        <is>
          <t>13</t>
        </is>
      </c>
      <c r="E809" t="inlineStr">
        <is>
          <t>23</t>
        </is>
      </c>
      <c r="F809" t="inlineStr">
        <is>
          <t>D</t>
        </is>
      </c>
      <c r="G809" t="inlineStr">
        <is>
          <t>Excellent</t>
        </is>
      </c>
      <c r="H809" t="n">
        <v>123</v>
      </c>
      <c r="I809">
        <f>B809&amp;"|"&amp;F809&amp;"|"&amp;G809</f>
        <v/>
      </c>
      <c r="J809" t="inlineStr">
        <is>
          <t>MVS Sec.13 p.23</t>
        </is>
      </c>
    </row>
    <row r="810">
      <c r="B810" t="inlineStr">
        <is>
          <t>Roadside Markets</t>
        </is>
      </c>
      <c r="C810" t="inlineStr">
        <is>
          <t>586</t>
        </is>
      </c>
      <c r="D810" t="inlineStr">
        <is>
          <t>13</t>
        </is>
      </c>
      <c r="E810" t="inlineStr">
        <is>
          <t>23</t>
        </is>
      </c>
      <c r="F810" t="inlineStr">
        <is>
          <t>D</t>
        </is>
      </c>
      <c r="G810" t="inlineStr">
        <is>
          <t>Good</t>
        </is>
      </c>
      <c r="H810" t="n">
        <v>75</v>
      </c>
      <c r="I810">
        <f>B810&amp;"|"&amp;F810&amp;"|"&amp;G810</f>
        <v/>
      </c>
      <c r="J810" t="inlineStr">
        <is>
          <t>MVS Sec.13 p.23</t>
        </is>
      </c>
    </row>
    <row r="811">
      <c r="B811" t="inlineStr">
        <is>
          <t>Roadside Markets</t>
        </is>
      </c>
      <c r="C811" t="inlineStr">
        <is>
          <t>586</t>
        </is>
      </c>
      <c r="D811" t="inlineStr">
        <is>
          <t>13</t>
        </is>
      </c>
      <c r="E811" t="inlineStr">
        <is>
          <t>23</t>
        </is>
      </c>
      <c r="F811" t="inlineStr">
        <is>
          <t>D</t>
        </is>
      </c>
      <c r="G811" t="inlineStr">
        <is>
          <t>Average</t>
        </is>
      </c>
      <c r="H811" t="n">
        <v>46.75</v>
      </c>
      <c r="I811">
        <f>B811&amp;"|"&amp;F811&amp;"|"&amp;G811</f>
        <v/>
      </c>
      <c r="J811" t="inlineStr">
        <is>
          <t>MVS Sec.13 p.23</t>
        </is>
      </c>
    </row>
    <row r="812">
      <c r="B812" t="inlineStr">
        <is>
          <t>Roadside Markets</t>
        </is>
      </c>
      <c r="C812" t="inlineStr">
        <is>
          <t>586</t>
        </is>
      </c>
      <c r="D812" t="inlineStr">
        <is>
          <t>13</t>
        </is>
      </c>
      <c r="E812" t="inlineStr">
        <is>
          <t>23</t>
        </is>
      </c>
      <c r="F812" t="inlineStr">
        <is>
          <t>D</t>
        </is>
      </c>
      <c r="G812" t="inlineStr">
        <is>
          <t>Low Cost</t>
        </is>
      </c>
      <c r="H812" t="n">
        <v>27.75</v>
      </c>
      <c r="I812">
        <f>B812&amp;"|"&amp;F812&amp;"|"&amp;G812</f>
        <v/>
      </c>
      <c r="J812" t="inlineStr">
        <is>
          <t>MVS Sec.13 p.23</t>
        </is>
      </c>
    </row>
    <row r="813">
      <c r="B813" t="inlineStr">
        <is>
          <t>Roadside Markets</t>
        </is>
      </c>
      <c r="C813" t="inlineStr">
        <is>
          <t>586</t>
        </is>
      </c>
      <c r="D813" t="inlineStr">
        <is>
          <t>13</t>
        </is>
      </c>
      <c r="E813" t="inlineStr">
        <is>
          <t>23</t>
        </is>
      </c>
      <c r="F813" t="inlineStr">
        <is>
          <t>D</t>
        </is>
      </c>
      <c r="G813" t="inlineStr">
        <is>
          <t>Cheap</t>
        </is>
      </c>
      <c r="H813" t="n">
        <v>17.2</v>
      </c>
      <c r="I813">
        <f>B813&amp;"|"&amp;F813&amp;"|"&amp;G813</f>
        <v/>
      </c>
      <c r="J813" t="inlineStr">
        <is>
          <t>MVS Sec.13 p.23</t>
        </is>
      </c>
    </row>
    <row r="814">
      <c r="B814" t="inlineStr">
        <is>
          <t>Roadside Markets</t>
        </is>
      </c>
      <c r="C814" t="inlineStr">
        <is>
          <t>586</t>
        </is>
      </c>
      <c r="D814" t="inlineStr">
        <is>
          <t>13</t>
        </is>
      </c>
      <c r="E814" t="inlineStr">
        <is>
          <t>23</t>
        </is>
      </c>
      <c r="F814" t="inlineStr">
        <is>
          <t>DPOLE</t>
        </is>
      </c>
      <c r="G814" t="inlineStr">
        <is>
          <t>Excellent</t>
        </is>
      </c>
      <c r="H814" t="n">
        <v>118</v>
      </c>
      <c r="I814">
        <f>B814&amp;"|"&amp;F814&amp;"|"&amp;G814</f>
        <v/>
      </c>
      <c r="J814" t="inlineStr">
        <is>
          <t>MVS Sec.13 p.23</t>
        </is>
      </c>
    </row>
    <row r="815">
      <c r="B815" t="inlineStr">
        <is>
          <t>Roadside Markets</t>
        </is>
      </c>
      <c r="C815" t="inlineStr">
        <is>
          <t>586</t>
        </is>
      </c>
      <c r="D815" t="inlineStr">
        <is>
          <t>13</t>
        </is>
      </c>
      <c r="E815" t="inlineStr">
        <is>
          <t>23</t>
        </is>
      </c>
      <c r="F815" t="inlineStr">
        <is>
          <t>DPOLE</t>
        </is>
      </c>
      <c r="G815" t="inlineStr">
        <is>
          <t>Good</t>
        </is>
      </c>
      <c r="H815" t="n">
        <v>70</v>
      </c>
      <c r="I815">
        <f>B815&amp;"|"&amp;F815&amp;"|"&amp;G815</f>
        <v/>
      </c>
      <c r="J815" t="inlineStr">
        <is>
          <t>MVS Sec.13 p.23</t>
        </is>
      </c>
    </row>
    <row r="816">
      <c r="B816" t="inlineStr">
        <is>
          <t>Roadside Markets</t>
        </is>
      </c>
      <c r="C816" t="inlineStr">
        <is>
          <t>586</t>
        </is>
      </c>
      <c r="D816" t="inlineStr">
        <is>
          <t>13</t>
        </is>
      </c>
      <c r="E816" t="inlineStr">
        <is>
          <t>23</t>
        </is>
      </c>
      <c r="F816" t="inlineStr">
        <is>
          <t>DPOLE</t>
        </is>
      </c>
      <c r="G816" t="inlineStr">
        <is>
          <t>Average</t>
        </is>
      </c>
      <c r="H816" t="n">
        <v>42.5</v>
      </c>
      <c r="I816">
        <f>B816&amp;"|"&amp;F816&amp;"|"&amp;G816</f>
        <v/>
      </c>
      <c r="J816" t="inlineStr">
        <is>
          <t>MVS Sec.13 p.23</t>
        </is>
      </c>
    </row>
    <row r="817">
      <c r="B817" t="inlineStr">
        <is>
          <t>Roadside Markets</t>
        </is>
      </c>
      <c r="C817" t="inlineStr">
        <is>
          <t>586</t>
        </is>
      </c>
      <c r="D817" t="inlineStr">
        <is>
          <t>13</t>
        </is>
      </c>
      <c r="E817" t="inlineStr">
        <is>
          <t>23</t>
        </is>
      </c>
      <c r="F817" t="inlineStr">
        <is>
          <t>DPOLE</t>
        </is>
      </c>
      <c r="G817" t="inlineStr">
        <is>
          <t>Low Cost</t>
        </is>
      </c>
      <c r="H817" t="n">
        <v>24.5</v>
      </c>
      <c r="I817">
        <f>B817&amp;"|"&amp;F817&amp;"|"&amp;G817</f>
        <v/>
      </c>
      <c r="J817" t="inlineStr">
        <is>
          <t>MVS Sec.13 p.23</t>
        </is>
      </c>
    </row>
    <row r="818">
      <c r="B818" t="inlineStr">
        <is>
          <t>Roadside Markets</t>
        </is>
      </c>
      <c r="C818" t="inlineStr">
        <is>
          <t>586</t>
        </is>
      </c>
      <c r="D818" t="inlineStr">
        <is>
          <t>13</t>
        </is>
      </c>
      <c r="E818" t="inlineStr">
        <is>
          <t>23</t>
        </is>
      </c>
      <c r="F818" t="inlineStr">
        <is>
          <t>DPOLE</t>
        </is>
      </c>
      <c r="G818" t="inlineStr">
        <is>
          <t>Cheap</t>
        </is>
      </c>
      <c r="H818" t="n">
        <v>14.9</v>
      </c>
      <c r="I818">
        <f>B818&amp;"|"&amp;F818&amp;"|"&amp;G818</f>
        <v/>
      </c>
      <c r="J818" t="inlineStr">
        <is>
          <t>MVS Sec.13 p.23</t>
        </is>
      </c>
    </row>
    <row r="819">
      <c r="B819" t="inlineStr">
        <is>
          <t>Roadside Markets</t>
        </is>
      </c>
      <c r="C819" t="inlineStr">
        <is>
          <t>586</t>
        </is>
      </c>
      <c r="D819" t="inlineStr">
        <is>
          <t>13</t>
        </is>
      </c>
      <c r="E819" t="inlineStr">
        <is>
          <t>23</t>
        </is>
      </c>
      <c r="F819" t="inlineStr">
        <is>
          <t>S</t>
        </is>
      </c>
      <c r="G819" t="inlineStr">
        <is>
          <t>Excellent</t>
        </is>
      </c>
      <c r="H819" t="n">
        <v>121</v>
      </c>
      <c r="I819">
        <f>B819&amp;"|"&amp;F819&amp;"|"&amp;G819</f>
        <v/>
      </c>
      <c r="J819" t="inlineStr">
        <is>
          <t>MVS Sec.13 p.23</t>
        </is>
      </c>
    </row>
    <row r="820">
      <c r="B820" t="inlineStr">
        <is>
          <t>Roadside Markets</t>
        </is>
      </c>
      <c r="C820" t="inlineStr">
        <is>
          <t>586</t>
        </is>
      </c>
      <c r="D820" t="inlineStr">
        <is>
          <t>13</t>
        </is>
      </c>
      <c r="E820" t="inlineStr">
        <is>
          <t>23</t>
        </is>
      </c>
      <c r="F820" t="inlineStr">
        <is>
          <t>S</t>
        </is>
      </c>
      <c r="G820" t="inlineStr">
        <is>
          <t>Good</t>
        </is>
      </c>
      <c r="H820" t="n">
        <v>74</v>
      </c>
      <c r="I820">
        <f>B820&amp;"|"&amp;F820&amp;"|"&amp;G820</f>
        <v/>
      </c>
      <c r="J820" t="inlineStr">
        <is>
          <t>MVS Sec.13 p.23</t>
        </is>
      </c>
    </row>
    <row r="821">
      <c r="B821" t="inlineStr">
        <is>
          <t>Roadside Markets</t>
        </is>
      </c>
      <c r="C821" t="inlineStr">
        <is>
          <t>586</t>
        </is>
      </c>
      <c r="D821" t="inlineStr">
        <is>
          <t>13</t>
        </is>
      </c>
      <c r="E821" t="inlineStr">
        <is>
          <t>23</t>
        </is>
      </c>
      <c r="F821" t="inlineStr">
        <is>
          <t>S</t>
        </is>
      </c>
      <c r="G821" t="inlineStr">
        <is>
          <t>Average</t>
        </is>
      </c>
      <c r="H821" t="n">
        <v>46</v>
      </c>
      <c r="I821">
        <f>B821&amp;"|"&amp;F821&amp;"|"&amp;G821</f>
        <v/>
      </c>
      <c r="J821" t="inlineStr">
        <is>
          <t>MVS Sec.13 p.23</t>
        </is>
      </c>
    </row>
    <row r="822">
      <c r="B822" t="inlineStr">
        <is>
          <t>Roadside Markets</t>
        </is>
      </c>
      <c r="C822" t="inlineStr">
        <is>
          <t>586</t>
        </is>
      </c>
      <c r="D822" t="inlineStr">
        <is>
          <t>13</t>
        </is>
      </c>
      <c r="E822" t="inlineStr">
        <is>
          <t>23</t>
        </is>
      </c>
      <c r="F822" t="inlineStr">
        <is>
          <t>S</t>
        </is>
      </c>
      <c r="G822" t="inlineStr">
        <is>
          <t>Low Cost</t>
        </is>
      </c>
      <c r="H822" t="n">
        <v>27.25</v>
      </c>
      <c r="I822">
        <f>B822&amp;"|"&amp;F822&amp;"|"&amp;G822</f>
        <v/>
      </c>
      <c r="J822" t="inlineStr">
        <is>
          <t>MVS Sec.13 p.23</t>
        </is>
      </c>
    </row>
    <row r="823">
      <c r="B823" t="inlineStr">
        <is>
          <t>Luxury Boutiques</t>
        </is>
      </c>
      <c r="C823" t="inlineStr">
        <is>
          <t>512</t>
        </is>
      </c>
      <c r="D823" t="inlineStr">
        <is>
          <t>13</t>
        </is>
      </c>
      <c r="E823" t="inlineStr">
        <is>
          <t>24</t>
        </is>
      </c>
      <c r="F823" t="inlineStr">
        <is>
          <t>A-B</t>
        </is>
      </c>
      <c r="G823" t="inlineStr">
        <is>
          <t>Good</t>
        </is>
      </c>
      <c r="H823" t="n">
        <v>448</v>
      </c>
      <c r="I823">
        <f>B823&amp;"|"&amp;F823&amp;"|"&amp;G823</f>
        <v/>
      </c>
      <c r="J823" t="inlineStr">
        <is>
          <t>MVS Sec.13 p.24</t>
        </is>
      </c>
    </row>
    <row r="824">
      <c r="B824" t="inlineStr">
        <is>
          <t>Luxury Boutiques</t>
        </is>
      </c>
      <c r="C824" t="inlineStr">
        <is>
          <t>512</t>
        </is>
      </c>
      <c r="D824" t="inlineStr">
        <is>
          <t>13</t>
        </is>
      </c>
      <c r="E824" t="inlineStr">
        <is>
          <t>24</t>
        </is>
      </c>
      <c r="F824" t="inlineStr">
        <is>
          <t>A-B</t>
        </is>
      </c>
      <c r="G824" t="inlineStr">
        <is>
          <t>Average</t>
        </is>
      </c>
      <c r="H824" t="n">
        <v>354</v>
      </c>
      <c r="I824">
        <f>B824&amp;"|"&amp;F824&amp;"|"&amp;G824</f>
        <v/>
      </c>
      <c r="J824" t="inlineStr">
        <is>
          <t>MVS Sec.13 p.24</t>
        </is>
      </c>
    </row>
    <row r="825">
      <c r="B825" t="inlineStr">
        <is>
          <t>Luxury Boutiques</t>
        </is>
      </c>
      <c r="C825" t="inlineStr">
        <is>
          <t>512</t>
        </is>
      </c>
      <c r="D825" t="inlineStr">
        <is>
          <t>13</t>
        </is>
      </c>
      <c r="E825" t="inlineStr">
        <is>
          <t>24</t>
        </is>
      </c>
      <c r="F825" t="inlineStr">
        <is>
          <t>C</t>
        </is>
      </c>
      <c r="G825" t="inlineStr">
        <is>
          <t>Good</t>
        </is>
      </c>
      <c r="H825" t="n">
        <v>386</v>
      </c>
      <c r="I825">
        <f>B825&amp;"|"&amp;F825&amp;"|"&amp;G825</f>
        <v/>
      </c>
      <c r="J825" t="inlineStr">
        <is>
          <t>MVS Sec.13 p.24</t>
        </is>
      </c>
    </row>
    <row r="826">
      <c r="B826" t="inlineStr">
        <is>
          <t>Luxury Boutiques</t>
        </is>
      </c>
      <c r="C826" t="inlineStr">
        <is>
          <t>512</t>
        </is>
      </c>
      <c r="D826" t="inlineStr">
        <is>
          <t>13</t>
        </is>
      </c>
      <c r="E826" t="inlineStr">
        <is>
          <t>24</t>
        </is>
      </c>
      <c r="F826" t="inlineStr">
        <is>
          <t>C</t>
        </is>
      </c>
      <c r="G826" t="inlineStr">
        <is>
          <t>Average</t>
        </is>
      </c>
      <c r="H826" t="n">
        <v>303</v>
      </c>
      <c r="I826">
        <f>B826&amp;"|"&amp;F826&amp;"|"&amp;G826</f>
        <v/>
      </c>
      <c r="J826" t="inlineStr">
        <is>
          <t>MVS Sec.13 p.24</t>
        </is>
      </c>
    </row>
    <row r="827">
      <c r="B827" t="inlineStr">
        <is>
          <t>Luxury Boutiques</t>
        </is>
      </c>
      <c r="C827" t="inlineStr">
        <is>
          <t>512</t>
        </is>
      </c>
      <c r="D827" t="inlineStr">
        <is>
          <t>13</t>
        </is>
      </c>
      <c r="E827" t="inlineStr">
        <is>
          <t>24</t>
        </is>
      </c>
      <c r="F827" t="inlineStr">
        <is>
          <t>C</t>
        </is>
      </c>
      <c r="G827" t="inlineStr">
        <is>
          <t>Low Cost</t>
        </is>
      </c>
      <c r="H827" t="n">
        <v>237</v>
      </c>
      <c r="I827">
        <f>B827&amp;"|"&amp;F827&amp;"|"&amp;G827</f>
        <v/>
      </c>
      <c r="J827" t="inlineStr">
        <is>
          <t>MVS Sec.13 p.24</t>
        </is>
      </c>
    </row>
    <row r="828">
      <c r="B828" t="inlineStr">
        <is>
          <t>Luxury Boutiques</t>
        </is>
      </c>
      <c r="C828" t="inlineStr">
        <is>
          <t>512</t>
        </is>
      </c>
      <c r="D828" t="inlineStr">
        <is>
          <t>13</t>
        </is>
      </c>
      <c r="E828" t="inlineStr">
        <is>
          <t>24</t>
        </is>
      </c>
      <c r="F828" t="inlineStr">
        <is>
          <t>D</t>
        </is>
      </c>
      <c r="G828" t="inlineStr">
        <is>
          <t>Good</t>
        </is>
      </c>
      <c r="H828" t="n">
        <v>370</v>
      </c>
      <c r="I828">
        <f>B828&amp;"|"&amp;F828&amp;"|"&amp;G828</f>
        <v/>
      </c>
      <c r="J828" t="inlineStr">
        <is>
          <t>MVS Sec.13 p.24</t>
        </is>
      </c>
    </row>
    <row r="829">
      <c r="B829" t="inlineStr">
        <is>
          <t>Luxury Boutiques</t>
        </is>
      </c>
      <c r="C829" t="inlineStr">
        <is>
          <t>512</t>
        </is>
      </c>
      <c r="D829" t="inlineStr">
        <is>
          <t>13</t>
        </is>
      </c>
      <c r="E829" t="inlineStr">
        <is>
          <t>24</t>
        </is>
      </c>
      <c r="F829" t="inlineStr">
        <is>
          <t>D</t>
        </is>
      </c>
      <c r="G829" t="inlineStr">
        <is>
          <t>Average</t>
        </is>
      </c>
      <c r="H829" t="n">
        <v>290</v>
      </c>
      <c r="I829">
        <f>B829&amp;"|"&amp;F829&amp;"|"&amp;G829</f>
        <v/>
      </c>
      <c r="J829" t="inlineStr">
        <is>
          <t>MVS Sec.13 p.24</t>
        </is>
      </c>
    </row>
    <row r="830">
      <c r="B830" t="inlineStr">
        <is>
          <t>Luxury Boutiques</t>
        </is>
      </c>
      <c r="C830" t="inlineStr">
        <is>
          <t>512</t>
        </is>
      </c>
      <c r="D830" t="inlineStr">
        <is>
          <t>13</t>
        </is>
      </c>
      <c r="E830" t="inlineStr">
        <is>
          <t>24</t>
        </is>
      </c>
      <c r="F830" t="inlineStr">
        <is>
          <t>D</t>
        </is>
      </c>
      <c r="G830" t="inlineStr">
        <is>
          <t>Low Cost</t>
        </is>
      </c>
      <c r="H830" t="n">
        <v>225</v>
      </c>
      <c r="I830">
        <f>B830&amp;"|"&amp;F830&amp;"|"&amp;G830</f>
        <v/>
      </c>
      <c r="J830" t="inlineStr">
        <is>
          <t>MVS Sec.13 p.24</t>
        </is>
      </c>
    </row>
    <row r="831">
      <c r="B831" t="inlineStr">
        <is>
          <t>Winery (Tasting – Display) Shops</t>
        </is>
      </c>
      <c r="C831" t="inlineStr">
        <is>
          <t>127</t>
        </is>
      </c>
      <c r="D831" t="inlineStr">
        <is>
          <t>13</t>
        </is>
      </c>
      <c r="E831" t="inlineStr">
        <is>
          <t>24</t>
        </is>
      </c>
      <c r="F831" t="inlineStr">
        <is>
          <t>C</t>
        </is>
      </c>
      <c r="G831" t="inlineStr">
        <is>
          <t>Excellent</t>
        </is>
      </c>
      <c r="H831" t="n">
        <v>447</v>
      </c>
      <c r="I831">
        <f>B831&amp;"|"&amp;F831&amp;"|"&amp;G831</f>
        <v/>
      </c>
      <c r="J831" t="inlineStr">
        <is>
          <t>MVS Sec.13 p.24</t>
        </is>
      </c>
    </row>
    <row r="832">
      <c r="B832" t="inlineStr">
        <is>
          <t>Winery (Tasting – Display) Shops</t>
        </is>
      </c>
      <c r="C832" t="inlineStr">
        <is>
          <t>127</t>
        </is>
      </c>
      <c r="D832" t="inlineStr">
        <is>
          <t>13</t>
        </is>
      </c>
      <c r="E832" t="inlineStr">
        <is>
          <t>24</t>
        </is>
      </c>
      <c r="F832" t="inlineStr">
        <is>
          <t>C</t>
        </is>
      </c>
      <c r="G832" t="inlineStr">
        <is>
          <t>Good</t>
        </is>
      </c>
      <c r="H832" t="n">
        <v>264</v>
      </c>
      <c r="I832">
        <f>B832&amp;"|"&amp;F832&amp;"|"&amp;G832</f>
        <v/>
      </c>
      <c r="J832" t="inlineStr">
        <is>
          <t>MVS Sec.13 p.24</t>
        </is>
      </c>
    </row>
    <row r="833">
      <c r="B833" t="inlineStr">
        <is>
          <t>Winery (Tasting – Display) Shops</t>
        </is>
      </c>
      <c r="C833" t="inlineStr">
        <is>
          <t>127</t>
        </is>
      </c>
      <c r="D833" t="inlineStr">
        <is>
          <t>13</t>
        </is>
      </c>
      <c r="E833" t="inlineStr">
        <is>
          <t>24</t>
        </is>
      </c>
      <c r="F833" t="inlineStr">
        <is>
          <t>C</t>
        </is>
      </c>
      <c r="G833" t="inlineStr">
        <is>
          <t>Average</t>
        </is>
      </c>
      <c r="H833" t="n">
        <v>158</v>
      </c>
      <c r="I833">
        <f>B833&amp;"|"&amp;F833&amp;"|"&amp;G833</f>
        <v/>
      </c>
      <c r="J833" t="inlineStr">
        <is>
          <t>MVS Sec.13 p.24</t>
        </is>
      </c>
    </row>
    <row r="834">
      <c r="B834" t="inlineStr">
        <is>
          <t>Winery (Tasting – Display) Shops</t>
        </is>
      </c>
      <c r="C834" t="inlineStr">
        <is>
          <t>127</t>
        </is>
      </c>
      <c r="D834" t="inlineStr">
        <is>
          <t>13</t>
        </is>
      </c>
      <c r="E834" t="inlineStr">
        <is>
          <t>24</t>
        </is>
      </c>
      <c r="F834" t="inlineStr">
        <is>
          <t>C</t>
        </is>
      </c>
      <c r="G834" t="inlineStr">
        <is>
          <t>Low Cost</t>
        </is>
      </c>
      <c r="H834" t="n">
        <v>97</v>
      </c>
      <c r="I834">
        <f>B834&amp;"|"&amp;F834&amp;"|"&amp;G834</f>
        <v/>
      </c>
      <c r="J834" t="inlineStr">
        <is>
          <t>MVS Sec.13 p.24</t>
        </is>
      </c>
    </row>
    <row r="835">
      <c r="B835" t="inlineStr">
        <is>
          <t>Winery (Tasting – Display) Shops</t>
        </is>
      </c>
      <c r="C835" t="inlineStr">
        <is>
          <t>127</t>
        </is>
      </c>
      <c r="D835" t="inlineStr">
        <is>
          <t>13</t>
        </is>
      </c>
      <c r="E835" t="inlineStr">
        <is>
          <t>24</t>
        </is>
      </c>
      <c r="F835" t="inlineStr">
        <is>
          <t>D</t>
        </is>
      </c>
      <c r="G835" t="inlineStr">
        <is>
          <t>Excellent</t>
        </is>
      </c>
      <c r="H835" t="n">
        <v>430</v>
      </c>
      <c r="I835">
        <f>B835&amp;"|"&amp;F835&amp;"|"&amp;G835</f>
        <v/>
      </c>
      <c r="J835" t="inlineStr">
        <is>
          <t>MVS Sec.13 p.24</t>
        </is>
      </c>
    </row>
    <row r="836">
      <c r="B836" t="inlineStr">
        <is>
          <t>Winery (Tasting – Display) Shops</t>
        </is>
      </c>
      <c r="C836" t="inlineStr">
        <is>
          <t>127</t>
        </is>
      </c>
      <c r="D836" t="inlineStr">
        <is>
          <t>13</t>
        </is>
      </c>
      <c r="E836" t="inlineStr">
        <is>
          <t>24</t>
        </is>
      </c>
      <c r="F836" t="inlineStr">
        <is>
          <t>D</t>
        </is>
      </c>
      <c r="G836" t="inlineStr">
        <is>
          <t>Good</t>
        </is>
      </c>
      <c r="H836" t="n">
        <v>249</v>
      </c>
      <c r="I836">
        <f>B836&amp;"|"&amp;F836&amp;"|"&amp;G836</f>
        <v/>
      </c>
      <c r="J836" t="inlineStr">
        <is>
          <t>MVS Sec.13 p.24</t>
        </is>
      </c>
    </row>
    <row r="837">
      <c r="B837" t="inlineStr">
        <is>
          <t>Winery (Tasting – Display) Shops</t>
        </is>
      </c>
      <c r="C837" t="inlineStr">
        <is>
          <t>127</t>
        </is>
      </c>
      <c r="D837" t="inlineStr">
        <is>
          <t>13</t>
        </is>
      </c>
      <c r="E837" t="inlineStr">
        <is>
          <t>24</t>
        </is>
      </c>
      <c r="F837" t="inlineStr">
        <is>
          <t>D</t>
        </is>
      </c>
      <c r="G837" t="inlineStr">
        <is>
          <t>Average</t>
        </is>
      </c>
      <c r="H837" t="n">
        <v>148</v>
      </c>
      <c r="I837">
        <f>B837&amp;"|"&amp;F837&amp;"|"&amp;G837</f>
        <v/>
      </c>
      <c r="J837" t="inlineStr">
        <is>
          <t>MVS Sec.13 p.24</t>
        </is>
      </c>
    </row>
    <row r="838">
      <c r="B838" t="inlineStr">
        <is>
          <t>Winery (Tasting – Display) Shops</t>
        </is>
      </c>
      <c r="C838" t="inlineStr">
        <is>
          <t>127</t>
        </is>
      </c>
      <c r="D838" t="inlineStr">
        <is>
          <t>13</t>
        </is>
      </c>
      <c r="E838" t="inlineStr">
        <is>
          <t>24</t>
        </is>
      </c>
      <c r="F838" t="inlineStr">
        <is>
          <t>D</t>
        </is>
      </c>
      <c r="G838" t="inlineStr">
        <is>
          <t>Low Cost</t>
        </is>
      </c>
      <c r="H838" t="n">
        <v>89</v>
      </c>
      <c r="I838">
        <f>B838&amp;"|"&amp;F838&amp;"|"&amp;G838</f>
        <v/>
      </c>
      <c r="J838" t="inlineStr">
        <is>
          <t>MVS Sec.13 p.24</t>
        </is>
      </c>
    </row>
    <row r="839">
      <c r="B839" t="inlineStr">
        <is>
          <t>Winery (Tasting – Display) Shops</t>
        </is>
      </c>
      <c r="C839" t="inlineStr">
        <is>
          <t>127</t>
        </is>
      </c>
      <c r="D839" t="inlineStr">
        <is>
          <t>13</t>
        </is>
      </c>
      <c r="E839" t="inlineStr">
        <is>
          <t>24</t>
        </is>
      </c>
      <c r="F839" t="inlineStr">
        <is>
          <t>DPOLE</t>
        </is>
      </c>
      <c r="G839" t="inlineStr">
        <is>
          <t>Low Cost</t>
        </is>
      </c>
      <c r="H839" t="n">
        <v>84.5</v>
      </c>
      <c r="I839">
        <f>B839&amp;"|"&amp;F839&amp;"|"&amp;G839</f>
        <v/>
      </c>
      <c r="J839" t="inlineStr">
        <is>
          <t>MVS Sec.13 p.24</t>
        </is>
      </c>
    </row>
    <row r="840">
      <c r="B840" t="inlineStr">
        <is>
          <t>Winery (Tasting – Display) Shops</t>
        </is>
      </c>
      <c r="C840" t="inlineStr">
        <is>
          <t>127</t>
        </is>
      </c>
      <c r="D840" t="inlineStr">
        <is>
          <t>13</t>
        </is>
      </c>
      <c r="E840" t="inlineStr">
        <is>
          <t>24</t>
        </is>
      </c>
      <c r="F840" t="inlineStr">
        <is>
          <t>S</t>
        </is>
      </c>
      <c r="G840" t="inlineStr">
        <is>
          <t>Average</t>
        </is>
      </c>
      <c r="H840" t="n">
        <v>145</v>
      </c>
      <c r="I840">
        <f>B840&amp;"|"&amp;F840&amp;"|"&amp;G840</f>
        <v/>
      </c>
      <c r="J840" t="inlineStr">
        <is>
          <t>MVS Sec.13 p.24</t>
        </is>
      </c>
    </row>
    <row r="841">
      <c r="B841" t="inlineStr">
        <is>
          <t>Winery (Tasting – Display) Shops</t>
        </is>
      </c>
      <c r="C841" t="inlineStr">
        <is>
          <t>127</t>
        </is>
      </c>
      <c r="D841" t="inlineStr">
        <is>
          <t>13</t>
        </is>
      </c>
      <c r="E841" t="inlineStr">
        <is>
          <t>24</t>
        </is>
      </c>
      <c r="F841" t="inlineStr">
        <is>
          <t>S</t>
        </is>
      </c>
      <c r="G841" t="inlineStr">
        <is>
          <t>Low Cost</t>
        </is>
      </c>
      <c r="H841" t="n">
        <v>87.5</v>
      </c>
      <c r="I841">
        <f>B841&amp;"|"&amp;F841&amp;"|"&amp;G841</f>
        <v/>
      </c>
      <c r="J841" t="inlineStr">
        <is>
          <t>MVS Sec.13 p.24</t>
        </is>
      </c>
    </row>
    <row r="842">
      <c r="B842" t="inlineStr">
        <is>
          <t>Barber Shops/Beauty Salons</t>
        </is>
      </c>
      <c r="C842" t="inlineStr">
        <is>
          <t>384</t>
        </is>
      </c>
      <c r="D842" t="inlineStr">
        <is>
          <t>13</t>
        </is>
      </c>
      <c r="E842" t="inlineStr">
        <is>
          <t>25</t>
        </is>
      </c>
      <c r="F842" t="inlineStr">
        <is>
          <t>A-B</t>
        </is>
      </c>
      <c r="G842" t="inlineStr">
        <is>
          <t>Average</t>
        </is>
      </c>
      <c r="H842" t="n">
        <v>149</v>
      </c>
      <c r="I842">
        <f>B842&amp;"|"&amp;F842&amp;"|"&amp;G842</f>
        <v/>
      </c>
      <c r="J842" t="inlineStr">
        <is>
          <t>MVS Sec.13 p.25</t>
        </is>
      </c>
    </row>
    <row r="843">
      <c r="B843" t="inlineStr">
        <is>
          <t>Barber Shops/Beauty Salons</t>
        </is>
      </c>
      <c r="C843" t="inlineStr">
        <is>
          <t>384</t>
        </is>
      </c>
      <c r="D843" t="inlineStr">
        <is>
          <t>13</t>
        </is>
      </c>
      <c r="E843" t="inlineStr">
        <is>
          <t>25</t>
        </is>
      </c>
      <c r="F843" t="inlineStr">
        <is>
          <t>C</t>
        </is>
      </c>
      <c r="G843" t="inlineStr">
        <is>
          <t>Good</t>
        </is>
      </c>
      <c r="H843" t="n">
        <v>147</v>
      </c>
      <c r="I843">
        <f>B843&amp;"|"&amp;F843&amp;"|"&amp;G843</f>
        <v/>
      </c>
      <c r="J843" t="inlineStr">
        <is>
          <t>MVS Sec.13 p.25</t>
        </is>
      </c>
    </row>
    <row r="844">
      <c r="B844" t="inlineStr">
        <is>
          <t>Barber Shops/Beauty Salons</t>
        </is>
      </c>
      <c r="C844" t="inlineStr">
        <is>
          <t>384</t>
        </is>
      </c>
      <c r="D844" t="inlineStr">
        <is>
          <t>13</t>
        </is>
      </c>
      <c r="E844" t="inlineStr">
        <is>
          <t>25</t>
        </is>
      </c>
      <c r="F844" t="inlineStr">
        <is>
          <t>C</t>
        </is>
      </c>
      <c r="G844" t="inlineStr">
        <is>
          <t>Average</t>
        </is>
      </c>
      <c r="H844" t="n">
        <v>106</v>
      </c>
      <c r="I844">
        <f>B844&amp;"|"&amp;F844&amp;"|"&amp;G844</f>
        <v/>
      </c>
      <c r="J844" t="inlineStr">
        <is>
          <t>MVS Sec.13 p.25</t>
        </is>
      </c>
    </row>
    <row r="845">
      <c r="B845" t="inlineStr">
        <is>
          <t>Barber Shops/Beauty Salons</t>
        </is>
      </c>
      <c r="C845" t="inlineStr">
        <is>
          <t>384</t>
        </is>
      </c>
      <c r="D845" t="inlineStr">
        <is>
          <t>13</t>
        </is>
      </c>
      <c r="E845" t="inlineStr">
        <is>
          <t>25</t>
        </is>
      </c>
      <c r="F845" t="inlineStr">
        <is>
          <t>D</t>
        </is>
      </c>
      <c r="G845" t="inlineStr">
        <is>
          <t>Good</t>
        </is>
      </c>
      <c r="H845" t="n">
        <v>136</v>
      </c>
      <c r="I845">
        <f>B845&amp;"|"&amp;F845&amp;"|"&amp;G845</f>
        <v/>
      </c>
      <c r="J845" t="inlineStr">
        <is>
          <t>MVS Sec.13 p.25</t>
        </is>
      </c>
    </row>
    <row r="846">
      <c r="B846" t="inlineStr">
        <is>
          <t>Barber Shops/Beauty Salons</t>
        </is>
      </c>
      <c r="C846" t="inlineStr">
        <is>
          <t>384</t>
        </is>
      </c>
      <c r="D846" t="inlineStr">
        <is>
          <t>13</t>
        </is>
      </c>
      <c r="E846" t="inlineStr">
        <is>
          <t>25</t>
        </is>
      </c>
      <c r="F846" t="inlineStr">
        <is>
          <t>D</t>
        </is>
      </c>
      <c r="G846" t="inlineStr">
        <is>
          <t>Average</t>
        </is>
      </c>
      <c r="H846" t="n">
        <v>98</v>
      </c>
      <c r="I846">
        <f>B846&amp;"|"&amp;F846&amp;"|"&amp;G846</f>
        <v/>
      </c>
      <c r="J846" t="inlineStr">
        <is>
          <t>MVS Sec.13 p.25</t>
        </is>
      </c>
    </row>
    <row r="847">
      <c r="B847" t="inlineStr">
        <is>
          <t>Barber Shops/Beauty Salons</t>
        </is>
      </c>
      <c r="C847" t="inlineStr">
        <is>
          <t>384</t>
        </is>
      </c>
      <c r="D847" t="inlineStr">
        <is>
          <t>13</t>
        </is>
      </c>
      <c r="E847" t="inlineStr">
        <is>
          <t>25</t>
        </is>
      </c>
      <c r="F847" t="inlineStr">
        <is>
          <t>S</t>
        </is>
      </c>
      <c r="G847" t="inlineStr">
        <is>
          <t>Good</t>
        </is>
      </c>
      <c r="H847" t="n">
        <v>135</v>
      </c>
      <c r="I847">
        <f>B847&amp;"|"&amp;F847&amp;"|"&amp;G847</f>
        <v/>
      </c>
      <c r="J847" t="inlineStr">
        <is>
          <t>MVS Sec.13 p.25</t>
        </is>
      </c>
    </row>
    <row r="848">
      <c r="B848" t="inlineStr">
        <is>
          <t>Barber Shops/Beauty Salons</t>
        </is>
      </c>
      <c r="C848" t="inlineStr">
        <is>
          <t>384</t>
        </is>
      </c>
      <c r="D848" t="inlineStr">
        <is>
          <t>13</t>
        </is>
      </c>
      <c r="E848" t="inlineStr">
        <is>
          <t>25</t>
        </is>
      </c>
      <c r="F848" t="inlineStr">
        <is>
          <t>S</t>
        </is>
      </c>
      <c r="G848" t="inlineStr">
        <is>
          <t>Average</t>
        </is>
      </c>
      <c r="H848" t="n">
        <v>96.5</v>
      </c>
      <c r="I848">
        <f>B848&amp;"|"&amp;F848&amp;"|"&amp;G848</f>
        <v/>
      </c>
      <c r="J848" t="inlineStr">
        <is>
          <t>MVS Sec.13 p.25</t>
        </is>
      </c>
    </row>
    <row r="849">
      <c r="B849" t="inlineStr">
        <is>
          <t>Laundromats</t>
        </is>
      </c>
      <c r="C849" t="inlineStr">
        <is>
          <t>336</t>
        </is>
      </c>
      <c r="D849" t="inlineStr">
        <is>
          <t>13</t>
        </is>
      </c>
      <c r="E849" t="inlineStr">
        <is>
          <t>25</t>
        </is>
      </c>
      <c r="F849" t="inlineStr">
        <is>
          <t>C</t>
        </is>
      </c>
      <c r="G849" t="inlineStr">
        <is>
          <t>Average</t>
        </is>
      </c>
      <c r="H849" t="n">
        <v>119</v>
      </c>
      <c r="I849">
        <f>B849&amp;"|"&amp;F849&amp;"|"&amp;G849</f>
        <v/>
      </c>
      <c r="J849" t="inlineStr">
        <is>
          <t>MVS Sec.13 p.25</t>
        </is>
      </c>
    </row>
    <row r="850">
      <c r="B850" t="inlineStr">
        <is>
          <t>Laundromats</t>
        </is>
      </c>
      <c r="C850" t="inlineStr">
        <is>
          <t>336</t>
        </is>
      </c>
      <c r="D850" t="inlineStr">
        <is>
          <t>13</t>
        </is>
      </c>
      <c r="E850" t="inlineStr">
        <is>
          <t>25</t>
        </is>
      </c>
      <c r="F850" t="inlineStr">
        <is>
          <t>D</t>
        </is>
      </c>
      <c r="G850" t="inlineStr">
        <is>
          <t>Average</t>
        </is>
      </c>
      <c r="H850" t="n">
        <v>109</v>
      </c>
      <c r="I850">
        <f>B850&amp;"|"&amp;F850&amp;"|"&amp;G850</f>
        <v/>
      </c>
      <c r="J850" t="inlineStr">
        <is>
          <t>MVS Sec.13 p.25</t>
        </is>
      </c>
    </row>
    <row r="851">
      <c r="B851" t="inlineStr">
        <is>
          <t>Laundromats</t>
        </is>
      </c>
      <c r="C851" t="inlineStr">
        <is>
          <t>336</t>
        </is>
      </c>
      <c r="D851" t="inlineStr">
        <is>
          <t>13</t>
        </is>
      </c>
      <c r="E851" t="inlineStr">
        <is>
          <t>25</t>
        </is>
      </c>
      <c r="F851" t="inlineStr">
        <is>
          <t>DPOLE</t>
        </is>
      </c>
      <c r="G851" t="inlineStr">
        <is>
          <t>Average</t>
        </is>
      </c>
      <c r="H851" t="n">
        <v>103</v>
      </c>
      <c r="I851">
        <f>B851&amp;"|"&amp;F851&amp;"|"&amp;G851</f>
        <v/>
      </c>
      <c r="J851" t="inlineStr">
        <is>
          <t>MVS Sec.13 p.25</t>
        </is>
      </c>
    </row>
    <row r="852">
      <c r="B852" t="inlineStr">
        <is>
          <t>Laundromats</t>
        </is>
      </c>
      <c r="C852" t="inlineStr">
        <is>
          <t>336</t>
        </is>
      </c>
      <c r="D852" t="inlineStr">
        <is>
          <t>13</t>
        </is>
      </c>
      <c r="E852" t="inlineStr">
        <is>
          <t>25</t>
        </is>
      </c>
      <c r="F852" t="inlineStr">
        <is>
          <t>S</t>
        </is>
      </c>
      <c r="G852" t="inlineStr">
        <is>
          <t>Average</t>
        </is>
      </c>
      <c r="H852" t="n">
        <v>106</v>
      </c>
      <c r="I852">
        <f>B852&amp;"|"&amp;F852&amp;"|"&amp;G852</f>
        <v/>
      </c>
      <c r="J852" t="inlineStr">
        <is>
          <t>MVS Sec.13 p.25</t>
        </is>
      </c>
    </row>
    <row r="853">
      <c r="B853" t="inlineStr">
        <is>
          <t>Laundry/Dry Cleaning</t>
        </is>
      </c>
      <c r="C853" t="inlineStr">
        <is>
          <t>499</t>
        </is>
      </c>
      <c r="D853" t="inlineStr">
        <is>
          <t>13</t>
        </is>
      </c>
      <c r="E853" t="inlineStr">
        <is>
          <t>25</t>
        </is>
      </c>
      <c r="F853" t="inlineStr">
        <is>
          <t>C</t>
        </is>
      </c>
      <c r="G853" t="inlineStr">
        <is>
          <t>Good</t>
        </is>
      </c>
      <c r="H853" t="n">
        <v>152</v>
      </c>
      <c r="I853">
        <f>B853&amp;"|"&amp;F853&amp;"|"&amp;G853</f>
        <v/>
      </c>
      <c r="J853" t="inlineStr">
        <is>
          <t>MVS Sec.13 p.25</t>
        </is>
      </c>
    </row>
    <row r="854">
      <c r="B854" t="inlineStr">
        <is>
          <t>Laundry/Dry Cleaning</t>
        </is>
      </c>
      <c r="C854" t="inlineStr">
        <is>
          <t>499</t>
        </is>
      </c>
      <c r="D854" t="inlineStr">
        <is>
          <t>13</t>
        </is>
      </c>
      <c r="E854" t="inlineStr">
        <is>
          <t>25</t>
        </is>
      </c>
      <c r="F854" t="inlineStr">
        <is>
          <t>C</t>
        </is>
      </c>
      <c r="G854" t="inlineStr">
        <is>
          <t>Average</t>
        </is>
      </c>
      <c r="H854" t="n">
        <v>115</v>
      </c>
      <c r="I854">
        <f>B854&amp;"|"&amp;F854&amp;"|"&amp;G854</f>
        <v/>
      </c>
      <c r="J854" t="inlineStr">
        <is>
          <t>MVS Sec.13 p.25</t>
        </is>
      </c>
    </row>
    <row r="855">
      <c r="B855" t="inlineStr">
        <is>
          <t>Laundry/Dry Cleaning</t>
        </is>
      </c>
      <c r="C855" t="inlineStr">
        <is>
          <t>499</t>
        </is>
      </c>
      <c r="D855" t="inlineStr">
        <is>
          <t>13</t>
        </is>
      </c>
      <c r="E855" t="inlineStr">
        <is>
          <t>25</t>
        </is>
      </c>
      <c r="F855" t="inlineStr">
        <is>
          <t>D</t>
        </is>
      </c>
      <c r="G855" t="inlineStr">
        <is>
          <t>Good</t>
        </is>
      </c>
      <c r="H855" t="n">
        <v>142</v>
      </c>
      <c r="I855">
        <f>B855&amp;"|"&amp;F855&amp;"|"&amp;G855</f>
        <v/>
      </c>
      <c r="J855" t="inlineStr">
        <is>
          <t>MVS Sec.13 p.25</t>
        </is>
      </c>
    </row>
    <row r="856">
      <c r="B856" t="inlineStr">
        <is>
          <t>Laundry/Dry Cleaning</t>
        </is>
      </c>
      <c r="C856" t="inlineStr">
        <is>
          <t>499</t>
        </is>
      </c>
      <c r="D856" t="inlineStr">
        <is>
          <t>13</t>
        </is>
      </c>
      <c r="E856" t="inlineStr">
        <is>
          <t>25</t>
        </is>
      </c>
      <c r="F856" t="inlineStr">
        <is>
          <t>D</t>
        </is>
      </c>
      <c r="G856" t="inlineStr">
        <is>
          <t>Average</t>
        </is>
      </c>
      <c r="H856" t="n">
        <v>106</v>
      </c>
      <c r="I856">
        <f>B856&amp;"|"&amp;F856&amp;"|"&amp;G856</f>
        <v/>
      </c>
      <c r="J856" t="inlineStr">
        <is>
          <t>MVS Sec.13 p.25</t>
        </is>
      </c>
    </row>
    <row r="857">
      <c r="B857" t="inlineStr">
        <is>
          <t>Laundry/Dry Cleaning</t>
        </is>
      </c>
      <c r="C857" t="inlineStr">
        <is>
          <t>499</t>
        </is>
      </c>
      <c r="D857" t="inlineStr">
        <is>
          <t>13</t>
        </is>
      </c>
      <c r="E857" t="inlineStr">
        <is>
          <t>25</t>
        </is>
      </c>
      <c r="F857" t="inlineStr">
        <is>
          <t>S</t>
        </is>
      </c>
      <c r="G857" t="inlineStr">
        <is>
          <t>Average</t>
        </is>
      </c>
      <c r="H857" t="n">
        <v>103</v>
      </c>
      <c r="I857">
        <f>B857&amp;"|"&amp;F857&amp;"|"&amp;G857</f>
        <v/>
      </c>
      <c r="J857" t="inlineStr">
        <is>
          <t>MVS Sec.13 p.25</t>
        </is>
      </c>
    </row>
    <row r="858">
      <c r="B858" t="inlineStr">
        <is>
          <t>Dairy Sales</t>
        </is>
      </c>
      <c r="C858" t="inlineStr">
        <is>
          <t>317</t>
        </is>
      </c>
      <c r="D858" t="inlineStr">
        <is>
          <t>13</t>
        </is>
      </c>
      <c r="E858" t="inlineStr">
        <is>
          <t>25</t>
        </is>
      </c>
      <c r="F858" t="inlineStr">
        <is>
          <t>C</t>
        </is>
      </c>
      <c r="G858" t="inlineStr">
        <is>
          <t>Average</t>
        </is>
      </c>
      <c r="H858" t="n">
        <v>132</v>
      </c>
      <c r="I858">
        <f>B858&amp;"|"&amp;F858&amp;"|"&amp;G858</f>
        <v/>
      </c>
      <c r="J858" t="inlineStr">
        <is>
          <t>MVS Sec.13 p.25</t>
        </is>
      </c>
    </row>
    <row r="859">
      <c r="B859" t="inlineStr">
        <is>
          <t>Dairy Sales</t>
        </is>
      </c>
      <c r="C859" t="inlineStr">
        <is>
          <t>317</t>
        </is>
      </c>
      <c r="D859" t="inlineStr">
        <is>
          <t>13</t>
        </is>
      </c>
      <c r="E859" t="inlineStr">
        <is>
          <t>25</t>
        </is>
      </c>
      <c r="F859" t="inlineStr">
        <is>
          <t>D</t>
        </is>
      </c>
      <c r="G859" t="inlineStr">
        <is>
          <t>Average</t>
        </is>
      </c>
      <c r="H859" t="n">
        <v>123</v>
      </c>
      <c r="I859">
        <f>B859&amp;"|"&amp;F859&amp;"|"&amp;G859</f>
        <v/>
      </c>
      <c r="J859" t="inlineStr">
        <is>
          <t>MVS Sec.13 p.25</t>
        </is>
      </c>
    </row>
    <row r="860">
      <c r="B860" t="inlineStr">
        <is>
          <t>Dairy Sales</t>
        </is>
      </c>
      <c r="C860" t="inlineStr">
        <is>
          <t>317</t>
        </is>
      </c>
      <c r="D860" t="inlineStr">
        <is>
          <t>13</t>
        </is>
      </c>
      <c r="E860" t="inlineStr">
        <is>
          <t>25</t>
        </is>
      </c>
      <c r="F860" t="inlineStr">
        <is>
          <t>S</t>
        </is>
      </c>
      <c r="G860" t="inlineStr">
        <is>
          <t>Average</t>
        </is>
      </c>
      <c r="H860" t="n">
        <v>121</v>
      </c>
      <c r="I860">
        <f>B860&amp;"|"&amp;F860&amp;"|"&amp;G860</f>
        <v/>
      </c>
      <c r="J860" t="inlineStr">
        <is>
          <t>MVS Sec.13 p.25</t>
        </is>
      </c>
    </row>
    <row r="861">
      <c r="B861" t="inlineStr">
        <is>
          <t>Retail Stores</t>
        </is>
      </c>
      <c r="C861" t="inlineStr">
        <is>
          <t>353</t>
        </is>
      </c>
      <c r="D861" t="inlineStr">
        <is>
          <t>13</t>
        </is>
      </c>
      <c r="E861" t="inlineStr">
        <is>
          <t>26</t>
        </is>
      </c>
      <c r="F861" t="inlineStr">
        <is>
          <t>A</t>
        </is>
      </c>
      <c r="G861" t="inlineStr">
        <is>
          <t>Excellent</t>
        </is>
      </c>
      <c r="H861" t="n">
        <v>273</v>
      </c>
      <c r="I861">
        <f>B861&amp;"|"&amp;F861&amp;"|"&amp;G861</f>
        <v/>
      </c>
      <c r="J861" t="inlineStr">
        <is>
          <t>MVS Sec.13 p.26</t>
        </is>
      </c>
    </row>
    <row r="862">
      <c r="B862" t="inlineStr">
        <is>
          <t>Retail Stores</t>
        </is>
      </c>
      <c r="C862" t="inlineStr">
        <is>
          <t>353</t>
        </is>
      </c>
      <c r="D862" t="inlineStr">
        <is>
          <t>13</t>
        </is>
      </c>
      <c r="E862" t="inlineStr">
        <is>
          <t>26</t>
        </is>
      </c>
      <c r="F862" t="inlineStr">
        <is>
          <t>A</t>
        </is>
      </c>
      <c r="G862" t="inlineStr">
        <is>
          <t>Good</t>
        </is>
      </c>
      <c r="H862" t="n">
        <v>205</v>
      </c>
      <c r="I862">
        <f>B862&amp;"|"&amp;F862&amp;"|"&amp;G862</f>
        <v/>
      </c>
      <c r="J862" t="inlineStr">
        <is>
          <t>MVS Sec.13 p.26</t>
        </is>
      </c>
    </row>
    <row r="863">
      <c r="B863" t="inlineStr">
        <is>
          <t>Retail Stores</t>
        </is>
      </c>
      <c r="C863" t="inlineStr">
        <is>
          <t>353</t>
        </is>
      </c>
      <c r="D863" t="inlineStr">
        <is>
          <t>13</t>
        </is>
      </c>
      <c r="E863" t="inlineStr">
        <is>
          <t>26</t>
        </is>
      </c>
      <c r="F863" t="inlineStr">
        <is>
          <t>A</t>
        </is>
      </c>
      <c r="G863" t="inlineStr">
        <is>
          <t>Average</t>
        </is>
      </c>
      <c r="H863" t="n">
        <v>161</v>
      </c>
      <c r="I863">
        <f>B863&amp;"|"&amp;F863&amp;"|"&amp;G863</f>
        <v/>
      </c>
      <c r="J863" t="inlineStr">
        <is>
          <t>MVS Sec.13 p.26</t>
        </is>
      </c>
    </row>
    <row r="864">
      <c r="B864" t="inlineStr">
        <is>
          <t>Retail Stores</t>
        </is>
      </c>
      <c r="C864" t="inlineStr">
        <is>
          <t>353</t>
        </is>
      </c>
      <c r="D864" t="inlineStr">
        <is>
          <t>13</t>
        </is>
      </c>
      <c r="E864" t="inlineStr">
        <is>
          <t>26</t>
        </is>
      </c>
      <c r="F864" t="inlineStr">
        <is>
          <t>A</t>
        </is>
      </c>
      <c r="G864" t="inlineStr">
        <is>
          <t>Low Cost</t>
        </is>
      </c>
      <c r="H864" t="n">
        <v>123</v>
      </c>
      <c r="I864">
        <f>B864&amp;"|"&amp;F864&amp;"|"&amp;G864</f>
        <v/>
      </c>
      <c r="J864" t="inlineStr">
        <is>
          <t>MVS Sec.13 p.26</t>
        </is>
      </c>
    </row>
    <row r="865">
      <c r="B865" t="inlineStr">
        <is>
          <t>Retail Stores</t>
        </is>
      </c>
      <c r="C865" t="inlineStr">
        <is>
          <t>353</t>
        </is>
      </c>
      <c r="D865" t="inlineStr">
        <is>
          <t>13</t>
        </is>
      </c>
      <c r="E865" t="inlineStr">
        <is>
          <t>26</t>
        </is>
      </c>
      <c r="F865" t="inlineStr">
        <is>
          <t>B</t>
        </is>
      </c>
      <c r="G865" t="inlineStr">
        <is>
          <t>Excellent</t>
        </is>
      </c>
      <c r="H865" t="n">
        <v>248</v>
      </c>
      <c r="I865">
        <f>B865&amp;"|"&amp;F865&amp;"|"&amp;G865</f>
        <v/>
      </c>
      <c r="J865" t="inlineStr">
        <is>
          <t>MVS Sec.13 p.26</t>
        </is>
      </c>
    </row>
    <row r="866">
      <c r="B866" t="inlineStr">
        <is>
          <t>Retail Stores</t>
        </is>
      </c>
      <c r="C866" t="inlineStr">
        <is>
          <t>353</t>
        </is>
      </c>
      <c r="D866" t="inlineStr">
        <is>
          <t>13</t>
        </is>
      </c>
      <c r="E866" t="inlineStr">
        <is>
          <t>26</t>
        </is>
      </c>
      <c r="F866" t="inlineStr">
        <is>
          <t>B</t>
        </is>
      </c>
      <c r="G866" t="inlineStr">
        <is>
          <t>Good</t>
        </is>
      </c>
      <c r="H866" t="n">
        <v>185</v>
      </c>
      <c r="I866">
        <f>B866&amp;"|"&amp;F866&amp;"|"&amp;G866</f>
        <v/>
      </c>
      <c r="J866" t="inlineStr">
        <is>
          <t>MVS Sec.13 p.26</t>
        </is>
      </c>
    </row>
    <row r="867">
      <c r="B867" t="inlineStr">
        <is>
          <t>Retail Stores</t>
        </is>
      </c>
      <c r="C867" t="inlineStr">
        <is>
          <t>353</t>
        </is>
      </c>
      <c r="D867" t="inlineStr">
        <is>
          <t>13</t>
        </is>
      </c>
      <c r="E867" t="inlineStr">
        <is>
          <t>26</t>
        </is>
      </c>
      <c r="F867" t="inlineStr">
        <is>
          <t>B</t>
        </is>
      </c>
      <c r="G867" t="inlineStr">
        <is>
          <t>Average</t>
        </is>
      </c>
      <c r="H867" t="n">
        <v>145</v>
      </c>
      <c r="I867">
        <f>B867&amp;"|"&amp;F867&amp;"|"&amp;G867</f>
        <v/>
      </c>
      <c r="J867" t="inlineStr">
        <is>
          <t>MVS Sec.13 p.26</t>
        </is>
      </c>
    </row>
    <row r="868">
      <c r="B868" t="inlineStr">
        <is>
          <t>Retail Stores</t>
        </is>
      </c>
      <c r="C868" t="inlineStr">
        <is>
          <t>353</t>
        </is>
      </c>
      <c r="D868" t="inlineStr">
        <is>
          <t>13</t>
        </is>
      </c>
      <c r="E868" t="inlineStr">
        <is>
          <t>26</t>
        </is>
      </c>
      <c r="F868" t="inlineStr">
        <is>
          <t>B</t>
        </is>
      </c>
      <c r="G868" t="inlineStr">
        <is>
          <t>Low Cost</t>
        </is>
      </c>
      <c r="H868" t="n">
        <v>110</v>
      </c>
      <c r="I868">
        <f>B868&amp;"|"&amp;F868&amp;"|"&amp;G868</f>
        <v/>
      </c>
      <c r="J868" t="inlineStr">
        <is>
          <t>MVS Sec.13 p.26</t>
        </is>
      </c>
    </row>
    <row r="869">
      <c r="B869" t="inlineStr">
        <is>
          <t>Retail Stores</t>
        </is>
      </c>
      <c r="C869" t="inlineStr">
        <is>
          <t>353</t>
        </is>
      </c>
      <c r="D869" t="inlineStr">
        <is>
          <t>13</t>
        </is>
      </c>
      <c r="E869" t="inlineStr">
        <is>
          <t>26</t>
        </is>
      </c>
      <c r="F869" t="inlineStr">
        <is>
          <t>C</t>
        </is>
      </c>
      <c r="G869" t="inlineStr">
        <is>
          <t>Excellent</t>
        </is>
      </c>
      <c r="H869" t="n">
        <v>208</v>
      </c>
      <c r="I869">
        <f>B869&amp;"|"&amp;F869&amp;"|"&amp;G869</f>
        <v/>
      </c>
      <c r="J869" t="inlineStr">
        <is>
          <t>MVS Sec.13 p.26</t>
        </is>
      </c>
    </row>
    <row r="870">
      <c r="B870" t="inlineStr">
        <is>
          <t>Retail Stores</t>
        </is>
      </c>
      <c r="C870" t="inlineStr">
        <is>
          <t>353</t>
        </is>
      </c>
      <c r="D870" t="inlineStr">
        <is>
          <t>13</t>
        </is>
      </c>
      <c r="E870" t="inlineStr">
        <is>
          <t>26</t>
        </is>
      </c>
      <c r="F870" t="inlineStr">
        <is>
          <t>C</t>
        </is>
      </c>
      <c r="G870" t="inlineStr">
        <is>
          <t>Good</t>
        </is>
      </c>
      <c r="H870" t="n">
        <v>154</v>
      </c>
      <c r="I870">
        <f>B870&amp;"|"&amp;F870&amp;"|"&amp;G870</f>
        <v/>
      </c>
      <c r="J870" t="inlineStr">
        <is>
          <t>MVS Sec.13 p.26</t>
        </is>
      </c>
    </row>
    <row r="871">
      <c r="B871" t="inlineStr">
        <is>
          <t>Retail Stores</t>
        </is>
      </c>
      <c r="C871" t="inlineStr">
        <is>
          <t>353</t>
        </is>
      </c>
      <c r="D871" t="inlineStr">
        <is>
          <t>13</t>
        </is>
      </c>
      <c r="E871" t="inlineStr">
        <is>
          <t>26</t>
        </is>
      </c>
      <c r="F871" t="inlineStr">
        <is>
          <t>C</t>
        </is>
      </c>
      <c r="G871" t="inlineStr">
        <is>
          <t>Average</t>
        </is>
      </c>
      <c r="H871" t="n">
        <v>117</v>
      </c>
      <c r="I871">
        <f>B871&amp;"|"&amp;F871&amp;"|"&amp;G871</f>
        <v/>
      </c>
      <c r="J871" t="inlineStr">
        <is>
          <t>MVS Sec.13 p.26</t>
        </is>
      </c>
    </row>
    <row r="872">
      <c r="B872" t="inlineStr">
        <is>
          <t>Retail Stores</t>
        </is>
      </c>
      <c r="C872" t="inlineStr">
        <is>
          <t>353</t>
        </is>
      </c>
      <c r="D872" t="inlineStr">
        <is>
          <t>13</t>
        </is>
      </c>
      <c r="E872" t="inlineStr">
        <is>
          <t>26</t>
        </is>
      </c>
      <c r="F872" t="inlineStr">
        <is>
          <t>C</t>
        </is>
      </c>
      <c r="G872" t="inlineStr">
        <is>
          <t>Low Cost</t>
        </is>
      </c>
      <c r="H872" t="n">
        <v>84</v>
      </c>
      <c r="I872">
        <f>B872&amp;"|"&amp;F872&amp;"|"&amp;G872</f>
        <v/>
      </c>
      <c r="J872" t="inlineStr">
        <is>
          <t>MVS Sec.13 p.26</t>
        </is>
      </c>
    </row>
    <row r="873">
      <c r="B873" t="inlineStr">
        <is>
          <t>Retail Stores</t>
        </is>
      </c>
      <c r="C873" t="inlineStr">
        <is>
          <t>353</t>
        </is>
      </c>
      <c r="D873" t="inlineStr">
        <is>
          <t>13</t>
        </is>
      </c>
      <c r="E873" t="inlineStr">
        <is>
          <t>26</t>
        </is>
      </c>
      <c r="F873" t="inlineStr">
        <is>
          <t>D</t>
        </is>
      </c>
      <c r="G873" t="inlineStr">
        <is>
          <t>Excellent</t>
        </is>
      </c>
      <c r="H873" t="n">
        <v>198</v>
      </c>
      <c r="I873">
        <f>B873&amp;"|"&amp;F873&amp;"|"&amp;G873</f>
        <v/>
      </c>
      <c r="J873" t="inlineStr">
        <is>
          <t>MVS Sec.13 p.26</t>
        </is>
      </c>
    </row>
    <row r="874">
      <c r="B874" t="inlineStr">
        <is>
          <t>Retail Stores</t>
        </is>
      </c>
      <c r="C874" t="inlineStr">
        <is>
          <t>353</t>
        </is>
      </c>
      <c r="D874" t="inlineStr">
        <is>
          <t>13</t>
        </is>
      </c>
      <c r="E874" t="inlineStr">
        <is>
          <t>26</t>
        </is>
      </c>
      <c r="F874" t="inlineStr">
        <is>
          <t>D</t>
        </is>
      </c>
      <c r="G874" t="inlineStr">
        <is>
          <t>Good</t>
        </is>
      </c>
      <c r="H874" t="n">
        <v>145</v>
      </c>
      <c r="I874">
        <f>B874&amp;"|"&amp;F874&amp;"|"&amp;G874</f>
        <v/>
      </c>
      <c r="J874" t="inlineStr">
        <is>
          <t>MVS Sec.13 p.26</t>
        </is>
      </c>
    </row>
    <row r="875">
      <c r="B875" t="inlineStr">
        <is>
          <t>Retail Stores</t>
        </is>
      </c>
      <c r="C875" t="inlineStr">
        <is>
          <t>353</t>
        </is>
      </c>
      <c r="D875" t="inlineStr">
        <is>
          <t>13</t>
        </is>
      </c>
      <c r="E875" t="inlineStr">
        <is>
          <t>26</t>
        </is>
      </c>
      <c r="F875" t="inlineStr">
        <is>
          <t>D</t>
        </is>
      </c>
      <c r="G875" t="inlineStr">
        <is>
          <t>Average</t>
        </is>
      </c>
      <c r="H875" t="n">
        <v>110</v>
      </c>
      <c r="I875">
        <f>B875&amp;"|"&amp;F875&amp;"|"&amp;G875</f>
        <v/>
      </c>
      <c r="J875" t="inlineStr">
        <is>
          <t>MVS Sec.13 p.26</t>
        </is>
      </c>
    </row>
    <row r="876">
      <c r="B876" t="inlineStr">
        <is>
          <t>Retail Stores</t>
        </is>
      </c>
      <c r="C876" t="inlineStr">
        <is>
          <t>353</t>
        </is>
      </c>
      <c r="D876" t="inlineStr">
        <is>
          <t>13</t>
        </is>
      </c>
      <c r="E876" t="inlineStr">
        <is>
          <t>26</t>
        </is>
      </c>
      <c r="F876" t="inlineStr">
        <is>
          <t>D</t>
        </is>
      </c>
      <c r="G876" t="inlineStr">
        <is>
          <t>Low Cost</t>
        </is>
      </c>
      <c r="H876" t="n">
        <v>78.5</v>
      </c>
      <c r="I876">
        <f>B876&amp;"|"&amp;F876&amp;"|"&amp;G876</f>
        <v/>
      </c>
      <c r="J876" t="inlineStr">
        <is>
          <t>MVS Sec.13 p.26</t>
        </is>
      </c>
    </row>
    <row r="877">
      <c r="B877" t="inlineStr">
        <is>
          <t>Retail Stores</t>
        </is>
      </c>
      <c r="C877" t="inlineStr">
        <is>
          <t>353</t>
        </is>
      </c>
      <c r="D877" t="inlineStr">
        <is>
          <t>13</t>
        </is>
      </c>
      <c r="E877" t="inlineStr">
        <is>
          <t>26</t>
        </is>
      </c>
      <c r="F877" t="inlineStr">
        <is>
          <t>DPOLE</t>
        </is>
      </c>
      <c r="G877" t="inlineStr">
        <is>
          <t>Low Cost</t>
        </is>
      </c>
      <c r="H877" t="n">
        <v>73</v>
      </c>
      <c r="I877">
        <f>B877&amp;"|"&amp;F877&amp;"|"&amp;G877</f>
        <v/>
      </c>
      <c r="J877" t="inlineStr">
        <is>
          <t>MVS Sec.13 p.26</t>
        </is>
      </c>
    </row>
    <row r="878">
      <c r="B878" t="inlineStr">
        <is>
          <t>Retail Stores</t>
        </is>
      </c>
      <c r="C878" t="inlineStr">
        <is>
          <t>353</t>
        </is>
      </c>
      <c r="D878" t="inlineStr">
        <is>
          <t>13</t>
        </is>
      </c>
      <c r="E878" t="inlineStr">
        <is>
          <t>26</t>
        </is>
      </c>
      <c r="F878" t="inlineStr">
        <is>
          <t>S</t>
        </is>
      </c>
      <c r="G878" t="inlineStr">
        <is>
          <t>Good</t>
        </is>
      </c>
      <c r="H878" t="n">
        <v>146</v>
      </c>
      <c r="I878">
        <f>B878&amp;"|"&amp;F878&amp;"|"&amp;G878</f>
        <v/>
      </c>
      <c r="J878" t="inlineStr">
        <is>
          <t>MVS Sec.13 p.26</t>
        </is>
      </c>
    </row>
    <row r="879">
      <c r="B879" t="inlineStr">
        <is>
          <t>Retail Stores</t>
        </is>
      </c>
      <c r="C879" t="inlineStr">
        <is>
          <t>353</t>
        </is>
      </c>
      <c r="D879" t="inlineStr">
        <is>
          <t>13</t>
        </is>
      </c>
      <c r="E879" t="inlineStr">
        <is>
          <t>26</t>
        </is>
      </c>
      <c r="F879" t="inlineStr">
        <is>
          <t>S</t>
        </is>
      </c>
      <c r="G879" t="inlineStr">
        <is>
          <t>Average</t>
        </is>
      </c>
      <c r="H879" t="n">
        <v>108</v>
      </c>
      <c r="I879">
        <f>B879&amp;"|"&amp;F879&amp;"|"&amp;G879</f>
        <v/>
      </c>
      <c r="J879" t="inlineStr">
        <is>
          <t>MVS Sec.13 p.26</t>
        </is>
      </c>
    </row>
    <row r="880">
      <c r="B880" t="inlineStr">
        <is>
          <t>Retail Stores</t>
        </is>
      </c>
      <c r="C880" t="inlineStr">
        <is>
          <t>353</t>
        </is>
      </c>
      <c r="D880" t="inlineStr">
        <is>
          <t>13</t>
        </is>
      </c>
      <c r="E880" t="inlineStr">
        <is>
          <t>26</t>
        </is>
      </c>
      <c r="F880" t="inlineStr">
        <is>
          <t>S</t>
        </is>
      </c>
      <c r="G880" t="inlineStr">
        <is>
          <t>Low Cost</t>
        </is>
      </c>
      <c r="H880" t="n">
        <v>76</v>
      </c>
      <c r="I880">
        <f>B880&amp;"|"&amp;F880&amp;"|"&amp;G880</f>
        <v/>
      </c>
      <c r="J880" t="inlineStr">
        <is>
          <t>MVS Sec.13 p.26</t>
        </is>
      </c>
    </row>
    <row r="881">
      <c r="B881" t="inlineStr">
        <is>
          <t>Department Stores</t>
        </is>
      </c>
      <c r="C881" t="inlineStr">
        <is>
          <t>318</t>
        </is>
      </c>
      <c r="D881" t="inlineStr">
        <is>
          <t>13</t>
        </is>
      </c>
      <c r="E881" t="inlineStr">
        <is>
          <t>27</t>
        </is>
      </c>
      <c r="F881" t="inlineStr">
        <is>
          <t>A</t>
        </is>
      </c>
      <c r="G881" t="inlineStr">
        <is>
          <t>Excellent</t>
        </is>
      </c>
      <c r="H881" t="n">
        <v>317</v>
      </c>
      <c r="I881">
        <f>B881&amp;"|"&amp;F881&amp;"|"&amp;G881</f>
        <v/>
      </c>
      <c r="J881" t="inlineStr">
        <is>
          <t>MVS Sec.13 p.27</t>
        </is>
      </c>
    </row>
    <row r="882">
      <c r="B882" t="inlineStr">
        <is>
          <t>Department Stores</t>
        </is>
      </c>
      <c r="C882" t="inlineStr">
        <is>
          <t>318</t>
        </is>
      </c>
      <c r="D882" t="inlineStr">
        <is>
          <t>13</t>
        </is>
      </c>
      <c r="E882" t="inlineStr">
        <is>
          <t>27</t>
        </is>
      </c>
      <c r="F882" t="inlineStr">
        <is>
          <t>A</t>
        </is>
      </c>
      <c r="G882" t="inlineStr">
        <is>
          <t>Good</t>
        </is>
      </c>
      <c r="H882" t="n">
        <v>256</v>
      </c>
      <c r="I882">
        <f>B882&amp;"|"&amp;F882&amp;"|"&amp;G882</f>
        <v/>
      </c>
      <c r="J882" t="inlineStr">
        <is>
          <t>MVS Sec.13 p.27</t>
        </is>
      </c>
    </row>
    <row r="883">
      <c r="B883" t="inlineStr">
        <is>
          <t>Department Stores</t>
        </is>
      </c>
      <c r="C883" t="inlineStr">
        <is>
          <t>318</t>
        </is>
      </c>
      <c r="D883" t="inlineStr">
        <is>
          <t>13</t>
        </is>
      </c>
      <c r="E883" t="inlineStr">
        <is>
          <t>27</t>
        </is>
      </c>
      <c r="F883" t="inlineStr">
        <is>
          <t>A</t>
        </is>
      </c>
      <c r="G883" t="inlineStr">
        <is>
          <t>Average</t>
        </is>
      </c>
      <c r="H883" t="n">
        <v>198</v>
      </c>
      <c r="I883">
        <f>B883&amp;"|"&amp;F883&amp;"|"&amp;G883</f>
        <v/>
      </c>
      <c r="J883" t="inlineStr">
        <is>
          <t>MVS Sec.13 p.27</t>
        </is>
      </c>
    </row>
    <row r="884">
      <c r="B884" t="inlineStr">
        <is>
          <t>Department Stores</t>
        </is>
      </c>
      <c r="C884" t="inlineStr">
        <is>
          <t>318</t>
        </is>
      </c>
      <c r="D884" t="inlineStr">
        <is>
          <t>13</t>
        </is>
      </c>
      <c r="E884" t="inlineStr">
        <is>
          <t>27</t>
        </is>
      </c>
      <c r="F884" t="inlineStr">
        <is>
          <t>B</t>
        </is>
      </c>
      <c r="G884" t="inlineStr">
        <is>
          <t>Excellent</t>
        </is>
      </c>
      <c r="H884" t="n">
        <v>289</v>
      </c>
      <c r="I884">
        <f>B884&amp;"|"&amp;F884&amp;"|"&amp;G884</f>
        <v/>
      </c>
      <c r="J884" t="inlineStr">
        <is>
          <t>MVS Sec.13 p.27</t>
        </is>
      </c>
    </row>
    <row r="885">
      <c r="B885" t="inlineStr">
        <is>
          <t>Department Stores</t>
        </is>
      </c>
      <c r="C885" t="inlineStr">
        <is>
          <t>318</t>
        </is>
      </c>
      <c r="D885" t="inlineStr">
        <is>
          <t>13</t>
        </is>
      </c>
      <c r="E885" t="inlineStr">
        <is>
          <t>27</t>
        </is>
      </c>
      <c r="F885" t="inlineStr">
        <is>
          <t>B</t>
        </is>
      </c>
      <c r="G885" t="inlineStr">
        <is>
          <t>Good</t>
        </is>
      </c>
      <c r="H885" t="n">
        <v>233</v>
      </c>
      <c r="I885">
        <f>B885&amp;"|"&amp;F885&amp;"|"&amp;G885</f>
        <v/>
      </c>
      <c r="J885" t="inlineStr">
        <is>
          <t>MVS Sec.13 p.27</t>
        </is>
      </c>
    </row>
    <row r="886">
      <c r="B886" t="inlineStr">
        <is>
          <t>Department Stores</t>
        </is>
      </c>
      <c r="C886" t="inlineStr">
        <is>
          <t>318</t>
        </is>
      </c>
      <c r="D886" t="inlineStr">
        <is>
          <t>13</t>
        </is>
      </c>
      <c r="E886" t="inlineStr">
        <is>
          <t>27</t>
        </is>
      </c>
      <c r="F886" t="inlineStr">
        <is>
          <t>B</t>
        </is>
      </c>
      <c r="G886" t="inlineStr">
        <is>
          <t>Average</t>
        </is>
      </c>
      <c r="H886" t="n">
        <v>180</v>
      </c>
      <c r="I886">
        <f>B886&amp;"|"&amp;F886&amp;"|"&amp;G886</f>
        <v/>
      </c>
      <c r="J886" t="inlineStr">
        <is>
          <t>MVS Sec.13 p.27</t>
        </is>
      </c>
    </row>
    <row r="887">
      <c r="B887" t="inlineStr">
        <is>
          <t>Department Stores</t>
        </is>
      </c>
      <c r="C887" t="inlineStr">
        <is>
          <t>318</t>
        </is>
      </c>
      <c r="D887" t="inlineStr">
        <is>
          <t>13</t>
        </is>
      </c>
      <c r="E887" t="inlineStr">
        <is>
          <t>27</t>
        </is>
      </c>
      <c r="F887" t="inlineStr">
        <is>
          <t>C</t>
        </is>
      </c>
      <c r="G887" t="inlineStr">
        <is>
          <t>Excellent</t>
        </is>
      </c>
      <c r="H887" t="n">
        <v>254</v>
      </c>
      <c r="I887">
        <f>B887&amp;"|"&amp;F887&amp;"|"&amp;G887</f>
        <v/>
      </c>
      <c r="J887" t="inlineStr">
        <is>
          <t>MVS Sec.13 p.27</t>
        </is>
      </c>
    </row>
    <row r="888">
      <c r="B888" t="inlineStr">
        <is>
          <t>Department Stores</t>
        </is>
      </c>
      <c r="C888" t="inlineStr">
        <is>
          <t>318</t>
        </is>
      </c>
      <c r="D888" t="inlineStr">
        <is>
          <t>13</t>
        </is>
      </c>
      <c r="E888" t="inlineStr">
        <is>
          <t>27</t>
        </is>
      </c>
      <c r="F888" t="inlineStr">
        <is>
          <t>C</t>
        </is>
      </c>
      <c r="G888" t="inlineStr">
        <is>
          <t>Good</t>
        </is>
      </c>
      <c r="H888" t="n">
        <v>193</v>
      </c>
      <c r="I888">
        <f>B888&amp;"|"&amp;F888&amp;"|"&amp;G888</f>
        <v/>
      </c>
      <c r="J888" t="inlineStr">
        <is>
          <t>MVS Sec.13 p.27</t>
        </is>
      </c>
    </row>
    <row r="889">
      <c r="B889" t="inlineStr">
        <is>
          <t>Department Stores</t>
        </is>
      </c>
      <c r="C889" t="inlineStr">
        <is>
          <t>318</t>
        </is>
      </c>
      <c r="D889" t="inlineStr">
        <is>
          <t>13</t>
        </is>
      </c>
      <c r="E889" t="inlineStr">
        <is>
          <t>27</t>
        </is>
      </c>
      <c r="F889" t="inlineStr">
        <is>
          <t>C</t>
        </is>
      </c>
      <c r="G889" t="inlineStr">
        <is>
          <t>Average</t>
        </is>
      </c>
      <c r="H889" t="n">
        <v>154</v>
      </c>
      <c r="I889">
        <f>B889&amp;"|"&amp;F889&amp;"|"&amp;G889</f>
        <v/>
      </c>
      <c r="J889" t="inlineStr">
        <is>
          <t>MVS Sec.13 p.27</t>
        </is>
      </c>
    </row>
    <row r="890">
      <c r="B890" t="inlineStr">
        <is>
          <t>Mall Anchor (Department/Big Box) Stores</t>
        </is>
      </c>
      <c r="C890" t="inlineStr">
        <is>
          <t>700</t>
        </is>
      </c>
      <c r="D890" t="inlineStr">
        <is>
          <t>13</t>
        </is>
      </c>
      <c r="E890" t="inlineStr">
        <is>
          <t>27</t>
        </is>
      </c>
      <c r="F890" t="inlineStr">
        <is>
          <t>A-B</t>
        </is>
      </c>
      <c r="G890" t="inlineStr">
        <is>
          <t>Good</t>
        </is>
      </c>
      <c r="H890" t="n">
        <v>190</v>
      </c>
      <c r="I890">
        <f>B890&amp;"|"&amp;F890&amp;"|"&amp;G890</f>
        <v/>
      </c>
      <c r="J890" t="inlineStr">
        <is>
          <t>MVS Sec.13 p.27</t>
        </is>
      </c>
    </row>
    <row r="891">
      <c r="B891" t="inlineStr">
        <is>
          <t>Mall Anchor (Department/Big Box) Stores</t>
        </is>
      </c>
      <c r="C891" t="inlineStr">
        <is>
          <t>700</t>
        </is>
      </c>
      <c r="D891" t="inlineStr">
        <is>
          <t>13</t>
        </is>
      </c>
      <c r="E891" t="inlineStr">
        <is>
          <t>27</t>
        </is>
      </c>
      <c r="F891" t="inlineStr">
        <is>
          <t>A-B</t>
        </is>
      </c>
      <c r="G891" t="inlineStr">
        <is>
          <t>Average</t>
        </is>
      </c>
      <c r="H891" t="n">
        <v>154</v>
      </c>
      <c r="I891">
        <f>B891&amp;"|"&amp;F891&amp;"|"&amp;G891</f>
        <v/>
      </c>
      <c r="J891" t="inlineStr">
        <is>
          <t>MVS Sec.13 p.27</t>
        </is>
      </c>
    </row>
    <row r="892">
      <c r="B892" t="inlineStr">
        <is>
          <t>Mall Anchor (Department/Big Box) Stores</t>
        </is>
      </c>
      <c r="C892" t="inlineStr">
        <is>
          <t>700</t>
        </is>
      </c>
      <c r="D892" t="inlineStr">
        <is>
          <t>13</t>
        </is>
      </c>
      <c r="E892" t="inlineStr">
        <is>
          <t>27</t>
        </is>
      </c>
      <c r="F892" t="inlineStr">
        <is>
          <t>A-B</t>
        </is>
      </c>
      <c r="G892" t="inlineStr">
        <is>
          <t>Low Cost</t>
        </is>
      </c>
      <c r="H892" t="n">
        <v>122</v>
      </c>
      <c r="I892">
        <f>B892&amp;"|"&amp;F892&amp;"|"&amp;G892</f>
        <v/>
      </c>
      <c r="J892" t="inlineStr">
        <is>
          <t>MVS Sec.13 p.27</t>
        </is>
      </c>
    </row>
    <row r="893">
      <c r="B893" t="inlineStr">
        <is>
          <t>Mall Anchor (Department/Big Box) Stores</t>
        </is>
      </c>
      <c r="C893" t="inlineStr">
        <is>
          <t>700</t>
        </is>
      </c>
      <c r="D893" t="inlineStr">
        <is>
          <t>13</t>
        </is>
      </c>
      <c r="E893" t="inlineStr">
        <is>
          <t>27</t>
        </is>
      </c>
      <c r="F893" t="inlineStr">
        <is>
          <t>C</t>
        </is>
      </c>
      <c r="G893" t="inlineStr">
        <is>
          <t>Good</t>
        </is>
      </c>
      <c r="H893" t="n">
        <v>155</v>
      </c>
      <c r="I893">
        <f>B893&amp;"|"&amp;F893&amp;"|"&amp;G893</f>
        <v/>
      </c>
      <c r="J893" t="inlineStr">
        <is>
          <t>MVS Sec.13 p.27</t>
        </is>
      </c>
    </row>
    <row r="894">
      <c r="B894" t="inlineStr">
        <is>
          <t>Mall Anchor (Department/Big Box) Stores</t>
        </is>
      </c>
      <c r="C894" t="inlineStr">
        <is>
          <t>700</t>
        </is>
      </c>
      <c r="D894" t="inlineStr">
        <is>
          <t>13</t>
        </is>
      </c>
      <c r="E894" t="inlineStr">
        <is>
          <t>27</t>
        </is>
      </c>
      <c r="F894" t="inlineStr">
        <is>
          <t>C</t>
        </is>
      </c>
      <c r="G894" t="inlineStr">
        <is>
          <t>Average</t>
        </is>
      </c>
      <c r="H894" t="n">
        <v>124</v>
      </c>
      <c r="I894">
        <f>B894&amp;"|"&amp;F894&amp;"|"&amp;G894</f>
        <v/>
      </c>
      <c r="J894" t="inlineStr">
        <is>
          <t>MVS Sec.13 p.27</t>
        </is>
      </c>
    </row>
    <row r="895">
      <c r="B895" t="inlineStr">
        <is>
          <t>Mall Anchor (Department/Big Box) Stores</t>
        </is>
      </c>
      <c r="C895" t="inlineStr">
        <is>
          <t>700</t>
        </is>
      </c>
      <c r="D895" t="inlineStr">
        <is>
          <t>13</t>
        </is>
      </c>
      <c r="E895" t="inlineStr">
        <is>
          <t>27</t>
        </is>
      </c>
      <c r="F895" t="inlineStr">
        <is>
          <t>C</t>
        </is>
      </c>
      <c r="G895" t="inlineStr">
        <is>
          <t>Low Cost</t>
        </is>
      </c>
      <c r="H895" t="n">
        <v>96.5</v>
      </c>
      <c r="I895">
        <f>B895&amp;"|"&amp;F895&amp;"|"&amp;G895</f>
        <v/>
      </c>
      <c r="J895" t="inlineStr">
        <is>
          <t>MVS Sec.13 p.27</t>
        </is>
      </c>
    </row>
    <row r="896">
      <c r="B896" t="inlineStr">
        <is>
          <t>Mall Anchor (Department/Big Box) Stores</t>
        </is>
      </c>
      <c r="C896" t="inlineStr">
        <is>
          <t>700</t>
        </is>
      </c>
      <c r="D896" t="inlineStr">
        <is>
          <t>13</t>
        </is>
      </c>
      <c r="E896" t="inlineStr">
        <is>
          <t>27</t>
        </is>
      </c>
      <c r="F896" t="inlineStr">
        <is>
          <t>D</t>
        </is>
      </c>
      <c r="G896" t="inlineStr">
        <is>
          <t>Good</t>
        </is>
      </c>
      <c r="H896" t="n">
        <v>146</v>
      </c>
      <c r="I896">
        <f>B896&amp;"|"&amp;F896&amp;"|"&amp;G896</f>
        <v/>
      </c>
      <c r="J896" t="inlineStr">
        <is>
          <t>MVS Sec.13 p.27</t>
        </is>
      </c>
    </row>
    <row r="897">
      <c r="B897" t="inlineStr">
        <is>
          <t>Mall Anchor (Department/Big Box) Stores</t>
        </is>
      </c>
      <c r="C897" t="inlineStr">
        <is>
          <t>700</t>
        </is>
      </c>
      <c r="D897" t="inlineStr">
        <is>
          <t>13</t>
        </is>
      </c>
      <c r="E897" t="inlineStr">
        <is>
          <t>27</t>
        </is>
      </c>
      <c r="F897" t="inlineStr">
        <is>
          <t>D</t>
        </is>
      </c>
      <c r="G897" t="inlineStr">
        <is>
          <t>Average</t>
        </is>
      </c>
      <c r="H897" t="n">
        <v>117</v>
      </c>
      <c r="I897">
        <f>B897&amp;"|"&amp;F897&amp;"|"&amp;G897</f>
        <v/>
      </c>
      <c r="J897" t="inlineStr">
        <is>
          <t>MVS Sec.13 p.27</t>
        </is>
      </c>
    </row>
    <row r="898">
      <c r="B898" t="inlineStr">
        <is>
          <t>Mall Anchor (Department/Big Box) Stores</t>
        </is>
      </c>
      <c r="C898" t="inlineStr">
        <is>
          <t>700</t>
        </is>
      </c>
      <c r="D898" t="inlineStr">
        <is>
          <t>13</t>
        </is>
      </c>
      <c r="E898" t="inlineStr">
        <is>
          <t>27</t>
        </is>
      </c>
      <c r="F898" t="inlineStr">
        <is>
          <t>D</t>
        </is>
      </c>
      <c r="G898" t="inlineStr">
        <is>
          <t>Low Cost</t>
        </is>
      </c>
      <c r="H898" t="n">
        <v>89.5</v>
      </c>
      <c r="I898">
        <f>B898&amp;"|"&amp;F898&amp;"|"&amp;G898</f>
        <v/>
      </c>
      <c r="J898" t="inlineStr">
        <is>
          <t>MVS Sec.13 p.27</t>
        </is>
      </c>
    </row>
    <row r="899">
      <c r="B899" t="inlineStr">
        <is>
          <t>Mall Anchor (Department/Big Box) Stores</t>
        </is>
      </c>
      <c r="C899" t="inlineStr">
        <is>
          <t>700</t>
        </is>
      </c>
      <c r="D899" t="inlineStr">
        <is>
          <t>13</t>
        </is>
      </c>
      <c r="E899" t="inlineStr">
        <is>
          <t>27</t>
        </is>
      </c>
      <c r="F899" t="inlineStr">
        <is>
          <t>S</t>
        </is>
      </c>
      <c r="G899" t="inlineStr">
        <is>
          <t>Low Cost</t>
        </is>
      </c>
      <c r="H899" t="n">
        <v>88</v>
      </c>
      <c r="I899">
        <f>B899&amp;"|"&amp;F899&amp;"|"&amp;G899</f>
        <v/>
      </c>
      <c r="J899" t="inlineStr">
        <is>
          <t>MVS Sec.13 p.27</t>
        </is>
      </c>
    </row>
    <row r="900">
      <c r="B900" t="inlineStr">
        <is>
          <t>Discount Stores</t>
        </is>
      </c>
      <c r="C900" t="inlineStr">
        <is>
          <t>319</t>
        </is>
      </c>
      <c r="D900" t="inlineStr">
        <is>
          <t>13</t>
        </is>
      </c>
      <c r="E900" t="inlineStr">
        <is>
          <t>28</t>
        </is>
      </c>
      <c r="F900" t="inlineStr">
        <is>
          <t>A-B</t>
        </is>
      </c>
      <c r="G900" t="inlineStr">
        <is>
          <t>Average</t>
        </is>
      </c>
      <c r="H900" t="n">
        <v>121</v>
      </c>
      <c r="I900">
        <f>B900&amp;"|"&amp;F900&amp;"|"&amp;G900</f>
        <v/>
      </c>
      <c r="J900" t="inlineStr">
        <is>
          <t>MVS Sec.13 p.28</t>
        </is>
      </c>
    </row>
    <row r="901">
      <c r="B901" t="inlineStr">
        <is>
          <t>Discount Stores</t>
        </is>
      </c>
      <c r="C901" t="inlineStr">
        <is>
          <t>319</t>
        </is>
      </c>
      <c r="D901" t="inlineStr">
        <is>
          <t>13</t>
        </is>
      </c>
      <c r="E901" t="inlineStr">
        <is>
          <t>28</t>
        </is>
      </c>
      <c r="F901" t="inlineStr">
        <is>
          <t>C</t>
        </is>
      </c>
      <c r="G901" t="inlineStr">
        <is>
          <t>Good</t>
        </is>
      </c>
      <c r="H901" t="n">
        <v>118</v>
      </c>
      <c r="I901">
        <f>B901&amp;"|"&amp;F901&amp;"|"&amp;G901</f>
        <v/>
      </c>
      <c r="J901" t="inlineStr">
        <is>
          <t>MVS Sec.13 p.28</t>
        </is>
      </c>
    </row>
    <row r="902">
      <c r="B902" t="inlineStr">
        <is>
          <t>Discount Stores</t>
        </is>
      </c>
      <c r="C902" t="inlineStr">
        <is>
          <t>319</t>
        </is>
      </c>
      <c r="D902" t="inlineStr">
        <is>
          <t>13</t>
        </is>
      </c>
      <c r="E902" t="inlineStr">
        <is>
          <t>28</t>
        </is>
      </c>
      <c r="F902" t="inlineStr">
        <is>
          <t>C</t>
        </is>
      </c>
      <c r="G902" t="inlineStr">
        <is>
          <t>Average</t>
        </is>
      </c>
      <c r="H902" t="n">
        <v>94</v>
      </c>
      <c r="I902">
        <f>B902&amp;"|"&amp;F902&amp;"|"&amp;G902</f>
        <v/>
      </c>
      <c r="J902" t="inlineStr">
        <is>
          <t>MVS Sec.13 p.28</t>
        </is>
      </c>
    </row>
    <row r="903">
      <c r="B903" t="inlineStr">
        <is>
          <t>Discount Stores</t>
        </is>
      </c>
      <c r="C903" t="inlineStr">
        <is>
          <t>319</t>
        </is>
      </c>
      <c r="D903" t="inlineStr">
        <is>
          <t>13</t>
        </is>
      </c>
      <c r="E903" t="inlineStr">
        <is>
          <t>28</t>
        </is>
      </c>
      <c r="F903" t="inlineStr">
        <is>
          <t>C</t>
        </is>
      </c>
      <c r="G903" t="inlineStr">
        <is>
          <t>Low Cost</t>
        </is>
      </c>
      <c r="H903" t="n">
        <v>72</v>
      </c>
      <c r="I903">
        <f>B903&amp;"|"&amp;F903&amp;"|"&amp;G903</f>
        <v/>
      </c>
      <c r="J903" t="inlineStr">
        <is>
          <t>MVS Sec.13 p.28</t>
        </is>
      </c>
    </row>
    <row r="904">
      <c r="B904" t="inlineStr">
        <is>
          <t>Discount Stores</t>
        </is>
      </c>
      <c r="C904" t="inlineStr">
        <is>
          <t>319</t>
        </is>
      </c>
      <c r="D904" t="inlineStr">
        <is>
          <t>13</t>
        </is>
      </c>
      <c r="E904" t="inlineStr">
        <is>
          <t>28</t>
        </is>
      </c>
      <c r="F904" t="inlineStr">
        <is>
          <t>D</t>
        </is>
      </c>
      <c r="G904" t="inlineStr">
        <is>
          <t>Good</t>
        </is>
      </c>
      <c r="H904" t="n">
        <v>111</v>
      </c>
      <c r="I904">
        <f>B904&amp;"|"&amp;F904&amp;"|"&amp;G904</f>
        <v/>
      </c>
      <c r="J904" t="inlineStr">
        <is>
          <t>MVS Sec.13 p.28</t>
        </is>
      </c>
    </row>
    <row r="905">
      <c r="B905" t="inlineStr">
        <is>
          <t>Discount Stores</t>
        </is>
      </c>
      <c r="C905" t="inlineStr">
        <is>
          <t>319</t>
        </is>
      </c>
      <c r="D905" t="inlineStr">
        <is>
          <t>13</t>
        </is>
      </c>
      <c r="E905" t="inlineStr">
        <is>
          <t>28</t>
        </is>
      </c>
      <c r="F905" t="inlineStr">
        <is>
          <t>D</t>
        </is>
      </c>
      <c r="G905" t="inlineStr">
        <is>
          <t>Average</t>
        </is>
      </c>
      <c r="H905" t="n">
        <v>87</v>
      </c>
      <c r="I905">
        <f>B905&amp;"|"&amp;F905&amp;"|"&amp;G905</f>
        <v/>
      </c>
      <c r="J905" t="inlineStr">
        <is>
          <t>MVS Sec.13 p.28</t>
        </is>
      </c>
    </row>
    <row r="906">
      <c r="B906" t="inlineStr">
        <is>
          <t>Discount Stores</t>
        </is>
      </c>
      <c r="C906" t="inlineStr">
        <is>
          <t>319</t>
        </is>
      </c>
      <c r="D906" t="inlineStr">
        <is>
          <t>13</t>
        </is>
      </c>
      <c r="E906" t="inlineStr">
        <is>
          <t>28</t>
        </is>
      </c>
      <c r="F906" t="inlineStr">
        <is>
          <t>D</t>
        </is>
      </c>
      <c r="G906" t="inlineStr">
        <is>
          <t>Low Cost</t>
        </is>
      </c>
      <c r="H906" t="n">
        <v>65.5</v>
      </c>
      <c r="I906">
        <f>B906&amp;"|"&amp;F906&amp;"|"&amp;G906</f>
        <v/>
      </c>
      <c r="J906" t="inlineStr">
        <is>
          <t>MVS Sec.13 p.28</t>
        </is>
      </c>
    </row>
    <row r="907">
      <c r="B907" t="inlineStr">
        <is>
          <t>Discount Stores</t>
        </is>
      </c>
      <c r="C907" t="inlineStr">
        <is>
          <t>319</t>
        </is>
      </c>
      <c r="D907" t="inlineStr">
        <is>
          <t>13</t>
        </is>
      </c>
      <c r="E907" t="inlineStr">
        <is>
          <t>28</t>
        </is>
      </c>
      <c r="F907" t="inlineStr">
        <is>
          <t>DPOLE</t>
        </is>
      </c>
      <c r="G907" t="inlineStr">
        <is>
          <t>Low Cost</t>
        </is>
      </c>
      <c r="H907" t="n">
        <v>59</v>
      </c>
      <c r="I907">
        <f>B907&amp;"|"&amp;F907&amp;"|"&amp;G907</f>
        <v/>
      </c>
      <c r="J907" t="inlineStr">
        <is>
          <t>MVS Sec.13 p.28</t>
        </is>
      </c>
    </row>
    <row r="908">
      <c r="B908" t="inlineStr">
        <is>
          <t>Discount Stores</t>
        </is>
      </c>
      <c r="C908" t="inlineStr">
        <is>
          <t>319</t>
        </is>
      </c>
      <c r="D908" t="inlineStr">
        <is>
          <t>13</t>
        </is>
      </c>
      <c r="E908" t="inlineStr">
        <is>
          <t>28</t>
        </is>
      </c>
      <c r="F908" t="inlineStr">
        <is>
          <t>S</t>
        </is>
      </c>
      <c r="G908" t="inlineStr">
        <is>
          <t>Good</t>
        </is>
      </c>
      <c r="H908" t="n">
        <v>111</v>
      </c>
      <c r="I908">
        <f>B908&amp;"|"&amp;F908&amp;"|"&amp;G908</f>
        <v/>
      </c>
      <c r="J908" t="inlineStr">
        <is>
          <t>MVS Sec.13 p.28</t>
        </is>
      </c>
    </row>
    <row r="909">
      <c r="B909" t="inlineStr">
        <is>
          <t>Discount Stores</t>
        </is>
      </c>
      <c r="C909" t="inlineStr">
        <is>
          <t>319</t>
        </is>
      </c>
      <c r="D909" t="inlineStr">
        <is>
          <t>13</t>
        </is>
      </c>
      <c r="E909" t="inlineStr">
        <is>
          <t>28</t>
        </is>
      </c>
      <c r="F909" t="inlineStr">
        <is>
          <t>S</t>
        </is>
      </c>
      <c r="G909" t="inlineStr">
        <is>
          <t>Average</t>
        </is>
      </c>
      <c r="H909" t="n">
        <v>85</v>
      </c>
      <c r="I909">
        <f>B909&amp;"|"&amp;F909&amp;"|"&amp;G909</f>
        <v/>
      </c>
      <c r="J909" t="inlineStr">
        <is>
          <t>MVS Sec.13 p.28</t>
        </is>
      </c>
    </row>
    <row r="910">
      <c r="B910" t="inlineStr">
        <is>
          <t>Discount Stores</t>
        </is>
      </c>
      <c r="C910" t="inlineStr">
        <is>
          <t>319</t>
        </is>
      </c>
      <c r="D910" t="inlineStr">
        <is>
          <t>13</t>
        </is>
      </c>
      <c r="E910" t="inlineStr">
        <is>
          <t>28</t>
        </is>
      </c>
      <c r="F910" t="inlineStr">
        <is>
          <t>S</t>
        </is>
      </c>
      <c r="G910" t="inlineStr">
        <is>
          <t>Low Cost</t>
        </is>
      </c>
      <c r="H910" t="n">
        <v>63</v>
      </c>
      <c r="I910">
        <f>B910&amp;"|"&amp;F910&amp;"|"&amp;G910</f>
        <v/>
      </c>
      <c r="J910" t="inlineStr">
        <is>
          <t>MVS Sec.13 p.28</t>
        </is>
      </c>
    </row>
    <row r="911">
      <c r="B911" t="inlineStr">
        <is>
          <t>Warehouse Discount Stores</t>
        </is>
      </c>
      <c r="C911" t="inlineStr">
        <is>
          <t>458</t>
        </is>
      </c>
      <c r="D911" t="inlineStr">
        <is>
          <t>13</t>
        </is>
      </c>
      <c r="E911" t="inlineStr">
        <is>
          <t>28</t>
        </is>
      </c>
      <c r="F911" t="inlineStr">
        <is>
          <t>C</t>
        </is>
      </c>
      <c r="G911" t="inlineStr">
        <is>
          <t>Good</t>
        </is>
      </c>
      <c r="H911" t="n">
        <v>96</v>
      </c>
      <c r="I911">
        <f>B911&amp;"|"&amp;F911&amp;"|"&amp;G911</f>
        <v/>
      </c>
      <c r="J911" t="inlineStr">
        <is>
          <t>MVS Sec.13 p.28</t>
        </is>
      </c>
    </row>
    <row r="912">
      <c r="B912" t="inlineStr">
        <is>
          <t>Warehouse Discount Stores</t>
        </is>
      </c>
      <c r="C912" t="inlineStr">
        <is>
          <t>458</t>
        </is>
      </c>
      <c r="D912" t="inlineStr">
        <is>
          <t>13</t>
        </is>
      </c>
      <c r="E912" t="inlineStr">
        <is>
          <t>28</t>
        </is>
      </c>
      <c r="F912" t="inlineStr">
        <is>
          <t>C</t>
        </is>
      </c>
      <c r="G912" t="inlineStr">
        <is>
          <t>Average</t>
        </is>
      </c>
      <c r="H912" t="n">
        <v>73</v>
      </c>
      <c r="I912">
        <f>B912&amp;"|"&amp;F912&amp;"|"&amp;G912</f>
        <v/>
      </c>
      <c r="J912" t="inlineStr">
        <is>
          <t>MVS Sec.13 p.28</t>
        </is>
      </c>
    </row>
    <row r="913">
      <c r="B913" t="inlineStr">
        <is>
          <t>Warehouse Discount Stores</t>
        </is>
      </c>
      <c r="C913" t="inlineStr">
        <is>
          <t>458</t>
        </is>
      </c>
      <c r="D913" t="inlineStr">
        <is>
          <t>13</t>
        </is>
      </c>
      <c r="E913" t="inlineStr">
        <is>
          <t>28</t>
        </is>
      </c>
      <c r="F913" t="inlineStr">
        <is>
          <t>C</t>
        </is>
      </c>
      <c r="G913" t="inlineStr">
        <is>
          <t>Low Cost</t>
        </is>
      </c>
      <c r="H913" t="n">
        <v>55.5</v>
      </c>
      <c r="I913">
        <f>B913&amp;"|"&amp;F913&amp;"|"&amp;G913</f>
        <v/>
      </c>
      <c r="J913" t="inlineStr">
        <is>
          <t>MVS Sec.13 p.28</t>
        </is>
      </c>
    </row>
    <row r="914">
      <c r="B914" t="inlineStr">
        <is>
          <t>Warehouse Discount Stores</t>
        </is>
      </c>
      <c r="C914" t="inlineStr">
        <is>
          <t>458</t>
        </is>
      </c>
      <c r="D914" t="inlineStr">
        <is>
          <t>13</t>
        </is>
      </c>
      <c r="E914" t="inlineStr">
        <is>
          <t>28</t>
        </is>
      </c>
      <c r="F914" t="inlineStr">
        <is>
          <t>D</t>
        </is>
      </c>
      <c r="G914" t="inlineStr">
        <is>
          <t>Good</t>
        </is>
      </c>
      <c r="H914" t="n">
        <v>88</v>
      </c>
      <c r="I914">
        <f>B914&amp;"|"&amp;F914&amp;"|"&amp;G914</f>
        <v/>
      </c>
      <c r="J914" t="inlineStr">
        <is>
          <t>MVS Sec.13 p.28</t>
        </is>
      </c>
    </row>
    <row r="915">
      <c r="B915" t="inlineStr">
        <is>
          <t>Warehouse Discount Stores</t>
        </is>
      </c>
      <c r="C915" t="inlineStr">
        <is>
          <t>458</t>
        </is>
      </c>
      <c r="D915" t="inlineStr">
        <is>
          <t>13</t>
        </is>
      </c>
      <c r="E915" t="inlineStr">
        <is>
          <t>28</t>
        </is>
      </c>
      <c r="F915" t="inlineStr">
        <is>
          <t>D</t>
        </is>
      </c>
      <c r="G915" t="inlineStr">
        <is>
          <t>Average</t>
        </is>
      </c>
      <c r="H915" t="n">
        <v>66</v>
      </c>
      <c r="I915">
        <f>B915&amp;"|"&amp;F915&amp;"|"&amp;G915</f>
        <v/>
      </c>
      <c r="J915" t="inlineStr">
        <is>
          <t>MVS Sec.13 p.28</t>
        </is>
      </c>
    </row>
    <row r="916">
      <c r="B916" t="inlineStr">
        <is>
          <t>Warehouse Discount Stores</t>
        </is>
      </c>
      <c r="C916" t="inlineStr">
        <is>
          <t>458</t>
        </is>
      </c>
      <c r="D916" t="inlineStr">
        <is>
          <t>13</t>
        </is>
      </c>
      <c r="E916" t="inlineStr">
        <is>
          <t>28</t>
        </is>
      </c>
      <c r="F916" t="inlineStr">
        <is>
          <t>D</t>
        </is>
      </c>
      <c r="G916" t="inlineStr">
        <is>
          <t>Low Cost</t>
        </is>
      </c>
      <c r="H916" t="n">
        <v>49.5</v>
      </c>
      <c r="I916">
        <f>B916&amp;"|"&amp;F916&amp;"|"&amp;G916</f>
        <v/>
      </c>
      <c r="J916" t="inlineStr">
        <is>
          <t>MVS Sec.13 p.28</t>
        </is>
      </c>
    </row>
    <row r="917">
      <c r="B917" t="inlineStr">
        <is>
          <t>Warehouse Discount Stores</t>
        </is>
      </c>
      <c r="C917" t="inlineStr">
        <is>
          <t>458</t>
        </is>
      </c>
      <c r="D917" t="inlineStr">
        <is>
          <t>13</t>
        </is>
      </c>
      <c r="E917" t="inlineStr">
        <is>
          <t>28</t>
        </is>
      </c>
      <c r="F917" t="inlineStr">
        <is>
          <t>DPOLE</t>
        </is>
      </c>
      <c r="G917" t="inlineStr">
        <is>
          <t>Low Cost</t>
        </is>
      </c>
      <c r="H917" t="n">
        <v>47.75</v>
      </c>
      <c r="I917">
        <f>B917&amp;"|"&amp;F917&amp;"|"&amp;G917</f>
        <v/>
      </c>
      <c r="J917" t="inlineStr">
        <is>
          <t>MVS Sec.13 p.28</t>
        </is>
      </c>
    </row>
    <row r="918">
      <c r="B918" t="inlineStr">
        <is>
          <t>Warehouse Discount Stores</t>
        </is>
      </c>
      <c r="C918" t="inlineStr">
        <is>
          <t>458</t>
        </is>
      </c>
      <c r="D918" t="inlineStr">
        <is>
          <t>13</t>
        </is>
      </c>
      <c r="E918" t="inlineStr">
        <is>
          <t>28</t>
        </is>
      </c>
      <c r="F918" t="inlineStr">
        <is>
          <t>S</t>
        </is>
      </c>
      <c r="G918" t="inlineStr">
        <is>
          <t>Good</t>
        </is>
      </c>
      <c r="H918" t="n">
        <v>86</v>
      </c>
      <c r="I918">
        <f>B918&amp;"|"&amp;F918&amp;"|"&amp;G918</f>
        <v/>
      </c>
      <c r="J918" t="inlineStr">
        <is>
          <t>MVS Sec.13 p.28</t>
        </is>
      </c>
    </row>
    <row r="919">
      <c r="B919" t="inlineStr">
        <is>
          <t>Warehouse Discount Stores</t>
        </is>
      </c>
      <c r="C919" t="inlineStr">
        <is>
          <t>458</t>
        </is>
      </c>
      <c r="D919" t="inlineStr">
        <is>
          <t>13</t>
        </is>
      </c>
      <c r="E919" t="inlineStr">
        <is>
          <t>28</t>
        </is>
      </c>
      <c r="F919" t="inlineStr">
        <is>
          <t>S</t>
        </is>
      </c>
      <c r="G919" t="inlineStr">
        <is>
          <t>Average</t>
        </is>
      </c>
      <c r="H919" t="n">
        <v>66.5</v>
      </c>
      <c r="I919">
        <f>B919&amp;"|"&amp;F919&amp;"|"&amp;G919</f>
        <v/>
      </c>
      <c r="J919" t="inlineStr">
        <is>
          <t>MVS Sec.13 p.28</t>
        </is>
      </c>
    </row>
    <row r="920">
      <c r="B920" t="inlineStr">
        <is>
          <t>Warehouse Discount Stores</t>
        </is>
      </c>
      <c r="C920" t="inlineStr">
        <is>
          <t>458</t>
        </is>
      </c>
      <c r="D920" t="inlineStr">
        <is>
          <t>13</t>
        </is>
      </c>
      <c r="E920" t="inlineStr">
        <is>
          <t>28</t>
        </is>
      </c>
      <c r="F920" t="inlineStr">
        <is>
          <t>S</t>
        </is>
      </c>
      <c r="G920" t="inlineStr">
        <is>
          <t>Low Cost</t>
        </is>
      </c>
      <c r="H920" t="n">
        <v>52</v>
      </c>
      <c r="I920">
        <f>B920&amp;"|"&amp;F920&amp;"|"&amp;G920</f>
        <v/>
      </c>
      <c r="J920" t="inlineStr">
        <is>
          <t>MVS Sec.13 p.28</t>
        </is>
      </c>
    </row>
    <row r="921">
      <c r="B921" t="inlineStr">
        <is>
          <t>Warehouse Showroom Stores</t>
        </is>
      </c>
      <c r="C921" t="inlineStr">
        <is>
          <t>534</t>
        </is>
      </c>
      <c r="D921" t="inlineStr">
        <is>
          <t>13</t>
        </is>
      </c>
      <c r="E921" t="inlineStr">
        <is>
          <t>29</t>
        </is>
      </c>
      <c r="F921" t="inlineStr">
        <is>
          <t>C</t>
        </is>
      </c>
      <c r="G921" t="inlineStr">
        <is>
          <t>Good</t>
        </is>
      </c>
      <c r="H921" t="n">
        <v>102</v>
      </c>
      <c r="I921">
        <f>B921&amp;"|"&amp;F921&amp;"|"&amp;G921</f>
        <v/>
      </c>
      <c r="J921" t="inlineStr">
        <is>
          <t>MVS Sec.13 p.29</t>
        </is>
      </c>
    </row>
    <row r="922">
      <c r="B922" t="inlineStr">
        <is>
          <t>Warehouse Showroom Stores</t>
        </is>
      </c>
      <c r="C922" t="inlineStr">
        <is>
          <t>534</t>
        </is>
      </c>
      <c r="D922" t="inlineStr">
        <is>
          <t>13</t>
        </is>
      </c>
      <c r="E922" t="inlineStr">
        <is>
          <t>29</t>
        </is>
      </c>
      <c r="F922" t="inlineStr">
        <is>
          <t>C</t>
        </is>
      </c>
      <c r="G922" t="inlineStr">
        <is>
          <t>Average</t>
        </is>
      </c>
      <c r="H922" t="n">
        <v>79</v>
      </c>
      <c r="I922">
        <f>B922&amp;"|"&amp;F922&amp;"|"&amp;G922</f>
        <v/>
      </c>
      <c r="J922" t="inlineStr">
        <is>
          <t>MVS Sec.13 p.29</t>
        </is>
      </c>
    </row>
    <row r="923">
      <c r="B923" t="inlineStr">
        <is>
          <t>Warehouse Showroom Stores</t>
        </is>
      </c>
      <c r="C923" t="inlineStr">
        <is>
          <t>534</t>
        </is>
      </c>
      <c r="D923" t="inlineStr">
        <is>
          <t>13</t>
        </is>
      </c>
      <c r="E923" t="inlineStr">
        <is>
          <t>29</t>
        </is>
      </c>
      <c r="F923" t="inlineStr">
        <is>
          <t>C</t>
        </is>
      </c>
      <c r="G923" t="inlineStr">
        <is>
          <t>Low Cost</t>
        </is>
      </c>
      <c r="H923" t="n">
        <v>61</v>
      </c>
      <c r="I923">
        <f>B923&amp;"|"&amp;F923&amp;"|"&amp;G923</f>
        <v/>
      </c>
      <c r="J923" t="inlineStr">
        <is>
          <t>MVS Sec.13 p.29</t>
        </is>
      </c>
    </row>
    <row r="924">
      <c r="B924" t="inlineStr">
        <is>
          <t>Warehouse Showroom Stores</t>
        </is>
      </c>
      <c r="C924" t="inlineStr">
        <is>
          <t>534</t>
        </is>
      </c>
      <c r="D924" t="inlineStr">
        <is>
          <t>13</t>
        </is>
      </c>
      <c r="E924" t="inlineStr">
        <is>
          <t>29</t>
        </is>
      </c>
      <c r="F924" t="inlineStr">
        <is>
          <t>D</t>
        </is>
      </c>
      <c r="G924" t="inlineStr">
        <is>
          <t>Good</t>
        </is>
      </c>
      <c r="H924" t="n">
        <v>94.5</v>
      </c>
      <c r="I924">
        <f>B924&amp;"|"&amp;F924&amp;"|"&amp;G924</f>
        <v/>
      </c>
      <c r="J924" t="inlineStr">
        <is>
          <t>MVS Sec.13 p.29</t>
        </is>
      </c>
    </row>
    <row r="925">
      <c r="B925" t="inlineStr">
        <is>
          <t>Warehouse Showroom Stores</t>
        </is>
      </c>
      <c r="C925" t="inlineStr">
        <is>
          <t>534</t>
        </is>
      </c>
      <c r="D925" t="inlineStr">
        <is>
          <t>13</t>
        </is>
      </c>
      <c r="E925" t="inlineStr">
        <is>
          <t>29</t>
        </is>
      </c>
      <c r="F925" t="inlineStr">
        <is>
          <t>D</t>
        </is>
      </c>
      <c r="G925" t="inlineStr">
        <is>
          <t>Average</t>
        </is>
      </c>
      <c r="H925" t="n">
        <v>72</v>
      </c>
      <c r="I925">
        <f>B925&amp;"|"&amp;F925&amp;"|"&amp;G925</f>
        <v/>
      </c>
      <c r="J925" t="inlineStr">
        <is>
          <t>MVS Sec.13 p.29</t>
        </is>
      </c>
    </row>
    <row r="926">
      <c r="B926" t="inlineStr">
        <is>
          <t>Warehouse Showroom Stores</t>
        </is>
      </c>
      <c r="C926" t="inlineStr">
        <is>
          <t>534</t>
        </is>
      </c>
      <c r="D926" t="inlineStr">
        <is>
          <t>13</t>
        </is>
      </c>
      <c r="E926" t="inlineStr">
        <is>
          <t>29</t>
        </is>
      </c>
      <c r="F926" t="inlineStr">
        <is>
          <t>D</t>
        </is>
      </c>
      <c r="G926" t="inlineStr">
        <is>
          <t>Low Cost</t>
        </is>
      </c>
      <c r="H926" t="n">
        <v>55</v>
      </c>
      <c r="I926">
        <f>B926&amp;"|"&amp;F926&amp;"|"&amp;G926</f>
        <v/>
      </c>
      <c r="J926" t="inlineStr">
        <is>
          <t>MVS Sec.13 p.29</t>
        </is>
      </c>
    </row>
    <row r="927">
      <c r="B927" t="inlineStr">
        <is>
          <t>Warehouse Showroom Stores</t>
        </is>
      </c>
      <c r="C927" t="inlineStr">
        <is>
          <t>534</t>
        </is>
      </c>
      <c r="D927" t="inlineStr">
        <is>
          <t>13</t>
        </is>
      </c>
      <c r="E927" t="inlineStr">
        <is>
          <t>29</t>
        </is>
      </c>
      <c r="F927" t="inlineStr">
        <is>
          <t>DPOLE</t>
        </is>
      </c>
      <c r="G927" t="inlineStr">
        <is>
          <t>Low Cost</t>
        </is>
      </c>
      <c r="H927" t="n">
        <v>53.5</v>
      </c>
      <c r="I927">
        <f>B927&amp;"|"&amp;F927&amp;"|"&amp;G927</f>
        <v/>
      </c>
      <c r="J927" t="inlineStr">
        <is>
          <t>MVS Sec.13 p.29</t>
        </is>
      </c>
    </row>
    <row r="928">
      <c r="B928" t="inlineStr">
        <is>
          <t>Warehouse Showroom Stores</t>
        </is>
      </c>
      <c r="C928" t="inlineStr">
        <is>
          <t>534</t>
        </is>
      </c>
      <c r="D928" t="inlineStr">
        <is>
          <t>13</t>
        </is>
      </c>
      <c r="E928" t="inlineStr">
        <is>
          <t>29</t>
        </is>
      </c>
      <c r="F928" t="inlineStr">
        <is>
          <t>S</t>
        </is>
      </c>
      <c r="G928" t="inlineStr">
        <is>
          <t>Good</t>
        </is>
      </c>
      <c r="H928" t="n">
        <v>93.5</v>
      </c>
      <c r="I928">
        <f>B928&amp;"|"&amp;F928&amp;"|"&amp;G928</f>
        <v/>
      </c>
      <c r="J928" t="inlineStr">
        <is>
          <t>MVS Sec.13 p.29</t>
        </is>
      </c>
    </row>
    <row r="929">
      <c r="B929" t="inlineStr">
        <is>
          <t>Warehouse Showroom Stores</t>
        </is>
      </c>
      <c r="C929" t="inlineStr">
        <is>
          <t>534</t>
        </is>
      </c>
      <c r="D929" t="inlineStr">
        <is>
          <t>13</t>
        </is>
      </c>
      <c r="E929" t="inlineStr">
        <is>
          <t>29</t>
        </is>
      </c>
      <c r="F929" t="inlineStr">
        <is>
          <t>S</t>
        </is>
      </c>
      <c r="G929" t="inlineStr">
        <is>
          <t>Average</t>
        </is>
      </c>
      <c r="H929" t="n">
        <v>73</v>
      </c>
      <c r="I929">
        <f>B929&amp;"|"&amp;F929&amp;"|"&amp;G929</f>
        <v/>
      </c>
      <c r="J929" t="inlineStr">
        <is>
          <t>MVS Sec.13 p.29</t>
        </is>
      </c>
    </row>
    <row r="930">
      <c r="B930" t="inlineStr">
        <is>
          <t>Warehouse Showroom Stores</t>
        </is>
      </c>
      <c r="C930" t="inlineStr">
        <is>
          <t>534</t>
        </is>
      </c>
      <c r="D930" t="inlineStr">
        <is>
          <t>13</t>
        </is>
      </c>
      <c r="E930" t="inlineStr">
        <is>
          <t>29</t>
        </is>
      </c>
      <c r="F930" t="inlineStr">
        <is>
          <t>S</t>
        </is>
      </c>
      <c r="G930" t="inlineStr">
        <is>
          <t>Low Cost</t>
        </is>
      </c>
      <c r="H930" t="n">
        <v>57</v>
      </c>
      <c r="I930">
        <f>B930&amp;"|"&amp;F930&amp;"|"&amp;G930</f>
        <v/>
      </c>
      <c r="J930" t="inlineStr">
        <is>
          <t>MVS Sec.13 p.29</t>
        </is>
      </c>
    </row>
    <row r="931">
      <c r="B931" t="inlineStr">
        <is>
          <t>Warehouse Food Stores</t>
        </is>
      </c>
      <c r="C931" t="inlineStr">
        <is>
          <t>533</t>
        </is>
      </c>
      <c r="D931" t="inlineStr">
        <is>
          <t>13</t>
        </is>
      </c>
      <c r="E931" t="inlineStr">
        <is>
          <t>29</t>
        </is>
      </c>
      <c r="F931" t="inlineStr">
        <is>
          <t>C</t>
        </is>
      </c>
      <c r="G931" t="inlineStr">
        <is>
          <t>Good</t>
        </is>
      </c>
      <c r="H931" t="n">
        <v>124</v>
      </c>
      <c r="I931">
        <f>B931&amp;"|"&amp;F931&amp;"|"&amp;G931</f>
        <v/>
      </c>
      <c r="J931" t="inlineStr">
        <is>
          <t>MVS Sec.13 p.29</t>
        </is>
      </c>
    </row>
    <row r="932">
      <c r="B932" t="inlineStr">
        <is>
          <t>Warehouse Food Stores</t>
        </is>
      </c>
      <c r="C932" t="inlineStr">
        <is>
          <t>533</t>
        </is>
      </c>
      <c r="D932" t="inlineStr">
        <is>
          <t>13</t>
        </is>
      </c>
      <c r="E932" t="inlineStr">
        <is>
          <t>29</t>
        </is>
      </c>
      <c r="F932" t="inlineStr">
        <is>
          <t>C</t>
        </is>
      </c>
      <c r="G932" t="inlineStr">
        <is>
          <t>Average</t>
        </is>
      </c>
      <c r="H932" t="n">
        <v>96.5</v>
      </c>
      <c r="I932">
        <f>B932&amp;"|"&amp;F932&amp;"|"&amp;G932</f>
        <v/>
      </c>
      <c r="J932" t="inlineStr">
        <is>
          <t>MVS Sec.13 p.29</t>
        </is>
      </c>
    </row>
    <row r="933">
      <c r="B933" t="inlineStr">
        <is>
          <t>Warehouse Food Stores</t>
        </is>
      </c>
      <c r="C933" t="inlineStr">
        <is>
          <t>533</t>
        </is>
      </c>
      <c r="D933" t="inlineStr">
        <is>
          <t>13</t>
        </is>
      </c>
      <c r="E933" t="inlineStr">
        <is>
          <t>29</t>
        </is>
      </c>
      <c r="F933" t="inlineStr">
        <is>
          <t>C</t>
        </is>
      </c>
      <c r="G933" t="inlineStr">
        <is>
          <t>Low Cost</t>
        </is>
      </c>
      <c r="H933" t="n">
        <v>75</v>
      </c>
      <c r="I933">
        <f>B933&amp;"|"&amp;F933&amp;"|"&amp;G933</f>
        <v/>
      </c>
      <c r="J933" t="inlineStr">
        <is>
          <t>MVS Sec.13 p.29</t>
        </is>
      </c>
    </row>
    <row r="934">
      <c r="B934" t="inlineStr">
        <is>
          <t>Warehouse Food Stores</t>
        </is>
      </c>
      <c r="C934" t="inlineStr">
        <is>
          <t>533</t>
        </is>
      </c>
      <c r="D934" t="inlineStr">
        <is>
          <t>13</t>
        </is>
      </c>
      <c r="E934" t="inlineStr">
        <is>
          <t>29</t>
        </is>
      </c>
      <c r="F934" t="inlineStr">
        <is>
          <t>D</t>
        </is>
      </c>
      <c r="G934" t="inlineStr">
        <is>
          <t>Good</t>
        </is>
      </c>
      <c r="H934" t="n">
        <v>115</v>
      </c>
      <c r="I934">
        <f>B934&amp;"|"&amp;F934&amp;"|"&amp;G934</f>
        <v/>
      </c>
      <c r="J934" t="inlineStr">
        <is>
          <t>MVS Sec.13 p.29</t>
        </is>
      </c>
    </row>
    <row r="935">
      <c r="B935" t="inlineStr">
        <is>
          <t>Warehouse Food Stores</t>
        </is>
      </c>
      <c r="C935" t="inlineStr">
        <is>
          <t>533</t>
        </is>
      </c>
      <c r="D935" t="inlineStr">
        <is>
          <t>13</t>
        </is>
      </c>
      <c r="E935" t="inlineStr">
        <is>
          <t>29</t>
        </is>
      </c>
      <c r="F935" t="inlineStr">
        <is>
          <t>D</t>
        </is>
      </c>
      <c r="G935" t="inlineStr">
        <is>
          <t>Average</t>
        </is>
      </c>
      <c r="H935" t="n">
        <v>88.5</v>
      </c>
      <c r="I935">
        <f>B935&amp;"|"&amp;F935&amp;"|"&amp;G935</f>
        <v/>
      </c>
      <c r="J935" t="inlineStr">
        <is>
          <t>MVS Sec.13 p.29</t>
        </is>
      </c>
    </row>
    <row r="936">
      <c r="B936" t="inlineStr">
        <is>
          <t>Warehouse Food Stores</t>
        </is>
      </c>
      <c r="C936" t="inlineStr">
        <is>
          <t>533</t>
        </is>
      </c>
      <c r="D936" t="inlineStr">
        <is>
          <t>13</t>
        </is>
      </c>
      <c r="E936" t="inlineStr">
        <is>
          <t>29</t>
        </is>
      </c>
      <c r="F936" t="inlineStr">
        <is>
          <t>D</t>
        </is>
      </c>
      <c r="G936" t="inlineStr">
        <is>
          <t>Low Cost</t>
        </is>
      </c>
      <c r="H936" t="n">
        <v>68.5</v>
      </c>
      <c r="I936">
        <f>B936&amp;"|"&amp;F936&amp;"|"&amp;G936</f>
        <v/>
      </c>
      <c r="J936" t="inlineStr">
        <is>
          <t>MVS Sec.13 p.29</t>
        </is>
      </c>
    </row>
    <row r="937">
      <c r="B937" t="inlineStr">
        <is>
          <t>Warehouse Food Stores</t>
        </is>
      </c>
      <c r="C937" t="inlineStr">
        <is>
          <t>533</t>
        </is>
      </c>
      <c r="D937" t="inlineStr">
        <is>
          <t>13</t>
        </is>
      </c>
      <c r="E937" t="inlineStr">
        <is>
          <t>29</t>
        </is>
      </c>
      <c r="F937" t="inlineStr">
        <is>
          <t>DPOLE</t>
        </is>
      </c>
      <c r="G937" t="inlineStr">
        <is>
          <t>Low Cost</t>
        </is>
      </c>
      <c r="H937" t="n">
        <v>63.5</v>
      </c>
      <c r="I937">
        <f>B937&amp;"|"&amp;F937&amp;"|"&amp;G937</f>
        <v/>
      </c>
      <c r="J937" t="inlineStr">
        <is>
          <t>MVS Sec.13 p.29</t>
        </is>
      </c>
    </row>
    <row r="938">
      <c r="B938" t="inlineStr">
        <is>
          <t>Warehouse Food Stores</t>
        </is>
      </c>
      <c r="C938" t="inlineStr">
        <is>
          <t>533</t>
        </is>
      </c>
      <c r="D938" t="inlineStr">
        <is>
          <t>13</t>
        </is>
      </c>
      <c r="E938" t="inlineStr">
        <is>
          <t>29</t>
        </is>
      </c>
      <c r="F938" t="inlineStr">
        <is>
          <t>S</t>
        </is>
      </c>
      <c r="G938" t="inlineStr">
        <is>
          <t>Good</t>
        </is>
      </c>
      <c r="H938" t="n">
        <v>114</v>
      </c>
      <c r="I938">
        <f>B938&amp;"|"&amp;F938&amp;"|"&amp;G938</f>
        <v/>
      </c>
      <c r="J938" t="inlineStr">
        <is>
          <t>MVS Sec.13 p.29</t>
        </is>
      </c>
    </row>
    <row r="939">
      <c r="B939" t="inlineStr">
        <is>
          <t>Warehouse Food Stores</t>
        </is>
      </c>
      <c r="C939" t="inlineStr">
        <is>
          <t>533</t>
        </is>
      </c>
      <c r="D939" t="inlineStr">
        <is>
          <t>13</t>
        </is>
      </c>
      <c r="E939" t="inlineStr">
        <is>
          <t>29</t>
        </is>
      </c>
      <c r="F939" t="inlineStr">
        <is>
          <t>S</t>
        </is>
      </c>
      <c r="G939" t="inlineStr">
        <is>
          <t>Average</t>
        </is>
      </c>
      <c r="H939" t="n">
        <v>86.5</v>
      </c>
      <c r="I939">
        <f>B939&amp;"|"&amp;F939&amp;"|"&amp;G939</f>
        <v/>
      </c>
      <c r="J939" t="inlineStr">
        <is>
          <t>MVS Sec.13 p.29</t>
        </is>
      </c>
    </row>
    <row r="940">
      <c r="B940" t="inlineStr">
        <is>
          <t>Warehouse Food Stores</t>
        </is>
      </c>
      <c r="C940" t="inlineStr">
        <is>
          <t>533</t>
        </is>
      </c>
      <c r="D940" t="inlineStr">
        <is>
          <t>13</t>
        </is>
      </c>
      <c r="E940" t="inlineStr">
        <is>
          <t>29</t>
        </is>
      </c>
      <c r="F940" t="inlineStr">
        <is>
          <t>S</t>
        </is>
      </c>
      <c r="G940" t="inlineStr">
        <is>
          <t>Low Cost</t>
        </is>
      </c>
      <c r="H940" t="n">
        <v>65.5</v>
      </c>
      <c r="I940">
        <f>B940&amp;"|"&amp;F940&amp;"|"&amp;G940</f>
        <v/>
      </c>
      <c r="J940" t="inlineStr">
        <is>
          <t>MVS Sec.13 p.29</t>
        </is>
      </c>
    </row>
    <row r="941">
      <c r="B941" t="inlineStr">
        <is>
          <t>Mega Warehouse Stores</t>
        </is>
      </c>
      <c r="C941" t="inlineStr">
        <is>
          <t>720</t>
        </is>
      </c>
      <c r="D941" t="inlineStr">
        <is>
          <t>13</t>
        </is>
      </c>
      <c r="E941" t="inlineStr">
        <is>
          <t>30</t>
        </is>
      </c>
      <c r="F941" t="inlineStr">
        <is>
          <t>C</t>
        </is>
      </c>
      <c r="G941" t="inlineStr">
        <is>
          <t>Good</t>
        </is>
      </c>
      <c r="H941" t="n">
        <v>88.5</v>
      </c>
      <c r="I941">
        <f>B941&amp;"|"&amp;F941&amp;"|"&amp;G941</f>
        <v/>
      </c>
      <c r="J941" t="inlineStr">
        <is>
          <t>MVS Sec.13 p.30</t>
        </is>
      </c>
    </row>
    <row r="942">
      <c r="B942" t="inlineStr">
        <is>
          <t>Mega Warehouse Stores</t>
        </is>
      </c>
      <c r="C942" t="inlineStr">
        <is>
          <t>720</t>
        </is>
      </c>
      <c r="D942" t="inlineStr">
        <is>
          <t>13</t>
        </is>
      </c>
      <c r="E942" t="inlineStr">
        <is>
          <t>30</t>
        </is>
      </c>
      <c r="F942" t="inlineStr">
        <is>
          <t>C</t>
        </is>
      </c>
      <c r="G942" t="inlineStr">
        <is>
          <t>Average</t>
        </is>
      </c>
      <c r="H942" t="n">
        <v>67.5</v>
      </c>
      <c r="I942">
        <f>B942&amp;"|"&amp;F942&amp;"|"&amp;G942</f>
        <v/>
      </c>
      <c r="J942" t="inlineStr">
        <is>
          <t>MVS Sec.13 p.30</t>
        </is>
      </c>
    </row>
    <row r="943">
      <c r="B943" t="inlineStr">
        <is>
          <t>Mega Warehouse Stores</t>
        </is>
      </c>
      <c r="C943" t="inlineStr">
        <is>
          <t>720</t>
        </is>
      </c>
      <c r="D943" t="inlineStr">
        <is>
          <t>13</t>
        </is>
      </c>
      <c r="E943" t="inlineStr">
        <is>
          <t>30</t>
        </is>
      </c>
      <c r="F943" t="inlineStr">
        <is>
          <t>C</t>
        </is>
      </c>
      <c r="G943" t="inlineStr">
        <is>
          <t>Low Cost</t>
        </is>
      </c>
      <c r="H943" t="n">
        <v>51.5</v>
      </c>
      <c r="I943">
        <f>B943&amp;"|"&amp;F943&amp;"|"&amp;G943</f>
        <v/>
      </c>
      <c r="J943" t="inlineStr">
        <is>
          <t>MVS Sec.13 p.30</t>
        </is>
      </c>
    </row>
    <row r="944">
      <c r="B944" t="inlineStr">
        <is>
          <t>Mega Warehouse Stores</t>
        </is>
      </c>
      <c r="C944" t="inlineStr">
        <is>
          <t>720</t>
        </is>
      </c>
      <c r="D944" t="inlineStr">
        <is>
          <t>13</t>
        </is>
      </c>
      <c r="E944" t="inlineStr">
        <is>
          <t>30</t>
        </is>
      </c>
      <c r="F944" t="inlineStr">
        <is>
          <t>S</t>
        </is>
      </c>
      <c r="G944" t="inlineStr">
        <is>
          <t>Average</t>
        </is>
      </c>
      <c r="H944" t="n">
        <v>61.5</v>
      </c>
      <c r="I944">
        <f>B944&amp;"|"&amp;F944&amp;"|"&amp;G944</f>
        <v/>
      </c>
      <c r="J944" t="inlineStr">
        <is>
          <t>MVS Sec.13 p.30</t>
        </is>
      </c>
    </row>
    <row r="945">
      <c r="B945" t="inlineStr">
        <is>
          <t>Mega Warehouse Stores</t>
        </is>
      </c>
      <c r="C945" t="inlineStr">
        <is>
          <t>720</t>
        </is>
      </c>
      <c r="D945" t="inlineStr">
        <is>
          <t>13</t>
        </is>
      </c>
      <c r="E945" t="inlineStr">
        <is>
          <t>30</t>
        </is>
      </c>
      <c r="F945" t="inlineStr">
        <is>
          <t>S</t>
        </is>
      </c>
      <c r="G945" t="inlineStr">
        <is>
          <t>Low Cost</t>
        </is>
      </c>
      <c r="H945" t="n">
        <v>48</v>
      </c>
      <c r="I945">
        <f>B945&amp;"|"&amp;F945&amp;"|"&amp;G945</f>
        <v/>
      </c>
      <c r="J945" t="inlineStr">
        <is>
          <t>MVS Sec.13 p.30</t>
        </is>
      </c>
    </row>
    <row r="946">
      <c r="B946" t="inlineStr">
        <is>
          <t>Neighborhood Shopping Centers</t>
        </is>
      </c>
      <c r="C946" t="inlineStr">
        <is>
          <t>412</t>
        </is>
      </c>
      <c r="D946" t="inlineStr">
        <is>
          <t>13</t>
        </is>
      </c>
      <c r="E946" t="inlineStr">
        <is>
          <t>33</t>
        </is>
      </c>
      <c r="F946" t="inlineStr">
        <is>
          <t>C</t>
        </is>
      </c>
      <c r="G946" t="inlineStr">
        <is>
          <t>Good</t>
        </is>
      </c>
      <c r="H946" t="n">
        <v>152</v>
      </c>
      <c r="I946">
        <f>B946&amp;"|"&amp;F946&amp;"|"&amp;G946</f>
        <v/>
      </c>
      <c r="J946" t="inlineStr">
        <is>
          <t>MVS Sec.13 p.33</t>
        </is>
      </c>
    </row>
    <row r="947">
      <c r="B947" t="inlineStr">
        <is>
          <t>Neighborhood Shopping Centers</t>
        </is>
      </c>
      <c r="C947" t="inlineStr">
        <is>
          <t>412</t>
        </is>
      </c>
      <c r="D947" t="inlineStr">
        <is>
          <t>13</t>
        </is>
      </c>
      <c r="E947" t="inlineStr">
        <is>
          <t>33</t>
        </is>
      </c>
      <c r="F947" t="inlineStr">
        <is>
          <t>C</t>
        </is>
      </c>
      <c r="G947" t="inlineStr">
        <is>
          <t>Average</t>
        </is>
      </c>
      <c r="H947" t="n">
        <v>127</v>
      </c>
      <c r="I947">
        <f>B947&amp;"|"&amp;F947&amp;"|"&amp;G947</f>
        <v/>
      </c>
      <c r="J947" t="inlineStr">
        <is>
          <t>MVS Sec.13 p.33</t>
        </is>
      </c>
    </row>
    <row r="948">
      <c r="B948" t="inlineStr">
        <is>
          <t>Neighborhood Shopping Centers</t>
        </is>
      </c>
      <c r="C948" t="inlineStr">
        <is>
          <t>412</t>
        </is>
      </c>
      <c r="D948" t="inlineStr">
        <is>
          <t>13</t>
        </is>
      </c>
      <c r="E948" t="inlineStr">
        <is>
          <t>33</t>
        </is>
      </c>
      <c r="F948" t="inlineStr">
        <is>
          <t>C</t>
        </is>
      </c>
      <c r="G948" t="inlineStr">
        <is>
          <t>Low Cost</t>
        </is>
      </c>
      <c r="H948" t="n">
        <v>100</v>
      </c>
      <c r="I948">
        <f>B948&amp;"|"&amp;F948&amp;"|"&amp;G948</f>
        <v/>
      </c>
      <c r="J948" t="inlineStr">
        <is>
          <t>MVS Sec.13 p.33</t>
        </is>
      </c>
    </row>
    <row r="949">
      <c r="B949" t="inlineStr">
        <is>
          <t>Neighborhood Shopping Centers</t>
        </is>
      </c>
      <c r="C949" t="inlineStr">
        <is>
          <t>412</t>
        </is>
      </c>
      <c r="D949" t="inlineStr">
        <is>
          <t>13</t>
        </is>
      </c>
      <c r="E949" t="inlineStr">
        <is>
          <t>33</t>
        </is>
      </c>
      <c r="F949" t="inlineStr">
        <is>
          <t>CMILL</t>
        </is>
      </c>
      <c r="G949" t="inlineStr">
        <is>
          <t>Average</t>
        </is>
      </c>
      <c r="H949" t="n">
        <v>145</v>
      </c>
      <c r="I949">
        <f>B949&amp;"|"&amp;F949&amp;"|"&amp;G949</f>
        <v/>
      </c>
      <c r="J949" t="inlineStr">
        <is>
          <t>MVS Sec.13 p.33</t>
        </is>
      </c>
    </row>
    <row r="950">
      <c r="B950" t="inlineStr">
        <is>
          <t>Neighborhood Shopping Centers</t>
        </is>
      </c>
      <c r="C950" t="inlineStr">
        <is>
          <t>412</t>
        </is>
      </c>
      <c r="D950" t="inlineStr">
        <is>
          <t>13</t>
        </is>
      </c>
      <c r="E950" t="inlineStr">
        <is>
          <t>33</t>
        </is>
      </c>
      <c r="F950" t="inlineStr">
        <is>
          <t>D</t>
        </is>
      </c>
      <c r="G950" t="inlineStr">
        <is>
          <t>Good</t>
        </is>
      </c>
      <c r="H950" t="n">
        <v>143</v>
      </c>
      <c r="I950">
        <f>B950&amp;"|"&amp;F950&amp;"|"&amp;G950</f>
        <v/>
      </c>
      <c r="J950" t="inlineStr">
        <is>
          <t>MVS Sec.13 p.33</t>
        </is>
      </c>
    </row>
    <row r="951">
      <c r="B951" t="inlineStr">
        <is>
          <t>Neighborhood Shopping Centers</t>
        </is>
      </c>
      <c r="C951" t="inlineStr">
        <is>
          <t>412</t>
        </is>
      </c>
      <c r="D951" t="inlineStr">
        <is>
          <t>13</t>
        </is>
      </c>
      <c r="E951" t="inlineStr">
        <is>
          <t>33</t>
        </is>
      </c>
      <c r="F951" t="inlineStr">
        <is>
          <t>D</t>
        </is>
      </c>
      <c r="G951" t="inlineStr">
        <is>
          <t>Average</t>
        </is>
      </c>
      <c r="H951" t="n">
        <v>119</v>
      </c>
      <c r="I951">
        <f>B951&amp;"|"&amp;F951&amp;"|"&amp;G951</f>
        <v/>
      </c>
      <c r="J951" t="inlineStr">
        <is>
          <t>MVS Sec.13 p.33</t>
        </is>
      </c>
    </row>
    <row r="952">
      <c r="B952" t="inlineStr">
        <is>
          <t>Neighborhood Shopping Centers</t>
        </is>
      </c>
      <c r="C952" t="inlineStr">
        <is>
          <t>412</t>
        </is>
      </c>
      <c r="D952" t="inlineStr">
        <is>
          <t>13</t>
        </is>
      </c>
      <c r="E952" t="inlineStr">
        <is>
          <t>33</t>
        </is>
      </c>
      <c r="F952" t="inlineStr">
        <is>
          <t>D</t>
        </is>
      </c>
      <c r="G952" t="inlineStr">
        <is>
          <t>Low Cost</t>
        </is>
      </c>
      <c r="H952" t="n">
        <v>93</v>
      </c>
      <c r="I952">
        <f>B952&amp;"|"&amp;F952&amp;"|"&amp;G952</f>
        <v/>
      </c>
      <c r="J952" t="inlineStr">
        <is>
          <t>MVS Sec.13 p.33</t>
        </is>
      </c>
    </row>
    <row r="953">
      <c r="B953" t="inlineStr">
        <is>
          <t>Neighborhood Shopping Centers</t>
        </is>
      </c>
      <c r="C953" t="inlineStr">
        <is>
          <t>412</t>
        </is>
      </c>
      <c r="D953" t="inlineStr">
        <is>
          <t>13</t>
        </is>
      </c>
      <c r="E953" t="inlineStr">
        <is>
          <t>33</t>
        </is>
      </c>
      <c r="F953" t="inlineStr">
        <is>
          <t>DPOLE</t>
        </is>
      </c>
      <c r="G953" t="inlineStr">
        <is>
          <t>Low Cost</t>
        </is>
      </c>
      <c r="H953" t="n">
        <v>88.5</v>
      </c>
      <c r="I953">
        <f>B953&amp;"|"&amp;F953&amp;"|"&amp;G953</f>
        <v/>
      </c>
      <c r="J953" t="inlineStr">
        <is>
          <t>MVS Sec.13 p.33</t>
        </is>
      </c>
    </row>
    <row r="954">
      <c r="B954" t="inlineStr">
        <is>
          <t>Neighborhood Shopping Centers</t>
        </is>
      </c>
      <c r="C954" t="inlineStr">
        <is>
          <t>412</t>
        </is>
      </c>
      <c r="D954" t="inlineStr">
        <is>
          <t>13</t>
        </is>
      </c>
      <c r="E954" t="inlineStr">
        <is>
          <t>33</t>
        </is>
      </c>
      <c r="F954" t="inlineStr">
        <is>
          <t>S</t>
        </is>
      </c>
      <c r="G954" t="inlineStr">
        <is>
          <t>Average</t>
        </is>
      </c>
      <c r="H954" t="n">
        <v>116</v>
      </c>
      <c r="I954">
        <f>B954&amp;"|"&amp;F954&amp;"|"&amp;G954</f>
        <v/>
      </c>
      <c r="J954" t="inlineStr">
        <is>
          <t>MVS Sec.13 p.33</t>
        </is>
      </c>
    </row>
    <row r="955">
      <c r="B955" t="inlineStr">
        <is>
          <t>Neighborhood Shopping Centers</t>
        </is>
      </c>
      <c r="C955" t="inlineStr">
        <is>
          <t>412</t>
        </is>
      </c>
      <c r="D955" t="inlineStr">
        <is>
          <t>13</t>
        </is>
      </c>
      <c r="E955" t="inlineStr">
        <is>
          <t>33</t>
        </is>
      </c>
      <c r="F955" t="inlineStr">
        <is>
          <t>S</t>
        </is>
      </c>
      <c r="G955" t="inlineStr">
        <is>
          <t>Low Cost</t>
        </is>
      </c>
      <c r="H955" t="n">
        <v>91</v>
      </c>
      <c r="I955">
        <f>B955&amp;"|"&amp;F955&amp;"|"&amp;G955</f>
        <v/>
      </c>
      <c r="J955" t="inlineStr">
        <is>
          <t>MVS Sec.13 p.33</t>
        </is>
      </c>
    </row>
    <row r="956">
      <c r="B956" t="inlineStr">
        <is>
          <t>Mixed Retail Centers with Residential Units</t>
        </is>
      </c>
      <c r="C956" t="inlineStr">
        <is>
          <t>459</t>
        </is>
      </c>
      <c r="D956" t="inlineStr">
        <is>
          <t>13</t>
        </is>
      </c>
      <c r="E956" t="inlineStr">
        <is>
          <t>33</t>
        </is>
      </c>
      <c r="F956" t="inlineStr">
        <is>
          <t>C</t>
        </is>
      </c>
      <c r="G956" t="inlineStr">
        <is>
          <t>Good</t>
        </is>
      </c>
      <c r="H956" t="n">
        <v>157</v>
      </c>
      <c r="I956">
        <f>B956&amp;"|"&amp;F956&amp;"|"&amp;G956</f>
        <v/>
      </c>
      <c r="J956" t="inlineStr">
        <is>
          <t>MVS Sec.13 p.33</t>
        </is>
      </c>
    </row>
    <row r="957">
      <c r="B957" t="inlineStr">
        <is>
          <t>Mixed Retail Centers with Residential Units</t>
        </is>
      </c>
      <c r="C957" t="inlineStr">
        <is>
          <t>459</t>
        </is>
      </c>
      <c r="D957" t="inlineStr">
        <is>
          <t>13</t>
        </is>
      </c>
      <c r="E957" t="inlineStr">
        <is>
          <t>33</t>
        </is>
      </c>
      <c r="F957" t="inlineStr">
        <is>
          <t>C</t>
        </is>
      </c>
      <c r="G957" t="inlineStr">
        <is>
          <t>Average</t>
        </is>
      </c>
      <c r="H957" t="n">
        <v>125</v>
      </c>
      <c r="I957">
        <f>B957&amp;"|"&amp;F957&amp;"|"&amp;G957</f>
        <v/>
      </c>
      <c r="J957" t="inlineStr">
        <is>
          <t>MVS Sec.13 p.33</t>
        </is>
      </c>
    </row>
    <row r="958">
      <c r="B958" t="inlineStr">
        <is>
          <t>Mixed Retail Centers with Residential Units</t>
        </is>
      </c>
      <c r="C958" t="inlineStr">
        <is>
          <t>459</t>
        </is>
      </c>
      <c r="D958" t="inlineStr">
        <is>
          <t>13</t>
        </is>
      </c>
      <c r="E958" t="inlineStr">
        <is>
          <t>33</t>
        </is>
      </c>
      <c r="F958" t="inlineStr">
        <is>
          <t>C</t>
        </is>
      </c>
      <c r="G958" t="inlineStr">
        <is>
          <t>Low Cost</t>
        </is>
      </c>
      <c r="H958" t="n">
        <v>95</v>
      </c>
      <c r="I958">
        <f>B958&amp;"|"&amp;F958&amp;"|"&amp;G958</f>
        <v/>
      </c>
      <c r="J958" t="inlineStr">
        <is>
          <t>MVS Sec.13 p.33</t>
        </is>
      </c>
    </row>
    <row r="959">
      <c r="B959" t="inlineStr">
        <is>
          <t>Mixed Retail Centers with Residential Units</t>
        </is>
      </c>
      <c r="C959" t="inlineStr">
        <is>
          <t>459</t>
        </is>
      </c>
      <c r="D959" t="inlineStr">
        <is>
          <t>13</t>
        </is>
      </c>
      <c r="E959" t="inlineStr">
        <is>
          <t>33</t>
        </is>
      </c>
      <c r="F959" t="inlineStr">
        <is>
          <t>CMILL</t>
        </is>
      </c>
      <c r="G959" t="inlineStr">
        <is>
          <t>Average</t>
        </is>
      </c>
      <c r="H959" t="n">
        <v>147</v>
      </c>
      <c r="I959">
        <f>B959&amp;"|"&amp;F959&amp;"|"&amp;G959</f>
        <v/>
      </c>
      <c r="J959" t="inlineStr">
        <is>
          <t>MVS Sec.13 p.33</t>
        </is>
      </c>
    </row>
    <row r="960">
      <c r="B960" t="inlineStr">
        <is>
          <t>Mixed Retail Centers with Residential Units</t>
        </is>
      </c>
      <c r="C960" t="inlineStr">
        <is>
          <t>459</t>
        </is>
      </c>
      <c r="D960" t="inlineStr">
        <is>
          <t>13</t>
        </is>
      </c>
      <c r="E960" t="inlineStr">
        <is>
          <t>33</t>
        </is>
      </c>
      <c r="F960" t="inlineStr">
        <is>
          <t>D</t>
        </is>
      </c>
      <c r="G960" t="inlineStr">
        <is>
          <t>Good</t>
        </is>
      </c>
      <c r="H960" t="n">
        <v>148</v>
      </c>
      <c r="I960">
        <f>B960&amp;"|"&amp;F960&amp;"|"&amp;G960</f>
        <v/>
      </c>
      <c r="J960" t="inlineStr">
        <is>
          <t>MVS Sec.13 p.33</t>
        </is>
      </c>
    </row>
    <row r="961">
      <c r="B961" t="inlineStr">
        <is>
          <t>Mixed Retail Centers with Residential Units</t>
        </is>
      </c>
      <c r="C961" t="inlineStr">
        <is>
          <t>459</t>
        </is>
      </c>
      <c r="D961" t="inlineStr">
        <is>
          <t>13</t>
        </is>
      </c>
      <c r="E961" t="inlineStr">
        <is>
          <t>33</t>
        </is>
      </c>
      <c r="F961" t="inlineStr">
        <is>
          <t>D</t>
        </is>
      </c>
      <c r="G961" t="inlineStr">
        <is>
          <t>Average</t>
        </is>
      </c>
      <c r="H961" t="n">
        <v>117</v>
      </c>
      <c r="I961">
        <f>B961&amp;"|"&amp;F961&amp;"|"&amp;G961</f>
        <v/>
      </c>
      <c r="J961" t="inlineStr">
        <is>
          <t>MVS Sec.13 p.33</t>
        </is>
      </c>
    </row>
    <row r="962">
      <c r="B962" t="inlineStr">
        <is>
          <t>Mixed Retail Centers with Residential Units</t>
        </is>
      </c>
      <c r="C962" t="inlineStr">
        <is>
          <t>459</t>
        </is>
      </c>
      <c r="D962" t="inlineStr">
        <is>
          <t>13</t>
        </is>
      </c>
      <c r="E962" t="inlineStr">
        <is>
          <t>33</t>
        </is>
      </c>
      <c r="F962" t="inlineStr">
        <is>
          <t>D</t>
        </is>
      </c>
      <c r="G962" t="inlineStr">
        <is>
          <t>Low Cost</t>
        </is>
      </c>
      <c r="H962" t="n">
        <v>88</v>
      </c>
      <c r="I962">
        <f>B962&amp;"|"&amp;F962&amp;"|"&amp;G962</f>
        <v/>
      </c>
      <c r="J962" t="inlineStr">
        <is>
          <t>MVS Sec.13 p.33</t>
        </is>
      </c>
    </row>
    <row r="963">
      <c r="B963" t="inlineStr">
        <is>
          <t>Mixed Retail Centers with Office Units</t>
        </is>
      </c>
      <c r="C963" t="inlineStr">
        <is>
          <t>597</t>
        </is>
      </c>
      <c r="D963" t="inlineStr">
        <is>
          <t>13</t>
        </is>
      </c>
      <c r="E963" t="inlineStr">
        <is>
          <t>34</t>
        </is>
      </c>
      <c r="F963" t="inlineStr">
        <is>
          <t>C</t>
        </is>
      </c>
      <c r="G963" t="inlineStr">
        <is>
          <t>Good</t>
        </is>
      </c>
      <c r="H963" t="n">
        <v>156</v>
      </c>
      <c r="I963">
        <f>B963&amp;"|"&amp;F963&amp;"|"&amp;G963</f>
        <v/>
      </c>
      <c r="J963" t="inlineStr">
        <is>
          <t>MVS Sec.13 p.34</t>
        </is>
      </c>
    </row>
    <row r="964">
      <c r="B964" t="inlineStr">
        <is>
          <t>Mixed Retail Centers with Office Units</t>
        </is>
      </c>
      <c r="C964" t="inlineStr">
        <is>
          <t>597</t>
        </is>
      </c>
      <c r="D964" t="inlineStr">
        <is>
          <t>13</t>
        </is>
      </c>
      <c r="E964" t="inlineStr">
        <is>
          <t>34</t>
        </is>
      </c>
      <c r="F964" t="inlineStr">
        <is>
          <t>C</t>
        </is>
      </c>
      <c r="G964" t="inlineStr">
        <is>
          <t>Average</t>
        </is>
      </c>
      <c r="H964" t="n">
        <v>128</v>
      </c>
      <c r="I964">
        <f>B964&amp;"|"&amp;F964&amp;"|"&amp;G964</f>
        <v/>
      </c>
      <c r="J964" t="inlineStr">
        <is>
          <t>MVS Sec.13 p.34</t>
        </is>
      </c>
    </row>
    <row r="965">
      <c r="B965" t="inlineStr">
        <is>
          <t>Mixed Retail Centers with Office Units</t>
        </is>
      </c>
      <c r="C965" t="inlineStr">
        <is>
          <t>597</t>
        </is>
      </c>
      <c r="D965" t="inlineStr">
        <is>
          <t>13</t>
        </is>
      </c>
      <c r="E965" t="inlineStr">
        <is>
          <t>34</t>
        </is>
      </c>
      <c r="F965" t="inlineStr">
        <is>
          <t>C</t>
        </is>
      </c>
      <c r="G965" t="inlineStr">
        <is>
          <t>Low Cost</t>
        </is>
      </c>
      <c r="H965" t="n">
        <v>100</v>
      </c>
      <c r="I965">
        <f>B965&amp;"|"&amp;F965&amp;"|"&amp;G965</f>
        <v/>
      </c>
      <c r="J965" t="inlineStr">
        <is>
          <t>MVS Sec.13 p.34</t>
        </is>
      </c>
    </row>
    <row r="966">
      <c r="B966" t="inlineStr">
        <is>
          <t>Mixed Retail Centers with Office Units</t>
        </is>
      </c>
      <c r="C966" t="inlineStr">
        <is>
          <t>597</t>
        </is>
      </c>
      <c r="D966" t="inlineStr">
        <is>
          <t>13</t>
        </is>
      </c>
      <c r="E966" t="inlineStr">
        <is>
          <t>34</t>
        </is>
      </c>
      <c r="F966" t="inlineStr">
        <is>
          <t>CMILL</t>
        </is>
      </c>
      <c r="G966" t="inlineStr">
        <is>
          <t>Average</t>
        </is>
      </c>
      <c r="H966" t="n">
        <v>148</v>
      </c>
      <c r="I966">
        <f>B966&amp;"|"&amp;F966&amp;"|"&amp;G966</f>
        <v/>
      </c>
      <c r="J966" t="inlineStr">
        <is>
          <t>MVS Sec.13 p.34</t>
        </is>
      </c>
    </row>
    <row r="967">
      <c r="B967" t="inlineStr">
        <is>
          <t>Mixed Retail Centers with Office Units</t>
        </is>
      </c>
      <c r="C967" t="inlineStr">
        <is>
          <t>597</t>
        </is>
      </c>
      <c r="D967" t="inlineStr">
        <is>
          <t>13</t>
        </is>
      </c>
      <c r="E967" t="inlineStr">
        <is>
          <t>34</t>
        </is>
      </c>
      <c r="F967" t="inlineStr">
        <is>
          <t>D</t>
        </is>
      </c>
      <c r="G967" t="inlineStr">
        <is>
          <t>Good</t>
        </is>
      </c>
      <c r="H967" t="n">
        <v>147</v>
      </c>
      <c r="I967">
        <f>B967&amp;"|"&amp;F967&amp;"|"&amp;G967</f>
        <v/>
      </c>
      <c r="J967" t="inlineStr">
        <is>
          <t>MVS Sec.13 p.34</t>
        </is>
      </c>
    </row>
    <row r="968">
      <c r="B968" t="inlineStr">
        <is>
          <t>Mixed Retail Centers with Office Units</t>
        </is>
      </c>
      <c r="C968" t="inlineStr">
        <is>
          <t>597</t>
        </is>
      </c>
      <c r="D968" t="inlineStr">
        <is>
          <t>13</t>
        </is>
      </c>
      <c r="E968" t="inlineStr">
        <is>
          <t>34</t>
        </is>
      </c>
      <c r="F968" t="inlineStr">
        <is>
          <t>D</t>
        </is>
      </c>
      <c r="G968" t="inlineStr">
        <is>
          <t>Average</t>
        </is>
      </c>
      <c r="H968" t="n">
        <v>120</v>
      </c>
      <c r="I968">
        <f>B968&amp;"|"&amp;F968&amp;"|"&amp;G968</f>
        <v/>
      </c>
      <c r="J968" t="inlineStr">
        <is>
          <t>MVS Sec.13 p.34</t>
        </is>
      </c>
    </row>
    <row r="969">
      <c r="B969" t="inlineStr">
        <is>
          <t>Mixed Retail Centers with Office Units</t>
        </is>
      </c>
      <c r="C969" t="inlineStr">
        <is>
          <t>597</t>
        </is>
      </c>
      <c r="D969" t="inlineStr">
        <is>
          <t>13</t>
        </is>
      </c>
      <c r="E969" t="inlineStr">
        <is>
          <t>34</t>
        </is>
      </c>
      <c r="F969" t="inlineStr">
        <is>
          <t>D</t>
        </is>
      </c>
      <c r="G969" t="inlineStr">
        <is>
          <t>Low Cost</t>
        </is>
      </c>
      <c r="H969" t="n">
        <v>93</v>
      </c>
      <c r="I969">
        <f>B969&amp;"|"&amp;F969&amp;"|"&amp;G969</f>
        <v/>
      </c>
      <c r="J969" t="inlineStr">
        <is>
          <t>MVS Sec.13 p.34</t>
        </is>
      </c>
    </row>
    <row r="970">
      <c r="B970" t="inlineStr">
        <is>
          <t>Community Shopping Centers</t>
        </is>
      </c>
      <c r="C970" t="inlineStr">
        <is>
          <t>413</t>
        </is>
      </c>
      <c r="D970" t="inlineStr">
        <is>
          <t>13</t>
        </is>
      </c>
      <c r="E970" t="inlineStr">
        <is>
          <t>34</t>
        </is>
      </c>
      <c r="F970" t="inlineStr">
        <is>
          <t>C</t>
        </is>
      </c>
      <c r="G970" t="inlineStr">
        <is>
          <t>Excellent</t>
        </is>
      </c>
      <c r="H970" t="n">
        <v>207</v>
      </c>
      <c r="I970">
        <f>B970&amp;"|"&amp;F970&amp;"|"&amp;G970</f>
        <v/>
      </c>
      <c r="J970" t="inlineStr">
        <is>
          <t>MVS Sec.13 p.34</t>
        </is>
      </c>
    </row>
    <row r="971">
      <c r="B971" t="inlineStr">
        <is>
          <t>Community Shopping Centers</t>
        </is>
      </c>
      <c r="C971" t="inlineStr">
        <is>
          <t>413</t>
        </is>
      </c>
      <c r="D971" t="inlineStr">
        <is>
          <t>13</t>
        </is>
      </c>
      <c r="E971" t="inlineStr">
        <is>
          <t>34</t>
        </is>
      </c>
      <c r="F971" t="inlineStr">
        <is>
          <t>C</t>
        </is>
      </c>
      <c r="G971" t="inlineStr">
        <is>
          <t>Good</t>
        </is>
      </c>
      <c r="H971" t="n">
        <v>169</v>
      </c>
      <c r="I971">
        <f>B971&amp;"|"&amp;F971&amp;"|"&amp;G971</f>
        <v/>
      </c>
      <c r="J971" t="inlineStr">
        <is>
          <t>MVS Sec.13 p.34</t>
        </is>
      </c>
    </row>
    <row r="972">
      <c r="B972" t="inlineStr">
        <is>
          <t>Community Shopping Centers</t>
        </is>
      </c>
      <c r="C972" t="inlineStr">
        <is>
          <t>413</t>
        </is>
      </c>
      <c r="D972" t="inlineStr">
        <is>
          <t>13</t>
        </is>
      </c>
      <c r="E972" t="inlineStr">
        <is>
          <t>34</t>
        </is>
      </c>
      <c r="F972" t="inlineStr">
        <is>
          <t>C</t>
        </is>
      </c>
      <c r="G972" t="inlineStr">
        <is>
          <t>Average</t>
        </is>
      </c>
      <c r="H972" t="n">
        <v>135</v>
      </c>
      <c r="I972">
        <f>B972&amp;"|"&amp;F972&amp;"|"&amp;G972</f>
        <v/>
      </c>
      <c r="J972" t="inlineStr">
        <is>
          <t>MVS Sec.13 p.34</t>
        </is>
      </c>
    </row>
    <row r="973">
      <c r="B973" t="inlineStr">
        <is>
          <t>Community Shopping Centers</t>
        </is>
      </c>
      <c r="C973" t="inlineStr">
        <is>
          <t>413</t>
        </is>
      </c>
      <c r="D973" t="inlineStr">
        <is>
          <t>13</t>
        </is>
      </c>
      <c r="E973" t="inlineStr">
        <is>
          <t>34</t>
        </is>
      </c>
      <c r="F973" t="inlineStr">
        <is>
          <t>C</t>
        </is>
      </c>
      <c r="G973" t="inlineStr">
        <is>
          <t>Low Cost</t>
        </is>
      </c>
      <c r="H973" t="n">
        <v>111</v>
      </c>
      <c r="I973">
        <f>B973&amp;"|"&amp;F973&amp;"|"&amp;G973</f>
        <v/>
      </c>
      <c r="J973" t="inlineStr">
        <is>
          <t>MVS Sec.13 p.34</t>
        </is>
      </c>
    </row>
    <row r="974">
      <c r="B974" t="inlineStr">
        <is>
          <t>Community Shopping Centers</t>
        </is>
      </c>
      <c r="C974" t="inlineStr">
        <is>
          <t>413</t>
        </is>
      </c>
      <c r="D974" t="inlineStr">
        <is>
          <t>13</t>
        </is>
      </c>
      <c r="E974" t="inlineStr">
        <is>
          <t>34</t>
        </is>
      </c>
      <c r="F974" t="inlineStr">
        <is>
          <t>D</t>
        </is>
      </c>
      <c r="G974" t="inlineStr">
        <is>
          <t>Excellent</t>
        </is>
      </c>
      <c r="H974" t="n">
        <v>195</v>
      </c>
      <c r="I974">
        <f>B974&amp;"|"&amp;F974&amp;"|"&amp;G974</f>
        <v/>
      </c>
      <c r="J974" t="inlineStr">
        <is>
          <t>MVS Sec.13 p.34</t>
        </is>
      </c>
    </row>
    <row r="975">
      <c r="B975" t="inlineStr">
        <is>
          <t>Community Shopping Centers</t>
        </is>
      </c>
      <c r="C975" t="inlineStr">
        <is>
          <t>413</t>
        </is>
      </c>
      <c r="D975" t="inlineStr">
        <is>
          <t>13</t>
        </is>
      </c>
      <c r="E975" t="inlineStr">
        <is>
          <t>34</t>
        </is>
      </c>
      <c r="F975" t="inlineStr">
        <is>
          <t>D</t>
        </is>
      </c>
      <c r="G975" t="inlineStr">
        <is>
          <t>Good</t>
        </is>
      </c>
      <c r="H975" t="n">
        <v>159</v>
      </c>
      <c r="I975">
        <f>B975&amp;"|"&amp;F975&amp;"|"&amp;G975</f>
        <v/>
      </c>
      <c r="J975" t="inlineStr">
        <is>
          <t>MVS Sec.13 p.34</t>
        </is>
      </c>
    </row>
    <row r="976">
      <c r="B976" t="inlineStr">
        <is>
          <t>Community Shopping Centers</t>
        </is>
      </c>
      <c r="C976" t="inlineStr">
        <is>
          <t>413</t>
        </is>
      </c>
      <c r="D976" t="inlineStr">
        <is>
          <t>13</t>
        </is>
      </c>
      <c r="E976" t="inlineStr">
        <is>
          <t>34</t>
        </is>
      </c>
      <c r="F976" t="inlineStr">
        <is>
          <t>D</t>
        </is>
      </c>
      <c r="G976" t="inlineStr">
        <is>
          <t>Average</t>
        </is>
      </c>
      <c r="H976" t="n">
        <v>126</v>
      </c>
      <c r="I976">
        <f>B976&amp;"|"&amp;F976&amp;"|"&amp;G976</f>
        <v/>
      </c>
      <c r="J976" t="inlineStr">
        <is>
          <t>MVS Sec.13 p.34</t>
        </is>
      </c>
    </row>
    <row r="977">
      <c r="B977" t="inlineStr">
        <is>
          <t>Community Shopping Centers</t>
        </is>
      </c>
      <c r="C977" t="inlineStr">
        <is>
          <t>413</t>
        </is>
      </c>
      <c r="D977" t="inlineStr">
        <is>
          <t>13</t>
        </is>
      </c>
      <c r="E977" t="inlineStr">
        <is>
          <t>34</t>
        </is>
      </c>
      <c r="F977" t="inlineStr">
        <is>
          <t>S</t>
        </is>
      </c>
      <c r="G977" t="inlineStr">
        <is>
          <t>Average</t>
        </is>
      </c>
      <c r="H977" t="n">
        <v>124</v>
      </c>
      <c r="I977">
        <f>B977&amp;"|"&amp;F977&amp;"|"&amp;G977</f>
        <v/>
      </c>
      <c r="J977" t="inlineStr">
        <is>
          <t>MVS Sec.13 p.34</t>
        </is>
      </c>
    </row>
    <row r="978">
      <c r="B978" t="inlineStr">
        <is>
          <t>Regional Discount Shopping Centers</t>
        </is>
      </c>
      <c r="C978" t="inlineStr">
        <is>
          <t>513</t>
        </is>
      </c>
      <c r="D978" t="inlineStr">
        <is>
          <t>13</t>
        </is>
      </c>
      <c r="E978" t="inlineStr">
        <is>
          <t>35</t>
        </is>
      </c>
      <c r="F978" t="inlineStr">
        <is>
          <t>A-B</t>
        </is>
      </c>
      <c r="G978" t="inlineStr">
        <is>
          <t>Good</t>
        </is>
      </c>
      <c r="H978" t="n">
        <v>176</v>
      </c>
      <c r="I978">
        <f>B978&amp;"|"&amp;F978&amp;"|"&amp;G978</f>
        <v/>
      </c>
      <c r="J978" t="inlineStr">
        <is>
          <t>MVS Sec.13 p.35</t>
        </is>
      </c>
    </row>
    <row r="979">
      <c r="B979" t="inlineStr">
        <is>
          <t>Regional Discount Shopping Centers</t>
        </is>
      </c>
      <c r="C979" t="inlineStr">
        <is>
          <t>513</t>
        </is>
      </c>
      <c r="D979" t="inlineStr">
        <is>
          <t>13</t>
        </is>
      </c>
      <c r="E979" t="inlineStr">
        <is>
          <t>35</t>
        </is>
      </c>
      <c r="F979" t="inlineStr">
        <is>
          <t>A-B</t>
        </is>
      </c>
      <c r="G979" t="inlineStr">
        <is>
          <t>Average</t>
        </is>
      </c>
      <c r="H979" t="n">
        <v>145</v>
      </c>
      <c r="I979">
        <f>B979&amp;"|"&amp;F979&amp;"|"&amp;G979</f>
        <v/>
      </c>
      <c r="J979" t="inlineStr">
        <is>
          <t>MVS Sec.13 p.35</t>
        </is>
      </c>
    </row>
    <row r="980">
      <c r="B980" t="inlineStr">
        <is>
          <t>Regional Discount Shopping Centers</t>
        </is>
      </c>
      <c r="C980" t="inlineStr">
        <is>
          <t>513</t>
        </is>
      </c>
      <c r="D980" t="inlineStr">
        <is>
          <t>13</t>
        </is>
      </c>
      <c r="E980" t="inlineStr">
        <is>
          <t>35</t>
        </is>
      </c>
      <c r="F980" t="inlineStr">
        <is>
          <t>C</t>
        </is>
      </c>
      <c r="G980" t="inlineStr">
        <is>
          <t>Excellent</t>
        </is>
      </c>
      <c r="H980" t="n">
        <v>157</v>
      </c>
      <c r="I980">
        <f>B980&amp;"|"&amp;F980&amp;"|"&amp;G980</f>
        <v/>
      </c>
      <c r="J980" t="inlineStr">
        <is>
          <t>MVS Sec.13 p.35</t>
        </is>
      </c>
    </row>
    <row r="981">
      <c r="B981" t="inlineStr">
        <is>
          <t>Regional Discount Shopping Centers</t>
        </is>
      </c>
      <c r="C981" t="inlineStr">
        <is>
          <t>513</t>
        </is>
      </c>
      <c r="D981" t="inlineStr">
        <is>
          <t>13</t>
        </is>
      </c>
      <c r="E981" t="inlineStr">
        <is>
          <t>35</t>
        </is>
      </c>
      <c r="F981" t="inlineStr">
        <is>
          <t>C</t>
        </is>
      </c>
      <c r="G981" t="inlineStr">
        <is>
          <t>Good</t>
        </is>
      </c>
      <c r="H981" t="n">
        <v>129</v>
      </c>
      <c r="I981">
        <f>B981&amp;"|"&amp;F981&amp;"|"&amp;G981</f>
        <v/>
      </c>
      <c r="J981" t="inlineStr">
        <is>
          <t>MVS Sec.13 p.35</t>
        </is>
      </c>
    </row>
    <row r="982">
      <c r="B982" t="inlineStr">
        <is>
          <t>Regional Discount Shopping Centers</t>
        </is>
      </c>
      <c r="C982" t="inlineStr">
        <is>
          <t>513</t>
        </is>
      </c>
      <c r="D982" t="inlineStr">
        <is>
          <t>13</t>
        </is>
      </c>
      <c r="E982" t="inlineStr">
        <is>
          <t>35</t>
        </is>
      </c>
      <c r="F982" t="inlineStr">
        <is>
          <t>C</t>
        </is>
      </c>
      <c r="G982" t="inlineStr">
        <is>
          <t>Average</t>
        </is>
      </c>
      <c r="H982" t="n">
        <v>110</v>
      </c>
      <c r="I982">
        <f>B982&amp;"|"&amp;F982&amp;"|"&amp;G982</f>
        <v/>
      </c>
      <c r="J982" t="inlineStr">
        <is>
          <t>MVS Sec.13 p.35</t>
        </is>
      </c>
    </row>
    <row r="983">
      <c r="B983" t="inlineStr">
        <is>
          <t>Regional Discount Shopping Centers</t>
        </is>
      </c>
      <c r="C983" t="inlineStr">
        <is>
          <t>513</t>
        </is>
      </c>
      <c r="D983" t="inlineStr">
        <is>
          <t>13</t>
        </is>
      </c>
      <c r="E983" t="inlineStr">
        <is>
          <t>35</t>
        </is>
      </c>
      <c r="F983" t="inlineStr">
        <is>
          <t>D</t>
        </is>
      </c>
      <c r="G983" t="inlineStr">
        <is>
          <t>Good</t>
        </is>
      </c>
      <c r="H983" t="n">
        <v>120</v>
      </c>
      <c r="I983">
        <f>B983&amp;"|"&amp;F983&amp;"|"&amp;G983</f>
        <v/>
      </c>
      <c r="J983" t="inlineStr">
        <is>
          <t>MVS Sec.13 p.35</t>
        </is>
      </c>
    </row>
    <row r="984">
      <c r="B984" t="inlineStr">
        <is>
          <t>Regional Discount Shopping Centers</t>
        </is>
      </c>
      <c r="C984" t="inlineStr">
        <is>
          <t>513</t>
        </is>
      </c>
      <c r="D984" t="inlineStr">
        <is>
          <t>13</t>
        </is>
      </c>
      <c r="E984" t="inlineStr">
        <is>
          <t>35</t>
        </is>
      </c>
      <c r="F984" t="inlineStr">
        <is>
          <t>D</t>
        </is>
      </c>
      <c r="G984" t="inlineStr">
        <is>
          <t>Average</t>
        </is>
      </c>
      <c r="H984" t="n">
        <v>101</v>
      </c>
      <c r="I984">
        <f>B984&amp;"|"&amp;F984&amp;"|"&amp;G984</f>
        <v/>
      </c>
      <c r="J984" t="inlineStr">
        <is>
          <t>MVS Sec.13 p.35</t>
        </is>
      </c>
    </row>
    <row r="985">
      <c r="B985" t="inlineStr">
        <is>
          <t>Regional Discount Shopping Centers</t>
        </is>
      </c>
      <c r="C985" t="inlineStr">
        <is>
          <t>513</t>
        </is>
      </c>
      <c r="D985" t="inlineStr">
        <is>
          <t>13</t>
        </is>
      </c>
      <c r="E985" t="inlineStr">
        <is>
          <t>35</t>
        </is>
      </c>
      <c r="F985" t="inlineStr">
        <is>
          <t>S</t>
        </is>
      </c>
      <c r="G985" t="inlineStr">
        <is>
          <t>Average</t>
        </is>
      </c>
      <c r="H985" t="n">
        <v>100</v>
      </c>
      <c r="I985">
        <f>B985&amp;"|"&amp;F985&amp;"|"&amp;G985</f>
        <v/>
      </c>
      <c r="J985" t="inlineStr">
        <is>
          <t>MVS Sec.13 p.35</t>
        </is>
      </c>
    </row>
    <row r="986">
      <c r="B986" t="inlineStr">
        <is>
          <t>Regional Shopping Centers</t>
        </is>
      </c>
      <c r="C986" t="inlineStr">
        <is>
          <t>414</t>
        </is>
      </c>
      <c r="D986" t="inlineStr">
        <is>
          <t>13</t>
        </is>
      </c>
      <c r="E986" t="inlineStr">
        <is>
          <t>35</t>
        </is>
      </c>
      <c r="F986" t="inlineStr">
        <is>
          <t>A-B</t>
        </is>
      </c>
      <c r="G986" t="inlineStr">
        <is>
          <t>Excellent</t>
        </is>
      </c>
      <c r="H986" t="n">
        <v>284</v>
      </c>
      <c r="I986">
        <f>B986&amp;"|"&amp;F986&amp;"|"&amp;G986</f>
        <v/>
      </c>
      <c r="J986" t="inlineStr">
        <is>
          <t>MVS Sec.13 p.35</t>
        </is>
      </c>
    </row>
    <row r="987">
      <c r="B987" t="inlineStr">
        <is>
          <t>Regional Shopping Centers</t>
        </is>
      </c>
      <c r="C987" t="inlineStr">
        <is>
          <t>414</t>
        </is>
      </c>
      <c r="D987" t="inlineStr">
        <is>
          <t>13</t>
        </is>
      </c>
      <c r="E987" t="inlineStr">
        <is>
          <t>35</t>
        </is>
      </c>
      <c r="F987" t="inlineStr">
        <is>
          <t>A-B</t>
        </is>
      </c>
      <c r="G987" t="inlineStr">
        <is>
          <t>Good</t>
        </is>
      </c>
      <c r="H987" t="n">
        <v>233</v>
      </c>
      <c r="I987">
        <f>B987&amp;"|"&amp;F987&amp;"|"&amp;G987</f>
        <v/>
      </c>
      <c r="J987" t="inlineStr">
        <is>
          <t>MVS Sec.13 p.35</t>
        </is>
      </c>
    </row>
    <row r="988">
      <c r="B988" t="inlineStr">
        <is>
          <t>Regional Shopping Centers</t>
        </is>
      </c>
      <c r="C988" t="inlineStr">
        <is>
          <t>414</t>
        </is>
      </c>
      <c r="D988" t="inlineStr">
        <is>
          <t>13</t>
        </is>
      </c>
      <c r="E988" t="inlineStr">
        <is>
          <t>35</t>
        </is>
      </c>
      <c r="F988" t="inlineStr">
        <is>
          <t>C</t>
        </is>
      </c>
      <c r="G988" t="inlineStr">
        <is>
          <t>Excellent</t>
        </is>
      </c>
      <c r="H988" t="n">
        <v>238</v>
      </c>
      <c r="I988">
        <f>B988&amp;"|"&amp;F988&amp;"|"&amp;G988</f>
        <v/>
      </c>
      <c r="J988" t="inlineStr">
        <is>
          <t>MVS Sec.13 p.35</t>
        </is>
      </c>
    </row>
    <row r="989">
      <c r="B989" t="inlineStr">
        <is>
          <t>Regional Shopping Centers</t>
        </is>
      </c>
      <c r="C989" t="inlineStr">
        <is>
          <t>414</t>
        </is>
      </c>
      <c r="D989" t="inlineStr">
        <is>
          <t>13</t>
        </is>
      </c>
      <c r="E989" t="inlineStr">
        <is>
          <t>35</t>
        </is>
      </c>
      <c r="F989" t="inlineStr">
        <is>
          <t>C</t>
        </is>
      </c>
      <c r="G989" t="inlineStr">
        <is>
          <t>Good</t>
        </is>
      </c>
      <c r="H989" t="n">
        <v>189</v>
      </c>
      <c r="I989">
        <f>B989&amp;"|"&amp;F989&amp;"|"&amp;G989</f>
        <v/>
      </c>
      <c r="J989" t="inlineStr">
        <is>
          <t>MVS Sec.13 p.35</t>
        </is>
      </c>
    </row>
    <row r="990">
      <c r="B990" t="inlineStr">
        <is>
          <t>Regional Shopping Centers</t>
        </is>
      </c>
      <c r="C990" t="inlineStr">
        <is>
          <t>414</t>
        </is>
      </c>
      <c r="D990" t="inlineStr">
        <is>
          <t>13</t>
        </is>
      </c>
      <c r="E990" t="inlineStr">
        <is>
          <t>35</t>
        </is>
      </c>
      <c r="F990" t="inlineStr">
        <is>
          <t>C</t>
        </is>
      </c>
      <c r="G990" t="inlineStr">
        <is>
          <t>Average</t>
        </is>
      </c>
      <c r="H990" t="n">
        <v>153</v>
      </c>
      <c r="I990">
        <f>B990&amp;"|"&amp;F990&amp;"|"&amp;G990</f>
        <v/>
      </c>
      <c r="J990" t="inlineStr">
        <is>
          <t>MVS Sec.13 p.35</t>
        </is>
      </c>
    </row>
    <row r="991">
      <c r="B991" t="inlineStr">
        <is>
          <t>Regional Shopping Centers</t>
        </is>
      </c>
      <c r="C991" t="inlineStr">
        <is>
          <t>414</t>
        </is>
      </c>
      <c r="D991" t="inlineStr">
        <is>
          <t>13</t>
        </is>
      </c>
      <c r="E991" t="inlineStr">
        <is>
          <t>35</t>
        </is>
      </c>
      <c r="F991" t="inlineStr">
        <is>
          <t>D</t>
        </is>
      </c>
      <c r="G991" t="inlineStr">
        <is>
          <t>Excellent</t>
        </is>
      </c>
      <c r="H991" t="n">
        <v>223</v>
      </c>
      <c r="I991">
        <f>B991&amp;"|"&amp;F991&amp;"|"&amp;G991</f>
        <v/>
      </c>
      <c r="J991" t="inlineStr">
        <is>
          <t>MVS Sec.13 p.35</t>
        </is>
      </c>
    </row>
    <row r="992">
      <c r="B992" t="inlineStr">
        <is>
          <t>Regional Shopping Centers</t>
        </is>
      </c>
      <c r="C992" t="inlineStr">
        <is>
          <t>414</t>
        </is>
      </c>
      <c r="D992" t="inlineStr">
        <is>
          <t>13</t>
        </is>
      </c>
      <c r="E992" t="inlineStr">
        <is>
          <t>35</t>
        </is>
      </c>
      <c r="F992" t="inlineStr">
        <is>
          <t>D</t>
        </is>
      </c>
      <c r="G992" t="inlineStr">
        <is>
          <t>Good</t>
        </is>
      </c>
      <c r="H992" t="n">
        <v>176</v>
      </c>
      <c r="I992">
        <f>B992&amp;"|"&amp;F992&amp;"|"&amp;G992</f>
        <v/>
      </c>
      <c r="J992" t="inlineStr">
        <is>
          <t>MVS Sec.13 p.35</t>
        </is>
      </c>
    </row>
    <row r="993">
      <c r="B993" t="inlineStr">
        <is>
          <t>Regional Shopping Centers</t>
        </is>
      </c>
      <c r="C993" t="inlineStr">
        <is>
          <t>414</t>
        </is>
      </c>
      <c r="D993" t="inlineStr">
        <is>
          <t>13</t>
        </is>
      </c>
      <c r="E993" t="inlineStr">
        <is>
          <t>35</t>
        </is>
      </c>
      <c r="F993" t="inlineStr">
        <is>
          <t>D</t>
        </is>
      </c>
      <c r="G993" t="inlineStr">
        <is>
          <t>Average</t>
        </is>
      </c>
      <c r="H993" t="n">
        <v>142</v>
      </c>
      <c r="I993">
        <f>B993&amp;"|"&amp;F993&amp;"|"&amp;G993</f>
        <v/>
      </c>
      <c r="J993" t="inlineStr">
        <is>
          <t>MVS Sec.13 p.35</t>
        </is>
      </c>
    </row>
    <row r="994">
      <c r="B994" t="inlineStr">
        <is>
          <t>Regional Shopping Centers</t>
        </is>
      </c>
      <c r="C994" t="inlineStr">
        <is>
          <t>414</t>
        </is>
      </c>
      <c r="D994" t="inlineStr">
        <is>
          <t>13</t>
        </is>
      </c>
      <c r="E994" t="inlineStr">
        <is>
          <t>35</t>
        </is>
      </c>
      <c r="F994" t="inlineStr">
        <is>
          <t>S</t>
        </is>
      </c>
      <c r="G994" t="inlineStr">
        <is>
          <t>Average</t>
        </is>
      </c>
      <c r="H994" t="n">
        <v>142</v>
      </c>
      <c r="I994">
        <f>B994&amp;"|"&amp;F994&amp;"|"&amp;G994</f>
        <v/>
      </c>
      <c r="J994" t="inlineStr">
        <is>
          <t>MVS Sec.13 p.35</t>
        </is>
      </c>
    </row>
    <row r="995">
      <c r="B995" t="inlineStr">
        <is>
          <t>Regional Shopping Center Shell Buildings</t>
        </is>
      </c>
      <c r="C995" t="inlineStr">
        <is>
          <t>462</t>
        </is>
      </c>
      <c r="D995" t="inlineStr">
        <is>
          <t>13</t>
        </is>
      </c>
      <c r="E995" t="inlineStr">
        <is>
          <t>37</t>
        </is>
      </c>
      <c r="F995" t="inlineStr">
        <is>
          <t>A-B</t>
        </is>
      </c>
      <c r="G995" t="inlineStr">
        <is>
          <t>Excellent</t>
        </is>
      </c>
      <c r="H995" t="n">
        <v>118</v>
      </c>
      <c r="I995">
        <f>B995&amp;"|"&amp;F995&amp;"|"&amp;G995</f>
        <v/>
      </c>
      <c r="J995" t="inlineStr">
        <is>
          <t>MVS Sec.13 p.37</t>
        </is>
      </c>
    </row>
    <row r="996">
      <c r="B996" t="inlineStr">
        <is>
          <t>Regional Shopping Center Shell Buildings</t>
        </is>
      </c>
      <c r="C996" t="inlineStr">
        <is>
          <t>462</t>
        </is>
      </c>
      <c r="D996" t="inlineStr">
        <is>
          <t>13</t>
        </is>
      </c>
      <c r="E996" t="inlineStr">
        <is>
          <t>37</t>
        </is>
      </c>
      <c r="F996" t="inlineStr">
        <is>
          <t>A-B</t>
        </is>
      </c>
      <c r="G996" t="inlineStr">
        <is>
          <t>Good</t>
        </is>
      </c>
      <c r="H996" t="n">
        <v>108</v>
      </c>
      <c r="I996">
        <f>B996&amp;"|"&amp;F996&amp;"|"&amp;G996</f>
        <v/>
      </c>
      <c r="J996" t="inlineStr">
        <is>
          <t>MVS Sec.13 p.37</t>
        </is>
      </c>
    </row>
    <row r="997">
      <c r="B997" t="inlineStr">
        <is>
          <t>Regional Shopping Center Shell Buildings</t>
        </is>
      </c>
      <c r="C997" t="inlineStr">
        <is>
          <t>462</t>
        </is>
      </c>
      <c r="D997" t="inlineStr">
        <is>
          <t>13</t>
        </is>
      </c>
      <c r="E997" t="inlineStr">
        <is>
          <t>37</t>
        </is>
      </c>
      <c r="F997" t="inlineStr">
        <is>
          <t>C</t>
        </is>
      </c>
      <c r="G997" t="inlineStr">
        <is>
          <t>Excellent</t>
        </is>
      </c>
      <c r="H997" t="n">
        <v>79</v>
      </c>
      <c r="I997">
        <f>B997&amp;"|"&amp;F997&amp;"|"&amp;G997</f>
        <v/>
      </c>
      <c r="J997" t="inlineStr">
        <is>
          <t>MVS Sec.13 p.37</t>
        </is>
      </c>
    </row>
    <row r="998">
      <c r="B998" t="inlineStr">
        <is>
          <t>Regional Shopping Center Shell Buildings</t>
        </is>
      </c>
      <c r="C998" t="inlineStr">
        <is>
          <t>462</t>
        </is>
      </c>
      <c r="D998" t="inlineStr">
        <is>
          <t>13</t>
        </is>
      </c>
      <c r="E998" t="inlineStr">
        <is>
          <t>37</t>
        </is>
      </c>
      <c r="F998" t="inlineStr">
        <is>
          <t>C</t>
        </is>
      </c>
      <c r="G998" t="inlineStr">
        <is>
          <t>Good</t>
        </is>
      </c>
      <c r="H998" t="n">
        <v>70</v>
      </c>
      <c r="I998">
        <f>B998&amp;"|"&amp;F998&amp;"|"&amp;G998</f>
        <v/>
      </c>
      <c r="J998" t="inlineStr">
        <is>
          <t>MVS Sec.13 p.37</t>
        </is>
      </c>
    </row>
    <row r="999">
      <c r="B999" t="inlineStr">
        <is>
          <t>Regional Shopping Center Shell Buildings</t>
        </is>
      </c>
      <c r="C999" t="inlineStr">
        <is>
          <t>462</t>
        </is>
      </c>
      <c r="D999" t="inlineStr">
        <is>
          <t>13</t>
        </is>
      </c>
      <c r="E999" t="inlineStr">
        <is>
          <t>37</t>
        </is>
      </c>
      <c r="F999" t="inlineStr">
        <is>
          <t>C</t>
        </is>
      </c>
      <c r="G999" t="inlineStr">
        <is>
          <t>Average</t>
        </is>
      </c>
      <c r="H999" t="n">
        <v>62</v>
      </c>
      <c r="I999">
        <f>B999&amp;"|"&amp;F999&amp;"|"&amp;G999</f>
        <v/>
      </c>
      <c r="J999" t="inlineStr">
        <is>
          <t>MVS Sec.13 p.37</t>
        </is>
      </c>
    </row>
    <row r="1000">
      <c r="B1000" t="inlineStr">
        <is>
          <t>Regional Shopping Center Shell Buildings</t>
        </is>
      </c>
      <c r="C1000" t="inlineStr">
        <is>
          <t>462</t>
        </is>
      </c>
      <c r="D1000" t="inlineStr">
        <is>
          <t>13</t>
        </is>
      </c>
      <c r="E1000" t="inlineStr">
        <is>
          <t>37</t>
        </is>
      </c>
      <c r="F1000" t="inlineStr">
        <is>
          <t>D</t>
        </is>
      </c>
      <c r="G1000" t="inlineStr">
        <is>
          <t>Good</t>
        </is>
      </c>
      <c r="H1000" t="n">
        <v>60</v>
      </c>
      <c r="I1000">
        <f>B1000&amp;"|"&amp;F1000&amp;"|"&amp;G1000</f>
        <v/>
      </c>
      <c r="J1000" t="inlineStr">
        <is>
          <t>MVS Sec.13 p.37</t>
        </is>
      </c>
    </row>
    <row r="1001">
      <c r="B1001" t="inlineStr">
        <is>
          <t>Regional Shopping Center Shell Buildings</t>
        </is>
      </c>
      <c r="C1001" t="inlineStr">
        <is>
          <t>462</t>
        </is>
      </c>
      <c r="D1001" t="inlineStr">
        <is>
          <t>13</t>
        </is>
      </c>
      <c r="E1001" t="inlineStr">
        <is>
          <t>37</t>
        </is>
      </c>
      <c r="F1001" t="inlineStr">
        <is>
          <t>D</t>
        </is>
      </c>
      <c r="G1001" t="inlineStr">
        <is>
          <t>Average</t>
        </is>
      </c>
      <c r="H1001" t="n">
        <v>53</v>
      </c>
      <c r="I1001">
        <f>B1001&amp;"|"&amp;F1001&amp;"|"&amp;G1001</f>
        <v/>
      </c>
      <c r="J1001" t="inlineStr">
        <is>
          <t>MVS Sec.13 p.37</t>
        </is>
      </c>
    </row>
    <row r="1002">
      <c r="B1002" t="inlineStr">
        <is>
          <t>Regional Shopping Center Shell Buildings</t>
        </is>
      </c>
      <c r="C1002" t="inlineStr">
        <is>
          <t>462</t>
        </is>
      </c>
      <c r="D1002" t="inlineStr">
        <is>
          <t>13</t>
        </is>
      </c>
      <c r="E1002" t="inlineStr">
        <is>
          <t>37</t>
        </is>
      </c>
      <c r="F1002" t="inlineStr">
        <is>
          <t>S</t>
        </is>
      </c>
      <c r="G1002" t="inlineStr">
        <is>
          <t>Average</t>
        </is>
      </c>
      <c r="H1002" t="n">
        <v>50.5</v>
      </c>
      <c r="I1002">
        <f>B1002&amp;"|"&amp;F1002&amp;"|"&amp;G1002</f>
        <v/>
      </c>
      <c r="J1002" t="inlineStr">
        <is>
          <t>MVS Sec.13 p.37</t>
        </is>
      </c>
    </row>
    <row r="1003">
      <c r="B1003" t="inlineStr">
        <is>
          <t>Community Shopping Center Shell Buildings</t>
        </is>
      </c>
      <c r="C1003" t="inlineStr">
        <is>
          <t>461</t>
        </is>
      </c>
      <c r="D1003" t="inlineStr">
        <is>
          <t>13</t>
        </is>
      </c>
      <c r="E1003" t="inlineStr">
        <is>
          <t>37</t>
        </is>
      </c>
      <c r="F1003" t="inlineStr">
        <is>
          <t>C</t>
        </is>
      </c>
      <c r="G1003" t="inlineStr">
        <is>
          <t>Excellent</t>
        </is>
      </c>
      <c r="H1003" t="n">
        <v>107</v>
      </c>
      <c r="I1003">
        <f>B1003&amp;"|"&amp;F1003&amp;"|"&amp;G1003</f>
        <v/>
      </c>
      <c r="J1003" t="inlineStr">
        <is>
          <t>MVS Sec.13 p.37</t>
        </is>
      </c>
    </row>
    <row r="1004">
      <c r="B1004" t="inlineStr">
        <is>
          <t>Community Shopping Center Shell Buildings</t>
        </is>
      </c>
      <c r="C1004" t="inlineStr">
        <is>
          <t>461</t>
        </is>
      </c>
      <c r="D1004" t="inlineStr">
        <is>
          <t>13</t>
        </is>
      </c>
      <c r="E1004" t="inlineStr">
        <is>
          <t>37</t>
        </is>
      </c>
      <c r="F1004" t="inlineStr">
        <is>
          <t>C</t>
        </is>
      </c>
      <c r="G1004" t="inlineStr">
        <is>
          <t>Good</t>
        </is>
      </c>
      <c r="H1004" t="n">
        <v>86</v>
      </c>
      <c r="I1004">
        <f>B1004&amp;"|"&amp;F1004&amp;"|"&amp;G1004</f>
        <v/>
      </c>
      <c r="J1004" t="inlineStr">
        <is>
          <t>MVS Sec.13 p.37</t>
        </is>
      </c>
    </row>
    <row r="1005">
      <c r="B1005" t="inlineStr">
        <is>
          <t>Community Shopping Center Shell Buildings</t>
        </is>
      </c>
      <c r="C1005" t="inlineStr">
        <is>
          <t>461</t>
        </is>
      </c>
      <c r="D1005" t="inlineStr">
        <is>
          <t>13</t>
        </is>
      </c>
      <c r="E1005" t="inlineStr">
        <is>
          <t>37</t>
        </is>
      </c>
      <c r="F1005" t="inlineStr">
        <is>
          <t>C</t>
        </is>
      </c>
      <c r="G1005" t="inlineStr">
        <is>
          <t>Average</t>
        </is>
      </c>
      <c r="H1005" t="n">
        <v>69</v>
      </c>
      <c r="I1005">
        <f>B1005&amp;"|"&amp;F1005&amp;"|"&amp;G1005</f>
        <v/>
      </c>
      <c r="J1005" t="inlineStr">
        <is>
          <t>MVS Sec.13 p.37</t>
        </is>
      </c>
    </row>
    <row r="1006">
      <c r="B1006" t="inlineStr">
        <is>
          <t>Community Shopping Center Shell Buildings</t>
        </is>
      </c>
      <c r="C1006" t="inlineStr">
        <is>
          <t>461</t>
        </is>
      </c>
      <c r="D1006" t="inlineStr">
        <is>
          <t>13</t>
        </is>
      </c>
      <c r="E1006" t="inlineStr">
        <is>
          <t>37</t>
        </is>
      </c>
      <c r="F1006" t="inlineStr">
        <is>
          <t>D</t>
        </is>
      </c>
      <c r="G1006" t="inlineStr">
        <is>
          <t>Excellent</t>
        </is>
      </c>
      <c r="H1006" t="n">
        <v>98</v>
      </c>
      <c r="I1006">
        <f>B1006&amp;"|"&amp;F1006&amp;"|"&amp;G1006</f>
        <v/>
      </c>
      <c r="J1006" t="inlineStr">
        <is>
          <t>MVS Sec.13 p.37</t>
        </is>
      </c>
    </row>
    <row r="1007">
      <c r="B1007" t="inlineStr">
        <is>
          <t>Community Shopping Center Shell Buildings</t>
        </is>
      </c>
      <c r="C1007" t="inlineStr">
        <is>
          <t>461</t>
        </is>
      </c>
      <c r="D1007" t="inlineStr">
        <is>
          <t>13</t>
        </is>
      </c>
      <c r="E1007" t="inlineStr">
        <is>
          <t>37</t>
        </is>
      </c>
      <c r="F1007" t="inlineStr">
        <is>
          <t>D</t>
        </is>
      </c>
      <c r="G1007" t="inlineStr">
        <is>
          <t>Good</t>
        </is>
      </c>
      <c r="H1007" t="n">
        <v>78</v>
      </c>
      <c r="I1007">
        <f>B1007&amp;"|"&amp;F1007&amp;"|"&amp;G1007</f>
        <v/>
      </c>
      <c r="J1007" t="inlineStr">
        <is>
          <t>MVS Sec.13 p.37</t>
        </is>
      </c>
    </row>
    <row r="1008">
      <c r="B1008" t="inlineStr">
        <is>
          <t>Community Shopping Center Shell Buildings</t>
        </is>
      </c>
      <c r="C1008" t="inlineStr">
        <is>
          <t>461</t>
        </is>
      </c>
      <c r="D1008" t="inlineStr">
        <is>
          <t>13</t>
        </is>
      </c>
      <c r="E1008" t="inlineStr">
        <is>
          <t>37</t>
        </is>
      </c>
      <c r="F1008" t="inlineStr">
        <is>
          <t>D</t>
        </is>
      </c>
      <c r="G1008" t="inlineStr">
        <is>
          <t>Average</t>
        </is>
      </c>
      <c r="H1008" t="n">
        <v>62</v>
      </c>
      <c r="I1008">
        <f>B1008&amp;"|"&amp;F1008&amp;"|"&amp;G1008</f>
        <v/>
      </c>
      <c r="J1008" t="inlineStr">
        <is>
          <t>MVS Sec.13 p.37</t>
        </is>
      </c>
    </row>
    <row r="1009">
      <c r="B1009" t="inlineStr">
        <is>
          <t>Community Shopping Center Shell Buildings</t>
        </is>
      </c>
      <c r="C1009" t="inlineStr">
        <is>
          <t>461</t>
        </is>
      </c>
      <c r="D1009" t="inlineStr">
        <is>
          <t>13</t>
        </is>
      </c>
      <c r="E1009" t="inlineStr">
        <is>
          <t>37</t>
        </is>
      </c>
      <c r="F1009" t="inlineStr">
        <is>
          <t>S</t>
        </is>
      </c>
      <c r="G1009" t="inlineStr">
        <is>
          <t>Average</t>
        </is>
      </c>
      <c r="H1009" t="n">
        <v>58</v>
      </c>
      <c r="I1009">
        <f>B1009&amp;"|"&amp;F1009&amp;"|"&amp;G1009</f>
        <v/>
      </c>
      <c r="J1009" t="inlineStr">
        <is>
          <t>MVS Sec.13 p.37</t>
        </is>
      </c>
    </row>
    <row r="1010">
      <c r="B1010" t="inlineStr">
        <is>
          <t>Neighborhood Shopping Center Shell Buildings</t>
        </is>
      </c>
      <c r="C1010" t="inlineStr">
        <is>
          <t>460</t>
        </is>
      </c>
      <c r="D1010" t="inlineStr">
        <is>
          <t>13</t>
        </is>
      </c>
      <c r="E1010" t="inlineStr">
        <is>
          <t>38</t>
        </is>
      </c>
      <c r="F1010" t="inlineStr">
        <is>
          <t>C</t>
        </is>
      </c>
      <c r="G1010" t="inlineStr">
        <is>
          <t>Good</t>
        </is>
      </c>
      <c r="H1010" t="n">
        <v>76</v>
      </c>
      <c r="I1010">
        <f>B1010&amp;"|"&amp;F1010&amp;"|"&amp;G1010</f>
        <v/>
      </c>
      <c r="J1010" t="inlineStr">
        <is>
          <t>MVS Sec.13 p.38</t>
        </is>
      </c>
    </row>
    <row r="1011">
      <c r="B1011" t="inlineStr">
        <is>
          <t>Neighborhood Shopping Center Shell Buildings</t>
        </is>
      </c>
      <c r="C1011" t="inlineStr">
        <is>
          <t>460</t>
        </is>
      </c>
      <c r="D1011" t="inlineStr">
        <is>
          <t>13</t>
        </is>
      </c>
      <c r="E1011" t="inlineStr">
        <is>
          <t>38</t>
        </is>
      </c>
      <c r="F1011" t="inlineStr">
        <is>
          <t>C</t>
        </is>
      </c>
      <c r="G1011" t="inlineStr">
        <is>
          <t>Average</t>
        </is>
      </c>
      <c r="H1011" t="n">
        <v>62</v>
      </c>
      <c r="I1011">
        <f>B1011&amp;"|"&amp;F1011&amp;"|"&amp;G1011</f>
        <v/>
      </c>
      <c r="J1011" t="inlineStr">
        <is>
          <t>MVS Sec.13 p.38</t>
        </is>
      </c>
    </row>
    <row r="1012">
      <c r="B1012" t="inlineStr">
        <is>
          <t>Neighborhood Shopping Center Shell Buildings</t>
        </is>
      </c>
      <c r="C1012" t="inlineStr">
        <is>
          <t>460</t>
        </is>
      </c>
      <c r="D1012" t="inlineStr">
        <is>
          <t>13</t>
        </is>
      </c>
      <c r="E1012" t="inlineStr">
        <is>
          <t>38</t>
        </is>
      </c>
      <c r="F1012" t="inlineStr">
        <is>
          <t>C</t>
        </is>
      </c>
      <c r="G1012" t="inlineStr">
        <is>
          <t>Low Cost</t>
        </is>
      </c>
      <c r="H1012" t="n">
        <v>50.5</v>
      </c>
      <c r="I1012">
        <f>B1012&amp;"|"&amp;F1012&amp;"|"&amp;G1012</f>
        <v/>
      </c>
      <c r="J1012" t="inlineStr">
        <is>
          <t>MVS Sec.13 p.38</t>
        </is>
      </c>
    </row>
    <row r="1013">
      <c r="B1013" t="inlineStr">
        <is>
          <t>Neighborhood Shopping Center Shell Buildings</t>
        </is>
      </c>
      <c r="C1013" t="inlineStr">
        <is>
          <t>460</t>
        </is>
      </c>
      <c r="D1013" t="inlineStr">
        <is>
          <t>13</t>
        </is>
      </c>
      <c r="E1013" t="inlineStr">
        <is>
          <t>38</t>
        </is>
      </c>
      <c r="F1013" t="inlineStr">
        <is>
          <t>C</t>
        </is>
      </c>
      <c r="G1013" t="inlineStr">
        <is>
          <t>Cheap</t>
        </is>
      </c>
      <c r="H1013" t="n">
        <v>37.25</v>
      </c>
      <c r="I1013">
        <f>B1013&amp;"|"&amp;F1013&amp;"|"&amp;G1013</f>
        <v/>
      </c>
      <c r="J1013" t="inlineStr">
        <is>
          <t>MVS Sec.13 p.38</t>
        </is>
      </c>
    </row>
    <row r="1014">
      <c r="B1014" t="inlineStr">
        <is>
          <t>Neighborhood Shopping Center Shell Buildings</t>
        </is>
      </c>
      <c r="C1014" t="inlineStr">
        <is>
          <t>460</t>
        </is>
      </c>
      <c r="D1014" t="inlineStr">
        <is>
          <t>13</t>
        </is>
      </c>
      <c r="E1014" t="inlineStr">
        <is>
          <t>38</t>
        </is>
      </c>
      <c r="F1014" t="inlineStr">
        <is>
          <t>D</t>
        </is>
      </c>
      <c r="G1014" t="inlineStr">
        <is>
          <t>Average</t>
        </is>
      </c>
      <c r="H1014" t="n">
        <v>55</v>
      </c>
      <c r="I1014">
        <f>B1014&amp;"|"&amp;F1014&amp;"|"&amp;G1014</f>
        <v/>
      </c>
      <c r="J1014" t="inlineStr">
        <is>
          <t>MVS Sec.13 p.38</t>
        </is>
      </c>
    </row>
    <row r="1015">
      <c r="B1015" t="inlineStr">
        <is>
          <t>Neighborhood Shopping Center Shell Buildings</t>
        </is>
      </c>
      <c r="C1015" t="inlineStr">
        <is>
          <t>460</t>
        </is>
      </c>
      <c r="D1015" t="inlineStr">
        <is>
          <t>13</t>
        </is>
      </c>
      <c r="E1015" t="inlineStr">
        <is>
          <t>38</t>
        </is>
      </c>
      <c r="F1015" t="inlineStr">
        <is>
          <t>D</t>
        </is>
      </c>
      <c r="G1015" t="inlineStr">
        <is>
          <t>Low Cost</t>
        </is>
      </c>
      <c r="H1015" t="n">
        <v>44.25</v>
      </c>
      <c r="I1015">
        <f>B1015&amp;"|"&amp;F1015&amp;"|"&amp;G1015</f>
        <v/>
      </c>
      <c r="J1015" t="inlineStr">
        <is>
          <t>MVS Sec.13 p.38</t>
        </is>
      </c>
    </row>
    <row r="1016">
      <c r="B1016" t="inlineStr">
        <is>
          <t>Neighborhood Shopping Center Shell Buildings</t>
        </is>
      </c>
      <c r="C1016" t="inlineStr">
        <is>
          <t>460</t>
        </is>
      </c>
      <c r="D1016" t="inlineStr">
        <is>
          <t>13</t>
        </is>
      </c>
      <c r="E1016" t="inlineStr">
        <is>
          <t>38</t>
        </is>
      </c>
      <c r="F1016" t="inlineStr">
        <is>
          <t>D</t>
        </is>
      </c>
      <c r="G1016" t="inlineStr">
        <is>
          <t>Cheap</t>
        </is>
      </c>
      <c r="H1016" t="n">
        <v>31.5</v>
      </c>
      <c r="I1016">
        <f>B1016&amp;"|"&amp;F1016&amp;"|"&amp;G1016</f>
        <v/>
      </c>
      <c r="J1016" t="inlineStr">
        <is>
          <t>MVS Sec.13 p.38</t>
        </is>
      </c>
    </row>
    <row r="1017">
      <c r="B1017" t="inlineStr">
        <is>
          <t>Neighborhood Shopping Center Shell Buildings</t>
        </is>
      </c>
      <c r="C1017" t="inlineStr">
        <is>
          <t>460</t>
        </is>
      </c>
      <c r="D1017" t="inlineStr">
        <is>
          <t>13</t>
        </is>
      </c>
      <c r="E1017" t="inlineStr">
        <is>
          <t>38</t>
        </is>
      </c>
      <c r="F1017" t="inlineStr">
        <is>
          <t>DPOLE</t>
        </is>
      </c>
      <c r="G1017" t="inlineStr">
        <is>
          <t>Low Cost</t>
        </is>
      </c>
      <c r="H1017" t="n">
        <v>38.5</v>
      </c>
      <c r="I1017">
        <f>B1017&amp;"|"&amp;F1017&amp;"|"&amp;G1017</f>
        <v/>
      </c>
      <c r="J1017" t="inlineStr">
        <is>
          <t>MVS Sec.13 p.38</t>
        </is>
      </c>
    </row>
    <row r="1018">
      <c r="B1018" t="inlineStr">
        <is>
          <t>Neighborhood Shopping Center Shell Buildings</t>
        </is>
      </c>
      <c r="C1018" t="inlineStr">
        <is>
          <t>460</t>
        </is>
      </c>
      <c r="D1018" t="inlineStr">
        <is>
          <t>13</t>
        </is>
      </c>
      <c r="E1018" t="inlineStr">
        <is>
          <t>38</t>
        </is>
      </c>
      <c r="F1018" t="inlineStr">
        <is>
          <t>DPOLE</t>
        </is>
      </c>
      <c r="G1018" t="inlineStr">
        <is>
          <t>Cheap</t>
        </is>
      </c>
      <c r="H1018" t="n">
        <v>25.5</v>
      </c>
      <c r="I1018">
        <f>B1018&amp;"|"&amp;F1018&amp;"|"&amp;G1018</f>
        <v/>
      </c>
      <c r="J1018" t="inlineStr">
        <is>
          <t>MVS Sec.13 p.38</t>
        </is>
      </c>
    </row>
    <row r="1019">
      <c r="B1019" t="inlineStr">
        <is>
          <t>Neighborhood Shopping Center Shell Buildings</t>
        </is>
      </c>
      <c r="C1019" t="inlineStr">
        <is>
          <t>460</t>
        </is>
      </c>
      <c r="D1019" t="inlineStr">
        <is>
          <t>13</t>
        </is>
      </c>
      <c r="E1019" t="inlineStr">
        <is>
          <t>38</t>
        </is>
      </c>
      <c r="F1019" t="inlineStr">
        <is>
          <t>S</t>
        </is>
      </c>
      <c r="G1019" t="inlineStr">
        <is>
          <t>Average</t>
        </is>
      </c>
      <c r="H1019" t="n">
        <v>51</v>
      </c>
      <c r="I1019">
        <f>B1019&amp;"|"&amp;F1019&amp;"|"&amp;G1019</f>
        <v/>
      </c>
      <c r="J1019" t="inlineStr">
        <is>
          <t>MVS Sec.13 p.38</t>
        </is>
      </c>
    </row>
    <row r="1020">
      <c r="B1020" t="inlineStr">
        <is>
          <t>Neighborhood Shopping Center Shell Buildings</t>
        </is>
      </c>
      <c r="C1020" t="inlineStr">
        <is>
          <t>460</t>
        </is>
      </c>
      <c r="D1020" t="inlineStr">
        <is>
          <t>13</t>
        </is>
      </c>
      <c r="E1020" t="inlineStr">
        <is>
          <t>38</t>
        </is>
      </c>
      <c r="F1020" t="inlineStr">
        <is>
          <t>S</t>
        </is>
      </c>
      <c r="G1020" t="inlineStr">
        <is>
          <t>Low Cost</t>
        </is>
      </c>
      <c r="H1020" t="n">
        <v>41.25</v>
      </c>
      <c r="I1020">
        <f>B1020&amp;"|"&amp;F1020&amp;"|"&amp;G1020</f>
        <v/>
      </c>
      <c r="J1020" t="inlineStr">
        <is>
          <t>MVS Sec.13 p.38</t>
        </is>
      </c>
    </row>
    <row r="1021">
      <c r="B1021" t="inlineStr">
        <is>
          <t>Neighborhood Shopping Center Shell Buildings</t>
        </is>
      </c>
      <c r="C1021" t="inlineStr">
        <is>
          <t>460</t>
        </is>
      </c>
      <c r="D1021" t="inlineStr">
        <is>
          <t>13</t>
        </is>
      </c>
      <c r="E1021" t="inlineStr">
        <is>
          <t>38</t>
        </is>
      </c>
      <c r="F1021" t="inlineStr">
        <is>
          <t>S</t>
        </is>
      </c>
      <c r="G1021" t="inlineStr">
        <is>
          <t>Cheap</t>
        </is>
      </c>
      <c r="H1021" t="n">
        <v>27.75</v>
      </c>
      <c r="I1021">
        <f>B1021&amp;"|"&amp;F1021&amp;"|"&amp;G1021</f>
        <v/>
      </c>
      <c r="J1021" t="inlineStr">
        <is>
          <t>MVS Sec.13 p.38</t>
        </is>
      </c>
    </row>
    <row r="1022">
      <c r="B1022" t="inlineStr">
        <is>
          <t>Lofts</t>
        </is>
      </c>
      <c r="C1022" t="inlineStr">
        <is>
          <t>338</t>
        </is>
      </c>
      <c r="D1022" t="inlineStr">
        <is>
          <t>14</t>
        </is>
      </c>
      <c r="E1022" t="inlineStr">
        <is>
          <t>13</t>
        </is>
      </c>
      <c r="F1022" t="inlineStr">
        <is>
          <t>A-B</t>
        </is>
      </c>
      <c r="G1022" t="inlineStr">
        <is>
          <t>Excellent</t>
        </is>
      </c>
      <c r="H1022" t="n">
        <v>228</v>
      </c>
      <c r="I1022">
        <f>B1022&amp;"|"&amp;F1022&amp;"|"&amp;G1022</f>
        <v/>
      </c>
      <c r="J1022" t="inlineStr">
        <is>
          <t>MVS Sec.14 p.13</t>
        </is>
      </c>
    </row>
    <row r="1023">
      <c r="B1023" t="inlineStr">
        <is>
          <t>Lofts</t>
        </is>
      </c>
      <c r="C1023" t="inlineStr">
        <is>
          <t>338</t>
        </is>
      </c>
      <c r="D1023" t="inlineStr">
        <is>
          <t>14</t>
        </is>
      </c>
      <c r="E1023" t="inlineStr">
        <is>
          <t>13</t>
        </is>
      </c>
      <c r="F1023" t="inlineStr">
        <is>
          <t>A-B</t>
        </is>
      </c>
      <c r="G1023" t="inlineStr">
        <is>
          <t>Good</t>
        </is>
      </c>
      <c r="H1023" t="n">
        <v>174</v>
      </c>
      <c r="I1023">
        <f>B1023&amp;"|"&amp;F1023&amp;"|"&amp;G1023</f>
        <v/>
      </c>
      <c r="J1023" t="inlineStr">
        <is>
          <t>MVS Sec.14 p.13</t>
        </is>
      </c>
    </row>
    <row r="1024">
      <c r="B1024" t="inlineStr">
        <is>
          <t>Lofts</t>
        </is>
      </c>
      <c r="C1024" t="inlineStr">
        <is>
          <t>338</t>
        </is>
      </c>
      <c r="D1024" t="inlineStr">
        <is>
          <t>14</t>
        </is>
      </c>
      <c r="E1024" t="inlineStr">
        <is>
          <t>13</t>
        </is>
      </c>
      <c r="F1024" t="inlineStr">
        <is>
          <t>A-B</t>
        </is>
      </c>
      <c r="G1024" t="inlineStr">
        <is>
          <t>Average</t>
        </is>
      </c>
      <c r="H1024" t="n">
        <v>135</v>
      </c>
      <c r="I1024">
        <f>B1024&amp;"|"&amp;F1024&amp;"|"&amp;G1024</f>
        <v/>
      </c>
      <c r="J1024" t="inlineStr">
        <is>
          <t>MVS Sec.14 p.13</t>
        </is>
      </c>
    </row>
    <row r="1025">
      <c r="B1025" t="inlineStr">
        <is>
          <t>Lofts</t>
        </is>
      </c>
      <c r="C1025" t="inlineStr">
        <is>
          <t>338</t>
        </is>
      </c>
      <c r="D1025" t="inlineStr">
        <is>
          <t>14</t>
        </is>
      </c>
      <c r="E1025" t="inlineStr">
        <is>
          <t>13</t>
        </is>
      </c>
      <c r="F1025" t="inlineStr">
        <is>
          <t>A-B</t>
        </is>
      </c>
      <c r="G1025" t="inlineStr">
        <is>
          <t>Low Cost</t>
        </is>
      </c>
      <c r="H1025" t="n">
        <v>106</v>
      </c>
      <c r="I1025">
        <f>B1025&amp;"|"&amp;F1025&amp;"|"&amp;G1025</f>
        <v/>
      </c>
      <c r="J1025" t="inlineStr">
        <is>
          <t>MVS Sec.14 p.13</t>
        </is>
      </c>
    </row>
    <row r="1026">
      <c r="B1026" t="inlineStr">
        <is>
          <t>Lofts</t>
        </is>
      </c>
      <c r="C1026" t="inlineStr">
        <is>
          <t>338</t>
        </is>
      </c>
      <c r="D1026" t="inlineStr">
        <is>
          <t>14</t>
        </is>
      </c>
      <c r="E1026" t="inlineStr">
        <is>
          <t>13</t>
        </is>
      </c>
      <c r="F1026" t="inlineStr">
        <is>
          <t>C</t>
        </is>
      </c>
      <c r="G1026" t="inlineStr">
        <is>
          <t>Good</t>
        </is>
      </c>
      <c r="H1026" t="n">
        <v>141</v>
      </c>
      <c r="I1026">
        <f>B1026&amp;"|"&amp;F1026&amp;"|"&amp;G1026</f>
        <v/>
      </c>
      <c r="J1026" t="inlineStr">
        <is>
          <t>MVS Sec.14 p.13</t>
        </is>
      </c>
    </row>
    <row r="1027">
      <c r="B1027" t="inlineStr">
        <is>
          <t>Lofts</t>
        </is>
      </c>
      <c r="C1027" t="inlineStr">
        <is>
          <t>338</t>
        </is>
      </c>
      <c r="D1027" t="inlineStr">
        <is>
          <t>14</t>
        </is>
      </c>
      <c r="E1027" t="inlineStr">
        <is>
          <t>13</t>
        </is>
      </c>
      <c r="F1027" t="inlineStr">
        <is>
          <t>C</t>
        </is>
      </c>
      <c r="G1027" t="inlineStr">
        <is>
          <t>Average</t>
        </is>
      </c>
      <c r="H1027" t="n">
        <v>102</v>
      </c>
      <c r="I1027">
        <f>B1027&amp;"|"&amp;F1027&amp;"|"&amp;G1027</f>
        <v/>
      </c>
      <c r="J1027" t="inlineStr">
        <is>
          <t>MVS Sec.14 p.13</t>
        </is>
      </c>
    </row>
    <row r="1028">
      <c r="B1028" t="inlineStr">
        <is>
          <t>Lofts</t>
        </is>
      </c>
      <c r="C1028" t="inlineStr">
        <is>
          <t>338</t>
        </is>
      </c>
      <c r="D1028" t="inlineStr">
        <is>
          <t>14</t>
        </is>
      </c>
      <c r="E1028" t="inlineStr">
        <is>
          <t>13</t>
        </is>
      </c>
      <c r="F1028" t="inlineStr">
        <is>
          <t>C</t>
        </is>
      </c>
      <c r="G1028" t="inlineStr">
        <is>
          <t>Low Cost</t>
        </is>
      </c>
      <c r="H1028" t="n">
        <v>69</v>
      </c>
      <c r="I1028">
        <f>B1028&amp;"|"&amp;F1028&amp;"|"&amp;G1028</f>
        <v/>
      </c>
      <c r="J1028" t="inlineStr">
        <is>
          <t>MVS Sec.14 p.13</t>
        </is>
      </c>
    </row>
    <row r="1029">
      <c r="B1029" t="inlineStr">
        <is>
          <t>Lofts</t>
        </is>
      </c>
      <c r="C1029" t="inlineStr">
        <is>
          <t>338</t>
        </is>
      </c>
      <c r="D1029" t="inlineStr">
        <is>
          <t>14</t>
        </is>
      </c>
      <c r="E1029" t="inlineStr">
        <is>
          <t>13</t>
        </is>
      </c>
      <c r="F1029" t="inlineStr">
        <is>
          <t>CMILL</t>
        </is>
      </c>
      <c r="G1029" t="inlineStr">
        <is>
          <t>Average</t>
        </is>
      </c>
      <c r="H1029" t="n">
        <v>128</v>
      </c>
      <c r="I1029">
        <f>B1029&amp;"|"&amp;F1029&amp;"|"&amp;G1029</f>
        <v/>
      </c>
      <c r="J1029" t="inlineStr">
        <is>
          <t>MVS Sec.14 p.13</t>
        </is>
      </c>
    </row>
    <row r="1030">
      <c r="B1030" t="inlineStr">
        <is>
          <t>Lofts</t>
        </is>
      </c>
      <c r="C1030" t="inlineStr">
        <is>
          <t>338</t>
        </is>
      </c>
      <c r="D1030" t="inlineStr">
        <is>
          <t>14</t>
        </is>
      </c>
      <c r="E1030" t="inlineStr">
        <is>
          <t>13</t>
        </is>
      </c>
      <c r="F1030" t="inlineStr">
        <is>
          <t>D</t>
        </is>
      </c>
      <c r="G1030" t="inlineStr">
        <is>
          <t>Average</t>
        </is>
      </c>
      <c r="H1030" t="n">
        <v>94.5</v>
      </c>
      <c r="I1030">
        <f>B1030&amp;"|"&amp;F1030&amp;"|"&amp;G1030</f>
        <v/>
      </c>
      <c r="J1030" t="inlineStr">
        <is>
          <t>MVS Sec.14 p.13</t>
        </is>
      </c>
    </row>
    <row r="1031">
      <c r="B1031" t="inlineStr">
        <is>
          <t>Lofts</t>
        </is>
      </c>
      <c r="C1031" t="inlineStr">
        <is>
          <t>338</t>
        </is>
      </c>
      <c r="D1031" t="inlineStr">
        <is>
          <t>14</t>
        </is>
      </c>
      <c r="E1031" t="inlineStr">
        <is>
          <t>13</t>
        </is>
      </c>
      <c r="F1031" t="inlineStr">
        <is>
          <t>D</t>
        </is>
      </c>
      <c r="G1031" t="inlineStr">
        <is>
          <t>Low Cost</t>
        </is>
      </c>
      <c r="H1031" t="n">
        <v>63.5</v>
      </c>
      <c r="I1031">
        <f>B1031&amp;"|"&amp;F1031&amp;"|"&amp;G1031</f>
        <v/>
      </c>
      <c r="J1031" t="inlineStr">
        <is>
          <t>MVS Sec.14 p.13</t>
        </is>
      </c>
    </row>
    <row r="1032">
      <c r="B1032" t="inlineStr">
        <is>
          <t>Lofts</t>
        </is>
      </c>
      <c r="C1032" t="inlineStr">
        <is>
          <t>338</t>
        </is>
      </c>
      <c r="D1032" t="inlineStr">
        <is>
          <t>14</t>
        </is>
      </c>
      <c r="E1032" t="inlineStr">
        <is>
          <t>13</t>
        </is>
      </c>
      <c r="F1032" t="inlineStr">
        <is>
          <t>S</t>
        </is>
      </c>
      <c r="G1032" t="inlineStr">
        <is>
          <t>Average</t>
        </is>
      </c>
      <c r="H1032" t="n">
        <v>96</v>
      </c>
      <c r="I1032">
        <f>B1032&amp;"|"&amp;F1032&amp;"|"&amp;G1032</f>
        <v/>
      </c>
      <c r="J1032" t="inlineStr">
        <is>
          <t>MVS Sec.14 p.13</t>
        </is>
      </c>
    </row>
    <row r="1033">
      <c r="B1033" t="inlineStr">
        <is>
          <t>Industrial Flex (Mall) Buildings</t>
        </is>
      </c>
      <c r="C1033" t="inlineStr">
        <is>
          <t>453</t>
        </is>
      </c>
      <c r="D1033" t="inlineStr">
        <is>
          <t>14</t>
        </is>
      </c>
      <c r="E1033" t="inlineStr">
        <is>
          <t>13</t>
        </is>
      </c>
      <c r="F1033" t="inlineStr">
        <is>
          <t>C</t>
        </is>
      </c>
      <c r="G1033" t="inlineStr">
        <is>
          <t>Good</t>
        </is>
      </c>
      <c r="H1033" t="n">
        <v>102</v>
      </c>
      <c r="I1033">
        <f>B1033&amp;"|"&amp;F1033&amp;"|"&amp;G1033</f>
        <v/>
      </c>
      <c r="J1033" t="inlineStr">
        <is>
          <t>MVS Sec.14 p.13</t>
        </is>
      </c>
    </row>
    <row r="1034">
      <c r="B1034" t="inlineStr">
        <is>
          <t>Industrial Flex (Mall) Buildings</t>
        </is>
      </c>
      <c r="C1034" t="inlineStr">
        <is>
          <t>453</t>
        </is>
      </c>
      <c r="D1034" t="inlineStr">
        <is>
          <t>14</t>
        </is>
      </c>
      <c r="E1034" t="inlineStr">
        <is>
          <t>13</t>
        </is>
      </c>
      <c r="F1034" t="inlineStr">
        <is>
          <t>C</t>
        </is>
      </c>
      <c r="G1034" t="inlineStr">
        <is>
          <t>Average</t>
        </is>
      </c>
      <c r="H1034" t="n">
        <v>72</v>
      </c>
      <c r="I1034">
        <f>B1034&amp;"|"&amp;F1034&amp;"|"&amp;G1034</f>
        <v/>
      </c>
      <c r="J1034" t="inlineStr">
        <is>
          <t>MVS Sec.14 p.13</t>
        </is>
      </c>
    </row>
    <row r="1035">
      <c r="B1035" t="inlineStr">
        <is>
          <t>Industrial Flex (Mall) Buildings</t>
        </is>
      </c>
      <c r="C1035" t="inlineStr">
        <is>
          <t>453</t>
        </is>
      </c>
      <c r="D1035" t="inlineStr">
        <is>
          <t>14</t>
        </is>
      </c>
      <c r="E1035" t="inlineStr">
        <is>
          <t>13</t>
        </is>
      </c>
      <c r="F1035" t="inlineStr">
        <is>
          <t>C</t>
        </is>
      </c>
      <c r="G1035" t="inlineStr">
        <is>
          <t>Low Cost</t>
        </is>
      </c>
      <c r="H1035" t="n">
        <v>51</v>
      </c>
      <c r="I1035">
        <f>B1035&amp;"|"&amp;F1035&amp;"|"&amp;G1035</f>
        <v/>
      </c>
      <c r="J1035" t="inlineStr">
        <is>
          <t>MVS Sec.14 p.13</t>
        </is>
      </c>
    </row>
    <row r="1036">
      <c r="B1036" t="inlineStr">
        <is>
          <t>Industrial Flex (Mall) Buildings</t>
        </is>
      </c>
      <c r="C1036" t="inlineStr">
        <is>
          <t>453</t>
        </is>
      </c>
      <c r="D1036" t="inlineStr">
        <is>
          <t>14</t>
        </is>
      </c>
      <c r="E1036" t="inlineStr">
        <is>
          <t>13</t>
        </is>
      </c>
      <c r="F1036" t="inlineStr">
        <is>
          <t>D</t>
        </is>
      </c>
      <c r="G1036" t="inlineStr">
        <is>
          <t>Average</t>
        </is>
      </c>
      <c r="H1036" t="n">
        <v>66.5</v>
      </c>
      <c r="I1036">
        <f>B1036&amp;"|"&amp;F1036&amp;"|"&amp;G1036</f>
        <v/>
      </c>
      <c r="J1036" t="inlineStr">
        <is>
          <t>MVS Sec.14 p.13</t>
        </is>
      </c>
    </row>
    <row r="1037">
      <c r="B1037" t="inlineStr">
        <is>
          <t>Industrial Flex (Mall) Buildings</t>
        </is>
      </c>
      <c r="C1037" t="inlineStr">
        <is>
          <t>453</t>
        </is>
      </c>
      <c r="D1037" t="inlineStr">
        <is>
          <t>14</t>
        </is>
      </c>
      <c r="E1037" t="inlineStr">
        <is>
          <t>13</t>
        </is>
      </c>
      <c r="F1037" t="inlineStr">
        <is>
          <t>D</t>
        </is>
      </c>
      <c r="G1037" t="inlineStr">
        <is>
          <t>Low Cost</t>
        </is>
      </c>
      <c r="H1037" t="n">
        <v>46.5</v>
      </c>
      <c r="I1037">
        <f>B1037&amp;"|"&amp;F1037&amp;"|"&amp;G1037</f>
        <v/>
      </c>
      <c r="J1037" t="inlineStr">
        <is>
          <t>MVS Sec.14 p.13</t>
        </is>
      </c>
    </row>
    <row r="1038">
      <c r="B1038" t="inlineStr">
        <is>
          <t>Industrial Flex (Mall) Buildings</t>
        </is>
      </c>
      <c r="C1038" t="inlineStr">
        <is>
          <t>453</t>
        </is>
      </c>
      <c r="D1038" t="inlineStr">
        <is>
          <t>14</t>
        </is>
      </c>
      <c r="E1038" t="inlineStr">
        <is>
          <t>13</t>
        </is>
      </c>
      <c r="F1038" t="inlineStr">
        <is>
          <t>DPOLE</t>
        </is>
      </c>
      <c r="G1038" t="inlineStr">
        <is>
          <t>Average</t>
        </is>
      </c>
      <c r="H1038" t="n">
        <v>62</v>
      </c>
      <c r="I1038">
        <f>B1038&amp;"|"&amp;F1038&amp;"|"&amp;G1038</f>
        <v/>
      </c>
      <c r="J1038" t="inlineStr">
        <is>
          <t>MVS Sec.14 p.13</t>
        </is>
      </c>
    </row>
    <row r="1039">
      <c r="B1039" t="inlineStr">
        <is>
          <t>Industrial Flex (Mall) Buildings</t>
        </is>
      </c>
      <c r="C1039" t="inlineStr">
        <is>
          <t>453</t>
        </is>
      </c>
      <c r="D1039" t="inlineStr">
        <is>
          <t>14</t>
        </is>
      </c>
      <c r="E1039" t="inlineStr">
        <is>
          <t>13</t>
        </is>
      </c>
      <c r="F1039" t="inlineStr">
        <is>
          <t>DPOLE</t>
        </is>
      </c>
      <c r="G1039" t="inlineStr">
        <is>
          <t>Low Cost</t>
        </is>
      </c>
      <c r="H1039" t="n">
        <v>43</v>
      </c>
      <c r="I1039">
        <f>B1039&amp;"|"&amp;F1039&amp;"|"&amp;G1039</f>
        <v/>
      </c>
      <c r="J1039" t="inlineStr">
        <is>
          <t>MVS Sec.14 p.13</t>
        </is>
      </c>
    </row>
    <row r="1040">
      <c r="B1040" t="inlineStr">
        <is>
          <t>Industrial Flex (Mall) Buildings</t>
        </is>
      </c>
      <c r="C1040" t="inlineStr">
        <is>
          <t>453</t>
        </is>
      </c>
      <c r="D1040" t="inlineStr">
        <is>
          <t>14</t>
        </is>
      </c>
      <c r="E1040" t="inlineStr">
        <is>
          <t>13</t>
        </is>
      </c>
      <c r="F1040" t="inlineStr">
        <is>
          <t>S</t>
        </is>
      </c>
      <c r="G1040" t="inlineStr">
        <is>
          <t>Good</t>
        </is>
      </c>
      <c r="H1040" t="n">
        <v>96.5</v>
      </c>
      <c r="I1040">
        <f>B1040&amp;"|"&amp;F1040&amp;"|"&amp;G1040</f>
        <v/>
      </c>
      <c r="J1040" t="inlineStr">
        <is>
          <t>MVS Sec.14 p.13</t>
        </is>
      </c>
    </row>
    <row r="1041">
      <c r="B1041" t="inlineStr">
        <is>
          <t>Industrial Flex (Mall) Buildings</t>
        </is>
      </c>
      <c r="C1041" t="inlineStr">
        <is>
          <t>453</t>
        </is>
      </c>
      <c r="D1041" t="inlineStr">
        <is>
          <t>14</t>
        </is>
      </c>
      <c r="E1041" t="inlineStr">
        <is>
          <t>13</t>
        </is>
      </c>
      <c r="F1041" t="inlineStr">
        <is>
          <t>S</t>
        </is>
      </c>
      <c r="G1041" t="inlineStr">
        <is>
          <t>Average</t>
        </is>
      </c>
      <c r="H1041" t="n">
        <v>67</v>
      </c>
      <c r="I1041">
        <f>B1041&amp;"|"&amp;F1041&amp;"|"&amp;G1041</f>
        <v/>
      </c>
      <c r="J1041" t="inlineStr">
        <is>
          <t>MVS Sec.14 p.13</t>
        </is>
      </c>
    </row>
    <row r="1042">
      <c r="B1042" t="inlineStr">
        <is>
          <t>Industrial Flex (Mall) Buildings</t>
        </is>
      </c>
      <c r="C1042" t="inlineStr">
        <is>
          <t>453</t>
        </is>
      </c>
      <c r="D1042" t="inlineStr">
        <is>
          <t>14</t>
        </is>
      </c>
      <c r="E1042" t="inlineStr">
        <is>
          <t>13</t>
        </is>
      </c>
      <c r="F1042" t="inlineStr">
        <is>
          <t>S</t>
        </is>
      </c>
      <c r="G1042" t="inlineStr">
        <is>
          <t>Low Cost</t>
        </is>
      </c>
      <c r="H1042" t="n">
        <v>46.25</v>
      </c>
      <c r="I1042">
        <f>B1042&amp;"|"&amp;F1042&amp;"|"&amp;G1042</f>
        <v/>
      </c>
      <c r="J1042" t="inlineStr">
        <is>
          <t>MVS Sec.14 p.13</t>
        </is>
      </c>
    </row>
    <row r="1043">
      <c r="B1043" t="inlineStr">
        <is>
          <t>Industrials, Light Manufacturing</t>
        </is>
      </c>
      <c r="C1043" t="inlineStr">
        <is>
          <t>494</t>
        </is>
      </c>
      <c r="D1043" t="inlineStr">
        <is>
          <t>14</t>
        </is>
      </c>
      <c r="E1043" t="inlineStr">
        <is>
          <t>14</t>
        </is>
      </c>
      <c r="F1043" t="inlineStr">
        <is>
          <t>A</t>
        </is>
      </c>
      <c r="G1043" t="inlineStr">
        <is>
          <t>Average</t>
        </is>
      </c>
      <c r="H1043" t="n">
        <v>122</v>
      </c>
      <c r="I1043">
        <f>B1043&amp;"|"&amp;F1043&amp;"|"&amp;G1043</f>
        <v/>
      </c>
      <c r="J1043" t="inlineStr">
        <is>
          <t>MVS Sec.14 p.14</t>
        </is>
      </c>
    </row>
    <row r="1044">
      <c r="B1044" t="inlineStr">
        <is>
          <t>Industrials, Light Manufacturing</t>
        </is>
      </c>
      <c r="C1044" t="inlineStr">
        <is>
          <t>494</t>
        </is>
      </c>
      <c r="D1044" t="inlineStr">
        <is>
          <t>14</t>
        </is>
      </c>
      <c r="E1044" t="inlineStr">
        <is>
          <t>14</t>
        </is>
      </c>
      <c r="F1044" t="inlineStr">
        <is>
          <t>A</t>
        </is>
      </c>
      <c r="G1044" t="inlineStr">
        <is>
          <t>Low Cost</t>
        </is>
      </c>
      <c r="H1044" t="n">
        <v>84.5</v>
      </c>
      <c r="I1044">
        <f>B1044&amp;"|"&amp;F1044&amp;"|"&amp;G1044</f>
        <v/>
      </c>
      <c r="J1044" t="inlineStr">
        <is>
          <t>MVS Sec.14 p.14</t>
        </is>
      </c>
    </row>
    <row r="1045">
      <c r="B1045" t="inlineStr">
        <is>
          <t>Industrials, Light Manufacturing</t>
        </is>
      </c>
      <c r="C1045" t="inlineStr">
        <is>
          <t>494</t>
        </is>
      </c>
      <c r="D1045" t="inlineStr">
        <is>
          <t>14</t>
        </is>
      </c>
      <c r="E1045" t="inlineStr">
        <is>
          <t>14</t>
        </is>
      </c>
      <c r="F1045" t="inlineStr">
        <is>
          <t>B</t>
        </is>
      </c>
      <c r="G1045" t="inlineStr">
        <is>
          <t>Average</t>
        </is>
      </c>
      <c r="H1045" t="n">
        <v>107</v>
      </c>
      <c r="I1045">
        <f>B1045&amp;"|"&amp;F1045&amp;"|"&amp;G1045</f>
        <v/>
      </c>
      <c r="J1045" t="inlineStr">
        <is>
          <t>MVS Sec.14 p.14</t>
        </is>
      </c>
    </row>
    <row r="1046">
      <c r="B1046" t="inlineStr">
        <is>
          <t>Industrials, Light Manufacturing</t>
        </is>
      </c>
      <c r="C1046" t="inlineStr">
        <is>
          <t>494</t>
        </is>
      </c>
      <c r="D1046" t="inlineStr">
        <is>
          <t>14</t>
        </is>
      </c>
      <c r="E1046" t="inlineStr">
        <is>
          <t>14</t>
        </is>
      </c>
      <c r="F1046" t="inlineStr">
        <is>
          <t>B</t>
        </is>
      </c>
      <c r="G1046" t="inlineStr">
        <is>
          <t>Low Cost</t>
        </is>
      </c>
      <c r="H1046" t="n">
        <v>74</v>
      </c>
      <c r="I1046">
        <f>B1046&amp;"|"&amp;F1046&amp;"|"&amp;G1046</f>
        <v/>
      </c>
      <c r="J1046" t="inlineStr">
        <is>
          <t>MVS Sec.14 p.14</t>
        </is>
      </c>
    </row>
    <row r="1047">
      <c r="B1047" t="inlineStr">
        <is>
          <t>Industrials, Light Manufacturing</t>
        </is>
      </c>
      <c r="C1047" t="inlineStr">
        <is>
          <t>494</t>
        </is>
      </c>
      <c r="D1047" t="inlineStr">
        <is>
          <t>14</t>
        </is>
      </c>
      <c r="E1047" t="inlineStr">
        <is>
          <t>14</t>
        </is>
      </c>
      <c r="F1047" t="inlineStr">
        <is>
          <t>C</t>
        </is>
      </c>
      <c r="G1047" t="inlineStr">
        <is>
          <t>Good</t>
        </is>
      </c>
      <c r="H1047" t="n">
        <v>100</v>
      </c>
      <c r="I1047">
        <f>B1047&amp;"|"&amp;F1047&amp;"|"&amp;G1047</f>
        <v/>
      </c>
      <c r="J1047" t="inlineStr">
        <is>
          <t>MVS Sec.14 p.14</t>
        </is>
      </c>
    </row>
    <row r="1048">
      <c r="B1048" t="inlineStr">
        <is>
          <t>Industrials, Light Manufacturing</t>
        </is>
      </c>
      <c r="C1048" t="inlineStr">
        <is>
          <t>494</t>
        </is>
      </c>
      <c r="D1048" t="inlineStr">
        <is>
          <t>14</t>
        </is>
      </c>
      <c r="E1048" t="inlineStr">
        <is>
          <t>14</t>
        </is>
      </c>
      <c r="F1048" t="inlineStr">
        <is>
          <t>C</t>
        </is>
      </c>
      <c r="G1048" t="inlineStr">
        <is>
          <t>Average</t>
        </is>
      </c>
      <c r="H1048" t="n">
        <v>72</v>
      </c>
      <c r="I1048">
        <f>B1048&amp;"|"&amp;F1048&amp;"|"&amp;G1048</f>
        <v/>
      </c>
      <c r="J1048" t="inlineStr">
        <is>
          <t>MVS Sec.14 p.14</t>
        </is>
      </c>
    </row>
    <row r="1049">
      <c r="B1049" t="inlineStr">
        <is>
          <t>Industrials, Light Manufacturing</t>
        </is>
      </c>
      <c r="C1049" t="inlineStr">
        <is>
          <t>494</t>
        </is>
      </c>
      <c r="D1049" t="inlineStr">
        <is>
          <t>14</t>
        </is>
      </c>
      <c r="E1049" t="inlineStr">
        <is>
          <t>14</t>
        </is>
      </c>
      <c r="F1049" t="inlineStr">
        <is>
          <t>C</t>
        </is>
      </c>
      <c r="G1049" t="inlineStr">
        <is>
          <t>Low Cost</t>
        </is>
      </c>
      <c r="H1049" t="n">
        <v>52.5</v>
      </c>
      <c r="I1049">
        <f>B1049&amp;"|"&amp;F1049&amp;"|"&amp;G1049</f>
        <v/>
      </c>
      <c r="J1049" t="inlineStr">
        <is>
          <t>MVS Sec.14 p.14</t>
        </is>
      </c>
    </row>
    <row r="1050">
      <c r="B1050" t="inlineStr">
        <is>
          <t>Industrials, Light Manufacturing</t>
        </is>
      </c>
      <c r="C1050" t="inlineStr">
        <is>
          <t>494</t>
        </is>
      </c>
      <c r="D1050" t="inlineStr">
        <is>
          <t>14</t>
        </is>
      </c>
      <c r="E1050" t="inlineStr">
        <is>
          <t>14</t>
        </is>
      </c>
      <c r="F1050" t="inlineStr">
        <is>
          <t>D</t>
        </is>
      </c>
      <c r="G1050" t="inlineStr">
        <is>
          <t>Good</t>
        </is>
      </c>
      <c r="H1050" t="n">
        <v>92</v>
      </c>
      <c r="I1050">
        <f>B1050&amp;"|"&amp;F1050&amp;"|"&amp;G1050</f>
        <v/>
      </c>
      <c r="J1050" t="inlineStr">
        <is>
          <t>MVS Sec.14 p.14</t>
        </is>
      </c>
    </row>
    <row r="1051">
      <c r="B1051" t="inlineStr">
        <is>
          <t>Industrials, Light Manufacturing</t>
        </is>
      </c>
      <c r="C1051" t="inlineStr">
        <is>
          <t>494</t>
        </is>
      </c>
      <c r="D1051" t="inlineStr">
        <is>
          <t>14</t>
        </is>
      </c>
      <c r="E1051" t="inlineStr">
        <is>
          <t>14</t>
        </is>
      </c>
      <c r="F1051" t="inlineStr">
        <is>
          <t>D</t>
        </is>
      </c>
      <c r="G1051" t="inlineStr">
        <is>
          <t>Average</t>
        </is>
      </c>
      <c r="H1051" t="n">
        <v>65.5</v>
      </c>
      <c r="I1051">
        <f>B1051&amp;"|"&amp;F1051&amp;"|"&amp;G1051</f>
        <v/>
      </c>
      <c r="J1051" t="inlineStr">
        <is>
          <t>MVS Sec.14 p.14</t>
        </is>
      </c>
    </row>
    <row r="1052">
      <c r="B1052" t="inlineStr">
        <is>
          <t>Industrials, Light Manufacturing</t>
        </is>
      </c>
      <c r="C1052" t="inlineStr">
        <is>
          <t>494</t>
        </is>
      </c>
      <c r="D1052" t="inlineStr">
        <is>
          <t>14</t>
        </is>
      </c>
      <c r="E1052" t="inlineStr">
        <is>
          <t>14</t>
        </is>
      </c>
      <c r="F1052" t="inlineStr">
        <is>
          <t>D</t>
        </is>
      </c>
      <c r="G1052" t="inlineStr">
        <is>
          <t>Low Cost</t>
        </is>
      </c>
      <c r="H1052" t="n">
        <v>47</v>
      </c>
      <c r="I1052">
        <f>B1052&amp;"|"&amp;F1052&amp;"|"&amp;G1052</f>
        <v/>
      </c>
      <c r="J1052" t="inlineStr">
        <is>
          <t>MVS Sec.14 p.14</t>
        </is>
      </c>
    </row>
    <row r="1053">
      <c r="B1053" t="inlineStr">
        <is>
          <t>Industrials, Light Manufacturing</t>
        </is>
      </c>
      <c r="C1053" t="inlineStr">
        <is>
          <t>494</t>
        </is>
      </c>
      <c r="D1053" t="inlineStr">
        <is>
          <t>14</t>
        </is>
      </c>
      <c r="E1053" t="inlineStr">
        <is>
          <t>14</t>
        </is>
      </c>
      <c r="F1053" t="inlineStr">
        <is>
          <t>DPOLE</t>
        </is>
      </c>
      <c r="G1053" t="inlineStr">
        <is>
          <t>Good</t>
        </is>
      </c>
      <c r="H1053" t="n">
        <v>84</v>
      </c>
      <c r="I1053">
        <f>B1053&amp;"|"&amp;F1053&amp;"|"&amp;G1053</f>
        <v/>
      </c>
      <c r="J1053" t="inlineStr">
        <is>
          <t>MVS Sec.14 p.14</t>
        </is>
      </c>
    </row>
    <row r="1054">
      <c r="B1054" t="inlineStr">
        <is>
          <t>Industrials, Light Manufacturing</t>
        </is>
      </c>
      <c r="C1054" t="inlineStr">
        <is>
          <t>494</t>
        </is>
      </c>
      <c r="D1054" t="inlineStr">
        <is>
          <t>14</t>
        </is>
      </c>
      <c r="E1054" t="inlineStr">
        <is>
          <t>14</t>
        </is>
      </c>
      <c r="F1054" t="inlineStr">
        <is>
          <t>DPOLE</t>
        </is>
      </c>
      <c r="G1054" t="inlineStr">
        <is>
          <t>Average</t>
        </is>
      </c>
      <c r="H1054" t="n">
        <v>60.5</v>
      </c>
      <c r="I1054">
        <f>B1054&amp;"|"&amp;F1054&amp;"|"&amp;G1054</f>
        <v/>
      </c>
      <c r="J1054" t="inlineStr">
        <is>
          <t>MVS Sec.14 p.14</t>
        </is>
      </c>
    </row>
    <row r="1055">
      <c r="B1055" t="inlineStr">
        <is>
          <t>Industrials, Light Manufacturing</t>
        </is>
      </c>
      <c r="C1055" t="inlineStr">
        <is>
          <t>494</t>
        </is>
      </c>
      <c r="D1055" t="inlineStr">
        <is>
          <t>14</t>
        </is>
      </c>
      <c r="E1055" t="inlineStr">
        <is>
          <t>14</t>
        </is>
      </c>
      <c r="F1055" t="inlineStr">
        <is>
          <t>DPOLE</t>
        </is>
      </c>
      <c r="G1055" t="inlineStr">
        <is>
          <t>Low Cost</t>
        </is>
      </c>
      <c r="H1055" t="n">
        <v>43.5</v>
      </c>
      <c r="I1055">
        <f>B1055&amp;"|"&amp;F1055&amp;"|"&amp;G1055</f>
        <v/>
      </c>
      <c r="J1055" t="inlineStr">
        <is>
          <t>MVS Sec.14 p.14</t>
        </is>
      </c>
    </row>
    <row r="1056">
      <c r="B1056" t="inlineStr">
        <is>
          <t>Industrials, Light Manufacturing</t>
        </is>
      </c>
      <c r="C1056" t="inlineStr">
        <is>
          <t>494</t>
        </is>
      </c>
      <c r="D1056" t="inlineStr">
        <is>
          <t>14</t>
        </is>
      </c>
      <c r="E1056" t="inlineStr">
        <is>
          <t>14</t>
        </is>
      </c>
      <c r="F1056" t="inlineStr">
        <is>
          <t>S</t>
        </is>
      </c>
      <c r="G1056" t="inlineStr">
        <is>
          <t>Good</t>
        </is>
      </c>
      <c r="H1056" t="n">
        <v>93</v>
      </c>
      <c r="I1056">
        <f>B1056&amp;"|"&amp;F1056&amp;"|"&amp;G1056</f>
        <v/>
      </c>
      <c r="J1056" t="inlineStr">
        <is>
          <t>MVS Sec.14 p.14</t>
        </is>
      </c>
    </row>
    <row r="1057">
      <c r="B1057" t="inlineStr">
        <is>
          <t>Industrials, Light Manufacturing</t>
        </is>
      </c>
      <c r="C1057" t="inlineStr">
        <is>
          <t>494</t>
        </is>
      </c>
      <c r="D1057" t="inlineStr">
        <is>
          <t>14</t>
        </is>
      </c>
      <c r="E1057" t="inlineStr">
        <is>
          <t>14</t>
        </is>
      </c>
      <c r="F1057" t="inlineStr">
        <is>
          <t>S</t>
        </is>
      </c>
      <c r="G1057" t="inlineStr">
        <is>
          <t>Average</t>
        </is>
      </c>
      <c r="H1057" t="n">
        <v>66</v>
      </c>
      <c r="I1057">
        <f>B1057&amp;"|"&amp;F1057&amp;"|"&amp;G1057</f>
        <v/>
      </c>
      <c r="J1057" t="inlineStr">
        <is>
          <t>MVS Sec.14 p.14</t>
        </is>
      </c>
    </row>
    <row r="1058">
      <c r="B1058" t="inlineStr">
        <is>
          <t>Industrials, Light Manufacturing</t>
        </is>
      </c>
      <c r="C1058" t="inlineStr">
        <is>
          <t>494</t>
        </is>
      </c>
      <c r="D1058" t="inlineStr">
        <is>
          <t>14</t>
        </is>
      </c>
      <c r="E1058" t="inlineStr">
        <is>
          <t>14</t>
        </is>
      </c>
      <c r="F1058" t="inlineStr">
        <is>
          <t>S</t>
        </is>
      </c>
      <c r="G1058" t="inlineStr">
        <is>
          <t>Low Cost</t>
        </is>
      </c>
      <c r="H1058" t="n">
        <v>46.75</v>
      </c>
      <c r="I1058">
        <f>B1058&amp;"|"&amp;F1058&amp;"|"&amp;G1058</f>
        <v/>
      </c>
      <c r="J1058" t="inlineStr">
        <is>
          <t>MVS Sec.14 p.14</t>
        </is>
      </c>
    </row>
    <row r="1059">
      <c r="B1059" t="inlineStr">
        <is>
          <t>Industrials, Heavy (Process) Manufacturing</t>
        </is>
      </c>
      <c r="C1059" t="inlineStr">
        <is>
          <t>495</t>
        </is>
      </c>
      <c r="D1059" t="inlineStr">
        <is>
          <t>14</t>
        </is>
      </c>
      <c r="E1059" t="inlineStr">
        <is>
          <t>15</t>
        </is>
      </c>
      <c r="F1059" t="inlineStr">
        <is>
          <t>A</t>
        </is>
      </c>
      <c r="G1059" t="inlineStr">
        <is>
          <t>Excellent</t>
        </is>
      </c>
      <c r="H1059" t="n">
        <v>376</v>
      </c>
      <c r="I1059">
        <f>B1059&amp;"|"&amp;F1059&amp;"|"&amp;G1059</f>
        <v/>
      </c>
      <c r="J1059" t="inlineStr">
        <is>
          <t>MVS Sec.14 p.15</t>
        </is>
      </c>
    </row>
    <row r="1060">
      <c r="B1060" t="inlineStr">
        <is>
          <t>Industrials, Heavy (Process) Manufacturing</t>
        </is>
      </c>
      <c r="C1060" t="inlineStr">
        <is>
          <t>495</t>
        </is>
      </c>
      <c r="D1060" t="inlineStr">
        <is>
          <t>14</t>
        </is>
      </c>
      <c r="E1060" t="inlineStr">
        <is>
          <t>15</t>
        </is>
      </c>
      <c r="F1060" t="inlineStr">
        <is>
          <t>A</t>
        </is>
      </c>
      <c r="G1060" t="inlineStr">
        <is>
          <t>Good</t>
        </is>
      </c>
      <c r="H1060" t="n">
        <v>302</v>
      </c>
      <c r="I1060">
        <f>B1060&amp;"|"&amp;F1060&amp;"|"&amp;G1060</f>
        <v/>
      </c>
      <c r="J1060" t="inlineStr">
        <is>
          <t>MVS Sec.14 p.15</t>
        </is>
      </c>
    </row>
    <row r="1061">
      <c r="B1061" t="inlineStr">
        <is>
          <t>Industrials, Heavy (Process) Manufacturing</t>
        </is>
      </c>
      <c r="C1061" t="inlineStr">
        <is>
          <t>495</t>
        </is>
      </c>
      <c r="D1061" t="inlineStr">
        <is>
          <t>14</t>
        </is>
      </c>
      <c r="E1061" t="inlineStr">
        <is>
          <t>15</t>
        </is>
      </c>
      <c r="F1061" t="inlineStr">
        <is>
          <t>A</t>
        </is>
      </c>
      <c r="G1061" t="inlineStr">
        <is>
          <t>Average</t>
        </is>
      </c>
      <c r="H1061" t="n">
        <v>232</v>
      </c>
      <c r="I1061">
        <f>B1061&amp;"|"&amp;F1061&amp;"|"&amp;G1061</f>
        <v/>
      </c>
      <c r="J1061" t="inlineStr">
        <is>
          <t>MVS Sec.14 p.15</t>
        </is>
      </c>
    </row>
    <row r="1062">
      <c r="B1062" t="inlineStr">
        <is>
          <t>Industrials, Heavy (Process) Manufacturing</t>
        </is>
      </c>
      <c r="C1062" t="inlineStr">
        <is>
          <t>495</t>
        </is>
      </c>
      <c r="D1062" t="inlineStr">
        <is>
          <t>14</t>
        </is>
      </c>
      <c r="E1062" t="inlineStr">
        <is>
          <t>15</t>
        </is>
      </c>
      <c r="F1062" t="inlineStr">
        <is>
          <t>A</t>
        </is>
      </c>
      <c r="G1062" t="inlineStr">
        <is>
          <t>Low Cost</t>
        </is>
      </c>
      <c r="H1062" t="n">
        <v>180</v>
      </c>
      <c r="I1062">
        <f>B1062&amp;"|"&amp;F1062&amp;"|"&amp;G1062</f>
        <v/>
      </c>
      <c r="J1062" t="inlineStr">
        <is>
          <t>MVS Sec.14 p.15</t>
        </is>
      </c>
    </row>
    <row r="1063">
      <c r="B1063" t="inlineStr">
        <is>
          <t>Industrials, Heavy (Process) Manufacturing</t>
        </is>
      </c>
      <c r="C1063" t="inlineStr">
        <is>
          <t>495</t>
        </is>
      </c>
      <c r="D1063" t="inlineStr">
        <is>
          <t>14</t>
        </is>
      </c>
      <c r="E1063" t="inlineStr">
        <is>
          <t>15</t>
        </is>
      </c>
      <c r="F1063" t="inlineStr">
        <is>
          <t>B</t>
        </is>
      </c>
      <c r="G1063" t="inlineStr">
        <is>
          <t>Excellent</t>
        </is>
      </c>
      <c r="H1063" t="n">
        <v>339</v>
      </c>
      <c r="I1063">
        <f>B1063&amp;"|"&amp;F1063&amp;"|"&amp;G1063</f>
        <v/>
      </c>
      <c r="J1063" t="inlineStr">
        <is>
          <t>MVS Sec.14 p.15</t>
        </is>
      </c>
    </row>
    <row r="1064">
      <c r="B1064" t="inlineStr">
        <is>
          <t>Industrials, Heavy (Process) Manufacturing</t>
        </is>
      </c>
      <c r="C1064" t="inlineStr">
        <is>
          <t>495</t>
        </is>
      </c>
      <c r="D1064" t="inlineStr">
        <is>
          <t>14</t>
        </is>
      </c>
      <c r="E1064" t="inlineStr">
        <is>
          <t>15</t>
        </is>
      </c>
      <c r="F1064" t="inlineStr">
        <is>
          <t>B</t>
        </is>
      </c>
      <c r="G1064" t="inlineStr">
        <is>
          <t>Good</t>
        </is>
      </c>
      <c r="H1064" t="n">
        <v>272</v>
      </c>
      <c r="I1064">
        <f>B1064&amp;"|"&amp;F1064&amp;"|"&amp;G1064</f>
        <v/>
      </c>
      <c r="J1064" t="inlineStr">
        <is>
          <t>MVS Sec.14 p.15</t>
        </is>
      </c>
    </row>
    <row r="1065">
      <c r="B1065" t="inlineStr">
        <is>
          <t>Industrials, Heavy (Process) Manufacturing</t>
        </is>
      </c>
      <c r="C1065" t="inlineStr">
        <is>
          <t>495</t>
        </is>
      </c>
      <c r="D1065" t="inlineStr">
        <is>
          <t>14</t>
        </is>
      </c>
      <c r="E1065" t="inlineStr">
        <is>
          <t>15</t>
        </is>
      </c>
      <c r="F1065" t="inlineStr">
        <is>
          <t>B</t>
        </is>
      </c>
      <c r="G1065" t="inlineStr">
        <is>
          <t>Average</t>
        </is>
      </c>
      <c r="H1065" t="n">
        <v>208</v>
      </c>
      <c r="I1065">
        <f>B1065&amp;"|"&amp;F1065&amp;"|"&amp;G1065</f>
        <v/>
      </c>
      <c r="J1065" t="inlineStr">
        <is>
          <t>MVS Sec.14 p.15</t>
        </is>
      </c>
    </row>
    <row r="1066">
      <c r="B1066" t="inlineStr">
        <is>
          <t>Industrials, Heavy (Process) Manufacturing</t>
        </is>
      </c>
      <c r="C1066" t="inlineStr">
        <is>
          <t>495</t>
        </is>
      </c>
      <c r="D1066" t="inlineStr">
        <is>
          <t>14</t>
        </is>
      </c>
      <c r="E1066" t="inlineStr">
        <is>
          <t>15</t>
        </is>
      </c>
      <c r="F1066" t="inlineStr">
        <is>
          <t>B</t>
        </is>
      </c>
      <c r="G1066" t="inlineStr">
        <is>
          <t>Low Cost</t>
        </is>
      </c>
      <c r="H1066" t="n">
        <v>161</v>
      </c>
      <c r="I1066">
        <f>B1066&amp;"|"&amp;F1066&amp;"|"&amp;G1066</f>
        <v/>
      </c>
      <c r="J1066" t="inlineStr">
        <is>
          <t>MVS Sec.14 p.15</t>
        </is>
      </c>
    </row>
    <row r="1067">
      <c r="B1067" t="inlineStr">
        <is>
          <t>Industrials, Heavy (Process) Manufacturing</t>
        </is>
      </c>
      <c r="C1067" t="inlineStr">
        <is>
          <t>495</t>
        </is>
      </c>
      <c r="D1067" t="inlineStr">
        <is>
          <t>14</t>
        </is>
      </c>
      <c r="E1067" t="inlineStr">
        <is>
          <t>15</t>
        </is>
      </c>
      <c r="F1067" t="inlineStr">
        <is>
          <t>C</t>
        </is>
      </c>
      <c r="G1067" t="inlineStr">
        <is>
          <t>Good</t>
        </is>
      </c>
      <c r="H1067" t="n">
        <v>217</v>
      </c>
      <c r="I1067">
        <f>B1067&amp;"|"&amp;F1067&amp;"|"&amp;G1067</f>
        <v/>
      </c>
      <c r="J1067" t="inlineStr">
        <is>
          <t>MVS Sec.14 p.15</t>
        </is>
      </c>
    </row>
    <row r="1068">
      <c r="B1068" t="inlineStr">
        <is>
          <t>Industrials, Heavy (Process) Manufacturing</t>
        </is>
      </c>
      <c r="C1068" t="inlineStr">
        <is>
          <t>495</t>
        </is>
      </c>
      <c r="D1068" t="inlineStr">
        <is>
          <t>14</t>
        </is>
      </c>
      <c r="E1068" t="inlineStr">
        <is>
          <t>15</t>
        </is>
      </c>
      <c r="F1068" t="inlineStr">
        <is>
          <t>C</t>
        </is>
      </c>
      <c r="G1068" t="inlineStr">
        <is>
          <t>Average</t>
        </is>
      </c>
      <c r="H1068" t="n">
        <v>162</v>
      </c>
      <c r="I1068">
        <f>B1068&amp;"|"&amp;F1068&amp;"|"&amp;G1068</f>
        <v/>
      </c>
      <c r="J1068" t="inlineStr">
        <is>
          <t>MVS Sec.14 p.15</t>
        </is>
      </c>
    </row>
    <row r="1069">
      <c r="B1069" t="inlineStr">
        <is>
          <t>Industrials, Heavy (Process) Manufacturing</t>
        </is>
      </c>
      <c r="C1069" t="inlineStr">
        <is>
          <t>495</t>
        </is>
      </c>
      <c r="D1069" t="inlineStr">
        <is>
          <t>14</t>
        </is>
      </c>
      <c r="E1069" t="inlineStr">
        <is>
          <t>15</t>
        </is>
      </c>
      <c r="F1069" t="inlineStr">
        <is>
          <t>C</t>
        </is>
      </c>
      <c r="G1069" t="inlineStr">
        <is>
          <t>Low Cost</t>
        </is>
      </c>
      <c r="H1069" t="n">
        <v>117</v>
      </c>
      <c r="I1069">
        <f>B1069&amp;"|"&amp;F1069&amp;"|"&amp;G1069</f>
        <v/>
      </c>
      <c r="J1069" t="inlineStr">
        <is>
          <t>MVS Sec.14 p.15</t>
        </is>
      </c>
    </row>
    <row r="1070">
      <c r="B1070" t="inlineStr">
        <is>
          <t>Industrials, Heavy (Process) Manufacturing</t>
        </is>
      </c>
      <c r="C1070" t="inlineStr">
        <is>
          <t>495</t>
        </is>
      </c>
      <c r="D1070" t="inlineStr">
        <is>
          <t>14</t>
        </is>
      </c>
      <c r="E1070" t="inlineStr">
        <is>
          <t>15</t>
        </is>
      </c>
      <c r="F1070" t="inlineStr">
        <is>
          <t>CMILL</t>
        </is>
      </c>
      <c r="G1070" t="inlineStr">
        <is>
          <t>Good</t>
        </is>
      </c>
      <c r="H1070" t="n">
        <v>139</v>
      </c>
      <c r="I1070">
        <f>B1070&amp;"|"&amp;F1070&amp;"|"&amp;G1070</f>
        <v/>
      </c>
      <c r="J1070" t="inlineStr">
        <is>
          <t>MVS Sec.14 p.15</t>
        </is>
      </c>
    </row>
    <row r="1071">
      <c r="B1071" t="inlineStr">
        <is>
          <t>Industrials, Heavy (Process) Manufacturing</t>
        </is>
      </c>
      <c r="C1071" t="inlineStr">
        <is>
          <t>495</t>
        </is>
      </c>
      <c r="D1071" t="inlineStr">
        <is>
          <t>14</t>
        </is>
      </c>
      <c r="E1071" t="inlineStr">
        <is>
          <t>15</t>
        </is>
      </c>
      <c r="F1071" t="inlineStr">
        <is>
          <t>CMILL</t>
        </is>
      </c>
      <c r="G1071" t="inlineStr">
        <is>
          <t>Average</t>
        </is>
      </c>
      <c r="H1071" t="n">
        <v>106</v>
      </c>
      <c r="I1071">
        <f>B1071&amp;"|"&amp;F1071&amp;"|"&amp;G1071</f>
        <v/>
      </c>
      <c r="J1071" t="inlineStr">
        <is>
          <t>MVS Sec.14 p.15</t>
        </is>
      </c>
    </row>
    <row r="1072">
      <c r="B1072" t="inlineStr">
        <is>
          <t>Industrials, Heavy (Process) Manufacturing</t>
        </is>
      </c>
      <c r="C1072" t="inlineStr">
        <is>
          <t>495</t>
        </is>
      </c>
      <c r="D1072" t="inlineStr">
        <is>
          <t>14</t>
        </is>
      </c>
      <c r="E1072" t="inlineStr">
        <is>
          <t>15</t>
        </is>
      </c>
      <c r="F1072" t="inlineStr">
        <is>
          <t>D</t>
        </is>
      </c>
      <c r="G1072" t="inlineStr">
        <is>
          <t>Average</t>
        </is>
      </c>
      <c r="H1072" t="n">
        <v>144</v>
      </c>
      <c r="I1072">
        <f>B1072&amp;"|"&amp;F1072&amp;"|"&amp;G1072</f>
        <v/>
      </c>
      <c r="J1072" t="inlineStr">
        <is>
          <t>MVS Sec.14 p.15</t>
        </is>
      </c>
    </row>
    <row r="1073">
      <c r="B1073" t="inlineStr">
        <is>
          <t>Industrials, Heavy (Process) Manufacturing</t>
        </is>
      </c>
      <c r="C1073" t="inlineStr">
        <is>
          <t>495</t>
        </is>
      </c>
      <c r="D1073" t="inlineStr">
        <is>
          <t>14</t>
        </is>
      </c>
      <c r="E1073" t="inlineStr">
        <is>
          <t>15</t>
        </is>
      </c>
      <c r="F1073" t="inlineStr">
        <is>
          <t>D</t>
        </is>
      </c>
      <c r="G1073" t="inlineStr">
        <is>
          <t>Low Cost</t>
        </is>
      </c>
      <c r="H1073" t="n">
        <v>111</v>
      </c>
      <c r="I1073">
        <f>B1073&amp;"|"&amp;F1073&amp;"|"&amp;G1073</f>
        <v/>
      </c>
      <c r="J1073" t="inlineStr">
        <is>
          <t>MVS Sec.14 p.15</t>
        </is>
      </c>
    </row>
    <row r="1074">
      <c r="B1074" t="inlineStr">
        <is>
          <t>Industrials, Heavy (Process) Manufacturing</t>
        </is>
      </c>
      <c r="C1074" t="inlineStr">
        <is>
          <t>495</t>
        </is>
      </c>
      <c r="D1074" t="inlineStr">
        <is>
          <t>14</t>
        </is>
      </c>
      <c r="E1074" t="inlineStr">
        <is>
          <t>15</t>
        </is>
      </c>
      <c r="F1074" t="inlineStr">
        <is>
          <t>S</t>
        </is>
      </c>
      <c r="G1074" t="inlineStr">
        <is>
          <t>Good</t>
        </is>
      </c>
      <c r="H1074" t="n">
        <v>209</v>
      </c>
      <c r="I1074">
        <f>B1074&amp;"|"&amp;F1074&amp;"|"&amp;G1074</f>
        <v/>
      </c>
      <c r="J1074" t="inlineStr">
        <is>
          <t>MVS Sec.14 p.15</t>
        </is>
      </c>
    </row>
    <row r="1075">
      <c r="B1075" t="inlineStr">
        <is>
          <t>Industrials, Heavy (Process) Manufacturing</t>
        </is>
      </c>
      <c r="C1075" t="inlineStr">
        <is>
          <t>495</t>
        </is>
      </c>
      <c r="D1075" t="inlineStr">
        <is>
          <t>14</t>
        </is>
      </c>
      <c r="E1075" t="inlineStr">
        <is>
          <t>15</t>
        </is>
      </c>
      <c r="F1075" t="inlineStr">
        <is>
          <t>S</t>
        </is>
      </c>
      <c r="G1075" t="inlineStr">
        <is>
          <t>Average</t>
        </is>
      </c>
      <c r="H1075" t="n">
        <v>149</v>
      </c>
      <c r="I1075">
        <f>B1075&amp;"|"&amp;F1075&amp;"|"&amp;G1075</f>
        <v/>
      </c>
      <c r="J1075" t="inlineStr">
        <is>
          <t>MVS Sec.14 p.15</t>
        </is>
      </c>
    </row>
    <row r="1076">
      <c r="B1076" t="inlineStr">
        <is>
          <t>Industrials, Heavy (Process) Manufacturing</t>
        </is>
      </c>
      <c r="C1076" t="inlineStr">
        <is>
          <t>495</t>
        </is>
      </c>
      <c r="D1076" t="inlineStr">
        <is>
          <t>14</t>
        </is>
      </c>
      <c r="E1076" t="inlineStr">
        <is>
          <t>15</t>
        </is>
      </c>
      <c r="F1076" t="inlineStr">
        <is>
          <t>S</t>
        </is>
      </c>
      <c r="G1076" t="inlineStr">
        <is>
          <t>Low Cost</t>
        </is>
      </c>
      <c r="H1076" t="n">
        <v>113</v>
      </c>
      <c r="I1076">
        <f>B1076&amp;"|"&amp;F1076&amp;"|"&amp;G1076</f>
        <v/>
      </c>
      <c r="J1076" t="inlineStr">
        <is>
          <t>MVS Sec.14 p.15</t>
        </is>
      </c>
    </row>
    <row r="1077">
      <c r="B1077" t="inlineStr">
        <is>
          <t>Industrial, Engineering (R&amp;D) Buildings</t>
        </is>
      </c>
      <c r="C1077" t="inlineStr">
        <is>
          <t>392</t>
        </is>
      </c>
      <c r="D1077" t="inlineStr">
        <is>
          <t>14</t>
        </is>
      </c>
      <c r="E1077" t="inlineStr">
        <is>
          <t>16</t>
        </is>
      </c>
      <c r="F1077" t="inlineStr">
        <is>
          <t>A</t>
        </is>
      </c>
      <c r="G1077" t="inlineStr">
        <is>
          <t>Excellent</t>
        </is>
      </c>
      <c r="H1077" t="n">
        <v>278</v>
      </c>
      <c r="I1077">
        <f>B1077&amp;"|"&amp;F1077&amp;"|"&amp;G1077</f>
        <v/>
      </c>
      <c r="J1077" t="inlineStr">
        <is>
          <t>MVS Sec.14 p.16</t>
        </is>
      </c>
    </row>
    <row r="1078">
      <c r="B1078" t="inlineStr">
        <is>
          <t>Industrial, Engineering (R&amp;D) Buildings</t>
        </is>
      </c>
      <c r="C1078" t="inlineStr">
        <is>
          <t>392</t>
        </is>
      </c>
      <c r="D1078" t="inlineStr">
        <is>
          <t>14</t>
        </is>
      </c>
      <c r="E1078" t="inlineStr">
        <is>
          <t>16</t>
        </is>
      </c>
      <c r="F1078" t="inlineStr">
        <is>
          <t>A</t>
        </is>
      </c>
      <c r="G1078" t="inlineStr">
        <is>
          <t>Good</t>
        </is>
      </c>
      <c r="H1078" t="n">
        <v>199</v>
      </c>
      <c r="I1078">
        <f>B1078&amp;"|"&amp;F1078&amp;"|"&amp;G1078</f>
        <v/>
      </c>
      <c r="J1078" t="inlineStr">
        <is>
          <t>MVS Sec.14 p.16</t>
        </is>
      </c>
    </row>
    <row r="1079">
      <c r="B1079" t="inlineStr">
        <is>
          <t>Industrial, Engineering (R&amp;D) Buildings</t>
        </is>
      </c>
      <c r="C1079" t="inlineStr">
        <is>
          <t>392</t>
        </is>
      </c>
      <c r="D1079" t="inlineStr">
        <is>
          <t>14</t>
        </is>
      </c>
      <c r="E1079" t="inlineStr">
        <is>
          <t>16</t>
        </is>
      </c>
      <c r="F1079" t="inlineStr">
        <is>
          <t>A</t>
        </is>
      </c>
      <c r="G1079" t="inlineStr">
        <is>
          <t>Average</t>
        </is>
      </c>
      <c r="H1079" t="n">
        <v>147</v>
      </c>
      <c r="I1079">
        <f>B1079&amp;"|"&amp;F1079&amp;"|"&amp;G1079</f>
        <v/>
      </c>
      <c r="J1079" t="inlineStr">
        <is>
          <t>MVS Sec.14 p.16</t>
        </is>
      </c>
    </row>
    <row r="1080">
      <c r="B1080" t="inlineStr">
        <is>
          <t>Industrial, Engineering (R&amp;D) Buildings</t>
        </is>
      </c>
      <c r="C1080" t="inlineStr">
        <is>
          <t>392</t>
        </is>
      </c>
      <c r="D1080" t="inlineStr">
        <is>
          <t>14</t>
        </is>
      </c>
      <c r="E1080" t="inlineStr">
        <is>
          <t>16</t>
        </is>
      </c>
      <c r="F1080" t="inlineStr">
        <is>
          <t>A</t>
        </is>
      </c>
      <c r="G1080" t="inlineStr">
        <is>
          <t>Low Cost</t>
        </is>
      </c>
      <c r="H1080" t="n">
        <v>111</v>
      </c>
      <c r="I1080">
        <f>B1080&amp;"|"&amp;F1080&amp;"|"&amp;G1080</f>
        <v/>
      </c>
      <c r="J1080" t="inlineStr">
        <is>
          <t>MVS Sec.14 p.16</t>
        </is>
      </c>
    </row>
    <row r="1081">
      <c r="B1081" t="inlineStr">
        <is>
          <t>Industrial, Engineering (R&amp;D) Buildings</t>
        </is>
      </c>
      <c r="C1081" t="inlineStr">
        <is>
          <t>392</t>
        </is>
      </c>
      <c r="D1081" t="inlineStr">
        <is>
          <t>14</t>
        </is>
      </c>
      <c r="E1081" t="inlineStr">
        <is>
          <t>16</t>
        </is>
      </c>
      <c r="F1081" t="inlineStr">
        <is>
          <t>B</t>
        </is>
      </c>
      <c r="G1081" t="inlineStr">
        <is>
          <t>Excellent</t>
        </is>
      </c>
      <c r="H1081" t="n">
        <v>250</v>
      </c>
      <c r="I1081">
        <f>B1081&amp;"|"&amp;F1081&amp;"|"&amp;G1081</f>
        <v/>
      </c>
      <c r="J1081" t="inlineStr">
        <is>
          <t>MVS Sec.14 p.16</t>
        </is>
      </c>
    </row>
    <row r="1082">
      <c r="B1082" t="inlineStr">
        <is>
          <t>Industrial, Engineering (R&amp;D) Buildings</t>
        </is>
      </c>
      <c r="C1082" t="inlineStr">
        <is>
          <t>392</t>
        </is>
      </c>
      <c r="D1082" t="inlineStr">
        <is>
          <t>14</t>
        </is>
      </c>
      <c r="E1082" t="inlineStr">
        <is>
          <t>16</t>
        </is>
      </c>
      <c r="F1082" t="inlineStr">
        <is>
          <t>B</t>
        </is>
      </c>
      <c r="G1082" t="inlineStr">
        <is>
          <t>Good</t>
        </is>
      </c>
      <c r="H1082" t="n">
        <v>178</v>
      </c>
      <c r="I1082">
        <f>B1082&amp;"|"&amp;F1082&amp;"|"&amp;G1082</f>
        <v/>
      </c>
      <c r="J1082" t="inlineStr">
        <is>
          <t>MVS Sec.14 p.16</t>
        </is>
      </c>
    </row>
    <row r="1083">
      <c r="B1083" t="inlineStr">
        <is>
          <t>Industrial, Engineering (R&amp;D) Buildings</t>
        </is>
      </c>
      <c r="C1083" t="inlineStr">
        <is>
          <t>392</t>
        </is>
      </c>
      <c r="D1083" t="inlineStr">
        <is>
          <t>14</t>
        </is>
      </c>
      <c r="E1083" t="inlineStr">
        <is>
          <t>16</t>
        </is>
      </c>
      <c r="F1083" t="inlineStr">
        <is>
          <t>B</t>
        </is>
      </c>
      <c r="G1083" t="inlineStr">
        <is>
          <t>Average</t>
        </is>
      </c>
      <c r="H1083" t="n">
        <v>131</v>
      </c>
      <c r="I1083">
        <f>B1083&amp;"|"&amp;F1083&amp;"|"&amp;G1083</f>
        <v/>
      </c>
      <c r="J1083" t="inlineStr">
        <is>
          <t>MVS Sec.14 p.16</t>
        </is>
      </c>
    </row>
    <row r="1084">
      <c r="B1084" t="inlineStr">
        <is>
          <t>Industrial, Engineering (R&amp;D) Buildings</t>
        </is>
      </c>
      <c r="C1084" t="inlineStr">
        <is>
          <t>392</t>
        </is>
      </c>
      <c r="D1084" t="inlineStr">
        <is>
          <t>14</t>
        </is>
      </c>
      <c r="E1084" t="inlineStr">
        <is>
          <t>16</t>
        </is>
      </c>
      <c r="F1084" t="inlineStr">
        <is>
          <t>B</t>
        </is>
      </c>
      <c r="G1084" t="inlineStr">
        <is>
          <t>Low Cost</t>
        </is>
      </c>
      <c r="H1084" t="n">
        <v>99.5</v>
      </c>
      <c r="I1084">
        <f>B1084&amp;"|"&amp;F1084&amp;"|"&amp;G1084</f>
        <v/>
      </c>
      <c r="J1084" t="inlineStr">
        <is>
          <t>MVS Sec.14 p.16</t>
        </is>
      </c>
    </row>
    <row r="1085">
      <c r="B1085" t="inlineStr">
        <is>
          <t>Industrial, Engineering (R&amp;D) Buildings</t>
        </is>
      </c>
      <c r="C1085" t="inlineStr">
        <is>
          <t>392</t>
        </is>
      </c>
      <c r="D1085" t="inlineStr">
        <is>
          <t>14</t>
        </is>
      </c>
      <c r="E1085" t="inlineStr">
        <is>
          <t>16</t>
        </is>
      </c>
      <c r="F1085" t="inlineStr">
        <is>
          <t>C</t>
        </is>
      </c>
      <c r="G1085" t="inlineStr">
        <is>
          <t>Excellent</t>
        </is>
      </c>
      <c r="H1085" t="n">
        <v>224</v>
      </c>
      <c r="I1085">
        <f>B1085&amp;"|"&amp;F1085&amp;"|"&amp;G1085</f>
        <v/>
      </c>
      <c r="J1085" t="inlineStr">
        <is>
          <t>MVS Sec.14 p.16</t>
        </is>
      </c>
    </row>
    <row r="1086">
      <c r="B1086" t="inlineStr">
        <is>
          <t>Industrial, Engineering (R&amp;D) Buildings</t>
        </is>
      </c>
      <c r="C1086" t="inlineStr">
        <is>
          <t>392</t>
        </is>
      </c>
      <c r="D1086" t="inlineStr">
        <is>
          <t>14</t>
        </is>
      </c>
      <c r="E1086" t="inlineStr">
        <is>
          <t>16</t>
        </is>
      </c>
      <c r="F1086" t="inlineStr">
        <is>
          <t>C</t>
        </is>
      </c>
      <c r="G1086" t="inlineStr">
        <is>
          <t>Good</t>
        </is>
      </c>
      <c r="H1086" t="n">
        <v>148</v>
      </c>
      <c r="I1086">
        <f>B1086&amp;"|"&amp;F1086&amp;"|"&amp;G1086</f>
        <v/>
      </c>
      <c r="J1086" t="inlineStr">
        <is>
          <t>MVS Sec.14 p.16</t>
        </is>
      </c>
    </row>
    <row r="1087">
      <c r="B1087" t="inlineStr">
        <is>
          <t>Industrial, Engineering (R&amp;D) Buildings</t>
        </is>
      </c>
      <c r="C1087" t="inlineStr">
        <is>
          <t>392</t>
        </is>
      </c>
      <c r="D1087" t="inlineStr">
        <is>
          <t>14</t>
        </is>
      </c>
      <c r="E1087" t="inlineStr">
        <is>
          <t>16</t>
        </is>
      </c>
      <c r="F1087" t="inlineStr">
        <is>
          <t>C</t>
        </is>
      </c>
      <c r="G1087" t="inlineStr">
        <is>
          <t>Average</t>
        </is>
      </c>
      <c r="H1087" t="n">
        <v>101</v>
      </c>
      <c r="I1087">
        <f>B1087&amp;"|"&amp;F1087&amp;"|"&amp;G1087</f>
        <v/>
      </c>
      <c r="J1087" t="inlineStr">
        <is>
          <t>MVS Sec.14 p.16</t>
        </is>
      </c>
    </row>
    <row r="1088">
      <c r="B1088" t="inlineStr">
        <is>
          <t>Industrial, Engineering (R&amp;D) Buildings</t>
        </is>
      </c>
      <c r="C1088" t="inlineStr">
        <is>
          <t>392</t>
        </is>
      </c>
      <c r="D1088" t="inlineStr">
        <is>
          <t>14</t>
        </is>
      </c>
      <c r="E1088" t="inlineStr">
        <is>
          <t>16</t>
        </is>
      </c>
      <c r="F1088" t="inlineStr">
        <is>
          <t>C</t>
        </is>
      </c>
      <c r="G1088" t="inlineStr">
        <is>
          <t>Low Cost</t>
        </is>
      </c>
      <c r="H1088" t="n">
        <v>72.5</v>
      </c>
      <c r="I1088">
        <f>B1088&amp;"|"&amp;F1088&amp;"|"&amp;G1088</f>
        <v/>
      </c>
      <c r="J1088" t="inlineStr">
        <is>
          <t>MVS Sec.14 p.16</t>
        </is>
      </c>
    </row>
    <row r="1089">
      <c r="B1089" t="inlineStr">
        <is>
          <t>Industrial, Engineering (R&amp;D) Buildings</t>
        </is>
      </c>
      <c r="C1089" t="inlineStr">
        <is>
          <t>392</t>
        </is>
      </c>
      <c r="D1089" t="inlineStr">
        <is>
          <t>14</t>
        </is>
      </c>
      <c r="E1089" t="inlineStr">
        <is>
          <t>16</t>
        </is>
      </c>
      <c r="F1089" t="inlineStr">
        <is>
          <t>D</t>
        </is>
      </c>
      <c r="G1089" t="inlineStr">
        <is>
          <t>Excellent</t>
        </is>
      </c>
      <c r="H1089" t="n">
        <v>201</v>
      </c>
      <c r="I1089">
        <f>B1089&amp;"|"&amp;F1089&amp;"|"&amp;G1089</f>
        <v/>
      </c>
      <c r="J1089" t="inlineStr">
        <is>
          <t>MVS Sec.14 p.16</t>
        </is>
      </c>
    </row>
    <row r="1090">
      <c r="B1090" t="inlineStr">
        <is>
          <t>Industrial, Engineering (R&amp;D) Buildings</t>
        </is>
      </c>
      <c r="C1090" t="inlineStr">
        <is>
          <t>392</t>
        </is>
      </c>
      <c r="D1090" t="inlineStr">
        <is>
          <t>14</t>
        </is>
      </c>
      <c r="E1090" t="inlineStr">
        <is>
          <t>16</t>
        </is>
      </c>
      <c r="F1090" t="inlineStr">
        <is>
          <t>D</t>
        </is>
      </c>
      <c r="G1090" t="inlineStr">
        <is>
          <t>Good</t>
        </is>
      </c>
      <c r="H1090" t="n">
        <v>140</v>
      </c>
      <c r="I1090">
        <f>B1090&amp;"|"&amp;F1090&amp;"|"&amp;G1090</f>
        <v/>
      </c>
      <c r="J1090" t="inlineStr">
        <is>
          <t>MVS Sec.14 p.16</t>
        </is>
      </c>
    </row>
    <row r="1091">
      <c r="B1091" t="inlineStr">
        <is>
          <t>Industrial, Engineering (R&amp;D) Buildings</t>
        </is>
      </c>
      <c r="C1091" t="inlineStr">
        <is>
          <t>392</t>
        </is>
      </c>
      <c r="D1091" t="inlineStr">
        <is>
          <t>14</t>
        </is>
      </c>
      <c r="E1091" t="inlineStr">
        <is>
          <t>16</t>
        </is>
      </c>
      <c r="F1091" t="inlineStr">
        <is>
          <t>D</t>
        </is>
      </c>
      <c r="G1091" t="inlineStr">
        <is>
          <t>Average</t>
        </is>
      </c>
      <c r="H1091" t="n">
        <v>94.5</v>
      </c>
      <c r="I1091">
        <f>B1091&amp;"|"&amp;F1091&amp;"|"&amp;G1091</f>
        <v/>
      </c>
      <c r="J1091" t="inlineStr">
        <is>
          <t>MVS Sec.14 p.16</t>
        </is>
      </c>
    </row>
    <row r="1092">
      <c r="B1092" t="inlineStr">
        <is>
          <t>Industrial, Engineering (R&amp;D) Buildings</t>
        </is>
      </c>
      <c r="C1092" t="inlineStr">
        <is>
          <t>392</t>
        </is>
      </c>
      <c r="D1092" t="inlineStr">
        <is>
          <t>14</t>
        </is>
      </c>
      <c r="E1092" t="inlineStr">
        <is>
          <t>16</t>
        </is>
      </c>
      <c r="F1092" t="inlineStr">
        <is>
          <t>D</t>
        </is>
      </c>
      <c r="G1092" t="inlineStr">
        <is>
          <t>Low Cost</t>
        </is>
      </c>
      <c r="H1092" t="n">
        <v>67</v>
      </c>
      <c r="I1092">
        <f>B1092&amp;"|"&amp;F1092&amp;"|"&amp;G1092</f>
        <v/>
      </c>
      <c r="J1092" t="inlineStr">
        <is>
          <t>MVS Sec.14 p.16</t>
        </is>
      </c>
    </row>
    <row r="1093">
      <c r="B1093" t="inlineStr">
        <is>
          <t>Industrial, Engineering (R&amp;D) Buildings</t>
        </is>
      </c>
      <c r="C1093" t="inlineStr">
        <is>
          <t>392</t>
        </is>
      </c>
      <c r="D1093" t="inlineStr">
        <is>
          <t>14</t>
        </is>
      </c>
      <c r="E1093" t="inlineStr">
        <is>
          <t>16</t>
        </is>
      </c>
      <c r="F1093" t="inlineStr">
        <is>
          <t>S</t>
        </is>
      </c>
      <c r="G1093" t="inlineStr">
        <is>
          <t>Excellent</t>
        </is>
      </c>
      <c r="H1093" t="n">
        <v>207</v>
      </c>
      <c r="I1093">
        <f>B1093&amp;"|"&amp;F1093&amp;"|"&amp;G1093</f>
        <v/>
      </c>
      <c r="J1093" t="inlineStr">
        <is>
          <t>MVS Sec.14 p.16</t>
        </is>
      </c>
    </row>
    <row r="1094">
      <c r="B1094" t="inlineStr">
        <is>
          <t>Industrial, Engineering (R&amp;D) Buildings</t>
        </is>
      </c>
      <c r="C1094" t="inlineStr">
        <is>
          <t>392</t>
        </is>
      </c>
      <c r="D1094" t="inlineStr">
        <is>
          <t>14</t>
        </is>
      </c>
      <c r="E1094" t="inlineStr">
        <is>
          <t>16</t>
        </is>
      </c>
      <c r="F1094" t="inlineStr">
        <is>
          <t>S</t>
        </is>
      </c>
      <c r="G1094" t="inlineStr">
        <is>
          <t>Good</t>
        </is>
      </c>
      <c r="H1094" t="n">
        <v>142</v>
      </c>
      <c r="I1094">
        <f>B1094&amp;"|"&amp;F1094&amp;"|"&amp;G1094</f>
        <v/>
      </c>
      <c r="J1094" t="inlineStr">
        <is>
          <t>MVS Sec.14 p.16</t>
        </is>
      </c>
    </row>
    <row r="1095">
      <c r="B1095" t="inlineStr">
        <is>
          <t>Industrial, Engineering (R&amp;D) Buildings</t>
        </is>
      </c>
      <c r="C1095" t="inlineStr">
        <is>
          <t>392</t>
        </is>
      </c>
      <c r="D1095" t="inlineStr">
        <is>
          <t>14</t>
        </is>
      </c>
      <c r="E1095" t="inlineStr">
        <is>
          <t>16</t>
        </is>
      </c>
      <c r="F1095" t="inlineStr">
        <is>
          <t>S</t>
        </is>
      </c>
      <c r="G1095" t="inlineStr">
        <is>
          <t>Average</t>
        </is>
      </c>
      <c r="H1095" t="n">
        <v>95.5</v>
      </c>
      <c r="I1095">
        <f>B1095&amp;"|"&amp;F1095&amp;"|"&amp;G1095</f>
        <v/>
      </c>
      <c r="J1095" t="inlineStr">
        <is>
          <t>MVS Sec.14 p.16</t>
        </is>
      </c>
    </row>
    <row r="1096">
      <c r="B1096" t="inlineStr">
        <is>
          <t>Industrial, Engineering (R&amp;D) Buildings</t>
        </is>
      </c>
      <c r="C1096" t="inlineStr">
        <is>
          <t>392</t>
        </is>
      </c>
      <c r="D1096" t="inlineStr">
        <is>
          <t>14</t>
        </is>
      </c>
      <c r="E1096" t="inlineStr">
        <is>
          <t>16</t>
        </is>
      </c>
      <c r="F1096" t="inlineStr">
        <is>
          <t>S</t>
        </is>
      </c>
      <c r="G1096" t="inlineStr">
        <is>
          <t>Low Cost</t>
        </is>
      </c>
      <c r="H1096" t="n">
        <v>67.5</v>
      </c>
      <c r="I1096">
        <f>B1096&amp;"|"&amp;F1096&amp;"|"&amp;G1096</f>
        <v/>
      </c>
      <c r="J1096" t="inlineStr">
        <is>
          <t>MVS Sec.14 p.16</t>
        </is>
      </c>
    </row>
    <row r="1097">
      <c r="B1097" t="inlineStr">
        <is>
          <t>Laboratory Buildings</t>
        </is>
      </c>
      <c r="C1097" t="inlineStr">
        <is>
          <t>496</t>
        </is>
      </c>
      <c r="D1097" t="inlineStr">
        <is>
          <t>14</t>
        </is>
      </c>
      <c r="E1097" t="inlineStr">
        <is>
          <t>17</t>
        </is>
      </c>
      <c r="F1097" t="inlineStr">
        <is>
          <t>A-B</t>
        </is>
      </c>
      <c r="G1097" t="inlineStr">
        <is>
          <t>Excellent</t>
        </is>
      </c>
      <c r="H1097" t="n">
        <v>575</v>
      </c>
      <c r="I1097">
        <f>B1097&amp;"|"&amp;F1097&amp;"|"&amp;G1097</f>
        <v/>
      </c>
      <c r="J1097" t="inlineStr">
        <is>
          <t>MVS Sec.14 p.17</t>
        </is>
      </c>
    </row>
    <row r="1098">
      <c r="B1098" t="inlineStr">
        <is>
          <t>Laboratory Buildings</t>
        </is>
      </c>
      <c r="C1098" t="inlineStr">
        <is>
          <t>496</t>
        </is>
      </c>
      <c r="D1098" t="inlineStr">
        <is>
          <t>14</t>
        </is>
      </c>
      <c r="E1098" t="inlineStr">
        <is>
          <t>17</t>
        </is>
      </c>
      <c r="F1098" t="inlineStr">
        <is>
          <t>A-B</t>
        </is>
      </c>
      <c r="G1098" t="inlineStr">
        <is>
          <t>Good</t>
        </is>
      </c>
      <c r="H1098" t="n">
        <v>438</v>
      </c>
      <c r="I1098">
        <f>B1098&amp;"|"&amp;F1098&amp;"|"&amp;G1098</f>
        <v/>
      </c>
      <c r="J1098" t="inlineStr">
        <is>
          <t>MVS Sec.14 p.17</t>
        </is>
      </c>
    </row>
    <row r="1099">
      <c r="B1099" t="inlineStr">
        <is>
          <t>Laboratory Buildings</t>
        </is>
      </c>
      <c r="C1099" t="inlineStr">
        <is>
          <t>496</t>
        </is>
      </c>
      <c r="D1099" t="inlineStr">
        <is>
          <t>14</t>
        </is>
      </c>
      <c r="E1099" t="inlineStr">
        <is>
          <t>17</t>
        </is>
      </c>
      <c r="F1099" t="inlineStr">
        <is>
          <t>A-B</t>
        </is>
      </c>
      <c r="G1099" t="inlineStr">
        <is>
          <t>Average</t>
        </is>
      </c>
      <c r="H1099" t="n">
        <v>333</v>
      </c>
      <c r="I1099">
        <f>B1099&amp;"|"&amp;F1099&amp;"|"&amp;G1099</f>
        <v/>
      </c>
      <c r="J1099" t="inlineStr">
        <is>
          <t>MVS Sec.14 p.17</t>
        </is>
      </c>
    </row>
    <row r="1100">
      <c r="B1100" t="inlineStr">
        <is>
          <t>Laboratory Buildings</t>
        </is>
      </c>
      <c r="C1100" t="inlineStr">
        <is>
          <t>496</t>
        </is>
      </c>
      <c r="D1100" t="inlineStr">
        <is>
          <t>14</t>
        </is>
      </c>
      <c r="E1100" t="inlineStr">
        <is>
          <t>17</t>
        </is>
      </c>
      <c r="F1100" t="inlineStr">
        <is>
          <t>A-B</t>
        </is>
      </c>
      <c r="G1100" t="inlineStr">
        <is>
          <t>Low Cost</t>
        </is>
      </c>
      <c r="H1100" t="n">
        <v>253</v>
      </c>
      <c r="I1100">
        <f>B1100&amp;"|"&amp;F1100&amp;"|"&amp;G1100</f>
        <v/>
      </c>
      <c r="J1100" t="inlineStr">
        <is>
          <t>MVS Sec.14 p.17</t>
        </is>
      </c>
    </row>
    <row r="1101">
      <c r="B1101" t="inlineStr">
        <is>
          <t>Laboratory Buildings</t>
        </is>
      </c>
      <c r="C1101" t="inlineStr">
        <is>
          <t>496</t>
        </is>
      </c>
      <c r="D1101" t="inlineStr">
        <is>
          <t>14</t>
        </is>
      </c>
      <c r="E1101" t="inlineStr">
        <is>
          <t>17</t>
        </is>
      </c>
      <c r="F1101" t="inlineStr">
        <is>
          <t>C</t>
        </is>
      </c>
      <c r="G1101" t="inlineStr">
        <is>
          <t>Excellent</t>
        </is>
      </c>
      <c r="H1101" t="n">
        <v>421</v>
      </c>
      <c r="I1101">
        <f>B1101&amp;"|"&amp;F1101&amp;"|"&amp;G1101</f>
        <v/>
      </c>
      <c r="J1101" t="inlineStr">
        <is>
          <t>MVS Sec.14 p.17</t>
        </is>
      </c>
    </row>
    <row r="1102">
      <c r="B1102" t="inlineStr">
        <is>
          <t>Laboratory Buildings</t>
        </is>
      </c>
      <c r="C1102" t="inlineStr">
        <is>
          <t>496</t>
        </is>
      </c>
      <c r="D1102" t="inlineStr">
        <is>
          <t>14</t>
        </is>
      </c>
      <c r="E1102" t="inlineStr">
        <is>
          <t>17</t>
        </is>
      </c>
      <c r="F1102" t="inlineStr">
        <is>
          <t>C</t>
        </is>
      </c>
      <c r="G1102" t="inlineStr">
        <is>
          <t>Good</t>
        </is>
      </c>
      <c r="H1102" t="n">
        <v>326</v>
      </c>
      <c r="I1102">
        <f>B1102&amp;"|"&amp;F1102&amp;"|"&amp;G1102</f>
        <v/>
      </c>
      <c r="J1102" t="inlineStr">
        <is>
          <t>MVS Sec.14 p.17</t>
        </is>
      </c>
    </row>
    <row r="1103">
      <c r="B1103" t="inlineStr">
        <is>
          <t>Laboratory Buildings</t>
        </is>
      </c>
      <c r="C1103" t="inlineStr">
        <is>
          <t>496</t>
        </is>
      </c>
      <c r="D1103" t="inlineStr">
        <is>
          <t>14</t>
        </is>
      </c>
      <c r="E1103" t="inlineStr">
        <is>
          <t>17</t>
        </is>
      </c>
      <c r="F1103" t="inlineStr">
        <is>
          <t>C</t>
        </is>
      </c>
      <c r="G1103" t="inlineStr">
        <is>
          <t>Average</t>
        </is>
      </c>
      <c r="H1103" t="n">
        <v>255</v>
      </c>
      <c r="I1103">
        <f>B1103&amp;"|"&amp;F1103&amp;"|"&amp;G1103</f>
        <v/>
      </c>
      <c r="J1103" t="inlineStr">
        <is>
          <t>MVS Sec.14 p.17</t>
        </is>
      </c>
    </row>
    <row r="1104">
      <c r="B1104" t="inlineStr">
        <is>
          <t>Laboratory Buildings</t>
        </is>
      </c>
      <c r="C1104" t="inlineStr">
        <is>
          <t>496</t>
        </is>
      </c>
      <c r="D1104" t="inlineStr">
        <is>
          <t>14</t>
        </is>
      </c>
      <c r="E1104" t="inlineStr">
        <is>
          <t>17</t>
        </is>
      </c>
      <c r="F1104" t="inlineStr">
        <is>
          <t>C</t>
        </is>
      </c>
      <c r="G1104" t="inlineStr">
        <is>
          <t>Low Cost</t>
        </is>
      </c>
      <c r="H1104" t="n">
        <v>201</v>
      </c>
      <c r="I1104">
        <f>B1104&amp;"|"&amp;F1104&amp;"|"&amp;G1104</f>
        <v/>
      </c>
      <c r="J1104" t="inlineStr">
        <is>
          <t>MVS Sec.14 p.17</t>
        </is>
      </c>
    </row>
    <row r="1105">
      <c r="B1105" t="inlineStr">
        <is>
          <t>Laboratory Buildings</t>
        </is>
      </c>
      <c r="C1105" t="inlineStr">
        <is>
          <t>496</t>
        </is>
      </c>
      <c r="D1105" t="inlineStr">
        <is>
          <t>14</t>
        </is>
      </c>
      <c r="E1105" t="inlineStr">
        <is>
          <t>17</t>
        </is>
      </c>
      <c r="F1105" t="inlineStr">
        <is>
          <t>D</t>
        </is>
      </c>
      <c r="G1105" t="inlineStr">
        <is>
          <t>Excellent</t>
        </is>
      </c>
      <c r="H1105" t="n">
        <v>407</v>
      </c>
      <c r="I1105">
        <f>B1105&amp;"|"&amp;F1105&amp;"|"&amp;G1105</f>
        <v/>
      </c>
      <c r="J1105" t="inlineStr">
        <is>
          <t>MVS Sec.14 p.17</t>
        </is>
      </c>
    </row>
    <row r="1106">
      <c r="B1106" t="inlineStr">
        <is>
          <t>Laboratory Buildings</t>
        </is>
      </c>
      <c r="C1106" t="inlineStr">
        <is>
          <t>496</t>
        </is>
      </c>
      <c r="D1106" t="inlineStr">
        <is>
          <t>14</t>
        </is>
      </c>
      <c r="E1106" t="inlineStr">
        <is>
          <t>17</t>
        </is>
      </c>
      <c r="F1106" t="inlineStr">
        <is>
          <t>D</t>
        </is>
      </c>
      <c r="G1106" t="inlineStr">
        <is>
          <t>Good</t>
        </is>
      </c>
      <c r="H1106" t="n">
        <v>315</v>
      </c>
      <c r="I1106">
        <f>B1106&amp;"|"&amp;F1106&amp;"|"&amp;G1106</f>
        <v/>
      </c>
      <c r="J1106" t="inlineStr">
        <is>
          <t>MVS Sec.14 p.17</t>
        </is>
      </c>
    </row>
    <row r="1107">
      <c r="B1107" t="inlineStr">
        <is>
          <t>Laboratory Buildings</t>
        </is>
      </c>
      <c r="C1107" t="inlineStr">
        <is>
          <t>496</t>
        </is>
      </c>
      <c r="D1107" t="inlineStr">
        <is>
          <t>14</t>
        </is>
      </c>
      <c r="E1107" t="inlineStr">
        <is>
          <t>17</t>
        </is>
      </c>
      <c r="F1107" t="inlineStr">
        <is>
          <t>D</t>
        </is>
      </c>
      <c r="G1107" t="inlineStr">
        <is>
          <t>Average</t>
        </is>
      </c>
      <c r="H1107" t="n">
        <v>246</v>
      </c>
      <c r="I1107">
        <f>B1107&amp;"|"&amp;F1107&amp;"|"&amp;G1107</f>
        <v/>
      </c>
      <c r="J1107" t="inlineStr">
        <is>
          <t>MVS Sec.14 p.17</t>
        </is>
      </c>
    </row>
    <row r="1108">
      <c r="B1108" t="inlineStr">
        <is>
          <t>Laboratory Buildings</t>
        </is>
      </c>
      <c r="C1108" t="inlineStr">
        <is>
          <t>496</t>
        </is>
      </c>
      <c r="D1108" t="inlineStr">
        <is>
          <t>14</t>
        </is>
      </c>
      <c r="E1108" t="inlineStr">
        <is>
          <t>17</t>
        </is>
      </c>
      <c r="F1108" t="inlineStr">
        <is>
          <t>D</t>
        </is>
      </c>
      <c r="G1108" t="inlineStr">
        <is>
          <t>Low Cost</t>
        </is>
      </c>
      <c r="H1108" t="n">
        <v>193</v>
      </c>
      <c r="I1108">
        <f>B1108&amp;"|"&amp;F1108&amp;"|"&amp;G1108</f>
        <v/>
      </c>
      <c r="J1108" t="inlineStr">
        <is>
          <t>MVS Sec.14 p.17</t>
        </is>
      </c>
    </row>
    <row r="1109">
      <c r="B1109" t="inlineStr">
        <is>
          <t>Laboratory Buildings</t>
        </is>
      </c>
      <c r="C1109" t="inlineStr">
        <is>
          <t>496</t>
        </is>
      </c>
      <c r="D1109" t="inlineStr">
        <is>
          <t>14</t>
        </is>
      </c>
      <c r="E1109" t="inlineStr">
        <is>
          <t>17</t>
        </is>
      </c>
      <c r="F1109" t="inlineStr">
        <is>
          <t>S</t>
        </is>
      </c>
      <c r="G1109" t="inlineStr">
        <is>
          <t>Good</t>
        </is>
      </c>
      <c r="H1109" t="n">
        <v>318</v>
      </c>
      <c r="I1109">
        <f>B1109&amp;"|"&amp;F1109&amp;"|"&amp;G1109</f>
        <v/>
      </c>
      <c r="J1109" t="inlineStr">
        <is>
          <t>MVS Sec.14 p.17</t>
        </is>
      </c>
    </row>
    <row r="1110">
      <c r="B1110" t="inlineStr">
        <is>
          <t>Laboratory Buildings</t>
        </is>
      </c>
      <c r="C1110" t="inlineStr">
        <is>
          <t>496</t>
        </is>
      </c>
      <c r="D1110" t="inlineStr">
        <is>
          <t>14</t>
        </is>
      </c>
      <c r="E1110" t="inlineStr">
        <is>
          <t>17</t>
        </is>
      </c>
      <c r="F1110" t="inlineStr">
        <is>
          <t>S</t>
        </is>
      </c>
      <c r="G1110" t="inlineStr">
        <is>
          <t>Average</t>
        </is>
      </c>
      <c r="H1110" t="n">
        <v>249</v>
      </c>
      <c r="I1110">
        <f>B1110&amp;"|"&amp;F1110&amp;"|"&amp;G1110</f>
        <v/>
      </c>
      <c r="J1110" t="inlineStr">
        <is>
          <t>MVS Sec.14 p.17</t>
        </is>
      </c>
    </row>
    <row r="1111">
      <c r="B1111" t="inlineStr">
        <is>
          <t>Laboratory Buildings</t>
        </is>
      </c>
      <c r="C1111" t="inlineStr">
        <is>
          <t>496</t>
        </is>
      </c>
      <c r="D1111" t="inlineStr">
        <is>
          <t>14</t>
        </is>
      </c>
      <c r="E1111" t="inlineStr">
        <is>
          <t>17</t>
        </is>
      </c>
      <c r="F1111" t="inlineStr">
        <is>
          <t>S</t>
        </is>
      </c>
      <c r="G1111" t="inlineStr">
        <is>
          <t>Low Cost</t>
        </is>
      </c>
      <c r="H1111" t="n">
        <v>195</v>
      </c>
      <c r="I1111">
        <f>B1111&amp;"|"&amp;F1111&amp;"|"&amp;G1111</f>
        <v/>
      </c>
      <c r="J1111" t="inlineStr">
        <is>
          <t>MVS Sec.14 p.17</t>
        </is>
      </c>
    </row>
    <row r="1112">
      <c r="B1112" t="inlineStr">
        <is>
          <t>Computer (Data) Centers</t>
        </is>
      </c>
      <c r="C1112" t="inlineStr">
        <is>
          <t>497</t>
        </is>
      </c>
      <c r="D1112" t="inlineStr">
        <is>
          <t>14</t>
        </is>
      </c>
      <c r="E1112" t="inlineStr">
        <is>
          <t>18</t>
        </is>
      </c>
      <c r="F1112" t="inlineStr">
        <is>
          <t>A-B</t>
        </is>
      </c>
      <c r="G1112" t="inlineStr">
        <is>
          <t>Excellent</t>
        </is>
      </c>
      <c r="H1112" t="n">
        <v>387</v>
      </c>
      <c r="I1112">
        <f>B1112&amp;"|"&amp;F1112&amp;"|"&amp;G1112</f>
        <v/>
      </c>
      <c r="J1112" t="inlineStr">
        <is>
          <t>MVS Sec.14 p.18</t>
        </is>
      </c>
    </row>
    <row r="1113">
      <c r="B1113" t="inlineStr">
        <is>
          <t>Computer (Data) Centers</t>
        </is>
      </c>
      <c r="C1113" t="inlineStr">
        <is>
          <t>497</t>
        </is>
      </c>
      <c r="D1113" t="inlineStr">
        <is>
          <t>14</t>
        </is>
      </c>
      <c r="E1113" t="inlineStr">
        <is>
          <t>18</t>
        </is>
      </c>
      <c r="F1113" t="inlineStr">
        <is>
          <t>A-B</t>
        </is>
      </c>
      <c r="G1113" t="inlineStr">
        <is>
          <t>Good</t>
        </is>
      </c>
      <c r="H1113" t="n">
        <v>316</v>
      </c>
      <c r="I1113">
        <f>B1113&amp;"|"&amp;F1113&amp;"|"&amp;G1113</f>
        <v/>
      </c>
      <c r="J1113" t="inlineStr">
        <is>
          <t>MVS Sec.14 p.18</t>
        </is>
      </c>
    </row>
    <row r="1114">
      <c r="B1114" t="inlineStr">
        <is>
          <t>Computer (Data) Centers</t>
        </is>
      </c>
      <c r="C1114" t="inlineStr">
        <is>
          <t>497</t>
        </is>
      </c>
      <c r="D1114" t="inlineStr">
        <is>
          <t>14</t>
        </is>
      </c>
      <c r="E1114" t="inlineStr">
        <is>
          <t>18</t>
        </is>
      </c>
      <c r="F1114" t="inlineStr">
        <is>
          <t>A-B</t>
        </is>
      </c>
      <c r="G1114" t="inlineStr">
        <is>
          <t>Average</t>
        </is>
      </c>
      <c r="H1114" t="n">
        <v>258</v>
      </c>
      <c r="I1114">
        <f>B1114&amp;"|"&amp;F1114&amp;"|"&amp;G1114</f>
        <v/>
      </c>
      <c r="J1114" t="inlineStr">
        <is>
          <t>MVS Sec.14 p.18</t>
        </is>
      </c>
    </row>
    <row r="1115">
      <c r="B1115" t="inlineStr">
        <is>
          <t>Computer (Data) Centers</t>
        </is>
      </c>
      <c r="C1115" t="inlineStr">
        <is>
          <t>497</t>
        </is>
      </c>
      <c r="D1115" t="inlineStr">
        <is>
          <t>14</t>
        </is>
      </c>
      <c r="E1115" t="inlineStr">
        <is>
          <t>18</t>
        </is>
      </c>
      <c r="F1115" t="inlineStr">
        <is>
          <t>A-B</t>
        </is>
      </c>
      <c r="G1115" t="inlineStr">
        <is>
          <t>Low Cost</t>
        </is>
      </c>
      <c r="H1115" t="n">
        <v>200</v>
      </c>
      <c r="I1115">
        <f>B1115&amp;"|"&amp;F1115&amp;"|"&amp;G1115</f>
        <v/>
      </c>
      <c r="J1115" t="inlineStr">
        <is>
          <t>MVS Sec.14 p.18</t>
        </is>
      </c>
    </row>
    <row r="1116">
      <c r="B1116" t="inlineStr">
        <is>
          <t>Computer (Data) Centers</t>
        </is>
      </c>
      <c r="C1116" t="inlineStr">
        <is>
          <t>497</t>
        </is>
      </c>
      <c r="D1116" t="inlineStr">
        <is>
          <t>14</t>
        </is>
      </c>
      <c r="E1116" t="inlineStr">
        <is>
          <t>18</t>
        </is>
      </c>
      <c r="F1116" t="inlineStr">
        <is>
          <t>C</t>
        </is>
      </c>
      <c r="G1116" t="inlineStr">
        <is>
          <t>Good</t>
        </is>
      </c>
      <c r="H1116" t="n">
        <v>234</v>
      </c>
      <c r="I1116">
        <f>B1116&amp;"|"&amp;F1116&amp;"|"&amp;G1116</f>
        <v/>
      </c>
      <c r="J1116" t="inlineStr">
        <is>
          <t>MVS Sec.14 p.18</t>
        </is>
      </c>
    </row>
    <row r="1117">
      <c r="B1117" t="inlineStr">
        <is>
          <t>Computer (Data) Centers</t>
        </is>
      </c>
      <c r="C1117" t="inlineStr">
        <is>
          <t>497</t>
        </is>
      </c>
      <c r="D1117" t="inlineStr">
        <is>
          <t>14</t>
        </is>
      </c>
      <c r="E1117" t="inlineStr">
        <is>
          <t>18</t>
        </is>
      </c>
      <c r="F1117" t="inlineStr">
        <is>
          <t>C</t>
        </is>
      </c>
      <c r="G1117" t="inlineStr">
        <is>
          <t>Average</t>
        </is>
      </c>
      <c r="H1117" t="n">
        <v>192</v>
      </c>
      <c r="I1117">
        <f>B1117&amp;"|"&amp;F1117&amp;"|"&amp;G1117</f>
        <v/>
      </c>
      <c r="J1117" t="inlineStr">
        <is>
          <t>MVS Sec.14 p.18</t>
        </is>
      </c>
    </row>
    <row r="1118">
      <c r="B1118" t="inlineStr">
        <is>
          <t>Computer (Data) Centers</t>
        </is>
      </c>
      <c r="C1118" t="inlineStr">
        <is>
          <t>497</t>
        </is>
      </c>
      <c r="D1118" t="inlineStr">
        <is>
          <t>14</t>
        </is>
      </c>
      <c r="E1118" t="inlineStr">
        <is>
          <t>18</t>
        </is>
      </c>
      <c r="F1118" t="inlineStr">
        <is>
          <t>C</t>
        </is>
      </c>
      <c r="G1118" t="inlineStr">
        <is>
          <t>Low Cost</t>
        </is>
      </c>
      <c r="H1118" t="n">
        <v>154</v>
      </c>
      <c r="I1118">
        <f>B1118&amp;"|"&amp;F1118&amp;"|"&amp;G1118</f>
        <v/>
      </c>
      <c r="J1118" t="inlineStr">
        <is>
          <t>MVS Sec.14 p.18</t>
        </is>
      </c>
    </row>
    <row r="1119">
      <c r="B1119" t="inlineStr">
        <is>
          <t>Computer (Data) Centers</t>
        </is>
      </c>
      <c r="C1119" t="inlineStr">
        <is>
          <t>497</t>
        </is>
      </c>
      <c r="D1119" t="inlineStr">
        <is>
          <t>14</t>
        </is>
      </c>
      <c r="E1119" t="inlineStr">
        <is>
          <t>18</t>
        </is>
      </c>
      <c r="F1119" t="inlineStr">
        <is>
          <t>D</t>
        </is>
      </c>
      <c r="G1119" t="inlineStr">
        <is>
          <t>Average</t>
        </is>
      </c>
      <c r="H1119" t="n">
        <v>183</v>
      </c>
      <c r="I1119">
        <f>B1119&amp;"|"&amp;F1119&amp;"|"&amp;G1119</f>
        <v/>
      </c>
      <c r="J1119" t="inlineStr">
        <is>
          <t>MVS Sec.14 p.18</t>
        </is>
      </c>
    </row>
    <row r="1120">
      <c r="B1120" t="inlineStr">
        <is>
          <t>Computer (Data) Centers</t>
        </is>
      </c>
      <c r="C1120" t="inlineStr">
        <is>
          <t>497</t>
        </is>
      </c>
      <c r="D1120" t="inlineStr">
        <is>
          <t>14</t>
        </is>
      </c>
      <c r="E1120" t="inlineStr">
        <is>
          <t>18</t>
        </is>
      </c>
      <c r="F1120" t="inlineStr">
        <is>
          <t>D</t>
        </is>
      </c>
      <c r="G1120" t="inlineStr">
        <is>
          <t>Low Cost</t>
        </is>
      </c>
      <c r="H1120" t="n">
        <v>147</v>
      </c>
      <c r="I1120">
        <f>B1120&amp;"|"&amp;F1120&amp;"|"&amp;G1120</f>
        <v/>
      </c>
      <c r="J1120" t="inlineStr">
        <is>
          <t>MVS Sec.14 p.18</t>
        </is>
      </c>
    </row>
    <row r="1121">
      <c r="B1121" t="inlineStr">
        <is>
          <t>Computer (Data) Centers</t>
        </is>
      </c>
      <c r="C1121" t="inlineStr">
        <is>
          <t>497</t>
        </is>
      </c>
      <c r="D1121" t="inlineStr">
        <is>
          <t>14</t>
        </is>
      </c>
      <c r="E1121" t="inlineStr">
        <is>
          <t>18</t>
        </is>
      </c>
      <c r="F1121" t="inlineStr">
        <is>
          <t>S</t>
        </is>
      </c>
      <c r="G1121" t="inlineStr">
        <is>
          <t>Average</t>
        </is>
      </c>
      <c r="H1121" t="n">
        <v>187</v>
      </c>
      <c r="I1121">
        <f>B1121&amp;"|"&amp;F1121&amp;"|"&amp;G1121</f>
        <v/>
      </c>
      <c r="J1121" t="inlineStr">
        <is>
          <t>MVS Sec.14 p.18</t>
        </is>
      </c>
    </row>
    <row r="1122">
      <c r="B1122" t="inlineStr">
        <is>
          <t>Broadcasting Facilities</t>
        </is>
      </c>
      <c r="C1122" t="inlineStr">
        <is>
          <t>498</t>
        </is>
      </c>
      <c r="D1122" t="inlineStr">
        <is>
          <t>14</t>
        </is>
      </c>
      <c r="E1122" t="inlineStr">
        <is>
          <t>19</t>
        </is>
      </c>
      <c r="F1122" t="inlineStr">
        <is>
          <t>A-B</t>
        </is>
      </c>
      <c r="G1122" t="inlineStr">
        <is>
          <t>Good</t>
        </is>
      </c>
      <c r="H1122" t="n">
        <v>386</v>
      </c>
      <c r="I1122">
        <f>B1122&amp;"|"&amp;F1122&amp;"|"&amp;G1122</f>
        <v/>
      </c>
      <c r="J1122" t="inlineStr">
        <is>
          <t>MVS Sec.14 p.19</t>
        </is>
      </c>
    </row>
    <row r="1123">
      <c r="B1123" t="inlineStr">
        <is>
          <t>Broadcasting Facilities</t>
        </is>
      </c>
      <c r="C1123" t="inlineStr">
        <is>
          <t>498</t>
        </is>
      </c>
      <c r="D1123" t="inlineStr">
        <is>
          <t>14</t>
        </is>
      </c>
      <c r="E1123" t="inlineStr">
        <is>
          <t>19</t>
        </is>
      </c>
      <c r="F1123" t="inlineStr">
        <is>
          <t>A-B</t>
        </is>
      </c>
      <c r="G1123" t="inlineStr">
        <is>
          <t>Average</t>
        </is>
      </c>
      <c r="H1123" t="n">
        <v>295</v>
      </c>
      <c r="I1123">
        <f>B1123&amp;"|"&amp;F1123&amp;"|"&amp;G1123</f>
        <v/>
      </c>
      <c r="J1123" t="inlineStr">
        <is>
          <t>MVS Sec.14 p.19</t>
        </is>
      </c>
    </row>
    <row r="1124">
      <c r="B1124" t="inlineStr">
        <is>
          <t>Broadcasting Facilities</t>
        </is>
      </c>
      <c r="C1124" t="inlineStr">
        <is>
          <t>498</t>
        </is>
      </c>
      <c r="D1124" t="inlineStr">
        <is>
          <t>14</t>
        </is>
      </c>
      <c r="E1124" t="inlineStr">
        <is>
          <t>19</t>
        </is>
      </c>
      <c r="F1124" t="inlineStr">
        <is>
          <t>A-B</t>
        </is>
      </c>
      <c r="G1124" t="inlineStr">
        <is>
          <t>Low Cost</t>
        </is>
      </c>
      <c r="H1124" t="n">
        <v>214</v>
      </c>
      <c r="I1124">
        <f>B1124&amp;"|"&amp;F1124&amp;"|"&amp;G1124</f>
        <v/>
      </c>
      <c r="J1124" t="inlineStr">
        <is>
          <t>MVS Sec.14 p.19</t>
        </is>
      </c>
    </row>
    <row r="1125">
      <c r="B1125" t="inlineStr">
        <is>
          <t>Broadcasting Facilities</t>
        </is>
      </c>
      <c r="C1125" t="inlineStr">
        <is>
          <t>498</t>
        </is>
      </c>
      <c r="D1125" t="inlineStr">
        <is>
          <t>14</t>
        </is>
      </c>
      <c r="E1125" t="inlineStr">
        <is>
          <t>19</t>
        </is>
      </c>
      <c r="F1125" t="inlineStr">
        <is>
          <t>C</t>
        </is>
      </c>
      <c r="G1125" t="inlineStr">
        <is>
          <t>Excellent</t>
        </is>
      </c>
      <c r="H1125" t="n">
        <v>353</v>
      </c>
      <c r="I1125">
        <f>B1125&amp;"|"&amp;F1125&amp;"|"&amp;G1125</f>
        <v/>
      </c>
      <c r="J1125" t="inlineStr">
        <is>
          <t>MVS Sec.14 p.19</t>
        </is>
      </c>
    </row>
    <row r="1126">
      <c r="B1126" t="inlineStr">
        <is>
          <t>Broadcasting Facilities</t>
        </is>
      </c>
      <c r="C1126" t="inlineStr">
        <is>
          <t>498</t>
        </is>
      </c>
      <c r="D1126" t="inlineStr">
        <is>
          <t>14</t>
        </is>
      </c>
      <c r="E1126" t="inlineStr">
        <is>
          <t>19</t>
        </is>
      </c>
      <c r="F1126" t="inlineStr">
        <is>
          <t>C</t>
        </is>
      </c>
      <c r="G1126" t="inlineStr">
        <is>
          <t>Good</t>
        </is>
      </c>
      <c r="H1126" t="n">
        <v>253</v>
      </c>
      <c r="I1126">
        <f>B1126&amp;"|"&amp;F1126&amp;"|"&amp;G1126</f>
        <v/>
      </c>
      <c r="J1126" t="inlineStr">
        <is>
          <t>MVS Sec.14 p.19</t>
        </is>
      </c>
    </row>
    <row r="1127">
      <c r="B1127" t="inlineStr">
        <is>
          <t>Broadcasting Facilities</t>
        </is>
      </c>
      <c r="C1127" t="inlineStr">
        <is>
          <t>498</t>
        </is>
      </c>
      <c r="D1127" t="inlineStr">
        <is>
          <t>14</t>
        </is>
      </c>
      <c r="E1127" t="inlineStr">
        <is>
          <t>19</t>
        </is>
      </c>
      <c r="F1127" t="inlineStr">
        <is>
          <t>C</t>
        </is>
      </c>
      <c r="G1127" t="inlineStr">
        <is>
          <t>Average</t>
        </is>
      </c>
      <c r="H1127" t="n">
        <v>187</v>
      </c>
      <c r="I1127">
        <f>B1127&amp;"|"&amp;F1127&amp;"|"&amp;G1127</f>
        <v/>
      </c>
      <c r="J1127" t="inlineStr">
        <is>
          <t>MVS Sec.14 p.19</t>
        </is>
      </c>
    </row>
    <row r="1128">
      <c r="B1128" t="inlineStr">
        <is>
          <t>Broadcasting Facilities</t>
        </is>
      </c>
      <c r="C1128" t="inlineStr">
        <is>
          <t>498</t>
        </is>
      </c>
      <c r="D1128" t="inlineStr">
        <is>
          <t>14</t>
        </is>
      </c>
      <c r="E1128" t="inlineStr">
        <is>
          <t>19</t>
        </is>
      </c>
      <c r="F1128" t="inlineStr">
        <is>
          <t>C</t>
        </is>
      </c>
      <c r="G1128" t="inlineStr">
        <is>
          <t>Low Cost</t>
        </is>
      </c>
      <c r="H1128" t="n">
        <v>138</v>
      </c>
      <c r="I1128">
        <f>B1128&amp;"|"&amp;F1128&amp;"|"&amp;G1128</f>
        <v/>
      </c>
      <c r="J1128" t="inlineStr">
        <is>
          <t>MVS Sec.14 p.19</t>
        </is>
      </c>
    </row>
    <row r="1129">
      <c r="B1129" t="inlineStr">
        <is>
          <t>Broadcasting Facilities</t>
        </is>
      </c>
      <c r="C1129" t="inlineStr">
        <is>
          <t>498</t>
        </is>
      </c>
      <c r="D1129" t="inlineStr">
        <is>
          <t>14</t>
        </is>
      </c>
      <c r="E1129" t="inlineStr">
        <is>
          <t>19</t>
        </is>
      </c>
      <c r="F1129" t="inlineStr">
        <is>
          <t>D</t>
        </is>
      </c>
      <c r="G1129" t="inlineStr">
        <is>
          <t>Excellent</t>
        </is>
      </c>
      <c r="H1129" t="n">
        <v>340</v>
      </c>
      <c r="I1129">
        <f>B1129&amp;"|"&amp;F1129&amp;"|"&amp;G1129</f>
        <v/>
      </c>
      <c r="J1129" t="inlineStr">
        <is>
          <t>MVS Sec.14 p.19</t>
        </is>
      </c>
    </row>
    <row r="1130">
      <c r="B1130" t="inlineStr">
        <is>
          <t>Broadcasting Facilities</t>
        </is>
      </c>
      <c r="C1130" t="inlineStr">
        <is>
          <t>498</t>
        </is>
      </c>
      <c r="D1130" t="inlineStr">
        <is>
          <t>14</t>
        </is>
      </c>
      <c r="E1130" t="inlineStr">
        <is>
          <t>19</t>
        </is>
      </c>
      <c r="F1130" t="inlineStr">
        <is>
          <t>D</t>
        </is>
      </c>
      <c r="G1130" t="inlineStr">
        <is>
          <t>Good</t>
        </is>
      </c>
      <c r="H1130" t="n">
        <v>243</v>
      </c>
      <c r="I1130">
        <f>B1130&amp;"|"&amp;F1130&amp;"|"&amp;G1130</f>
        <v/>
      </c>
      <c r="J1130" t="inlineStr">
        <is>
          <t>MVS Sec.14 p.19</t>
        </is>
      </c>
    </row>
    <row r="1131">
      <c r="B1131" t="inlineStr">
        <is>
          <t>Broadcasting Facilities</t>
        </is>
      </c>
      <c r="C1131" t="inlineStr">
        <is>
          <t>498</t>
        </is>
      </c>
      <c r="D1131" t="inlineStr">
        <is>
          <t>14</t>
        </is>
      </c>
      <c r="E1131" t="inlineStr">
        <is>
          <t>19</t>
        </is>
      </c>
      <c r="F1131" t="inlineStr">
        <is>
          <t>D</t>
        </is>
      </c>
      <c r="G1131" t="inlineStr">
        <is>
          <t>Average</t>
        </is>
      </c>
      <c r="H1131" t="n">
        <v>179</v>
      </c>
      <c r="I1131">
        <f>B1131&amp;"|"&amp;F1131&amp;"|"&amp;G1131</f>
        <v/>
      </c>
      <c r="J1131" t="inlineStr">
        <is>
          <t>MVS Sec.14 p.19</t>
        </is>
      </c>
    </row>
    <row r="1132">
      <c r="B1132" t="inlineStr">
        <is>
          <t>Broadcasting Facilities</t>
        </is>
      </c>
      <c r="C1132" t="inlineStr">
        <is>
          <t>498</t>
        </is>
      </c>
      <c r="D1132" t="inlineStr">
        <is>
          <t>14</t>
        </is>
      </c>
      <c r="E1132" t="inlineStr">
        <is>
          <t>19</t>
        </is>
      </c>
      <c r="F1132" t="inlineStr">
        <is>
          <t>D</t>
        </is>
      </c>
      <c r="G1132" t="inlineStr">
        <is>
          <t>Low Cost</t>
        </is>
      </c>
      <c r="H1132" t="n">
        <v>132</v>
      </c>
      <c r="I1132">
        <f>B1132&amp;"|"&amp;F1132&amp;"|"&amp;G1132</f>
        <v/>
      </c>
      <c r="J1132" t="inlineStr">
        <is>
          <t>MVS Sec.14 p.19</t>
        </is>
      </c>
    </row>
    <row r="1133">
      <c r="B1133" t="inlineStr">
        <is>
          <t>Broadcasting Facilities</t>
        </is>
      </c>
      <c r="C1133" t="inlineStr">
        <is>
          <t>498</t>
        </is>
      </c>
      <c r="D1133" t="inlineStr">
        <is>
          <t>14</t>
        </is>
      </c>
      <c r="E1133" t="inlineStr">
        <is>
          <t>19</t>
        </is>
      </c>
      <c r="F1133" t="inlineStr">
        <is>
          <t>DPOLE</t>
        </is>
      </c>
      <c r="G1133" t="inlineStr">
        <is>
          <t>Average</t>
        </is>
      </c>
      <c r="H1133" t="n">
        <v>174</v>
      </c>
      <c r="I1133">
        <f>B1133&amp;"|"&amp;F1133&amp;"|"&amp;G1133</f>
        <v/>
      </c>
      <c r="J1133" t="inlineStr">
        <is>
          <t>MVS Sec.14 p.19</t>
        </is>
      </c>
    </row>
    <row r="1134">
      <c r="B1134" t="inlineStr">
        <is>
          <t>Broadcasting Facilities</t>
        </is>
      </c>
      <c r="C1134" t="inlineStr">
        <is>
          <t>498</t>
        </is>
      </c>
      <c r="D1134" t="inlineStr">
        <is>
          <t>14</t>
        </is>
      </c>
      <c r="E1134" t="inlineStr">
        <is>
          <t>19</t>
        </is>
      </c>
      <c r="F1134" t="inlineStr">
        <is>
          <t>DPOLE</t>
        </is>
      </c>
      <c r="G1134" t="inlineStr">
        <is>
          <t>Low Cost</t>
        </is>
      </c>
      <c r="H1134" t="n">
        <v>128</v>
      </c>
      <c r="I1134">
        <f>B1134&amp;"|"&amp;F1134&amp;"|"&amp;G1134</f>
        <v/>
      </c>
      <c r="J1134" t="inlineStr">
        <is>
          <t>MVS Sec.14 p.19</t>
        </is>
      </c>
    </row>
    <row r="1135">
      <c r="B1135" t="inlineStr">
        <is>
          <t>Broadcasting Facilities</t>
        </is>
      </c>
      <c r="C1135" t="inlineStr">
        <is>
          <t>498</t>
        </is>
      </c>
      <c r="D1135" t="inlineStr">
        <is>
          <t>14</t>
        </is>
      </c>
      <c r="E1135" t="inlineStr">
        <is>
          <t>19</t>
        </is>
      </c>
      <c r="F1135" t="inlineStr">
        <is>
          <t>S</t>
        </is>
      </c>
      <c r="G1135" t="inlineStr">
        <is>
          <t>Good</t>
        </is>
      </c>
      <c r="H1135" t="n">
        <v>247</v>
      </c>
      <c r="I1135">
        <f>B1135&amp;"|"&amp;F1135&amp;"|"&amp;G1135</f>
        <v/>
      </c>
      <c r="J1135" t="inlineStr">
        <is>
          <t>MVS Sec.14 p.19</t>
        </is>
      </c>
    </row>
    <row r="1136">
      <c r="B1136" t="inlineStr">
        <is>
          <t>Broadcasting Facilities</t>
        </is>
      </c>
      <c r="C1136" t="inlineStr">
        <is>
          <t>498</t>
        </is>
      </c>
      <c r="D1136" t="inlineStr">
        <is>
          <t>14</t>
        </is>
      </c>
      <c r="E1136" t="inlineStr">
        <is>
          <t>19</t>
        </is>
      </c>
      <c r="F1136" t="inlineStr">
        <is>
          <t>S</t>
        </is>
      </c>
      <c r="G1136" t="inlineStr">
        <is>
          <t>Average</t>
        </is>
      </c>
      <c r="H1136" t="n">
        <v>181</v>
      </c>
      <c r="I1136">
        <f>B1136&amp;"|"&amp;F1136&amp;"|"&amp;G1136</f>
        <v/>
      </c>
      <c r="J1136" t="inlineStr">
        <is>
          <t>MVS Sec.14 p.19</t>
        </is>
      </c>
    </row>
    <row r="1137">
      <c r="B1137" t="inlineStr">
        <is>
          <t>Broadcasting Facilities</t>
        </is>
      </c>
      <c r="C1137" t="inlineStr">
        <is>
          <t>498</t>
        </is>
      </c>
      <c r="D1137" t="inlineStr">
        <is>
          <t>14</t>
        </is>
      </c>
      <c r="E1137" t="inlineStr">
        <is>
          <t>19</t>
        </is>
      </c>
      <c r="F1137" t="inlineStr">
        <is>
          <t>S</t>
        </is>
      </c>
      <c r="G1137" t="inlineStr">
        <is>
          <t>Low Cost</t>
        </is>
      </c>
      <c r="H1137" t="n">
        <v>133</v>
      </c>
      <c r="I1137">
        <f>B1137&amp;"|"&amp;F1137&amp;"|"&amp;G1137</f>
        <v/>
      </c>
      <c r="J1137" t="inlineStr">
        <is>
          <t>MVS Sec.14 p.19</t>
        </is>
      </c>
    </row>
    <row r="1138">
      <c r="B1138" t="inlineStr">
        <is>
          <t>Passenger Terminals</t>
        </is>
      </c>
      <c r="C1138" t="inlineStr">
        <is>
          <t>571</t>
        </is>
      </c>
      <c r="D1138" t="inlineStr">
        <is>
          <t>14</t>
        </is>
      </c>
      <c r="E1138" t="inlineStr">
        <is>
          <t>20</t>
        </is>
      </c>
      <c r="F1138" t="inlineStr">
        <is>
          <t>A-B</t>
        </is>
      </c>
      <c r="G1138" t="inlineStr">
        <is>
          <t>Excellent</t>
        </is>
      </c>
      <c r="H1138" t="n">
        <v>650</v>
      </c>
      <c r="I1138">
        <f>B1138&amp;"|"&amp;F1138&amp;"|"&amp;G1138</f>
        <v/>
      </c>
      <c r="J1138" t="inlineStr">
        <is>
          <t>MVS Sec.14 p.20</t>
        </is>
      </c>
    </row>
    <row r="1139">
      <c r="B1139" t="inlineStr">
        <is>
          <t>Passenger Terminals</t>
        </is>
      </c>
      <c r="C1139" t="inlineStr">
        <is>
          <t>571</t>
        </is>
      </c>
      <c r="D1139" t="inlineStr">
        <is>
          <t>14</t>
        </is>
      </c>
      <c r="E1139" t="inlineStr">
        <is>
          <t>20</t>
        </is>
      </c>
      <c r="F1139" t="inlineStr">
        <is>
          <t>A-B</t>
        </is>
      </c>
      <c r="G1139" t="inlineStr">
        <is>
          <t>Good</t>
        </is>
      </c>
      <c r="H1139" t="n">
        <v>458</v>
      </c>
      <c r="I1139">
        <f>B1139&amp;"|"&amp;F1139&amp;"|"&amp;G1139</f>
        <v/>
      </c>
      <c r="J1139" t="inlineStr">
        <is>
          <t>MVS Sec.14 p.20</t>
        </is>
      </c>
    </row>
    <row r="1140">
      <c r="B1140" t="inlineStr">
        <is>
          <t>Passenger Terminals</t>
        </is>
      </c>
      <c r="C1140" t="inlineStr">
        <is>
          <t>571</t>
        </is>
      </c>
      <c r="D1140" t="inlineStr">
        <is>
          <t>14</t>
        </is>
      </c>
      <c r="E1140" t="inlineStr">
        <is>
          <t>20</t>
        </is>
      </c>
      <c r="F1140" t="inlineStr">
        <is>
          <t>A-B</t>
        </is>
      </c>
      <c r="G1140" t="inlineStr">
        <is>
          <t>Average</t>
        </is>
      </c>
      <c r="H1140" t="n">
        <v>323</v>
      </c>
      <c r="I1140">
        <f>B1140&amp;"|"&amp;F1140&amp;"|"&amp;G1140</f>
        <v/>
      </c>
      <c r="J1140" t="inlineStr">
        <is>
          <t>MVS Sec.14 p.20</t>
        </is>
      </c>
    </row>
    <row r="1141">
      <c r="B1141" t="inlineStr">
        <is>
          <t>Passenger Terminals</t>
        </is>
      </c>
      <c r="C1141" t="inlineStr">
        <is>
          <t>571</t>
        </is>
      </c>
      <c r="D1141" t="inlineStr">
        <is>
          <t>14</t>
        </is>
      </c>
      <c r="E1141" t="inlineStr">
        <is>
          <t>20</t>
        </is>
      </c>
      <c r="F1141" t="inlineStr">
        <is>
          <t>A-B</t>
        </is>
      </c>
      <c r="G1141" t="inlineStr">
        <is>
          <t>Low Cost</t>
        </is>
      </c>
      <c r="H1141" t="n">
        <v>227</v>
      </c>
      <c r="I1141">
        <f>B1141&amp;"|"&amp;F1141&amp;"|"&amp;G1141</f>
        <v/>
      </c>
      <c r="J1141" t="inlineStr">
        <is>
          <t>MVS Sec.14 p.20</t>
        </is>
      </c>
    </row>
    <row r="1142">
      <c r="B1142" t="inlineStr">
        <is>
          <t>Passenger Terminals</t>
        </is>
      </c>
      <c r="C1142" t="inlineStr">
        <is>
          <t>571</t>
        </is>
      </c>
      <c r="D1142" t="inlineStr">
        <is>
          <t>14</t>
        </is>
      </c>
      <c r="E1142" t="inlineStr">
        <is>
          <t>20</t>
        </is>
      </c>
      <c r="F1142" t="inlineStr">
        <is>
          <t>C</t>
        </is>
      </c>
      <c r="G1142" t="inlineStr">
        <is>
          <t>Excellent</t>
        </is>
      </c>
      <c r="H1142" t="n">
        <v>440</v>
      </c>
      <c r="I1142">
        <f>B1142&amp;"|"&amp;F1142&amp;"|"&amp;G1142</f>
        <v/>
      </c>
      <c r="J1142" t="inlineStr">
        <is>
          <t>MVS Sec.14 p.20</t>
        </is>
      </c>
    </row>
    <row r="1143">
      <c r="B1143" t="inlineStr">
        <is>
          <t>Passenger Terminals</t>
        </is>
      </c>
      <c r="C1143" t="inlineStr">
        <is>
          <t>571</t>
        </is>
      </c>
      <c r="D1143" t="inlineStr">
        <is>
          <t>14</t>
        </is>
      </c>
      <c r="E1143" t="inlineStr">
        <is>
          <t>20</t>
        </is>
      </c>
      <c r="F1143" t="inlineStr">
        <is>
          <t>C</t>
        </is>
      </c>
      <c r="G1143" t="inlineStr">
        <is>
          <t>Very Good</t>
        </is>
      </c>
      <c r="H1143" t="n">
        <v>345</v>
      </c>
      <c r="I1143">
        <f>B1143&amp;"|"&amp;F1143&amp;"|"&amp;G1143</f>
        <v/>
      </c>
      <c r="J1143" t="inlineStr">
        <is>
          <t>MVS Sec.14 p.20</t>
        </is>
      </c>
    </row>
    <row r="1144">
      <c r="B1144" t="inlineStr">
        <is>
          <t>Passenger Terminals</t>
        </is>
      </c>
      <c r="C1144" t="inlineStr">
        <is>
          <t>571</t>
        </is>
      </c>
      <c r="D1144" t="inlineStr">
        <is>
          <t>14</t>
        </is>
      </c>
      <c r="E1144" t="inlineStr">
        <is>
          <t>20</t>
        </is>
      </c>
      <c r="F1144" t="inlineStr">
        <is>
          <t>C</t>
        </is>
      </c>
      <c r="G1144" t="inlineStr">
        <is>
          <t>Good</t>
        </is>
      </c>
      <c r="H1144" t="n">
        <v>262</v>
      </c>
      <c r="I1144">
        <f>B1144&amp;"|"&amp;F1144&amp;"|"&amp;G1144</f>
        <v/>
      </c>
      <c r="J1144" t="inlineStr">
        <is>
          <t>MVS Sec.14 p.20</t>
        </is>
      </c>
    </row>
    <row r="1145">
      <c r="B1145" t="inlineStr">
        <is>
          <t>Passenger Terminals</t>
        </is>
      </c>
      <c r="C1145" t="inlineStr">
        <is>
          <t>571</t>
        </is>
      </c>
      <c r="D1145" t="inlineStr">
        <is>
          <t>14</t>
        </is>
      </c>
      <c r="E1145" t="inlineStr">
        <is>
          <t>20</t>
        </is>
      </c>
      <c r="F1145" t="inlineStr">
        <is>
          <t>C</t>
        </is>
      </c>
      <c r="G1145" t="inlineStr">
        <is>
          <t>Average</t>
        </is>
      </c>
      <c r="H1145" t="n">
        <v>161</v>
      </c>
      <c r="I1145">
        <f>B1145&amp;"|"&amp;F1145&amp;"|"&amp;G1145</f>
        <v/>
      </c>
      <c r="J1145" t="inlineStr">
        <is>
          <t>MVS Sec.14 p.20</t>
        </is>
      </c>
    </row>
    <row r="1146">
      <c r="B1146" t="inlineStr">
        <is>
          <t>Passenger Terminals</t>
        </is>
      </c>
      <c r="C1146" t="inlineStr">
        <is>
          <t>571</t>
        </is>
      </c>
      <c r="D1146" t="inlineStr">
        <is>
          <t>14</t>
        </is>
      </c>
      <c r="E1146" t="inlineStr">
        <is>
          <t>20</t>
        </is>
      </c>
      <c r="F1146" t="inlineStr">
        <is>
          <t>C</t>
        </is>
      </c>
      <c r="G1146" t="inlineStr">
        <is>
          <t>Fair</t>
        </is>
      </c>
      <c r="H1146" t="n">
        <v>128</v>
      </c>
      <c r="I1146">
        <f>B1146&amp;"|"&amp;F1146&amp;"|"&amp;G1146</f>
        <v/>
      </c>
      <c r="J1146" t="inlineStr">
        <is>
          <t>MVS Sec.14 p.20</t>
        </is>
      </c>
    </row>
    <row r="1147">
      <c r="B1147" t="inlineStr">
        <is>
          <t>Passenger Terminals</t>
        </is>
      </c>
      <c r="C1147" t="inlineStr">
        <is>
          <t>571</t>
        </is>
      </c>
      <c r="D1147" t="inlineStr">
        <is>
          <t>14</t>
        </is>
      </c>
      <c r="E1147" t="inlineStr">
        <is>
          <t>20</t>
        </is>
      </c>
      <c r="F1147" t="inlineStr">
        <is>
          <t>C</t>
        </is>
      </c>
      <c r="G1147" t="inlineStr">
        <is>
          <t>Low Cost</t>
        </is>
      </c>
      <c r="H1147" t="n">
        <v>102</v>
      </c>
      <c r="I1147">
        <f>B1147&amp;"|"&amp;F1147&amp;"|"&amp;G1147</f>
        <v/>
      </c>
      <c r="J1147" t="inlineStr">
        <is>
          <t>MVS Sec.14 p.20</t>
        </is>
      </c>
    </row>
    <row r="1148">
      <c r="B1148" t="inlineStr">
        <is>
          <t>Passenger Terminals</t>
        </is>
      </c>
      <c r="C1148" t="inlineStr">
        <is>
          <t>571</t>
        </is>
      </c>
      <c r="D1148" t="inlineStr">
        <is>
          <t>14</t>
        </is>
      </c>
      <c r="E1148" t="inlineStr">
        <is>
          <t>20</t>
        </is>
      </c>
      <c r="F1148" t="inlineStr">
        <is>
          <t>D</t>
        </is>
      </c>
      <c r="G1148" t="inlineStr">
        <is>
          <t>Very Good</t>
        </is>
      </c>
      <c r="H1148" t="n">
        <v>325</v>
      </c>
      <c r="I1148">
        <f>B1148&amp;"|"&amp;F1148&amp;"|"&amp;G1148</f>
        <v/>
      </c>
      <c r="J1148" t="inlineStr">
        <is>
          <t>MVS Sec.14 p.20</t>
        </is>
      </c>
    </row>
    <row r="1149">
      <c r="B1149" t="inlineStr">
        <is>
          <t>Passenger Terminals</t>
        </is>
      </c>
      <c r="C1149" t="inlineStr">
        <is>
          <t>571</t>
        </is>
      </c>
      <c r="D1149" t="inlineStr">
        <is>
          <t>14</t>
        </is>
      </c>
      <c r="E1149" t="inlineStr">
        <is>
          <t>20</t>
        </is>
      </c>
      <c r="F1149" t="inlineStr">
        <is>
          <t>D</t>
        </is>
      </c>
      <c r="G1149" t="inlineStr">
        <is>
          <t>Good</t>
        </is>
      </c>
      <c r="H1149" t="n">
        <v>245</v>
      </c>
      <c r="I1149">
        <f>B1149&amp;"|"&amp;F1149&amp;"|"&amp;G1149</f>
        <v/>
      </c>
      <c r="J1149" t="inlineStr">
        <is>
          <t>MVS Sec.14 p.20</t>
        </is>
      </c>
    </row>
    <row r="1150">
      <c r="B1150" t="inlineStr">
        <is>
          <t>Passenger Terminals</t>
        </is>
      </c>
      <c r="C1150" t="inlineStr">
        <is>
          <t>571</t>
        </is>
      </c>
      <c r="D1150" t="inlineStr">
        <is>
          <t>14</t>
        </is>
      </c>
      <c r="E1150" t="inlineStr">
        <is>
          <t>20</t>
        </is>
      </c>
      <c r="F1150" t="inlineStr">
        <is>
          <t>D</t>
        </is>
      </c>
      <c r="G1150" t="inlineStr">
        <is>
          <t>Average</t>
        </is>
      </c>
      <c r="H1150" t="n">
        <v>150</v>
      </c>
      <c r="I1150">
        <f>B1150&amp;"|"&amp;F1150&amp;"|"&amp;G1150</f>
        <v/>
      </c>
      <c r="J1150" t="inlineStr">
        <is>
          <t>MVS Sec.14 p.20</t>
        </is>
      </c>
    </row>
    <row r="1151">
      <c r="B1151" t="inlineStr">
        <is>
          <t>Passenger Terminals</t>
        </is>
      </c>
      <c r="C1151" t="inlineStr">
        <is>
          <t>571</t>
        </is>
      </c>
      <c r="D1151" t="inlineStr">
        <is>
          <t>14</t>
        </is>
      </c>
      <c r="E1151" t="inlineStr">
        <is>
          <t>20</t>
        </is>
      </c>
      <c r="F1151" t="inlineStr">
        <is>
          <t>D</t>
        </is>
      </c>
      <c r="G1151" t="inlineStr">
        <is>
          <t>Fair</t>
        </is>
      </c>
      <c r="H1151" t="n">
        <v>119</v>
      </c>
      <c r="I1151">
        <f>B1151&amp;"|"&amp;F1151&amp;"|"&amp;G1151</f>
        <v/>
      </c>
      <c r="J1151" t="inlineStr">
        <is>
          <t>MVS Sec.14 p.20</t>
        </is>
      </c>
    </row>
    <row r="1152">
      <c r="B1152" t="inlineStr">
        <is>
          <t>Passenger Terminals</t>
        </is>
      </c>
      <c r="C1152" t="inlineStr">
        <is>
          <t>571</t>
        </is>
      </c>
      <c r="D1152" t="inlineStr">
        <is>
          <t>14</t>
        </is>
      </c>
      <c r="E1152" t="inlineStr">
        <is>
          <t>20</t>
        </is>
      </c>
      <c r="F1152" t="inlineStr">
        <is>
          <t>D</t>
        </is>
      </c>
      <c r="G1152" t="inlineStr">
        <is>
          <t>Low Cost</t>
        </is>
      </c>
      <c r="H1152" t="n">
        <v>95</v>
      </c>
      <c r="I1152">
        <f>B1152&amp;"|"&amp;F1152&amp;"|"&amp;G1152</f>
        <v/>
      </c>
      <c r="J1152" t="inlineStr">
        <is>
          <t>MVS Sec.14 p.20</t>
        </is>
      </c>
    </row>
    <row r="1153">
      <c r="B1153" t="inlineStr">
        <is>
          <t>Passenger Terminals</t>
        </is>
      </c>
      <c r="C1153" t="inlineStr">
        <is>
          <t>571</t>
        </is>
      </c>
      <c r="D1153" t="inlineStr">
        <is>
          <t>14</t>
        </is>
      </c>
      <c r="E1153" t="inlineStr">
        <is>
          <t>20</t>
        </is>
      </c>
      <c r="F1153" t="inlineStr">
        <is>
          <t>DPOLE</t>
        </is>
      </c>
      <c r="G1153" t="inlineStr">
        <is>
          <t>Fair</t>
        </is>
      </c>
      <c r="H1153" t="n">
        <v>114</v>
      </c>
      <c r="I1153">
        <f>B1153&amp;"|"&amp;F1153&amp;"|"&amp;G1153</f>
        <v/>
      </c>
      <c r="J1153" t="inlineStr">
        <is>
          <t>MVS Sec.14 p.20</t>
        </is>
      </c>
    </row>
    <row r="1154">
      <c r="B1154" t="inlineStr">
        <is>
          <t>Passenger Terminals</t>
        </is>
      </c>
      <c r="C1154" t="inlineStr">
        <is>
          <t>571</t>
        </is>
      </c>
      <c r="D1154" t="inlineStr">
        <is>
          <t>14</t>
        </is>
      </c>
      <c r="E1154" t="inlineStr">
        <is>
          <t>20</t>
        </is>
      </c>
      <c r="F1154" t="inlineStr">
        <is>
          <t>DPOLE</t>
        </is>
      </c>
      <c r="G1154" t="inlineStr">
        <is>
          <t>Low Cost</t>
        </is>
      </c>
      <c r="H1154" t="n">
        <v>90.5</v>
      </c>
      <c r="I1154">
        <f>B1154&amp;"|"&amp;F1154&amp;"|"&amp;G1154</f>
        <v/>
      </c>
      <c r="J1154" t="inlineStr">
        <is>
          <t>MVS Sec.14 p.20</t>
        </is>
      </c>
    </row>
    <row r="1155">
      <c r="B1155" t="inlineStr">
        <is>
          <t>Passenger Terminals</t>
        </is>
      </c>
      <c r="C1155" t="inlineStr">
        <is>
          <t>571</t>
        </is>
      </c>
      <c r="D1155" t="inlineStr">
        <is>
          <t>14</t>
        </is>
      </c>
      <c r="E1155" t="inlineStr">
        <is>
          <t>20</t>
        </is>
      </c>
      <c r="F1155" t="inlineStr">
        <is>
          <t>S</t>
        </is>
      </c>
      <c r="G1155" t="inlineStr">
        <is>
          <t>Average</t>
        </is>
      </c>
      <c r="H1155" t="n">
        <v>150</v>
      </c>
      <c r="I1155">
        <f>B1155&amp;"|"&amp;F1155&amp;"|"&amp;G1155</f>
        <v/>
      </c>
      <c r="J1155" t="inlineStr">
        <is>
          <t>MVS Sec.14 p.20</t>
        </is>
      </c>
    </row>
    <row r="1156">
      <c r="B1156" t="inlineStr">
        <is>
          <t>Passenger Terminals</t>
        </is>
      </c>
      <c r="C1156" t="inlineStr">
        <is>
          <t>571</t>
        </is>
      </c>
      <c r="D1156" t="inlineStr">
        <is>
          <t>14</t>
        </is>
      </c>
      <c r="E1156" t="inlineStr">
        <is>
          <t>20</t>
        </is>
      </c>
      <c r="F1156" t="inlineStr">
        <is>
          <t>S</t>
        </is>
      </c>
      <c r="G1156" t="inlineStr">
        <is>
          <t>Fair</t>
        </is>
      </c>
      <c r="H1156" t="n">
        <v>119</v>
      </c>
      <c r="I1156">
        <f>B1156&amp;"|"&amp;F1156&amp;"|"&amp;G1156</f>
        <v/>
      </c>
      <c r="J1156" t="inlineStr">
        <is>
          <t>MVS Sec.14 p.20</t>
        </is>
      </c>
    </row>
    <row r="1157">
      <c r="B1157" t="inlineStr">
        <is>
          <t>Passenger Terminals</t>
        </is>
      </c>
      <c r="C1157" t="inlineStr">
        <is>
          <t>571</t>
        </is>
      </c>
      <c r="D1157" t="inlineStr">
        <is>
          <t>14</t>
        </is>
      </c>
      <c r="E1157" t="inlineStr">
        <is>
          <t>20</t>
        </is>
      </c>
      <c r="F1157" t="inlineStr">
        <is>
          <t>S</t>
        </is>
      </c>
      <c r="G1157" t="inlineStr">
        <is>
          <t>Low Cost</t>
        </is>
      </c>
      <c r="H1157" t="n">
        <v>94.5</v>
      </c>
      <c r="I1157">
        <f>B1157&amp;"|"&amp;F1157&amp;"|"&amp;G1157</f>
        <v/>
      </c>
      <c r="J1157" t="inlineStr">
        <is>
          <t>MVS Sec.14 p.20</t>
        </is>
      </c>
    </row>
    <row r="1158">
      <c r="B1158" t="inlineStr">
        <is>
          <t>Main Post Offices</t>
        </is>
      </c>
      <c r="C1158" t="inlineStr">
        <is>
          <t>581</t>
        </is>
      </c>
      <c r="D1158" t="inlineStr">
        <is>
          <t>14</t>
        </is>
      </c>
      <c r="E1158" t="inlineStr">
        <is>
          <t>21</t>
        </is>
      </c>
      <c r="F1158" t="inlineStr">
        <is>
          <t>A-B</t>
        </is>
      </c>
      <c r="G1158" t="inlineStr">
        <is>
          <t>Good</t>
        </is>
      </c>
      <c r="H1158" t="n">
        <v>374</v>
      </c>
      <c r="I1158">
        <f>B1158&amp;"|"&amp;F1158&amp;"|"&amp;G1158</f>
        <v/>
      </c>
      <c r="J1158" t="inlineStr">
        <is>
          <t>MVS Sec.14 p.21</t>
        </is>
      </c>
    </row>
    <row r="1159">
      <c r="B1159" t="inlineStr">
        <is>
          <t>Main Post Offices</t>
        </is>
      </c>
      <c r="C1159" t="inlineStr">
        <is>
          <t>581</t>
        </is>
      </c>
      <c r="D1159" t="inlineStr">
        <is>
          <t>14</t>
        </is>
      </c>
      <c r="E1159" t="inlineStr">
        <is>
          <t>21</t>
        </is>
      </c>
      <c r="F1159" t="inlineStr">
        <is>
          <t>A-B</t>
        </is>
      </c>
      <c r="G1159" t="inlineStr">
        <is>
          <t>Average</t>
        </is>
      </c>
      <c r="H1159" t="n">
        <v>282</v>
      </c>
      <c r="I1159">
        <f>B1159&amp;"|"&amp;F1159&amp;"|"&amp;G1159</f>
        <v/>
      </c>
      <c r="J1159" t="inlineStr">
        <is>
          <t>MVS Sec.14 p.21</t>
        </is>
      </c>
    </row>
    <row r="1160">
      <c r="B1160" t="inlineStr">
        <is>
          <t>Main Post Offices</t>
        </is>
      </c>
      <c r="C1160" t="inlineStr">
        <is>
          <t>581</t>
        </is>
      </c>
      <c r="D1160" t="inlineStr">
        <is>
          <t>14</t>
        </is>
      </c>
      <c r="E1160" t="inlineStr">
        <is>
          <t>21</t>
        </is>
      </c>
      <c r="F1160" t="inlineStr">
        <is>
          <t>C</t>
        </is>
      </c>
      <c r="G1160" t="inlineStr">
        <is>
          <t>Excellent</t>
        </is>
      </c>
      <c r="H1160" t="n">
        <v>344</v>
      </c>
      <c r="I1160">
        <f>B1160&amp;"|"&amp;F1160&amp;"|"&amp;G1160</f>
        <v/>
      </c>
      <c r="J1160" t="inlineStr">
        <is>
          <t>MVS Sec.14 p.21</t>
        </is>
      </c>
    </row>
    <row r="1161">
      <c r="B1161" t="inlineStr">
        <is>
          <t>Main Post Offices</t>
        </is>
      </c>
      <c r="C1161" t="inlineStr">
        <is>
          <t>581</t>
        </is>
      </c>
      <c r="D1161" t="inlineStr">
        <is>
          <t>14</t>
        </is>
      </c>
      <c r="E1161" t="inlineStr">
        <is>
          <t>21</t>
        </is>
      </c>
      <c r="F1161" t="inlineStr">
        <is>
          <t>C</t>
        </is>
      </c>
      <c r="G1161" t="inlineStr">
        <is>
          <t>Good</t>
        </is>
      </c>
      <c r="H1161" t="n">
        <v>253</v>
      </c>
      <c r="I1161">
        <f>B1161&amp;"|"&amp;F1161&amp;"|"&amp;G1161</f>
        <v/>
      </c>
      <c r="J1161" t="inlineStr">
        <is>
          <t>MVS Sec.14 p.21</t>
        </is>
      </c>
    </row>
    <row r="1162">
      <c r="B1162" t="inlineStr">
        <is>
          <t>Main Post Offices</t>
        </is>
      </c>
      <c r="C1162" t="inlineStr">
        <is>
          <t>581</t>
        </is>
      </c>
      <c r="D1162" t="inlineStr">
        <is>
          <t>14</t>
        </is>
      </c>
      <c r="E1162" t="inlineStr">
        <is>
          <t>21</t>
        </is>
      </c>
      <c r="F1162" t="inlineStr">
        <is>
          <t>C</t>
        </is>
      </c>
      <c r="G1162" t="inlineStr">
        <is>
          <t>Average</t>
        </is>
      </c>
      <c r="H1162" t="n">
        <v>192</v>
      </c>
      <c r="I1162">
        <f>B1162&amp;"|"&amp;F1162&amp;"|"&amp;G1162</f>
        <v/>
      </c>
      <c r="J1162" t="inlineStr">
        <is>
          <t>MVS Sec.14 p.21</t>
        </is>
      </c>
    </row>
    <row r="1163">
      <c r="B1163" t="inlineStr">
        <is>
          <t>Main Post Offices</t>
        </is>
      </c>
      <c r="C1163" t="inlineStr">
        <is>
          <t>581</t>
        </is>
      </c>
      <c r="D1163" t="inlineStr">
        <is>
          <t>14</t>
        </is>
      </c>
      <c r="E1163" t="inlineStr">
        <is>
          <t>21</t>
        </is>
      </c>
      <c r="F1163" t="inlineStr">
        <is>
          <t>DMASVEN</t>
        </is>
      </c>
      <c r="G1163" t="inlineStr">
        <is>
          <t>Excellent</t>
        </is>
      </c>
      <c r="H1163" t="n">
        <v>319</v>
      </c>
      <c r="I1163">
        <f>B1163&amp;"|"&amp;F1163&amp;"|"&amp;G1163</f>
        <v/>
      </c>
      <c r="J1163" t="inlineStr">
        <is>
          <t>MVS Sec.14 p.21</t>
        </is>
      </c>
    </row>
    <row r="1164">
      <c r="B1164" t="inlineStr">
        <is>
          <t>Main Post Offices</t>
        </is>
      </c>
      <c r="C1164" t="inlineStr">
        <is>
          <t>581</t>
        </is>
      </c>
      <c r="D1164" t="inlineStr">
        <is>
          <t>14</t>
        </is>
      </c>
      <c r="E1164" t="inlineStr">
        <is>
          <t>21</t>
        </is>
      </c>
      <c r="F1164" t="inlineStr">
        <is>
          <t>DMASVEN</t>
        </is>
      </c>
      <c r="G1164" t="inlineStr">
        <is>
          <t>Good</t>
        </is>
      </c>
      <c r="H1164" t="n">
        <v>244</v>
      </c>
      <c r="I1164">
        <f>B1164&amp;"|"&amp;F1164&amp;"|"&amp;G1164</f>
        <v/>
      </c>
      <c r="J1164" t="inlineStr">
        <is>
          <t>MVS Sec.14 p.21</t>
        </is>
      </c>
    </row>
    <row r="1165">
      <c r="B1165" t="inlineStr">
        <is>
          <t>Main Post Offices</t>
        </is>
      </c>
      <c r="C1165" t="inlineStr">
        <is>
          <t>581</t>
        </is>
      </c>
      <c r="D1165" t="inlineStr">
        <is>
          <t>14</t>
        </is>
      </c>
      <c r="E1165" t="inlineStr">
        <is>
          <t>21</t>
        </is>
      </c>
      <c r="F1165" t="inlineStr">
        <is>
          <t>DMASVEN</t>
        </is>
      </c>
      <c r="G1165" t="inlineStr">
        <is>
          <t>Average</t>
        </is>
      </c>
      <c r="H1165" t="n">
        <v>185</v>
      </c>
      <c r="I1165">
        <f>B1165&amp;"|"&amp;F1165&amp;"|"&amp;G1165</f>
        <v/>
      </c>
      <c r="J1165" t="inlineStr">
        <is>
          <t>MVS Sec.14 p.21</t>
        </is>
      </c>
    </row>
    <row r="1166">
      <c r="B1166" t="inlineStr">
        <is>
          <t>Main Post Offices</t>
        </is>
      </c>
      <c r="C1166" t="inlineStr">
        <is>
          <t>581</t>
        </is>
      </c>
      <c r="D1166" t="inlineStr">
        <is>
          <t>14</t>
        </is>
      </c>
      <c r="E1166" t="inlineStr">
        <is>
          <t>21</t>
        </is>
      </c>
      <c r="F1166" t="inlineStr">
        <is>
          <t>D</t>
        </is>
      </c>
      <c r="G1166" t="inlineStr">
        <is>
          <t>Very Good</t>
        </is>
      </c>
      <c r="H1166" t="n">
        <v>268</v>
      </c>
      <c r="I1166">
        <f>B1166&amp;"|"&amp;F1166&amp;"|"&amp;G1166</f>
        <v/>
      </c>
      <c r="J1166" t="inlineStr">
        <is>
          <t>MVS Sec.14 p.21</t>
        </is>
      </c>
    </row>
    <row r="1167">
      <c r="B1167" t="inlineStr">
        <is>
          <t>Main Post Offices</t>
        </is>
      </c>
      <c r="C1167" t="inlineStr">
        <is>
          <t>581</t>
        </is>
      </c>
      <c r="D1167" t="inlineStr">
        <is>
          <t>14</t>
        </is>
      </c>
      <c r="E1167" t="inlineStr">
        <is>
          <t>21</t>
        </is>
      </c>
      <c r="F1167" t="inlineStr">
        <is>
          <t>D</t>
        </is>
      </c>
      <c r="G1167" t="inlineStr">
        <is>
          <t>Good</t>
        </is>
      </c>
      <c r="H1167" t="n">
        <v>235</v>
      </c>
      <c r="I1167">
        <f>B1167&amp;"|"&amp;F1167&amp;"|"&amp;G1167</f>
        <v/>
      </c>
      <c r="J1167" t="inlineStr">
        <is>
          <t>MVS Sec.14 p.21</t>
        </is>
      </c>
    </row>
    <row r="1168">
      <c r="B1168" t="inlineStr">
        <is>
          <t>Main Post Offices</t>
        </is>
      </c>
      <c r="C1168" t="inlineStr">
        <is>
          <t>581</t>
        </is>
      </c>
      <c r="D1168" t="inlineStr">
        <is>
          <t>14</t>
        </is>
      </c>
      <c r="E1168" t="inlineStr">
        <is>
          <t>21</t>
        </is>
      </c>
      <c r="F1168" t="inlineStr">
        <is>
          <t>D</t>
        </is>
      </c>
      <c r="G1168" t="inlineStr">
        <is>
          <t>Average</t>
        </is>
      </c>
      <c r="H1168" t="n">
        <v>180</v>
      </c>
      <c r="I1168">
        <f>B1168&amp;"|"&amp;F1168&amp;"|"&amp;G1168</f>
        <v/>
      </c>
      <c r="J1168" t="inlineStr">
        <is>
          <t>MVS Sec.14 p.21</t>
        </is>
      </c>
    </row>
    <row r="1169">
      <c r="B1169" t="inlineStr">
        <is>
          <t>Main Post Offices</t>
        </is>
      </c>
      <c r="C1169" t="inlineStr">
        <is>
          <t>581</t>
        </is>
      </c>
      <c r="D1169" t="inlineStr">
        <is>
          <t>14</t>
        </is>
      </c>
      <c r="E1169" t="inlineStr">
        <is>
          <t>21</t>
        </is>
      </c>
      <c r="F1169" t="inlineStr">
        <is>
          <t>S</t>
        </is>
      </c>
      <c r="G1169" t="inlineStr">
        <is>
          <t>Average</t>
        </is>
      </c>
      <c r="H1169" t="n">
        <v>184</v>
      </c>
      <c r="I1169">
        <f>B1169&amp;"|"&amp;F1169&amp;"|"&amp;G1169</f>
        <v/>
      </c>
      <c r="J1169" t="inlineStr">
        <is>
          <t>MVS Sec.14 p.21</t>
        </is>
      </c>
    </row>
    <row r="1170">
      <c r="B1170" t="inlineStr">
        <is>
          <t>Mail - Processing Facilities</t>
        </is>
      </c>
      <c r="C1170" t="inlineStr">
        <is>
          <t>583</t>
        </is>
      </c>
      <c r="D1170" t="inlineStr">
        <is>
          <t>14</t>
        </is>
      </c>
      <c r="E1170" t="inlineStr">
        <is>
          <t>21</t>
        </is>
      </c>
      <c r="F1170" t="inlineStr">
        <is>
          <t>A-B</t>
        </is>
      </c>
      <c r="G1170" t="inlineStr">
        <is>
          <t>Average</t>
        </is>
      </c>
      <c r="H1170" t="n">
        <v>210</v>
      </c>
      <c r="I1170">
        <f>B1170&amp;"|"&amp;F1170&amp;"|"&amp;G1170</f>
        <v/>
      </c>
      <c r="J1170" t="inlineStr">
        <is>
          <t>MVS Sec.14 p.21</t>
        </is>
      </c>
    </row>
    <row r="1171">
      <c r="B1171" t="inlineStr">
        <is>
          <t>Mail - Processing Facilities</t>
        </is>
      </c>
      <c r="C1171" t="inlineStr">
        <is>
          <t>583</t>
        </is>
      </c>
      <c r="D1171" t="inlineStr">
        <is>
          <t>14</t>
        </is>
      </c>
      <c r="E1171" t="inlineStr">
        <is>
          <t>21</t>
        </is>
      </c>
      <c r="F1171" t="inlineStr">
        <is>
          <t>C</t>
        </is>
      </c>
      <c r="G1171" t="inlineStr">
        <is>
          <t>Good</t>
        </is>
      </c>
      <c r="H1171" t="n">
        <v>179</v>
      </c>
      <c r="I1171">
        <f>B1171&amp;"|"&amp;F1171&amp;"|"&amp;G1171</f>
        <v/>
      </c>
      <c r="J1171" t="inlineStr">
        <is>
          <t>MVS Sec.14 p.21</t>
        </is>
      </c>
    </row>
    <row r="1172">
      <c r="B1172" t="inlineStr">
        <is>
          <t>Mail - Processing Facilities</t>
        </is>
      </c>
      <c r="C1172" t="inlineStr">
        <is>
          <t>583</t>
        </is>
      </c>
      <c r="D1172" t="inlineStr">
        <is>
          <t>14</t>
        </is>
      </c>
      <c r="E1172" t="inlineStr">
        <is>
          <t>21</t>
        </is>
      </c>
      <c r="F1172" t="inlineStr">
        <is>
          <t>C</t>
        </is>
      </c>
      <c r="G1172" t="inlineStr">
        <is>
          <t>Average</t>
        </is>
      </c>
      <c r="H1172" t="n">
        <v>125</v>
      </c>
      <c r="I1172">
        <f>B1172&amp;"|"&amp;F1172&amp;"|"&amp;G1172</f>
        <v/>
      </c>
      <c r="J1172" t="inlineStr">
        <is>
          <t>MVS Sec.14 p.21</t>
        </is>
      </c>
    </row>
    <row r="1173">
      <c r="B1173" t="inlineStr">
        <is>
          <t>Mail - Processing Facilities</t>
        </is>
      </c>
      <c r="C1173" t="inlineStr">
        <is>
          <t>583</t>
        </is>
      </c>
      <c r="D1173" t="inlineStr">
        <is>
          <t>14</t>
        </is>
      </c>
      <c r="E1173" t="inlineStr">
        <is>
          <t>21</t>
        </is>
      </c>
      <c r="F1173" t="inlineStr">
        <is>
          <t>S</t>
        </is>
      </c>
      <c r="G1173" t="inlineStr">
        <is>
          <t>Good</t>
        </is>
      </c>
      <c r="H1173" t="n">
        <v>174</v>
      </c>
      <c r="I1173">
        <f>B1173&amp;"|"&amp;F1173&amp;"|"&amp;G1173</f>
        <v/>
      </c>
      <c r="J1173" t="inlineStr">
        <is>
          <t>MVS Sec.14 p.21</t>
        </is>
      </c>
    </row>
    <row r="1174">
      <c r="B1174" t="inlineStr">
        <is>
          <t>Mail - Processing Facilities</t>
        </is>
      </c>
      <c r="C1174" t="inlineStr">
        <is>
          <t>583</t>
        </is>
      </c>
      <c r="D1174" t="inlineStr">
        <is>
          <t>14</t>
        </is>
      </c>
      <c r="E1174" t="inlineStr">
        <is>
          <t>21</t>
        </is>
      </c>
      <c r="F1174" t="inlineStr">
        <is>
          <t>S</t>
        </is>
      </c>
      <c r="G1174" t="inlineStr">
        <is>
          <t>Average</t>
        </is>
      </c>
      <c r="H1174" t="n">
        <v>122</v>
      </c>
      <c r="I1174">
        <f>B1174&amp;"|"&amp;F1174&amp;"|"&amp;G1174</f>
        <v/>
      </c>
      <c r="J1174" t="inlineStr">
        <is>
          <t>MVS Sec.14 p.21</t>
        </is>
      </c>
    </row>
    <row r="1175">
      <c r="B1175" t="inlineStr">
        <is>
          <t>Branch Post Offices</t>
        </is>
      </c>
      <c r="C1175" t="inlineStr">
        <is>
          <t>582</t>
        </is>
      </c>
      <c r="D1175" t="inlineStr">
        <is>
          <t>14</t>
        </is>
      </c>
      <c r="E1175" t="inlineStr">
        <is>
          <t>22</t>
        </is>
      </c>
      <c r="F1175" t="inlineStr">
        <is>
          <t>A-B</t>
        </is>
      </c>
      <c r="G1175" t="inlineStr">
        <is>
          <t>Average</t>
        </is>
      </c>
      <c r="H1175" t="n">
        <v>213</v>
      </c>
      <c r="I1175">
        <f>B1175&amp;"|"&amp;F1175&amp;"|"&amp;G1175</f>
        <v/>
      </c>
      <c r="J1175" t="inlineStr">
        <is>
          <t>MVS Sec.14 p.22</t>
        </is>
      </c>
    </row>
    <row r="1176">
      <c r="B1176" t="inlineStr">
        <is>
          <t>Branch Post Offices</t>
        </is>
      </c>
      <c r="C1176" t="inlineStr">
        <is>
          <t>582</t>
        </is>
      </c>
      <c r="D1176" t="inlineStr">
        <is>
          <t>14</t>
        </is>
      </c>
      <c r="E1176" t="inlineStr">
        <is>
          <t>22</t>
        </is>
      </c>
      <c r="F1176" t="inlineStr">
        <is>
          <t>C</t>
        </is>
      </c>
      <c r="G1176" t="inlineStr">
        <is>
          <t>Excellent</t>
        </is>
      </c>
      <c r="H1176" t="n">
        <v>306</v>
      </c>
      <c r="I1176">
        <f>B1176&amp;"|"&amp;F1176&amp;"|"&amp;G1176</f>
        <v/>
      </c>
      <c r="J1176" t="inlineStr">
        <is>
          <t>MVS Sec.14 p.22</t>
        </is>
      </c>
    </row>
    <row r="1177">
      <c r="B1177" t="inlineStr">
        <is>
          <t>Branch Post Offices</t>
        </is>
      </c>
      <c r="C1177" t="inlineStr">
        <is>
          <t>582</t>
        </is>
      </c>
      <c r="D1177" t="inlineStr">
        <is>
          <t>14</t>
        </is>
      </c>
      <c r="E1177" t="inlineStr">
        <is>
          <t>22</t>
        </is>
      </c>
      <c r="F1177" t="inlineStr">
        <is>
          <t>C</t>
        </is>
      </c>
      <c r="G1177" t="inlineStr">
        <is>
          <t>Good</t>
        </is>
      </c>
      <c r="H1177" t="n">
        <v>226</v>
      </c>
      <c r="I1177">
        <f>B1177&amp;"|"&amp;F1177&amp;"|"&amp;G1177</f>
        <v/>
      </c>
      <c r="J1177" t="inlineStr">
        <is>
          <t>MVS Sec.14 p.22</t>
        </is>
      </c>
    </row>
    <row r="1178">
      <c r="B1178" t="inlineStr">
        <is>
          <t>Branch Post Offices</t>
        </is>
      </c>
      <c r="C1178" t="inlineStr">
        <is>
          <t>582</t>
        </is>
      </c>
      <c r="D1178" t="inlineStr">
        <is>
          <t>14</t>
        </is>
      </c>
      <c r="E1178" t="inlineStr">
        <is>
          <t>22</t>
        </is>
      </c>
      <c r="F1178" t="inlineStr">
        <is>
          <t>C</t>
        </is>
      </c>
      <c r="G1178" t="inlineStr">
        <is>
          <t>Average</t>
        </is>
      </c>
      <c r="H1178" t="n">
        <v>168</v>
      </c>
      <c r="I1178">
        <f>B1178&amp;"|"&amp;F1178&amp;"|"&amp;G1178</f>
        <v/>
      </c>
      <c r="J1178" t="inlineStr">
        <is>
          <t>MVS Sec.14 p.22</t>
        </is>
      </c>
    </row>
    <row r="1179">
      <c r="B1179" t="inlineStr">
        <is>
          <t>Branch Post Offices</t>
        </is>
      </c>
      <c r="C1179" t="inlineStr">
        <is>
          <t>582</t>
        </is>
      </c>
      <c r="D1179" t="inlineStr">
        <is>
          <t>14</t>
        </is>
      </c>
      <c r="E1179" t="inlineStr">
        <is>
          <t>22</t>
        </is>
      </c>
      <c r="F1179" t="inlineStr">
        <is>
          <t>C</t>
        </is>
      </c>
      <c r="G1179" t="inlineStr">
        <is>
          <t>Low Cost</t>
        </is>
      </c>
      <c r="H1179" t="n">
        <v>120</v>
      </c>
      <c r="I1179">
        <f>B1179&amp;"|"&amp;F1179&amp;"|"&amp;G1179</f>
        <v/>
      </c>
      <c r="J1179" t="inlineStr">
        <is>
          <t>MVS Sec.14 p.22</t>
        </is>
      </c>
    </row>
    <row r="1180">
      <c r="B1180" t="inlineStr">
        <is>
          <t>Branch Post Offices</t>
        </is>
      </c>
      <c r="C1180" t="inlineStr">
        <is>
          <t>582</t>
        </is>
      </c>
      <c r="D1180" t="inlineStr">
        <is>
          <t>14</t>
        </is>
      </c>
      <c r="E1180" t="inlineStr">
        <is>
          <t>22</t>
        </is>
      </c>
      <c r="F1180" t="inlineStr">
        <is>
          <t>DMASVEN</t>
        </is>
      </c>
      <c r="G1180" t="inlineStr">
        <is>
          <t>Excellent</t>
        </is>
      </c>
      <c r="H1180" t="n">
        <v>293</v>
      </c>
      <c r="I1180">
        <f>B1180&amp;"|"&amp;F1180&amp;"|"&amp;G1180</f>
        <v/>
      </c>
      <c r="J1180" t="inlineStr">
        <is>
          <t>MVS Sec.14 p.22</t>
        </is>
      </c>
    </row>
    <row r="1181">
      <c r="B1181" t="inlineStr">
        <is>
          <t>Branch Post Offices</t>
        </is>
      </c>
      <c r="C1181" t="inlineStr">
        <is>
          <t>582</t>
        </is>
      </c>
      <c r="D1181" t="inlineStr">
        <is>
          <t>14</t>
        </is>
      </c>
      <c r="E1181" t="inlineStr">
        <is>
          <t>22</t>
        </is>
      </c>
      <c r="F1181" t="inlineStr">
        <is>
          <t>DMASVEN</t>
        </is>
      </c>
      <c r="G1181" t="inlineStr">
        <is>
          <t>Good</t>
        </is>
      </c>
      <c r="H1181" t="n">
        <v>218</v>
      </c>
      <c r="I1181">
        <f>B1181&amp;"|"&amp;F1181&amp;"|"&amp;G1181</f>
        <v/>
      </c>
      <c r="J1181" t="inlineStr">
        <is>
          <t>MVS Sec.14 p.22</t>
        </is>
      </c>
    </row>
    <row r="1182">
      <c r="B1182" t="inlineStr">
        <is>
          <t>Branch Post Offices</t>
        </is>
      </c>
      <c r="C1182" t="inlineStr">
        <is>
          <t>582</t>
        </is>
      </c>
      <c r="D1182" t="inlineStr">
        <is>
          <t>14</t>
        </is>
      </c>
      <c r="E1182" t="inlineStr">
        <is>
          <t>22</t>
        </is>
      </c>
      <c r="F1182" t="inlineStr">
        <is>
          <t>DMASVEN</t>
        </is>
      </c>
      <c r="G1182" t="inlineStr">
        <is>
          <t>Average</t>
        </is>
      </c>
      <c r="H1182" t="n">
        <v>163</v>
      </c>
      <c r="I1182">
        <f>B1182&amp;"|"&amp;F1182&amp;"|"&amp;G1182</f>
        <v/>
      </c>
      <c r="J1182" t="inlineStr">
        <is>
          <t>MVS Sec.14 p.22</t>
        </is>
      </c>
    </row>
    <row r="1183">
      <c r="B1183" t="inlineStr">
        <is>
          <t>Branch Post Offices</t>
        </is>
      </c>
      <c r="C1183" t="inlineStr">
        <is>
          <t>582</t>
        </is>
      </c>
      <c r="D1183" t="inlineStr">
        <is>
          <t>14</t>
        </is>
      </c>
      <c r="E1183" t="inlineStr">
        <is>
          <t>22</t>
        </is>
      </c>
      <c r="F1183" t="inlineStr">
        <is>
          <t>DMASVEN</t>
        </is>
      </c>
      <c r="G1183" t="inlineStr">
        <is>
          <t>Low Cost</t>
        </is>
      </c>
      <c r="H1183" t="n">
        <v>117</v>
      </c>
      <c r="I1183">
        <f>B1183&amp;"|"&amp;F1183&amp;"|"&amp;G1183</f>
        <v/>
      </c>
      <c r="J1183" t="inlineStr">
        <is>
          <t>MVS Sec.14 p.22</t>
        </is>
      </c>
    </row>
    <row r="1184">
      <c r="B1184" t="inlineStr">
        <is>
          <t>Branch Post Offices</t>
        </is>
      </c>
      <c r="C1184" t="inlineStr">
        <is>
          <t>582</t>
        </is>
      </c>
      <c r="D1184" t="inlineStr">
        <is>
          <t>14</t>
        </is>
      </c>
      <c r="E1184" t="inlineStr">
        <is>
          <t>22</t>
        </is>
      </c>
      <c r="F1184" t="inlineStr">
        <is>
          <t>D</t>
        </is>
      </c>
      <c r="G1184" t="inlineStr">
        <is>
          <t>Excellent</t>
        </is>
      </c>
      <c r="H1184" t="n">
        <v>278</v>
      </c>
      <c r="I1184">
        <f>B1184&amp;"|"&amp;F1184&amp;"|"&amp;G1184</f>
        <v/>
      </c>
      <c r="J1184" t="inlineStr">
        <is>
          <t>MVS Sec.14 p.22</t>
        </is>
      </c>
    </row>
    <row r="1185">
      <c r="B1185" t="inlineStr">
        <is>
          <t>Branch Post Offices</t>
        </is>
      </c>
      <c r="C1185" t="inlineStr">
        <is>
          <t>582</t>
        </is>
      </c>
      <c r="D1185" t="inlineStr">
        <is>
          <t>14</t>
        </is>
      </c>
      <c r="E1185" t="inlineStr">
        <is>
          <t>22</t>
        </is>
      </c>
      <c r="F1185" t="inlineStr">
        <is>
          <t>D</t>
        </is>
      </c>
      <c r="G1185" t="inlineStr">
        <is>
          <t>Good</t>
        </is>
      </c>
      <c r="H1185" t="n">
        <v>208</v>
      </c>
      <c r="I1185">
        <f>B1185&amp;"|"&amp;F1185&amp;"|"&amp;G1185</f>
        <v/>
      </c>
      <c r="J1185" t="inlineStr">
        <is>
          <t>MVS Sec.14 p.22</t>
        </is>
      </c>
    </row>
    <row r="1186">
      <c r="B1186" t="inlineStr">
        <is>
          <t>Branch Post Offices</t>
        </is>
      </c>
      <c r="C1186" t="inlineStr">
        <is>
          <t>582</t>
        </is>
      </c>
      <c r="D1186" t="inlineStr">
        <is>
          <t>14</t>
        </is>
      </c>
      <c r="E1186" t="inlineStr">
        <is>
          <t>22</t>
        </is>
      </c>
      <c r="F1186" t="inlineStr">
        <is>
          <t>D</t>
        </is>
      </c>
      <c r="G1186" t="inlineStr">
        <is>
          <t>Average</t>
        </is>
      </c>
      <c r="H1186" t="n">
        <v>158</v>
      </c>
      <c r="I1186">
        <f>B1186&amp;"|"&amp;F1186&amp;"|"&amp;G1186</f>
        <v/>
      </c>
      <c r="J1186" t="inlineStr">
        <is>
          <t>MVS Sec.14 p.22</t>
        </is>
      </c>
    </row>
    <row r="1187">
      <c r="B1187" t="inlineStr">
        <is>
          <t>Branch Post Offices</t>
        </is>
      </c>
      <c r="C1187" t="inlineStr">
        <is>
          <t>582</t>
        </is>
      </c>
      <c r="D1187" t="inlineStr">
        <is>
          <t>14</t>
        </is>
      </c>
      <c r="E1187" t="inlineStr">
        <is>
          <t>22</t>
        </is>
      </c>
      <c r="F1187" t="inlineStr">
        <is>
          <t>D</t>
        </is>
      </c>
      <c r="G1187" t="inlineStr">
        <is>
          <t>Low Cost</t>
        </is>
      </c>
      <c r="H1187" t="n">
        <v>114</v>
      </c>
      <c r="I1187">
        <f>B1187&amp;"|"&amp;F1187&amp;"|"&amp;G1187</f>
        <v/>
      </c>
      <c r="J1187" t="inlineStr">
        <is>
          <t>MVS Sec.14 p.22</t>
        </is>
      </c>
    </row>
    <row r="1188">
      <c r="B1188" t="inlineStr">
        <is>
          <t>Branch Post Offices</t>
        </is>
      </c>
      <c r="C1188" t="inlineStr">
        <is>
          <t>582</t>
        </is>
      </c>
      <c r="D1188" t="inlineStr">
        <is>
          <t>14</t>
        </is>
      </c>
      <c r="E1188" t="inlineStr">
        <is>
          <t>22</t>
        </is>
      </c>
      <c r="F1188" t="inlineStr">
        <is>
          <t>S</t>
        </is>
      </c>
      <c r="G1188" t="inlineStr">
        <is>
          <t>Average</t>
        </is>
      </c>
      <c r="H1188" t="n">
        <v>162</v>
      </c>
      <c r="I1188">
        <f>B1188&amp;"|"&amp;F1188&amp;"|"&amp;G1188</f>
        <v/>
      </c>
      <c r="J1188" t="inlineStr">
        <is>
          <t>MVS Sec.14 p.22</t>
        </is>
      </c>
    </row>
    <row r="1189">
      <c r="B1189" t="inlineStr">
        <is>
          <t>Armories</t>
        </is>
      </c>
      <c r="C1189" t="inlineStr">
        <is>
          <t>301</t>
        </is>
      </c>
      <c r="D1189" t="inlineStr">
        <is>
          <t>14</t>
        </is>
      </c>
      <c r="E1189" t="inlineStr">
        <is>
          <t>22</t>
        </is>
      </c>
      <c r="F1189" t="inlineStr">
        <is>
          <t>C</t>
        </is>
      </c>
      <c r="G1189" t="inlineStr">
        <is>
          <t>Excellent</t>
        </is>
      </c>
      <c r="H1189" t="n">
        <v>231</v>
      </c>
      <c r="I1189">
        <f>B1189&amp;"|"&amp;F1189&amp;"|"&amp;G1189</f>
        <v/>
      </c>
      <c r="J1189" t="inlineStr">
        <is>
          <t>MVS Sec.14 p.22</t>
        </is>
      </c>
    </row>
    <row r="1190">
      <c r="B1190" t="inlineStr">
        <is>
          <t>Armories</t>
        </is>
      </c>
      <c r="C1190" t="inlineStr">
        <is>
          <t>301</t>
        </is>
      </c>
      <c r="D1190" t="inlineStr">
        <is>
          <t>14</t>
        </is>
      </c>
      <c r="E1190" t="inlineStr">
        <is>
          <t>22</t>
        </is>
      </c>
      <c r="F1190" t="inlineStr">
        <is>
          <t>C</t>
        </is>
      </c>
      <c r="G1190" t="inlineStr">
        <is>
          <t>Good</t>
        </is>
      </c>
      <c r="H1190" t="n">
        <v>174</v>
      </c>
      <c r="I1190">
        <f>B1190&amp;"|"&amp;F1190&amp;"|"&amp;G1190</f>
        <v/>
      </c>
      <c r="J1190" t="inlineStr">
        <is>
          <t>MVS Sec.14 p.22</t>
        </is>
      </c>
    </row>
    <row r="1191">
      <c r="B1191" t="inlineStr">
        <is>
          <t>Armories</t>
        </is>
      </c>
      <c r="C1191" t="inlineStr">
        <is>
          <t>301</t>
        </is>
      </c>
      <c r="D1191" t="inlineStr">
        <is>
          <t>14</t>
        </is>
      </c>
      <c r="E1191" t="inlineStr">
        <is>
          <t>22</t>
        </is>
      </c>
      <c r="F1191" t="inlineStr">
        <is>
          <t>C</t>
        </is>
      </c>
      <c r="G1191" t="inlineStr">
        <is>
          <t>Average</t>
        </is>
      </c>
      <c r="H1191" t="n">
        <v>131</v>
      </c>
      <c r="I1191">
        <f>B1191&amp;"|"&amp;F1191&amp;"|"&amp;G1191</f>
        <v/>
      </c>
      <c r="J1191" t="inlineStr">
        <is>
          <t>MVS Sec.14 p.22</t>
        </is>
      </c>
    </row>
    <row r="1192">
      <c r="B1192" t="inlineStr">
        <is>
          <t>Armories</t>
        </is>
      </c>
      <c r="C1192" t="inlineStr">
        <is>
          <t>301</t>
        </is>
      </c>
      <c r="D1192" t="inlineStr">
        <is>
          <t>14</t>
        </is>
      </c>
      <c r="E1192" t="inlineStr">
        <is>
          <t>22</t>
        </is>
      </c>
      <c r="F1192" t="inlineStr">
        <is>
          <t>D</t>
        </is>
      </c>
      <c r="G1192" t="inlineStr">
        <is>
          <t>Excellent</t>
        </is>
      </c>
      <c r="H1192" t="n">
        <v>215</v>
      </c>
      <c r="I1192">
        <f>B1192&amp;"|"&amp;F1192&amp;"|"&amp;G1192</f>
        <v/>
      </c>
      <c r="J1192" t="inlineStr">
        <is>
          <t>MVS Sec.14 p.22</t>
        </is>
      </c>
    </row>
    <row r="1193">
      <c r="B1193" t="inlineStr">
        <is>
          <t>Armories</t>
        </is>
      </c>
      <c r="C1193" t="inlineStr">
        <is>
          <t>301</t>
        </is>
      </c>
      <c r="D1193" t="inlineStr">
        <is>
          <t>14</t>
        </is>
      </c>
      <c r="E1193" t="inlineStr">
        <is>
          <t>22</t>
        </is>
      </c>
      <c r="F1193" t="inlineStr">
        <is>
          <t>D</t>
        </is>
      </c>
      <c r="G1193" t="inlineStr">
        <is>
          <t>Good</t>
        </is>
      </c>
      <c r="H1193" t="n">
        <v>163</v>
      </c>
      <c r="I1193">
        <f>B1193&amp;"|"&amp;F1193&amp;"|"&amp;G1193</f>
        <v/>
      </c>
      <c r="J1193" t="inlineStr">
        <is>
          <t>MVS Sec.14 p.22</t>
        </is>
      </c>
    </row>
    <row r="1194">
      <c r="B1194" t="inlineStr">
        <is>
          <t>Armories</t>
        </is>
      </c>
      <c r="C1194" t="inlineStr">
        <is>
          <t>301</t>
        </is>
      </c>
      <c r="D1194" t="inlineStr">
        <is>
          <t>14</t>
        </is>
      </c>
      <c r="E1194" t="inlineStr">
        <is>
          <t>22</t>
        </is>
      </c>
      <c r="F1194" t="inlineStr">
        <is>
          <t>D</t>
        </is>
      </c>
      <c r="G1194" t="inlineStr">
        <is>
          <t>Average</t>
        </is>
      </c>
      <c r="H1194" t="n">
        <v>123</v>
      </c>
      <c r="I1194">
        <f>B1194&amp;"|"&amp;F1194&amp;"|"&amp;G1194</f>
        <v/>
      </c>
      <c r="J1194" t="inlineStr">
        <is>
          <t>MVS Sec.14 p.22</t>
        </is>
      </c>
    </row>
    <row r="1195">
      <c r="B1195" t="inlineStr">
        <is>
          <t>Armories</t>
        </is>
      </c>
      <c r="C1195" t="inlineStr">
        <is>
          <t>301</t>
        </is>
      </c>
      <c r="D1195" t="inlineStr">
        <is>
          <t>14</t>
        </is>
      </c>
      <c r="E1195" t="inlineStr">
        <is>
          <t>22</t>
        </is>
      </c>
      <c r="F1195" t="inlineStr">
        <is>
          <t>S</t>
        </is>
      </c>
      <c r="G1195" t="inlineStr">
        <is>
          <t>Average</t>
        </is>
      </c>
      <c r="H1195" t="n">
        <v>125</v>
      </c>
      <c r="I1195">
        <f>B1195&amp;"|"&amp;F1195&amp;"|"&amp;G1195</f>
        <v/>
      </c>
      <c r="J1195" t="inlineStr">
        <is>
          <t>MVS Sec.14 p.22</t>
        </is>
      </c>
    </row>
    <row r="1196">
      <c r="B1196" t="inlineStr">
        <is>
          <t>Armories</t>
        </is>
      </c>
      <c r="C1196" t="inlineStr">
        <is>
          <t>301</t>
        </is>
      </c>
      <c r="D1196" t="inlineStr">
        <is>
          <t>14</t>
        </is>
      </c>
      <c r="E1196" t="inlineStr">
        <is>
          <t>22</t>
        </is>
      </c>
      <c r="F1196" t="inlineStr">
        <is>
          <t>CDS</t>
        </is>
      </c>
      <c r="G1196" t="inlineStr">
        <is>
          <t>Average</t>
        </is>
      </c>
      <c r="H1196" t="n">
        <v>65</v>
      </c>
      <c r="I1196">
        <f>B1196&amp;"|"&amp;F1196&amp;"|"&amp;G1196</f>
        <v/>
      </c>
      <c r="J1196" t="inlineStr">
        <is>
          <t>MVS Sec.14 p.22</t>
        </is>
      </c>
    </row>
    <row r="1197">
      <c r="B1197" t="inlineStr">
        <is>
          <t>Distribution Warehouses</t>
        </is>
      </c>
      <c r="C1197" t="inlineStr">
        <is>
          <t>407</t>
        </is>
      </c>
      <c r="D1197" t="inlineStr">
        <is>
          <t>14</t>
        </is>
      </c>
      <c r="E1197" t="inlineStr">
        <is>
          <t>23</t>
        </is>
      </c>
      <c r="F1197" t="inlineStr">
        <is>
          <t>A</t>
        </is>
      </c>
      <c r="G1197" t="inlineStr">
        <is>
          <t>Good</t>
        </is>
      </c>
      <c r="H1197" t="n">
        <v>161</v>
      </c>
      <c r="I1197">
        <f>B1197&amp;"|"&amp;F1197&amp;"|"&amp;G1197</f>
        <v/>
      </c>
      <c r="J1197" t="inlineStr">
        <is>
          <t>MVS Sec.14 p.23</t>
        </is>
      </c>
    </row>
    <row r="1198">
      <c r="B1198" t="inlineStr">
        <is>
          <t>Distribution Warehouses</t>
        </is>
      </c>
      <c r="C1198" t="inlineStr">
        <is>
          <t>407</t>
        </is>
      </c>
      <c r="D1198" t="inlineStr">
        <is>
          <t>14</t>
        </is>
      </c>
      <c r="E1198" t="inlineStr">
        <is>
          <t>23</t>
        </is>
      </c>
      <c r="F1198" t="inlineStr">
        <is>
          <t>A</t>
        </is>
      </c>
      <c r="G1198" t="inlineStr">
        <is>
          <t>Average</t>
        </is>
      </c>
      <c r="H1198" t="n">
        <v>123</v>
      </c>
      <c r="I1198">
        <f>B1198&amp;"|"&amp;F1198&amp;"|"&amp;G1198</f>
        <v/>
      </c>
      <c r="J1198" t="inlineStr">
        <is>
          <t>MVS Sec.14 p.23</t>
        </is>
      </c>
    </row>
    <row r="1199">
      <c r="B1199" t="inlineStr">
        <is>
          <t>Distribution Warehouses</t>
        </is>
      </c>
      <c r="C1199" t="inlineStr">
        <is>
          <t>407</t>
        </is>
      </c>
      <c r="D1199" t="inlineStr">
        <is>
          <t>14</t>
        </is>
      </c>
      <c r="E1199" t="inlineStr">
        <is>
          <t>23</t>
        </is>
      </c>
      <c r="F1199" t="inlineStr">
        <is>
          <t>B</t>
        </is>
      </c>
      <c r="G1199" t="inlineStr">
        <is>
          <t>Good</t>
        </is>
      </c>
      <c r="H1199" t="n">
        <v>144</v>
      </c>
      <c r="I1199">
        <f>B1199&amp;"|"&amp;F1199&amp;"|"&amp;G1199</f>
        <v/>
      </c>
      <c r="J1199" t="inlineStr">
        <is>
          <t>MVS Sec.14 p.23</t>
        </is>
      </c>
    </row>
    <row r="1200">
      <c r="B1200" t="inlineStr">
        <is>
          <t>Distribution Warehouses</t>
        </is>
      </c>
      <c r="C1200" t="inlineStr">
        <is>
          <t>407</t>
        </is>
      </c>
      <c r="D1200" t="inlineStr">
        <is>
          <t>14</t>
        </is>
      </c>
      <c r="E1200" t="inlineStr">
        <is>
          <t>23</t>
        </is>
      </c>
      <c r="F1200" t="inlineStr">
        <is>
          <t>B</t>
        </is>
      </c>
      <c r="G1200" t="inlineStr">
        <is>
          <t>Average</t>
        </is>
      </c>
      <c r="H1200" t="n">
        <v>108</v>
      </c>
      <c r="I1200">
        <f>B1200&amp;"|"&amp;F1200&amp;"|"&amp;G1200</f>
        <v/>
      </c>
      <c r="J1200" t="inlineStr">
        <is>
          <t>MVS Sec.14 p.23</t>
        </is>
      </c>
    </row>
    <row r="1201">
      <c r="B1201" t="inlineStr">
        <is>
          <t>Distribution Warehouses</t>
        </is>
      </c>
      <c r="C1201" t="inlineStr">
        <is>
          <t>407</t>
        </is>
      </c>
      <c r="D1201" t="inlineStr">
        <is>
          <t>14</t>
        </is>
      </c>
      <c r="E1201" t="inlineStr">
        <is>
          <t>23</t>
        </is>
      </c>
      <c r="F1201" t="inlineStr">
        <is>
          <t>C</t>
        </is>
      </c>
      <c r="G1201" t="inlineStr">
        <is>
          <t>Excellent</t>
        </is>
      </c>
      <c r="H1201" t="n">
        <v>150</v>
      </c>
      <c r="I1201">
        <f>B1201&amp;"|"&amp;F1201&amp;"|"&amp;G1201</f>
        <v/>
      </c>
      <c r="J1201" t="inlineStr">
        <is>
          <t>MVS Sec.14 p.23</t>
        </is>
      </c>
    </row>
    <row r="1202">
      <c r="B1202" t="inlineStr">
        <is>
          <t>Distribution Warehouses</t>
        </is>
      </c>
      <c r="C1202" t="inlineStr">
        <is>
          <t>407</t>
        </is>
      </c>
      <c r="D1202" t="inlineStr">
        <is>
          <t>14</t>
        </is>
      </c>
      <c r="E1202" t="inlineStr">
        <is>
          <t>23</t>
        </is>
      </c>
      <c r="F1202" t="inlineStr">
        <is>
          <t>C</t>
        </is>
      </c>
      <c r="G1202" t="inlineStr">
        <is>
          <t>Good</t>
        </is>
      </c>
      <c r="H1202" t="n">
        <v>103</v>
      </c>
      <c r="I1202">
        <f>B1202&amp;"|"&amp;F1202&amp;"|"&amp;G1202</f>
        <v/>
      </c>
      <c r="J1202" t="inlineStr">
        <is>
          <t>MVS Sec.14 p.23</t>
        </is>
      </c>
    </row>
    <row r="1203">
      <c r="B1203" t="inlineStr">
        <is>
          <t>Distribution Warehouses</t>
        </is>
      </c>
      <c r="C1203" t="inlineStr">
        <is>
          <t>407</t>
        </is>
      </c>
      <c r="D1203" t="inlineStr">
        <is>
          <t>14</t>
        </is>
      </c>
      <c r="E1203" t="inlineStr">
        <is>
          <t>23</t>
        </is>
      </c>
      <c r="F1203" t="inlineStr">
        <is>
          <t>C</t>
        </is>
      </c>
      <c r="G1203" t="inlineStr">
        <is>
          <t>Average</t>
        </is>
      </c>
      <c r="H1203" t="n">
        <v>70.5</v>
      </c>
      <c r="I1203">
        <f>B1203&amp;"|"&amp;F1203&amp;"|"&amp;G1203</f>
        <v/>
      </c>
      <c r="J1203" t="inlineStr">
        <is>
          <t>MVS Sec.14 p.23</t>
        </is>
      </c>
    </row>
    <row r="1204">
      <c r="B1204" t="inlineStr">
        <is>
          <t>Distribution Warehouses</t>
        </is>
      </c>
      <c r="C1204" t="inlineStr">
        <is>
          <t>407</t>
        </is>
      </c>
      <c r="D1204" t="inlineStr">
        <is>
          <t>14</t>
        </is>
      </c>
      <c r="E1204" t="inlineStr">
        <is>
          <t>23</t>
        </is>
      </c>
      <c r="F1204" t="inlineStr">
        <is>
          <t>C</t>
        </is>
      </c>
      <c r="G1204" t="inlineStr">
        <is>
          <t>Low Cost</t>
        </is>
      </c>
      <c r="H1204" t="n">
        <v>50.5</v>
      </c>
      <c r="I1204">
        <f>B1204&amp;"|"&amp;F1204&amp;"|"&amp;G1204</f>
        <v/>
      </c>
      <c r="J1204" t="inlineStr">
        <is>
          <t>MVS Sec.14 p.23</t>
        </is>
      </c>
    </row>
    <row r="1205">
      <c r="B1205" t="inlineStr">
        <is>
          <t>Distribution Warehouses</t>
        </is>
      </c>
      <c r="C1205" t="inlineStr">
        <is>
          <t>407</t>
        </is>
      </c>
      <c r="D1205" t="inlineStr">
        <is>
          <t>14</t>
        </is>
      </c>
      <c r="E1205" t="inlineStr">
        <is>
          <t>23</t>
        </is>
      </c>
      <c r="F1205" t="inlineStr">
        <is>
          <t>D</t>
        </is>
      </c>
      <c r="G1205" t="inlineStr">
        <is>
          <t>Good</t>
        </is>
      </c>
      <c r="H1205" t="n">
        <v>92.5</v>
      </c>
      <c r="I1205">
        <f>B1205&amp;"|"&amp;F1205&amp;"|"&amp;G1205</f>
        <v/>
      </c>
      <c r="J1205" t="inlineStr">
        <is>
          <t>MVS Sec.14 p.23</t>
        </is>
      </c>
    </row>
    <row r="1206">
      <c r="B1206" t="inlineStr">
        <is>
          <t>Distribution Warehouses</t>
        </is>
      </c>
      <c r="C1206" t="inlineStr">
        <is>
          <t>407</t>
        </is>
      </c>
      <c r="D1206" t="inlineStr">
        <is>
          <t>14</t>
        </is>
      </c>
      <c r="E1206" t="inlineStr">
        <is>
          <t>23</t>
        </is>
      </c>
      <c r="F1206" t="inlineStr">
        <is>
          <t>D</t>
        </is>
      </c>
      <c r="G1206" t="inlineStr">
        <is>
          <t>Average</t>
        </is>
      </c>
      <c r="H1206" t="n">
        <v>63</v>
      </c>
      <c r="I1206">
        <f>B1206&amp;"|"&amp;F1206&amp;"|"&amp;G1206</f>
        <v/>
      </c>
      <c r="J1206" t="inlineStr">
        <is>
          <t>MVS Sec.14 p.23</t>
        </is>
      </c>
    </row>
    <row r="1207">
      <c r="B1207" t="inlineStr">
        <is>
          <t>Distribution Warehouses</t>
        </is>
      </c>
      <c r="C1207" t="inlineStr">
        <is>
          <t>407</t>
        </is>
      </c>
      <c r="D1207" t="inlineStr">
        <is>
          <t>14</t>
        </is>
      </c>
      <c r="E1207" t="inlineStr">
        <is>
          <t>23</t>
        </is>
      </c>
      <c r="F1207" t="inlineStr">
        <is>
          <t>DPOLE</t>
        </is>
      </c>
      <c r="G1207" t="inlineStr">
        <is>
          <t>Average</t>
        </is>
      </c>
      <c r="H1207" t="n">
        <v>57</v>
      </c>
      <c r="I1207">
        <f>B1207&amp;"|"&amp;F1207&amp;"|"&amp;G1207</f>
        <v/>
      </c>
      <c r="J1207" t="inlineStr">
        <is>
          <t>MVS Sec.14 p.23</t>
        </is>
      </c>
    </row>
    <row r="1208">
      <c r="B1208" t="inlineStr">
        <is>
          <t>Distribution Warehouses</t>
        </is>
      </c>
      <c r="C1208" t="inlineStr">
        <is>
          <t>407</t>
        </is>
      </c>
      <c r="D1208" t="inlineStr">
        <is>
          <t>14</t>
        </is>
      </c>
      <c r="E1208" t="inlineStr">
        <is>
          <t>23</t>
        </is>
      </c>
      <c r="F1208" t="inlineStr">
        <is>
          <t>DPOLE</t>
        </is>
      </c>
      <c r="G1208" t="inlineStr">
        <is>
          <t>Low Cost</t>
        </is>
      </c>
      <c r="H1208" t="n">
        <v>41.25</v>
      </c>
      <c r="I1208">
        <f>B1208&amp;"|"&amp;F1208&amp;"|"&amp;G1208</f>
        <v/>
      </c>
      <c r="J1208" t="inlineStr">
        <is>
          <t>MVS Sec.14 p.23</t>
        </is>
      </c>
    </row>
    <row r="1209">
      <c r="B1209" t="inlineStr">
        <is>
          <t>Distribution Warehouses</t>
        </is>
      </c>
      <c r="C1209" t="inlineStr">
        <is>
          <t>407</t>
        </is>
      </c>
      <c r="D1209" t="inlineStr">
        <is>
          <t>14</t>
        </is>
      </c>
      <c r="E1209" t="inlineStr">
        <is>
          <t>23</t>
        </is>
      </c>
      <c r="F1209" t="inlineStr">
        <is>
          <t>S</t>
        </is>
      </c>
      <c r="G1209" t="inlineStr">
        <is>
          <t>Excellent</t>
        </is>
      </c>
      <c r="H1209" t="n">
        <v>139</v>
      </c>
      <c r="I1209">
        <f>B1209&amp;"|"&amp;F1209&amp;"|"&amp;G1209</f>
        <v/>
      </c>
      <c r="J1209" t="inlineStr">
        <is>
          <t>MVS Sec.14 p.23</t>
        </is>
      </c>
    </row>
    <row r="1210">
      <c r="B1210" t="inlineStr">
        <is>
          <t>Distribution Warehouses</t>
        </is>
      </c>
      <c r="C1210" t="inlineStr">
        <is>
          <t>407</t>
        </is>
      </c>
      <c r="D1210" t="inlineStr">
        <is>
          <t>14</t>
        </is>
      </c>
      <c r="E1210" t="inlineStr">
        <is>
          <t>23</t>
        </is>
      </c>
      <c r="F1210" t="inlineStr">
        <is>
          <t>S</t>
        </is>
      </c>
      <c r="G1210" t="inlineStr">
        <is>
          <t>Good</t>
        </is>
      </c>
      <c r="H1210" t="n">
        <v>94.5</v>
      </c>
      <c r="I1210">
        <f>B1210&amp;"|"&amp;F1210&amp;"|"&amp;G1210</f>
        <v/>
      </c>
      <c r="J1210" t="inlineStr">
        <is>
          <t>MVS Sec.14 p.23</t>
        </is>
      </c>
    </row>
    <row r="1211">
      <c r="B1211" t="inlineStr">
        <is>
          <t>Distribution Warehouses</t>
        </is>
      </c>
      <c r="C1211" t="inlineStr">
        <is>
          <t>407</t>
        </is>
      </c>
      <c r="D1211" t="inlineStr">
        <is>
          <t>14</t>
        </is>
      </c>
      <c r="E1211" t="inlineStr">
        <is>
          <t>23</t>
        </is>
      </c>
      <c r="F1211" t="inlineStr">
        <is>
          <t>S</t>
        </is>
      </c>
      <c r="G1211" t="inlineStr">
        <is>
          <t>Average</t>
        </is>
      </c>
      <c r="H1211" t="n">
        <v>64</v>
      </c>
      <c r="I1211">
        <f>B1211&amp;"|"&amp;F1211&amp;"|"&amp;G1211</f>
        <v/>
      </c>
      <c r="J1211" t="inlineStr">
        <is>
          <t>MVS Sec.14 p.23</t>
        </is>
      </c>
    </row>
    <row r="1212">
      <c r="B1212" t="inlineStr">
        <is>
          <t>Distribution Warehouses</t>
        </is>
      </c>
      <c r="C1212" t="inlineStr">
        <is>
          <t>407</t>
        </is>
      </c>
      <c r="D1212" t="inlineStr">
        <is>
          <t>14</t>
        </is>
      </c>
      <c r="E1212" t="inlineStr">
        <is>
          <t>23</t>
        </is>
      </c>
      <c r="F1212" t="inlineStr">
        <is>
          <t>S</t>
        </is>
      </c>
      <c r="G1212" t="inlineStr">
        <is>
          <t>Low Cost</t>
        </is>
      </c>
      <c r="H1212" t="n">
        <v>45.5</v>
      </c>
      <c r="I1212">
        <f>B1212&amp;"|"&amp;F1212&amp;"|"&amp;G1212</f>
        <v/>
      </c>
      <c r="J1212" t="inlineStr">
        <is>
          <t>MVS Sec.14 p.23</t>
        </is>
      </c>
    </row>
    <row r="1213">
      <c r="B1213" t="inlineStr">
        <is>
          <t>Transit Warehouses</t>
        </is>
      </c>
      <c r="C1213" t="inlineStr">
        <is>
          <t>387</t>
        </is>
      </c>
      <c r="D1213" t="inlineStr">
        <is>
          <t>14</t>
        </is>
      </c>
      <c r="E1213" t="inlineStr">
        <is>
          <t>23</t>
        </is>
      </c>
      <c r="F1213" t="inlineStr">
        <is>
          <t>C</t>
        </is>
      </c>
      <c r="G1213" t="inlineStr">
        <is>
          <t>Good</t>
        </is>
      </c>
      <c r="H1213" t="n">
        <v>136</v>
      </c>
      <c r="I1213">
        <f>B1213&amp;"|"&amp;F1213&amp;"|"&amp;G1213</f>
        <v/>
      </c>
      <c r="J1213" t="inlineStr">
        <is>
          <t>MVS Sec.14 p.23</t>
        </is>
      </c>
    </row>
    <row r="1214">
      <c r="B1214" t="inlineStr">
        <is>
          <t>Transit Warehouses</t>
        </is>
      </c>
      <c r="C1214" t="inlineStr">
        <is>
          <t>387</t>
        </is>
      </c>
      <c r="D1214" t="inlineStr">
        <is>
          <t>14</t>
        </is>
      </c>
      <c r="E1214" t="inlineStr">
        <is>
          <t>23</t>
        </is>
      </c>
      <c r="F1214" t="inlineStr">
        <is>
          <t>C</t>
        </is>
      </c>
      <c r="G1214" t="inlineStr">
        <is>
          <t>Average</t>
        </is>
      </c>
      <c r="H1214" t="n">
        <v>95</v>
      </c>
      <c r="I1214">
        <f>B1214&amp;"|"&amp;F1214&amp;"|"&amp;G1214</f>
        <v/>
      </c>
      <c r="J1214" t="inlineStr">
        <is>
          <t>MVS Sec.14 p.23</t>
        </is>
      </c>
    </row>
    <row r="1215">
      <c r="B1215" t="inlineStr">
        <is>
          <t>Transit Warehouses</t>
        </is>
      </c>
      <c r="C1215" t="inlineStr">
        <is>
          <t>387</t>
        </is>
      </c>
      <c r="D1215" t="inlineStr">
        <is>
          <t>14</t>
        </is>
      </c>
      <c r="E1215" t="inlineStr">
        <is>
          <t>23</t>
        </is>
      </c>
      <c r="F1215" t="inlineStr">
        <is>
          <t>D</t>
        </is>
      </c>
      <c r="G1215" t="inlineStr">
        <is>
          <t>Average</t>
        </is>
      </c>
      <c r="H1215" t="n">
        <v>85.5</v>
      </c>
      <c r="I1215">
        <f>B1215&amp;"|"&amp;F1215&amp;"|"&amp;G1215</f>
        <v/>
      </c>
      <c r="J1215" t="inlineStr">
        <is>
          <t>MVS Sec.14 p.23</t>
        </is>
      </c>
    </row>
    <row r="1216">
      <c r="B1216" t="inlineStr">
        <is>
          <t>Transit Warehouses</t>
        </is>
      </c>
      <c r="C1216" t="inlineStr">
        <is>
          <t>387</t>
        </is>
      </c>
      <c r="D1216" t="inlineStr">
        <is>
          <t>14</t>
        </is>
      </c>
      <c r="E1216" t="inlineStr">
        <is>
          <t>23</t>
        </is>
      </c>
      <c r="F1216" t="inlineStr">
        <is>
          <t>DPOLE</t>
        </is>
      </c>
      <c r="G1216" t="inlineStr">
        <is>
          <t>Average</t>
        </is>
      </c>
      <c r="H1216" t="n">
        <v>80.5</v>
      </c>
      <c r="I1216">
        <f>B1216&amp;"|"&amp;F1216&amp;"|"&amp;G1216</f>
        <v/>
      </c>
      <c r="J1216" t="inlineStr">
        <is>
          <t>MVS Sec.14 p.23</t>
        </is>
      </c>
    </row>
    <row r="1217">
      <c r="B1217" t="inlineStr">
        <is>
          <t>Transit Warehouses</t>
        </is>
      </c>
      <c r="C1217" t="inlineStr">
        <is>
          <t>387</t>
        </is>
      </c>
      <c r="D1217" t="inlineStr">
        <is>
          <t>14</t>
        </is>
      </c>
      <c r="E1217" t="inlineStr">
        <is>
          <t>23</t>
        </is>
      </c>
      <c r="F1217" t="inlineStr">
        <is>
          <t>S</t>
        </is>
      </c>
      <c r="G1217" t="inlineStr">
        <is>
          <t>Good</t>
        </is>
      </c>
      <c r="H1217" t="n">
        <v>124</v>
      </c>
      <c r="I1217">
        <f>B1217&amp;"|"&amp;F1217&amp;"|"&amp;G1217</f>
        <v/>
      </c>
      <c r="J1217" t="inlineStr">
        <is>
          <t>MVS Sec.14 p.23</t>
        </is>
      </c>
    </row>
    <row r="1218">
      <c r="B1218" t="inlineStr">
        <is>
          <t>Transit Warehouses</t>
        </is>
      </c>
      <c r="C1218" t="inlineStr">
        <is>
          <t>387</t>
        </is>
      </c>
      <c r="D1218" t="inlineStr">
        <is>
          <t>14</t>
        </is>
      </c>
      <c r="E1218" t="inlineStr">
        <is>
          <t>23</t>
        </is>
      </c>
      <c r="F1218" t="inlineStr">
        <is>
          <t>S</t>
        </is>
      </c>
      <c r="G1218" t="inlineStr">
        <is>
          <t>Average</t>
        </is>
      </c>
      <c r="H1218" t="n">
        <v>86.5</v>
      </c>
      <c r="I1218">
        <f>B1218&amp;"|"&amp;F1218&amp;"|"&amp;G1218</f>
        <v/>
      </c>
      <c r="J1218" t="inlineStr">
        <is>
          <t>MVS Sec.14 p.23</t>
        </is>
      </c>
    </row>
    <row r="1219">
      <c r="B1219" t="inlineStr">
        <is>
          <t>Cold Storage Facilities</t>
        </is>
      </c>
      <c r="C1219" t="inlineStr">
        <is>
          <t>447</t>
        </is>
      </c>
      <c r="D1219" t="inlineStr">
        <is>
          <t>14</t>
        </is>
      </c>
      <c r="E1219" t="inlineStr">
        <is>
          <t>24</t>
        </is>
      </c>
      <c r="F1219" t="inlineStr">
        <is>
          <t>A-B</t>
        </is>
      </c>
      <c r="G1219" t="inlineStr">
        <is>
          <t>Good</t>
        </is>
      </c>
      <c r="H1219" t="n">
        <v>166</v>
      </c>
      <c r="I1219">
        <f>B1219&amp;"|"&amp;F1219&amp;"|"&amp;G1219</f>
        <v/>
      </c>
      <c r="J1219" t="inlineStr">
        <is>
          <t>MVS Sec.14 p.24</t>
        </is>
      </c>
    </row>
    <row r="1220">
      <c r="B1220" t="inlineStr">
        <is>
          <t>Cold Storage Facilities</t>
        </is>
      </c>
      <c r="C1220" t="inlineStr">
        <is>
          <t>447</t>
        </is>
      </c>
      <c r="D1220" t="inlineStr">
        <is>
          <t>14</t>
        </is>
      </c>
      <c r="E1220" t="inlineStr">
        <is>
          <t>24</t>
        </is>
      </c>
      <c r="F1220" t="inlineStr">
        <is>
          <t>A-B</t>
        </is>
      </c>
      <c r="G1220" t="inlineStr">
        <is>
          <t>Average</t>
        </is>
      </c>
      <c r="H1220" t="n">
        <v>119</v>
      </c>
      <c r="I1220">
        <f>B1220&amp;"|"&amp;F1220&amp;"|"&amp;G1220</f>
        <v/>
      </c>
      <c r="J1220" t="inlineStr">
        <is>
          <t>MVS Sec.14 p.24</t>
        </is>
      </c>
    </row>
    <row r="1221">
      <c r="B1221" t="inlineStr">
        <is>
          <t>Cold Storage Facilities</t>
        </is>
      </c>
      <c r="C1221" t="inlineStr">
        <is>
          <t>447</t>
        </is>
      </c>
      <c r="D1221" t="inlineStr">
        <is>
          <t>14</t>
        </is>
      </c>
      <c r="E1221" t="inlineStr">
        <is>
          <t>24</t>
        </is>
      </c>
      <c r="F1221" t="inlineStr">
        <is>
          <t>C</t>
        </is>
      </c>
      <c r="G1221" t="inlineStr">
        <is>
          <t>Excellent</t>
        </is>
      </c>
      <c r="H1221" t="n">
        <v>184</v>
      </c>
      <c r="I1221">
        <f>B1221&amp;"|"&amp;F1221&amp;"|"&amp;G1221</f>
        <v/>
      </c>
      <c r="J1221" t="inlineStr">
        <is>
          <t>MVS Sec.14 p.24</t>
        </is>
      </c>
    </row>
    <row r="1222">
      <c r="B1222" t="inlineStr">
        <is>
          <t>Cold Storage Facilities</t>
        </is>
      </c>
      <c r="C1222" t="inlineStr">
        <is>
          <t>447</t>
        </is>
      </c>
      <c r="D1222" t="inlineStr">
        <is>
          <t>14</t>
        </is>
      </c>
      <c r="E1222" t="inlineStr">
        <is>
          <t>24</t>
        </is>
      </c>
      <c r="F1222" t="inlineStr">
        <is>
          <t>C</t>
        </is>
      </c>
      <c r="G1222" t="inlineStr">
        <is>
          <t>Good</t>
        </is>
      </c>
      <c r="H1222" t="n">
        <v>131</v>
      </c>
      <c r="I1222">
        <f>B1222&amp;"|"&amp;F1222&amp;"|"&amp;G1222</f>
        <v/>
      </c>
      <c r="J1222" t="inlineStr">
        <is>
          <t>MVS Sec.14 p.24</t>
        </is>
      </c>
    </row>
    <row r="1223">
      <c r="B1223" t="inlineStr">
        <is>
          <t>Cold Storage Facilities</t>
        </is>
      </c>
      <c r="C1223" t="inlineStr">
        <is>
          <t>447</t>
        </is>
      </c>
      <c r="D1223" t="inlineStr">
        <is>
          <t>14</t>
        </is>
      </c>
      <c r="E1223" t="inlineStr">
        <is>
          <t>24</t>
        </is>
      </c>
      <c r="F1223" t="inlineStr">
        <is>
          <t>C</t>
        </is>
      </c>
      <c r="G1223" t="inlineStr">
        <is>
          <t>Average</t>
        </is>
      </c>
      <c r="H1223" t="n">
        <v>94</v>
      </c>
      <c r="I1223">
        <f>B1223&amp;"|"&amp;F1223&amp;"|"&amp;G1223</f>
        <v/>
      </c>
      <c r="J1223" t="inlineStr">
        <is>
          <t>MVS Sec.14 p.24</t>
        </is>
      </c>
    </row>
    <row r="1224">
      <c r="B1224" t="inlineStr">
        <is>
          <t>Cold Storage Facilities</t>
        </is>
      </c>
      <c r="C1224" t="inlineStr">
        <is>
          <t>447</t>
        </is>
      </c>
      <c r="D1224" t="inlineStr">
        <is>
          <t>14</t>
        </is>
      </c>
      <c r="E1224" t="inlineStr">
        <is>
          <t>24</t>
        </is>
      </c>
      <c r="F1224" t="inlineStr">
        <is>
          <t>C</t>
        </is>
      </c>
      <c r="G1224" t="inlineStr">
        <is>
          <t>Fair</t>
        </is>
      </c>
      <c r="H1224" t="n">
        <v>78.5</v>
      </c>
      <c r="I1224">
        <f>B1224&amp;"|"&amp;F1224&amp;"|"&amp;G1224</f>
        <v/>
      </c>
      <c r="J1224" t="inlineStr">
        <is>
          <t>MVS Sec.14 p.24</t>
        </is>
      </c>
    </row>
    <row r="1225">
      <c r="B1225" t="inlineStr">
        <is>
          <t>Cold Storage Facilities</t>
        </is>
      </c>
      <c r="C1225" t="inlineStr">
        <is>
          <t>447</t>
        </is>
      </c>
      <c r="D1225" t="inlineStr">
        <is>
          <t>14</t>
        </is>
      </c>
      <c r="E1225" t="inlineStr">
        <is>
          <t>24</t>
        </is>
      </c>
      <c r="F1225" t="inlineStr">
        <is>
          <t>C</t>
        </is>
      </c>
      <c r="G1225" t="inlineStr">
        <is>
          <t>Low Cost</t>
        </is>
      </c>
      <c r="H1225" t="n">
        <v>68</v>
      </c>
      <c r="I1225">
        <f>B1225&amp;"|"&amp;F1225&amp;"|"&amp;G1225</f>
        <v/>
      </c>
      <c r="J1225" t="inlineStr">
        <is>
          <t>MVS Sec.14 p.24</t>
        </is>
      </c>
    </row>
    <row r="1226">
      <c r="B1226" t="inlineStr">
        <is>
          <t>Cold Storage Facilities</t>
        </is>
      </c>
      <c r="C1226" t="inlineStr">
        <is>
          <t>447</t>
        </is>
      </c>
      <c r="D1226" t="inlineStr">
        <is>
          <t>14</t>
        </is>
      </c>
      <c r="E1226" t="inlineStr">
        <is>
          <t>24</t>
        </is>
      </c>
      <c r="F1226" t="inlineStr">
        <is>
          <t>D</t>
        </is>
      </c>
      <c r="G1226" t="inlineStr">
        <is>
          <t>Average</t>
        </is>
      </c>
      <c r="H1226" t="n">
        <v>87.5</v>
      </c>
      <c r="I1226">
        <f>B1226&amp;"|"&amp;F1226&amp;"|"&amp;G1226</f>
        <v/>
      </c>
      <c r="J1226" t="inlineStr">
        <is>
          <t>MVS Sec.14 p.24</t>
        </is>
      </c>
    </row>
    <row r="1227">
      <c r="B1227" t="inlineStr">
        <is>
          <t>Cold Storage Facilities</t>
        </is>
      </c>
      <c r="C1227" t="inlineStr">
        <is>
          <t>447</t>
        </is>
      </c>
      <c r="D1227" t="inlineStr">
        <is>
          <t>14</t>
        </is>
      </c>
      <c r="E1227" t="inlineStr">
        <is>
          <t>24</t>
        </is>
      </c>
      <c r="F1227" t="inlineStr">
        <is>
          <t>D</t>
        </is>
      </c>
      <c r="G1227" t="inlineStr">
        <is>
          <t>Low Cost</t>
        </is>
      </c>
      <c r="H1227" t="n">
        <v>63</v>
      </c>
      <c r="I1227">
        <f>B1227&amp;"|"&amp;F1227&amp;"|"&amp;G1227</f>
        <v/>
      </c>
      <c r="J1227" t="inlineStr">
        <is>
          <t>MVS Sec.14 p.24</t>
        </is>
      </c>
    </row>
    <row r="1228">
      <c r="B1228" t="inlineStr">
        <is>
          <t>Cold Storage Facilities</t>
        </is>
      </c>
      <c r="C1228" t="inlineStr">
        <is>
          <t>447</t>
        </is>
      </c>
      <c r="D1228" t="inlineStr">
        <is>
          <t>14</t>
        </is>
      </c>
      <c r="E1228" t="inlineStr">
        <is>
          <t>24</t>
        </is>
      </c>
      <c r="F1228" t="inlineStr">
        <is>
          <t>DPOLE</t>
        </is>
      </c>
      <c r="G1228" t="inlineStr">
        <is>
          <t>Average</t>
        </is>
      </c>
      <c r="H1228" t="n">
        <v>82.5</v>
      </c>
      <c r="I1228">
        <f>B1228&amp;"|"&amp;F1228&amp;"|"&amp;G1228</f>
        <v/>
      </c>
      <c r="J1228" t="inlineStr">
        <is>
          <t>MVS Sec.14 p.24</t>
        </is>
      </c>
    </row>
    <row r="1229">
      <c r="B1229" t="inlineStr">
        <is>
          <t>Cold Storage Facilities</t>
        </is>
      </c>
      <c r="C1229" t="inlineStr">
        <is>
          <t>447</t>
        </is>
      </c>
      <c r="D1229" t="inlineStr">
        <is>
          <t>14</t>
        </is>
      </c>
      <c r="E1229" t="inlineStr">
        <is>
          <t>24</t>
        </is>
      </c>
      <c r="F1229" t="inlineStr">
        <is>
          <t>DPOLE</t>
        </is>
      </c>
      <c r="G1229" t="inlineStr">
        <is>
          <t>Low Cost</t>
        </is>
      </c>
      <c r="H1229" t="n">
        <v>58.5</v>
      </c>
      <c r="I1229">
        <f>B1229&amp;"|"&amp;F1229&amp;"|"&amp;G1229</f>
        <v/>
      </c>
      <c r="J1229" t="inlineStr">
        <is>
          <t>MVS Sec.14 p.24</t>
        </is>
      </c>
    </row>
    <row r="1230">
      <c r="B1230" t="inlineStr">
        <is>
          <t>Cold Storage Facilities</t>
        </is>
      </c>
      <c r="C1230" t="inlineStr">
        <is>
          <t>447</t>
        </is>
      </c>
      <c r="D1230" t="inlineStr">
        <is>
          <t>14</t>
        </is>
      </c>
      <c r="E1230" t="inlineStr">
        <is>
          <t>24</t>
        </is>
      </c>
      <c r="F1230" t="inlineStr">
        <is>
          <t>S</t>
        </is>
      </c>
      <c r="G1230" t="inlineStr">
        <is>
          <t>Excellent</t>
        </is>
      </c>
      <c r="H1230" t="n">
        <v>186</v>
      </c>
      <c r="I1230">
        <f>B1230&amp;"|"&amp;F1230&amp;"|"&amp;G1230</f>
        <v/>
      </c>
      <c r="J1230" t="inlineStr">
        <is>
          <t>MVS Sec.14 p.24</t>
        </is>
      </c>
    </row>
    <row r="1231">
      <c r="B1231" t="inlineStr">
        <is>
          <t>Cold Storage Facilities</t>
        </is>
      </c>
      <c r="C1231" t="inlineStr">
        <is>
          <t>447</t>
        </is>
      </c>
      <c r="D1231" t="inlineStr">
        <is>
          <t>14</t>
        </is>
      </c>
      <c r="E1231" t="inlineStr">
        <is>
          <t>24</t>
        </is>
      </c>
      <c r="F1231" t="inlineStr">
        <is>
          <t>S</t>
        </is>
      </c>
      <c r="G1231" t="inlineStr">
        <is>
          <t>Good</t>
        </is>
      </c>
      <c r="H1231" t="n">
        <v>128</v>
      </c>
      <c r="I1231">
        <f>B1231&amp;"|"&amp;F1231&amp;"|"&amp;G1231</f>
        <v/>
      </c>
      <c r="J1231" t="inlineStr">
        <is>
          <t>MVS Sec.14 p.24</t>
        </is>
      </c>
    </row>
    <row r="1232">
      <c r="B1232" t="inlineStr">
        <is>
          <t>Cold Storage Facilities</t>
        </is>
      </c>
      <c r="C1232" t="inlineStr">
        <is>
          <t>447</t>
        </is>
      </c>
      <c r="D1232" t="inlineStr">
        <is>
          <t>14</t>
        </is>
      </c>
      <c r="E1232" t="inlineStr">
        <is>
          <t>24</t>
        </is>
      </c>
      <c r="F1232" t="inlineStr">
        <is>
          <t>S</t>
        </is>
      </c>
      <c r="G1232" t="inlineStr">
        <is>
          <t>Average</t>
        </is>
      </c>
      <c r="H1232" t="n">
        <v>89</v>
      </c>
      <c r="I1232">
        <f>B1232&amp;"|"&amp;F1232&amp;"|"&amp;G1232</f>
        <v/>
      </c>
      <c r="J1232" t="inlineStr">
        <is>
          <t>MVS Sec.14 p.24</t>
        </is>
      </c>
    </row>
    <row r="1233">
      <c r="B1233" t="inlineStr">
        <is>
          <t>Cold Storage Facilities</t>
        </is>
      </c>
      <c r="C1233" t="inlineStr">
        <is>
          <t>447</t>
        </is>
      </c>
      <c r="D1233" t="inlineStr">
        <is>
          <t>14</t>
        </is>
      </c>
      <c r="E1233" t="inlineStr">
        <is>
          <t>24</t>
        </is>
      </c>
      <c r="F1233" t="inlineStr">
        <is>
          <t>S</t>
        </is>
      </c>
      <c r="G1233" t="inlineStr">
        <is>
          <t>Fair</t>
        </is>
      </c>
      <c r="H1233" t="n">
        <v>73.5</v>
      </c>
      <c r="I1233">
        <f>B1233&amp;"|"&amp;F1233&amp;"|"&amp;G1233</f>
        <v/>
      </c>
      <c r="J1233" t="inlineStr">
        <is>
          <t>MVS Sec.14 p.24</t>
        </is>
      </c>
    </row>
    <row r="1234">
      <c r="B1234" t="inlineStr">
        <is>
          <t>Cold Storage Facilities</t>
        </is>
      </c>
      <c r="C1234" t="inlineStr">
        <is>
          <t>447</t>
        </is>
      </c>
      <c r="D1234" t="inlineStr">
        <is>
          <t>14</t>
        </is>
      </c>
      <c r="E1234" t="inlineStr">
        <is>
          <t>24</t>
        </is>
      </c>
      <c r="F1234" t="inlineStr">
        <is>
          <t>S</t>
        </is>
      </c>
      <c r="G1234" t="inlineStr">
        <is>
          <t>Low Cost</t>
        </is>
      </c>
      <c r="H1234" t="n">
        <v>63</v>
      </c>
      <c r="I1234">
        <f>B1234&amp;"|"&amp;F1234&amp;"|"&amp;G1234</f>
        <v/>
      </c>
      <c r="J1234" t="inlineStr">
        <is>
          <t>MVS Sec.14 p.24</t>
        </is>
      </c>
    </row>
    <row r="1235">
      <c r="B1235" t="inlineStr">
        <is>
          <t>Creameries</t>
        </is>
      </c>
      <c r="C1235" t="inlineStr">
        <is>
          <t>315</t>
        </is>
      </c>
      <c r="D1235" t="inlineStr">
        <is>
          <t>14</t>
        </is>
      </c>
      <c r="E1235" t="inlineStr">
        <is>
          <t>25</t>
        </is>
      </c>
      <c r="F1235" t="inlineStr">
        <is>
          <t>A-B</t>
        </is>
      </c>
      <c r="G1235" t="inlineStr">
        <is>
          <t>Average</t>
        </is>
      </c>
      <c r="H1235" t="n">
        <v>171</v>
      </c>
      <c r="I1235">
        <f>B1235&amp;"|"&amp;F1235&amp;"|"&amp;G1235</f>
        <v/>
      </c>
      <c r="J1235" t="inlineStr">
        <is>
          <t>MVS Sec.14 p.25</t>
        </is>
      </c>
    </row>
    <row r="1236">
      <c r="B1236" t="inlineStr">
        <is>
          <t>Creameries</t>
        </is>
      </c>
      <c r="C1236" t="inlineStr">
        <is>
          <t>315</t>
        </is>
      </c>
      <c r="D1236" t="inlineStr">
        <is>
          <t>14</t>
        </is>
      </c>
      <c r="E1236" t="inlineStr">
        <is>
          <t>25</t>
        </is>
      </c>
      <c r="F1236" t="inlineStr">
        <is>
          <t>C</t>
        </is>
      </c>
      <c r="G1236" t="inlineStr">
        <is>
          <t>Good</t>
        </is>
      </c>
      <c r="H1236" t="n">
        <v>163</v>
      </c>
      <c r="I1236">
        <f>B1236&amp;"|"&amp;F1236&amp;"|"&amp;G1236</f>
        <v/>
      </c>
      <c r="J1236" t="inlineStr">
        <is>
          <t>MVS Sec.14 p.25</t>
        </is>
      </c>
    </row>
    <row r="1237">
      <c r="B1237" t="inlineStr">
        <is>
          <t>Creameries</t>
        </is>
      </c>
      <c r="C1237" t="inlineStr">
        <is>
          <t>315</t>
        </is>
      </c>
      <c r="D1237" t="inlineStr">
        <is>
          <t>14</t>
        </is>
      </c>
      <c r="E1237" t="inlineStr">
        <is>
          <t>25</t>
        </is>
      </c>
      <c r="F1237" t="inlineStr">
        <is>
          <t>C</t>
        </is>
      </c>
      <c r="G1237" t="inlineStr">
        <is>
          <t>Average</t>
        </is>
      </c>
      <c r="H1237" t="n">
        <v>120</v>
      </c>
      <c r="I1237">
        <f>B1237&amp;"|"&amp;F1237&amp;"|"&amp;G1237</f>
        <v/>
      </c>
      <c r="J1237" t="inlineStr">
        <is>
          <t>MVS Sec.14 p.25</t>
        </is>
      </c>
    </row>
    <row r="1238">
      <c r="B1238" t="inlineStr">
        <is>
          <t>Creameries</t>
        </is>
      </c>
      <c r="C1238" t="inlineStr">
        <is>
          <t>315</t>
        </is>
      </c>
      <c r="D1238" t="inlineStr">
        <is>
          <t>14</t>
        </is>
      </c>
      <c r="E1238" t="inlineStr">
        <is>
          <t>25</t>
        </is>
      </c>
      <c r="F1238" t="inlineStr">
        <is>
          <t>C</t>
        </is>
      </c>
      <c r="G1238" t="inlineStr">
        <is>
          <t>Low Cost</t>
        </is>
      </c>
      <c r="H1238" t="n">
        <v>82</v>
      </c>
      <c r="I1238">
        <f>B1238&amp;"|"&amp;F1238&amp;"|"&amp;G1238</f>
        <v/>
      </c>
      <c r="J1238" t="inlineStr">
        <is>
          <t>MVS Sec.14 p.25</t>
        </is>
      </c>
    </row>
    <row r="1239">
      <c r="B1239" t="inlineStr">
        <is>
          <t>Creameries</t>
        </is>
      </c>
      <c r="C1239" t="inlineStr">
        <is>
          <t>315</t>
        </is>
      </c>
      <c r="D1239" t="inlineStr">
        <is>
          <t>14</t>
        </is>
      </c>
      <c r="E1239" t="inlineStr">
        <is>
          <t>25</t>
        </is>
      </c>
      <c r="F1239" t="inlineStr">
        <is>
          <t>D</t>
        </is>
      </c>
      <c r="G1239" t="inlineStr">
        <is>
          <t>Good</t>
        </is>
      </c>
      <c r="H1239" t="n">
        <v>150</v>
      </c>
      <c r="I1239">
        <f>B1239&amp;"|"&amp;F1239&amp;"|"&amp;G1239</f>
        <v/>
      </c>
      <c r="J1239" t="inlineStr">
        <is>
          <t>MVS Sec.14 p.25</t>
        </is>
      </c>
    </row>
    <row r="1240">
      <c r="B1240" t="inlineStr">
        <is>
          <t>Creameries</t>
        </is>
      </c>
      <c r="C1240" t="inlineStr">
        <is>
          <t>315</t>
        </is>
      </c>
      <c r="D1240" t="inlineStr">
        <is>
          <t>14</t>
        </is>
      </c>
      <c r="E1240" t="inlineStr">
        <is>
          <t>25</t>
        </is>
      </c>
      <c r="F1240" t="inlineStr">
        <is>
          <t>D</t>
        </is>
      </c>
      <c r="G1240" t="inlineStr">
        <is>
          <t>Average</t>
        </is>
      </c>
      <c r="H1240" t="n">
        <v>109</v>
      </c>
      <c r="I1240">
        <f>B1240&amp;"|"&amp;F1240&amp;"|"&amp;G1240</f>
        <v/>
      </c>
      <c r="J1240" t="inlineStr">
        <is>
          <t>MVS Sec.14 p.25</t>
        </is>
      </c>
    </row>
    <row r="1241">
      <c r="B1241" t="inlineStr">
        <is>
          <t>Creameries</t>
        </is>
      </c>
      <c r="C1241" t="inlineStr">
        <is>
          <t>315</t>
        </is>
      </c>
      <c r="D1241" t="inlineStr">
        <is>
          <t>14</t>
        </is>
      </c>
      <c r="E1241" t="inlineStr">
        <is>
          <t>25</t>
        </is>
      </c>
      <c r="F1241" t="inlineStr">
        <is>
          <t>D</t>
        </is>
      </c>
      <c r="G1241" t="inlineStr">
        <is>
          <t>Low Cost</t>
        </is>
      </c>
      <c r="H1241" t="n">
        <v>73</v>
      </c>
      <c r="I1241">
        <f>B1241&amp;"|"&amp;F1241&amp;"|"&amp;G1241</f>
        <v/>
      </c>
      <c r="J1241" t="inlineStr">
        <is>
          <t>MVS Sec.14 p.25</t>
        </is>
      </c>
    </row>
    <row r="1242">
      <c r="B1242" t="inlineStr">
        <is>
          <t>Creameries</t>
        </is>
      </c>
      <c r="C1242" t="inlineStr">
        <is>
          <t>315</t>
        </is>
      </c>
      <c r="D1242" t="inlineStr">
        <is>
          <t>14</t>
        </is>
      </c>
      <c r="E1242" t="inlineStr">
        <is>
          <t>25</t>
        </is>
      </c>
      <c r="F1242" t="inlineStr">
        <is>
          <t>S</t>
        </is>
      </c>
      <c r="G1242" t="inlineStr">
        <is>
          <t>Good</t>
        </is>
      </c>
      <c r="H1242" t="n">
        <v>154</v>
      </c>
      <c r="I1242">
        <f>B1242&amp;"|"&amp;F1242&amp;"|"&amp;G1242</f>
        <v/>
      </c>
      <c r="J1242" t="inlineStr">
        <is>
          <t>MVS Sec.14 p.25</t>
        </is>
      </c>
    </row>
    <row r="1243">
      <c r="B1243" t="inlineStr">
        <is>
          <t>Creameries</t>
        </is>
      </c>
      <c r="C1243" t="inlineStr">
        <is>
          <t>315</t>
        </is>
      </c>
      <c r="D1243" t="inlineStr">
        <is>
          <t>14</t>
        </is>
      </c>
      <c r="E1243" t="inlineStr">
        <is>
          <t>25</t>
        </is>
      </c>
      <c r="F1243" t="inlineStr">
        <is>
          <t>S</t>
        </is>
      </c>
      <c r="G1243" t="inlineStr">
        <is>
          <t>Average</t>
        </is>
      </c>
      <c r="H1243" t="n">
        <v>112</v>
      </c>
      <c r="I1243">
        <f>B1243&amp;"|"&amp;F1243&amp;"|"&amp;G1243</f>
        <v/>
      </c>
      <c r="J1243" t="inlineStr">
        <is>
          <t>MVS Sec.14 p.25</t>
        </is>
      </c>
    </row>
    <row r="1244">
      <c r="B1244" t="inlineStr">
        <is>
          <t>Creameries</t>
        </is>
      </c>
      <c r="C1244" t="inlineStr">
        <is>
          <t>315</t>
        </is>
      </c>
      <c r="D1244" t="inlineStr">
        <is>
          <t>14</t>
        </is>
      </c>
      <c r="E1244" t="inlineStr">
        <is>
          <t>25</t>
        </is>
      </c>
      <c r="F1244" t="inlineStr">
        <is>
          <t>S</t>
        </is>
      </c>
      <c r="G1244" t="inlineStr">
        <is>
          <t>Low Cost</t>
        </is>
      </c>
      <c r="H1244" t="n">
        <v>75</v>
      </c>
      <c r="I1244">
        <f>B1244&amp;"|"&amp;F1244&amp;"|"&amp;G1244</f>
        <v/>
      </c>
      <c r="J1244" t="inlineStr">
        <is>
          <t>MVS Sec.14 p.25</t>
        </is>
      </c>
    </row>
    <row r="1245">
      <c r="B1245" t="inlineStr">
        <is>
          <t>Mega (Storage/Distribution) Warehouses</t>
        </is>
      </c>
      <c r="C1245" t="inlineStr">
        <is>
          <t>584</t>
        </is>
      </c>
      <c r="D1245" t="inlineStr">
        <is>
          <t>14</t>
        </is>
      </c>
      <c r="E1245" t="inlineStr">
        <is>
          <t>25</t>
        </is>
      </c>
      <c r="F1245" t="inlineStr">
        <is>
          <t>C</t>
        </is>
      </c>
      <c r="G1245" t="inlineStr">
        <is>
          <t>Good</t>
        </is>
      </c>
      <c r="H1245" t="n">
        <v>79.5</v>
      </c>
      <c r="I1245">
        <f>B1245&amp;"|"&amp;F1245&amp;"|"&amp;G1245</f>
        <v/>
      </c>
      <c r="J1245" t="inlineStr">
        <is>
          <t>MVS Sec.14 p.25</t>
        </is>
      </c>
    </row>
    <row r="1246">
      <c r="B1246" t="inlineStr">
        <is>
          <t>Mega (Storage/Distribution) Warehouses</t>
        </is>
      </c>
      <c r="C1246" t="inlineStr">
        <is>
          <t>584</t>
        </is>
      </c>
      <c r="D1246" t="inlineStr">
        <is>
          <t>14</t>
        </is>
      </c>
      <c r="E1246" t="inlineStr">
        <is>
          <t>25</t>
        </is>
      </c>
      <c r="F1246" t="inlineStr">
        <is>
          <t>C</t>
        </is>
      </c>
      <c r="G1246" t="inlineStr">
        <is>
          <t>Average</t>
        </is>
      </c>
      <c r="H1246" t="n">
        <v>52</v>
      </c>
      <c r="I1246">
        <f>B1246&amp;"|"&amp;F1246&amp;"|"&amp;G1246</f>
        <v/>
      </c>
      <c r="J1246" t="inlineStr">
        <is>
          <t>MVS Sec.14 p.25</t>
        </is>
      </c>
    </row>
    <row r="1247">
      <c r="B1247" t="inlineStr">
        <is>
          <t>Mega (Storage/Distribution) Warehouses</t>
        </is>
      </c>
      <c r="C1247" t="inlineStr">
        <is>
          <t>584</t>
        </is>
      </c>
      <c r="D1247" t="inlineStr">
        <is>
          <t>14</t>
        </is>
      </c>
      <c r="E1247" t="inlineStr">
        <is>
          <t>25</t>
        </is>
      </c>
      <c r="F1247" t="inlineStr">
        <is>
          <t>C</t>
        </is>
      </c>
      <c r="G1247" t="inlineStr">
        <is>
          <t>Low Cost</t>
        </is>
      </c>
      <c r="H1247" t="n">
        <v>34.75</v>
      </c>
      <c r="I1247">
        <f>B1247&amp;"|"&amp;F1247&amp;"|"&amp;G1247</f>
        <v/>
      </c>
      <c r="J1247" t="inlineStr">
        <is>
          <t>MVS Sec.14 p.25</t>
        </is>
      </c>
    </row>
    <row r="1248">
      <c r="B1248" t="inlineStr">
        <is>
          <t>Mega (Storage/Distribution) Warehouses</t>
        </is>
      </c>
      <c r="C1248" t="inlineStr">
        <is>
          <t>584</t>
        </is>
      </c>
      <c r="D1248" t="inlineStr">
        <is>
          <t>14</t>
        </is>
      </c>
      <c r="E1248" t="inlineStr">
        <is>
          <t>25</t>
        </is>
      </c>
      <c r="F1248" t="inlineStr">
        <is>
          <t>C</t>
        </is>
      </c>
      <c r="G1248" t="inlineStr">
        <is>
          <t>Cheap</t>
        </is>
      </c>
      <c r="H1248" t="n">
        <v>28.5</v>
      </c>
      <c r="I1248">
        <f>B1248&amp;"|"&amp;F1248&amp;"|"&amp;G1248</f>
        <v/>
      </c>
      <c r="J1248" t="inlineStr">
        <is>
          <t>MVS Sec.14 p.25</t>
        </is>
      </c>
    </row>
    <row r="1249">
      <c r="B1249" t="inlineStr">
        <is>
          <t>Mega (Storage/Distribution) Warehouses</t>
        </is>
      </c>
      <c r="C1249" t="inlineStr">
        <is>
          <t>584</t>
        </is>
      </c>
      <c r="D1249" t="inlineStr">
        <is>
          <t>14</t>
        </is>
      </c>
      <c r="E1249" t="inlineStr">
        <is>
          <t>25</t>
        </is>
      </c>
      <c r="F1249" t="inlineStr">
        <is>
          <t>S</t>
        </is>
      </c>
      <c r="G1249" t="inlineStr">
        <is>
          <t>Good</t>
        </is>
      </c>
      <c r="H1249" t="n">
        <v>77</v>
      </c>
      <c r="I1249">
        <f>B1249&amp;"|"&amp;F1249&amp;"|"&amp;G1249</f>
        <v/>
      </c>
      <c r="J1249" t="inlineStr">
        <is>
          <t>MVS Sec.14 p.25</t>
        </is>
      </c>
    </row>
    <row r="1250">
      <c r="B1250" t="inlineStr">
        <is>
          <t>Mega (Storage/Distribution) Warehouses</t>
        </is>
      </c>
      <c r="C1250" t="inlineStr">
        <is>
          <t>584</t>
        </is>
      </c>
      <c r="D1250" t="inlineStr">
        <is>
          <t>14</t>
        </is>
      </c>
      <c r="E1250" t="inlineStr">
        <is>
          <t>25</t>
        </is>
      </c>
      <c r="F1250" t="inlineStr">
        <is>
          <t>S</t>
        </is>
      </c>
      <c r="G1250" t="inlineStr">
        <is>
          <t>Average</t>
        </is>
      </c>
      <c r="H1250" t="n">
        <v>52.5</v>
      </c>
      <c r="I1250">
        <f>B1250&amp;"|"&amp;F1250&amp;"|"&amp;G1250</f>
        <v/>
      </c>
      <c r="J1250" t="inlineStr">
        <is>
          <t>MVS Sec.14 p.25</t>
        </is>
      </c>
    </row>
    <row r="1251">
      <c r="B1251" t="inlineStr">
        <is>
          <t>Mega (Storage/Distribution) Warehouses</t>
        </is>
      </c>
      <c r="C1251" t="inlineStr">
        <is>
          <t>584</t>
        </is>
      </c>
      <c r="D1251" t="inlineStr">
        <is>
          <t>14</t>
        </is>
      </c>
      <c r="E1251" t="inlineStr">
        <is>
          <t>25</t>
        </is>
      </c>
      <c r="F1251" t="inlineStr">
        <is>
          <t>S</t>
        </is>
      </c>
      <c r="G1251" t="inlineStr">
        <is>
          <t>Low Cost</t>
        </is>
      </c>
      <c r="H1251" t="n">
        <v>36.25</v>
      </c>
      <c r="I1251">
        <f>B1251&amp;"|"&amp;F1251&amp;"|"&amp;G1251</f>
        <v/>
      </c>
      <c r="J1251" t="inlineStr">
        <is>
          <t>MVS Sec.14 p.25</t>
        </is>
      </c>
    </row>
    <row r="1252">
      <c r="B1252" t="inlineStr">
        <is>
          <t>Mega (Storage/Distribution) Warehouses</t>
        </is>
      </c>
      <c r="C1252" t="inlineStr">
        <is>
          <t>584</t>
        </is>
      </c>
      <c r="D1252" t="inlineStr">
        <is>
          <t>14</t>
        </is>
      </c>
      <c r="E1252" t="inlineStr">
        <is>
          <t>25</t>
        </is>
      </c>
      <c r="F1252" t="inlineStr">
        <is>
          <t>S</t>
        </is>
      </c>
      <c r="G1252" t="inlineStr">
        <is>
          <t>Cheap</t>
        </is>
      </c>
      <c r="H1252" t="n">
        <v>25.5</v>
      </c>
      <c r="I1252">
        <f>B1252&amp;"|"&amp;F1252&amp;"|"&amp;G1252</f>
        <v/>
      </c>
      <c r="J1252" t="inlineStr">
        <is>
          <t>MVS Sec.14 p.25</t>
        </is>
      </c>
    </row>
    <row r="1253">
      <c r="B1253" t="inlineStr">
        <is>
          <t>Storage Warehouses</t>
        </is>
      </c>
      <c r="C1253" t="inlineStr">
        <is>
          <t>406</t>
        </is>
      </c>
      <c r="D1253" t="inlineStr">
        <is>
          <t>14</t>
        </is>
      </c>
      <c r="E1253" t="inlineStr">
        <is>
          <t>26</t>
        </is>
      </c>
      <c r="F1253" t="inlineStr">
        <is>
          <t>A</t>
        </is>
      </c>
      <c r="G1253" t="inlineStr">
        <is>
          <t>Good</t>
        </is>
      </c>
      <c r="H1253" t="n">
        <v>137</v>
      </c>
      <c r="I1253">
        <f>B1253&amp;"|"&amp;F1253&amp;"|"&amp;G1253</f>
        <v/>
      </c>
      <c r="J1253" t="inlineStr">
        <is>
          <t>MVS Sec.14 p.26</t>
        </is>
      </c>
    </row>
    <row r="1254">
      <c r="B1254" t="inlineStr">
        <is>
          <t>Storage Warehouses</t>
        </is>
      </c>
      <c r="C1254" t="inlineStr">
        <is>
          <t>406</t>
        </is>
      </c>
      <c r="D1254" t="inlineStr">
        <is>
          <t>14</t>
        </is>
      </c>
      <c r="E1254" t="inlineStr">
        <is>
          <t>26</t>
        </is>
      </c>
      <c r="F1254" t="inlineStr">
        <is>
          <t>A</t>
        </is>
      </c>
      <c r="G1254" t="inlineStr">
        <is>
          <t>Average</t>
        </is>
      </c>
      <c r="H1254" t="n">
        <v>101</v>
      </c>
      <c r="I1254">
        <f>B1254&amp;"|"&amp;F1254&amp;"|"&amp;G1254</f>
        <v/>
      </c>
      <c r="J1254" t="inlineStr">
        <is>
          <t>MVS Sec.14 p.26</t>
        </is>
      </c>
    </row>
    <row r="1255">
      <c r="B1255" t="inlineStr">
        <is>
          <t>Storage Warehouses</t>
        </is>
      </c>
      <c r="C1255" t="inlineStr">
        <is>
          <t>406</t>
        </is>
      </c>
      <c r="D1255" t="inlineStr">
        <is>
          <t>14</t>
        </is>
      </c>
      <c r="E1255" t="inlineStr">
        <is>
          <t>26</t>
        </is>
      </c>
      <c r="F1255" t="inlineStr">
        <is>
          <t>A</t>
        </is>
      </c>
      <c r="G1255" t="inlineStr">
        <is>
          <t>Low Cost</t>
        </is>
      </c>
      <c r="H1255" t="n">
        <v>79.5</v>
      </c>
      <c r="I1255">
        <f>B1255&amp;"|"&amp;F1255&amp;"|"&amp;G1255</f>
        <v/>
      </c>
      <c r="J1255" t="inlineStr">
        <is>
          <t>MVS Sec.14 p.26</t>
        </is>
      </c>
    </row>
    <row r="1256">
      <c r="B1256" t="inlineStr">
        <is>
          <t>Storage Warehouses</t>
        </is>
      </c>
      <c r="C1256" t="inlineStr">
        <is>
          <t>406</t>
        </is>
      </c>
      <c r="D1256" t="inlineStr">
        <is>
          <t>14</t>
        </is>
      </c>
      <c r="E1256" t="inlineStr">
        <is>
          <t>26</t>
        </is>
      </c>
      <c r="F1256" t="inlineStr">
        <is>
          <t>B</t>
        </is>
      </c>
      <c r="G1256" t="inlineStr">
        <is>
          <t>Good</t>
        </is>
      </c>
      <c r="H1256" t="n">
        <v>121</v>
      </c>
      <c r="I1256">
        <f>B1256&amp;"|"&amp;F1256&amp;"|"&amp;G1256</f>
        <v/>
      </c>
      <c r="J1256" t="inlineStr">
        <is>
          <t>MVS Sec.14 p.26</t>
        </is>
      </c>
    </row>
    <row r="1257">
      <c r="B1257" t="inlineStr">
        <is>
          <t>Storage Warehouses</t>
        </is>
      </c>
      <c r="C1257" t="inlineStr">
        <is>
          <t>406</t>
        </is>
      </c>
      <c r="D1257" t="inlineStr">
        <is>
          <t>14</t>
        </is>
      </c>
      <c r="E1257" t="inlineStr">
        <is>
          <t>26</t>
        </is>
      </c>
      <c r="F1257" t="inlineStr">
        <is>
          <t>B</t>
        </is>
      </c>
      <c r="G1257" t="inlineStr">
        <is>
          <t>Average</t>
        </is>
      </c>
      <c r="H1257" t="n">
        <v>88</v>
      </c>
      <c r="I1257">
        <f>B1257&amp;"|"&amp;F1257&amp;"|"&amp;G1257</f>
        <v/>
      </c>
      <c r="J1257" t="inlineStr">
        <is>
          <t>MVS Sec.14 p.26</t>
        </is>
      </c>
    </row>
    <row r="1258">
      <c r="B1258" t="inlineStr">
        <is>
          <t>Storage Warehouses</t>
        </is>
      </c>
      <c r="C1258" t="inlineStr">
        <is>
          <t>406</t>
        </is>
      </c>
      <c r="D1258" t="inlineStr">
        <is>
          <t>14</t>
        </is>
      </c>
      <c r="E1258" t="inlineStr">
        <is>
          <t>26</t>
        </is>
      </c>
      <c r="F1258" t="inlineStr">
        <is>
          <t>B</t>
        </is>
      </c>
      <c r="G1258" t="inlineStr">
        <is>
          <t>Low Cost</t>
        </is>
      </c>
      <c r="H1258" t="n">
        <v>69</v>
      </c>
      <c r="I1258">
        <f>B1258&amp;"|"&amp;F1258&amp;"|"&amp;G1258</f>
        <v/>
      </c>
      <c r="J1258" t="inlineStr">
        <is>
          <t>MVS Sec.14 p.26</t>
        </is>
      </c>
    </row>
    <row r="1259">
      <c r="B1259" t="inlineStr">
        <is>
          <t>Storage Warehouses</t>
        </is>
      </c>
      <c r="C1259" t="inlineStr">
        <is>
          <t>406</t>
        </is>
      </c>
      <c r="D1259" t="inlineStr">
        <is>
          <t>14</t>
        </is>
      </c>
      <c r="E1259" t="inlineStr">
        <is>
          <t>26</t>
        </is>
      </c>
      <c r="F1259" t="inlineStr">
        <is>
          <t>C</t>
        </is>
      </c>
      <c r="G1259" t="inlineStr">
        <is>
          <t>Excellent</t>
        </is>
      </c>
      <c r="H1259" t="n">
        <v>134</v>
      </c>
      <c r="I1259">
        <f>B1259&amp;"|"&amp;F1259&amp;"|"&amp;G1259</f>
        <v/>
      </c>
      <c r="J1259" t="inlineStr">
        <is>
          <t>MVS Sec.14 p.26</t>
        </is>
      </c>
    </row>
    <row r="1260">
      <c r="B1260" t="inlineStr">
        <is>
          <t>Storage Warehouses</t>
        </is>
      </c>
      <c r="C1260" t="inlineStr">
        <is>
          <t>406</t>
        </is>
      </c>
      <c r="D1260" t="inlineStr">
        <is>
          <t>14</t>
        </is>
      </c>
      <c r="E1260" t="inlineStr">
        <is>
          <t>26</t>
        </is>
      </c>
      <c r="F1260" t="inlineStr">
        <is>
          <t>C</t>
        </is>
      </c>
      <c r="G1260" t="inlineStr">
        <is>
          <t>Good</t>
        </is>
      </c>
      <c r="H1260" t="n">
        <v>86.5</v>
      </c>
      <c r="I1260">
        <f>B1260&amp;"|"&amp;F1260&amp;"|"&amp;G1260</f>
        <v/>
      </c>
      <c r="J1260" t="inlineStr">
        <is>
          <t>MVS Sec.14 p.26</t>
        </is>
      </c>
    </row>
    <row r="1261">
      <c r="B1261" t="inlineStr">
        <is>
          <t>Storage Warehouses</t>
        </is>
      </c>
      <c r="C1261" t="inlineStr">
        <is>
          <t>406</t>
        </is>
      </c>
      <c r="D1261" t="inlineStr">
        <is>
          <t>14</t>
        </is>
      </c>
      <c r="E1261" t="inlineStr">
        <is>
          <t>26</t>
        </is>
      </c>
      <c r="F1261" t="inlineStr">
        <is>
          <t>C</t>
        </is>
      </c>
      <c r="G1261" t="inlineStr">
        <is>
          <t>Average</t>
        </is>
      </c>
      <c r="H1261" t="n">
        <v>61</v>
      </c>
      <c r="I1261">
        <f>B1261&amp;"|"&amp;F1261&amp;"|"&amp;G1261</f>
        <v/>
      </c>
      <c r="J1261" t="inlineStr">
        <is>
          <t>MVS Sec.14 p.26</t>
        </is>
      </c>
    </row>
    <row r="1262">
      <c r="B1262" t="inlineStr">
        <is>
          <t>Storage Warehouses</t>
        </is>
      </c>
      <c r="C1262" t="inlineStr">
        <is>
          <t>406</t>
        </is>
      </c>
      <c r="D1262" t="inlineStr">
        <is>
          <t>14</t>
        </is>
      </c>
      <c r="E1262" t="inlineStr">
        <is>
          <t>26</t>
        </is>
      </c>
      <c r="F1262" t="inlineStr">
        <is>
          <t>C</t>
        </is>
      </c>
      <c r="G1262" t="inlineStr">
        <is>
          <t>Low Cost</t>
        </is>
      </c>
      <c r="H1262" t="n">
        <v>43</v>
      </c>
      <c r="I1262">
        <f>B1262&amp;"|"&amp;F1262&amp;"|"&amp;G1262</f>
        <v/>
      </c>
      <c r="J1262" t="inlineStr">
        <is>
          <t>MVS Sec.14 p.26</t>
        </is>
      </c>
    </row>
    <row r="1263">
      <c r="B1263" t="inlineStr">
        <is>
          <t>Storage Warehouses</t>
        </is>
      </c>
      <c r="C1263" t="inlineStr">
        <is>
          <t>406</t>
        </is>
      </c>
      <c r="D1263" t="inlineStr">
        <is>
          <t>14</t>
        </is>
      </c>
      <c r="E1263" t="inlineStr">
        <is>
          <t>26</t>
        </is>
      </c>
      <c r="F1263" t="inlineStr">
        <is>
          <t>CMILL</t>
        </is>
      </c>
      <c r="G1263" t="inlineStr">
        <is>
          <t>Good</t>
        </is>
      </c>
      <c r="H1263" t="n">
        <v>119</v>
      </c>
      <c r="I1263">
        <f>B1263&amp;"|"&amp;F1263&amp;"|"&amp;G1263</f>
        <v/>
      </c>
      <c r="J1263" t="inlineStr">
        <is>
          <t>MVS Sec.14 p.26</t>
        </is>
      </c>
    </row>
    <row r="1264">
      <c r="B1264" t="inlineStr">
        <is>
          <t>Storage Warehouses</t>
        </is>
      </c>
      <c r="C1264" t="inlineStr">
        <is>
          <t>406</t>
        </is>
      </c>
      <c r="D1264" t="inlineStr">
        <is>
          <t>14</t>
        </is>
      </c>
      <c r="E1264" t="inlineStr">
        <is>
          <t>26</t>
        </is>
      </c>
      <c r="F1264" t="inlineStr">
        <is>
          <t>CMILL</t>
        </is>
      </c>
      <c r="G1264" t="inlineStr">
        <is>
          <t>Average</t>
        </is>
      </c>
      <c r="H1264" t="n">
        <v>82</v>
      </c>
      <c r="I1264">
        <f>B1264&amp;"|"&amp;F1264&amp;"|"&amp;G1264</f>
        <v/>
      </c>
      <c r="J1264" t="inlineStr">
        <is>
          <t>MVS Sec.14 p.26</t>
        </is>
      </c>
    </row>
    <row r="1265">
      <c r="B1265" t="inlineStr">
        <is>
          <t>Storage Warehouses</t>
        </is>
      </c>
      <c r="C1265" t="inlineStr">
        <is>
          <t>406</t>
        </is>
      </c>
      <c r="D1265" t="inlineStr">
        <is>
          <t>14</t>
        </is>
      </c>
      <c r="E1265" t="inlineStr">
        <is>
          <t>26</t>
        </is>
      </c>
      <c r="F1265" t="inlineStr">
        <is>
          <t>D</t>
        </is>
      </c>
      <c r="G1265" t="inlineStr">
        <is>
          <t>Good</t>
        </is>
      </c>
      <c r="H1265" t="n">
        <v>78</v>
      </c>
      <c r="I1265">
        <f>B1265&amp;"|"&amp;F1265&amp;"|"&amp;G1265</f>
        <v/>
      </c>
      <c r="J1265" t="inlineStr">
        <is>
          <t>MVS Sec.14 p.26</t>
        </is>
      </c>
    </row>
    <row r="1266">
      <c r="B1266" t="inlineStr">
        <is>
          <t>Storage Warehouses</t>
        </is>
      </c>
      <c r="C1266" t="inlineStr">
        <is>
          <t>406</t>
        </is>
      </c>
      <c r="D1266" t="inlineStr">
        <is>
          <t>14</t>
        </is>
      </c>
      <c r="E1266" t="inlineStr">
        <is>
          <t>26</t>
        </is>
      </c>
      <c r="F1266" t="inlineStr">
        <is>
          <t>D</t>
        </is>
      </c>
      <c r="G1266" t="inlineStr">
        <is>
          <t>Average</t>
        </is>
      </c>
      <c r="H1266" t="n">
        <v>54.5</v>
      </c>
      <c r="I1266">
        <f>B1266&amp;"|"&amp;F1266&amp;"|"&amp;G1266</f>
        <v/>
      </c>
      <c r="J1266" t="inlineStr">
        <is>
          <t>MVS Sec.14 p.26</t>
        </is>
      </c>
    </row>
    <row r="1267">
      <c r="B1267" t="inlineStr">
        <is>
          <t>Storage Warehouses</t>
        </is>
      </c>
      <c r="C1267" t="inlineStr">
        <is>
          <t>406</t>
        </is>
      </c>
      <c r="D1267" t="inlineStr">
        <is>
          <t>14</t>
        </is>
      </c>
      <c r="E1267" t="inlineStr">
        <is>
          <t>26</t>
        </is>
      </c>
      <c r="F1267" t="inlineStr">
        <is>
          <t>D</t>
        </is>
      </c>
      <c r="G1267" t="inlineStr">
        <is>
          <t>Low Cost</t>
        </is>
      </c>
      <c r="H1267" t="n">
        <v>38.75</v>
      </c>
      <c r="I1267">
        <f>B1267&amp;"|"&amp;F1267&amp;"|"&amp;G1267</f>
        <v/>
      </c>
      <c r="J1267" t="inlineStr">
        <is>
          <t>MVS Sec.14 p.26</t>
        </is>
      </c>
    </row>
    <row r="1268">
      <c r="B1268" t="inlineStr">
        <is>
          <t>Storage Warehouses</t>
        </is>
      </c>
      <c r="C1268" t="inlineStr">
        <is>
          <t>406</t>
        </is>
      </c>
      <c r="D1268" t="inlineStr">
        <is>
          <t>14</t>
        </is>
      </c>
      <c r="E1268" t="inlineStr">
        <is>
          <t>26</t>
        </is>
      </c>
      <c r="F1268" t="inlineStr">
        <is>
          <t>DPOLE</t>
        </is>
      </c>
      <c r="G1268" t="inlineStr">
        <is>
          <t>Average</t>
        </is>
      </c>
      <c r="H1268" t="n">
        <v>48</v>
      </c>
      <c r="I1268">
        <f>B1268&amp;"|"&amp;F1268&amp;"|"&amp;G1268</f>
        <v/>
      </c>
      <c r="J1268" t="inlineStr">
        <is>
          <t>MVS Sec.14 p.26</t>
        </is>
      </c>
    </row>
    <row r="1269">
      <c r="B1269" t="inlineStr">
        <is>
          <t>Storage Warehouses</t>
        </is>
      </c>
      <c r="C1269" t="inlineStr">
        <is>
          <t>406</t>
        </is>
      </c>
      <c r="D1269" t="inlineStr">
        <is>
          <t>14</t>
        </is>
      </c>
      <c r="E1269" t="inlineStr">
        <is>
          <t>26</t>
        </is>
      </c>
      <c r="F1269" t="inlineStr">
        <is>
          <t>DPOLE</t>
        </is>
      </c>
      <c r="G1269" t="inlineStr">
        <is>
          <t>Low Cost</t>
        </is>
      </c>
      <c r="H1269" t="n">
        <v>34</v>
      </c>
      <c r="I1269">
        <f>B1269&amp;"|"&amp;F1269&amp;"|"&amp;G1269</f>
        <v/>
      </c>
      <c r="J1269" t="inlineStr">
        <is>
          <t>MVS Sec.14 p.26</t>
        </is>
      </c>
    </row>
    <row r="1270">
      <c r="B1270" t="inlineStr">
        <is>
          <t>Storage Warehouses</t>
        </is>
      </c>
      <c r="C1270" t="inlineStr">
        <is>
          <t>406</t>
        </is>
      </c>
      <c r="D1270" t="inlineStr">
        <is>
          <t>14</t>
        </is>
      </c>
      <c r="E1270" t="inlineStr">
        <is>
          <t>26</t>
        </is>
      </c>
      <c r="F1270" t="inlineStr">
        <is>
          <t>S</t>
        </is>
      </c>
      <c r="G1270" t="inlineStr">
        <is>
          <t>Excellent</t>
        </is>
      </c>
      <c r="H1270" t="n">
        <v>125</v>
      </c>
      <c r="I1270">
        <f>B1270&amp;"|"&amp;F1270&amp;"|"&amp;G1270</f>
        <v/>
      </c>
      <c r="J1270" t="inlineStr">
        <is>
          <t>MVS Sec.14 p.26</t>
        </is>
      </c>
    </row>
    <row r="1271">
      <c r="B1271" t="inlineStr">
        <is>
          <t>Storage Warehouses</t>
        </is>
      </c>
      <c r="C1271" t="inlineStr">
        <is>
          <t>406</t>
        </is>
      </c>
      <c r="D1271" t="inlineStr">
        <is>
          <t>14</t>
        </is>
      </c>
      <c r="E1271" t="inlineStr">
        <is>
          <t>26</t>
        </is>
      </c>
      <c r="F1271" t="inlineStr">
        <is>
          <t>S</t>
        </is>
      </c>
      <c r="G1271" t="inlineStr">
        <is>
          <t>Good</t>
        </is>
      </c>
      <c r="H1271" t="n">
        <v>79.5</v>
      </c>
      <c r="I1271">
        <f>B1271&amp;"|"&amp;F1271&amp;"|"&amp;G1271</f>
        <v/>
      </c>
      <c r="J1271" t="inlineStr">
        <is>
          <t>MVS Sec.14 p.26</t>
        </is>
      </c>
    </row>
    <row r="1272">
      <c r="B1272" t="inlineStr">
        <is>
          <t>Storage Warehouses</t>
        </is>
      </c>
      <c r="C1272" t="inlineStr">
        <is>
          <t>406</t>
        </is>
      </c>
      <c r="D1272" t="inlineStr">
        <is>
          <t>14</t>
        </is>
      </c>
      <c r="E1272" t="inlineStr">
        <is>
          <t>26</t>
        </is>
      </c>
      <c r="F1272" t="inlineStr">
        <is>
          <t>S</t>
        </is>
      </c>
      <c r="G1272" t="inlineStr">
        <is>
          <t>Average</t>
        </is>
      </c>
      <c r="H1272" t="n">
        <v>55.5</v>
      </c>
      <c r="I1272">
        <f>B1272&amp;"|"&amp;F1272&amp;"|"&amp;G1272</f>
        <v/>
      </c>
      <c r="J1272" t="inlineStr">
        <is>
          <t>MVS Sec.14 p.26</t>
        </is>
      </c>
    </row>
    <row r="1273">
      <c r="B1273" t="inlineStr">
        <is>
          <t>Storage Warehouses</t>
        </is>
      </c>
      <c r="C1273" t="inlineStr">
        <is>
          <t>406</t>
        </is>
      </c>
      <c r="D1273" t="inlineStr">
        <is>
          <t>14</t>
        </is>
      </c>
      <c r="E1273" t="inlineStr">
        <is>
          <t>26</t>
        </is>
      </c>
      <c r="F1273" t="inlineStr">
        <is>
          <t>S</t>
        </is>
      </c>
      <c r="G1273" t="inlineStr">
        <is>
          <t>Low Cost</t>
        </is>
      </c>
      <c r="H1273" t="n">
        <v>38.75</v>
      </c>
      <c r="I1273">
        <f>B1273&amp;"|"&amp;F1273&amp;"|"&amp;G1273</f>
        <v/>
      </c>
      <c r="J1273" t="inlineStr">
        <is>
          <t>MVS Sec.14 p.26</t>
        </is>
      </c>
    </row>
    <row r="1274">
      <c r="B1274" t="inlineStr">
        <is>
          <t>Mini-Warehouses / Self-Storage</t>
        </is>
      </c>
      <c r="C1274" t="inlineStr">
        <is>
          <t>386</t>
        </is>
      </c>
      <c r="D1274" t="inlineStr">
        <is>
          <t>14</t>
        </is>
      </c>
      <c r="E1274" t="inlineStr">
        <is>
          <t>28</t>
        </is>
      </c>
      <c r="F1274" t="inlineStr">
        <is>
          <t>C</t>
        </is>
      </c>
      <c r="G1274" t="inlineStr">
        <is>
          <t>Good</t>
        </is>
      </c>
      <c r="H1274" t="n">
        <v>68.5</v>
      </c>
      <c r="I1274">
        <f>B1274&amp;"|"&amp;F1274&amp;"|"&amp;G1274</f>
        <v/>
      </c>
      <c r="J1274" t="inlineStr">
        <is>
          <t>MVS Sec.14 p.28</t>
        </is>
      </c>
    </row>
    <row r="1275">
      <c r="B1275" t="inlineStr">
        <is>
          <t>Mini-Warehouses / Self-Storage</t>
        </is>
      </c>
      <c r="C1275" t="inlineStr">
        <is>
          <t>386</t>
        </is>
      </c>
      <c r="D1275" t="inlineStr">
        <is>
          <t>14</t>
        </is>
      </c>
      <c r="E1275" t="inlineStr">
        <is>
          <t>28</t>
        </is>
      </c>
      <c r="F1275" t="inlineStr">
        <is>
          <t>C</t>
        </is>
      </c>
      <c r="G1275" t="inlineStr">
        <is>
          <t>Average</t>
        </is>
      </c>
      <c r="H1275" t="n">
        <v>51</v>
      </c>
      <c r="I1275">
        <f>B1275&amp;"|"&amp;F1275&amp;"|"&amp;G1275</f>
        <v/>
      </c>
      <c r="J1275" t="inlineStr">
        <is>
          <t>MVS Sec.14 p.28</t>
        </is>
      </c>
    </row>
    <row r="1276">
      <c r="B1276" t="inlineStr">
        <is>
          <t>Mini-Warehouses / Self-Storage</t>
        </is>
      </c>
      <c r="C1276" t="inlineStr">
        <is>
          <t>386</t>
        </is>
      </c>
      <c r="D1276" t="inlineStr">
        <is>
          <t>14</t>
        </is>
      </c>
      <c r="E1276" t="inlineStr">
        <is>
          <t>28</t>
        </is>
      </c>
      <c r="F1276" t="inlineStr">
        <is>
          <t>C</t>
        </is>
      </c>
      <c r="G1276" t="inlineStr">
        <is>
          <t>Low Cost</t>
        </is>
      </c>
      <c r="H1276" t="n">
        <v>38.25</v>
      </c>
      <c r="I1276">
        <f>B1276&amp;"|"&amp;F1276&amp;"|"&amp;G1276</f>
        <v/>
      </c>
      <c r="J1276" t="inlineStr">
        <is>
          <t>MVS Sec.14 p.28</t>
        </is>
      </c>
    </row>
    <row r="1277">
      <c r="B1277" t="inlineStr">
        <is>
          <t>Mini-Warehouses / Self-Storage</t>
        </is>
      </c>
      <c r="C1277" t="inlineStr">
        <is>
          <t>386</t>
        </is>
      </c>
      <c r="D1277" t="inlineStr">
        <is>
          <t>14</t>
        </is>
      </c>
      <c r="E1277" t="inlineStr">
        <is>
          <t>28</t>
        </is>
      </c>
      <c r="F1277" t="inlineStr">
        <is>
          <t>D</t>
        </is>
      </c>
      <c r="G1277" t="inlineStr">
        <is>
          <t>Good</t>
        </is>
      </c>
      <c r="H1277" t="n">
        <v>63.5</v>
      </c>
      <c r="I1277">
        <f>B1277&amp;"|"&amp;F1277&amp;"|"&amp;G1277</f>
        <v/>
      </c>
      <c r="J1277" t="inlineStr">
        <is>
          <t>MVS Sec.14 p.28</t>
        </is>
      </c>
    </row>
    <row r="1278">
      <c r="B1278" t="inlineStr">
        <is>
          <t>Mini-Warehouses / Self-Storage</t>
        </is>
      </c>
      <c r="C1278" t="inlineStr">
        <is>
          <t>386</t>
        </is>
      </c>
      <c r="D1278" t="inlineStr">
        <is>
          <t>14</t>
        </is>
      </c>
      <c r="E1278" t="inlineStr">
        <is>
          <t>28</t>
        </is>
      </c>
      <c r="F1278" t="inlineStr">
        <is>
          <t>D</t>
        </is>
      </c>
      <c r="G1278" t="inlineStr">
        <is>
          <t>Average</t>
        </is>
      </c>
      <c r="H1278" t="n">
        <v>47.5</v>
      </c>
      <c r="I1278">
        <f>B1278&amp;"|"&amp;F1278&amp;"|"&amp;G1278</f>
        <v/>
      </c>
      <c r="J1278" t="inlineStr">
        <is>
          <t>MVS Sec.14 p.28</t>
        </is>
      </c>
    </row>
    <row r="1279">
      <c r="B1279" t="inlineStr">
        <is>
          <t>Mini-Warehouses / Self-Storage</t>
        </is>
      </c>
      <c r="C1279" t="inlineStr">
        <is>
          <t>386</t>
        </is>
      </c>
      <c r="D1279" t="inlineStr">
        <is>
          <t>14</t>
        </is>
      </c>
      <c r="E1279" t="inlineStr">
        <is>
          <t>28</t>
        </is>
      </c>
      <c r="F1279" t="inlineStr">
        <is>
          <t>D</t>
        </is>
      </c>
      <c r="G1279" t="inlineStr">
        <is>
          <t>Low Cost</t>
        </is>
      </c>
      <c r="H1279" t="n">
        <v>35.5</v>
      </c>
      <c r="I1279">
        <f>B1279&amp;"|"&amp;F1279&amp;"|"&amp;G1279</f>
        <v/>
      </c>
      <c r="J1279" t="inlineStr">
        <is>
          <t>MVS Sec.14 p.28</t>
        </is>
      </c>
    </row>
    <row r="1280">
      <c r="B1280" t="inlineStr">
        <is>
          <t>Mini-Warehouses / Self-Storage</t>
        </is>
      </c>
      <c r="C1280" t="inlineStr">
        <is>
          <t>386</t>
        </is>
      </c>
      <c r="D1280" t="inlineStr">
        <is>
          <t>14</t>
        </is>
      </c>
      <c r="E1280" t="inlineStr">
        <is>
          <t>28</t>
        </is>
      </c>
      <c r="F1280" t="inlineStr">
        <is>
          <t>DPOLE</t>
        </is>
      </c>
      <c r="G1280" t="inlineStr">
        <is>
          <t>Good</t>
        </is>
      </c>
      <c r="H1280" t="n">
        <v>58.5</v>
      </c>
      <c r="I1280">
        <f>B1280&amp;"|"&amp;F1280&amp;"|"&amp;G1280</f>
        <v/>
      </c>
      <c r="J1280" t="inlineStr">
        <is>
          <t>MVS Sec.14 p.28</t>
        </is>
      </c>
    </row>
    <row r="1281">
      <c r="B1281" t="inlineStr">
        <is>
          <t>Mini-Warehouses / Self-Storage</t>
        </is>
      </c>
      <c r="C1281" t="inlineStr">
        <is>
          <t>386</t>
        </is>
      </c>
      <c r="D1281" t="inlineStr">
        <is>
          <t>14</t>
        </is>
      </c>
      <c r="E1281" t="inlineStr">
        <is>
          <t>28</t>
        </is>
      </c>
      <c r="F1281" t="inlineStr">
        <is>
          <t>DPOLE</t>
        </is>
      </c>
      <c r="G1281" t="inlineStr">
        <is>
          <t>Average</t>
        </is>
      </c>
      <c r="H1281" t="n">
        <v>43.5</v>
      </c>
      <c r="I1281">
        <f>B1281&amp;"|"&amp;F1281&amp;"|"&amp;G1281</f>
        <v/>
      </c>
      <c r="J1281" t="inlineStr">
        <is>
          <t>MVS Sec.14 p.28</t>
        </is>
      </c>
    </row>
    <row r="1282">
      <c r="B1282" t="inlineStr">
        <is>
          <t>Mini-Warehouses / Self-Storage</t>
        </is>
      </c>
      <c r="C1282" t="inlineStr">
        <is>
          <t>386</t>
        </is>
      </c>
      <c r="D1282" t="inlineStr">
        <is>
          <t>14</t>
        </is>
      </c>
      <c r="E1282" t="inlineStr">
        <is>
          <t>28</t>
        </is>
      </c>
      <c r="F1282" t="inlineStr">
        <is>
          <t>DPOLE</t>
        </is>
      </c>
      <c r="G1282" t="inlineStr">
        <is>
          <t>Low Cost</t>
        </is>
      </c>
      <c r="H1282" t="n">
        <v>32.5</v>
      </c>
      <c r="I1282">
        <f>B1282&amp;"|"&amp;F1282&amp;"|"&amp;G1282</f>
        <v/>
      </c>
      <c r="J1282" t="inlineStr">
        <is>
          <t>MVS Sec.14 p.28</t>
        </is>
      </c>
    </row>
    <row r="1283">
      <c r="B1283" t="inlineStr">
        <is>
          <t>Mini-Warehouses / Self-Storage</t>
        </is>
      </c>
      <c r="C1283" t="inlineStr">
        <is>
          <t>386</t>
        </is>
      </c>
      <c r="D1283" t="inlineStr">
        <is>
          <t>14</t>
        </is>
      </c>
      <c r="E1283" t="inlineStr">
        <is>
          <t>28</t>
        </is>
      </c>
      <c r="F1283" t="inlineStr">
        <is>
          <t>S</t>
        </is>
      </c>
      <c r="G1283" t="inlineStr">
        <is>
          <t>Good</t>
        </is>
      </c>
      <c r="H1283" t="n">
        <v>63.5</v>
      </c>
      <c r="I1283">
        <f>B1283&amp;"|"&amp;F1283&amp;"|"&amp;G1283</f>
        <v/>
      </c>
      <c r="J1283" t="inlineStr">
        <is>
          <t>MVS Sec.14 p.28</t>
        </is>
      </c>
    </row>
    <row r="1284">
      <c r="B1284" t="inlineStr">
        <is>
          <t>Mini-Warehouses / Self-Storage</t>
        </is>
      </c>
      <c r="C1284" t="inlineStr">
        <is>
          <t>386</t>
        </is>
      </c>
      <c r="D1284" t="inlineStr">
        <is>
          <t>14</t>
        </is>
      </c>
      <c r="E1284" t="inlineStr">
        <is>
          <t>28</t>
        </is>
      </c>
      <c r="F1284" t="inlineStr">
        <is>
          <t>S</t>
        </is>
      </c>
      <c r="G1284" t="inlineStr">
        <is>
          <t>Average</t>
        </is>
      </c>
      <c r="H1284" t="n">
        <v>47.5</v>
      </c>
      <c r="I1284">
        <f>B1284&amp;"|"&amp;F1284&amp;"|"&amp;G1284</f>
        <v/>
      </c>
      <c r="J1284" t="inlineStr">
        <is>
          <t>MVS Sec.14 p.28</t>
        </is>
      </c>
    </row>
    <row r="1285">
      <c r="B1285" t="inlineStr">
        <is>
          <t>Mini-Warehouses / Self-Storage</t>
        </is>
      </c>
      <c r="C1285" t="inlineStr">
        <is>
          <t>386</t>
        </is>
      </c>
      <c r="D1285" t="inlineStr">
        <is>
          <t>14</t>
        </is>
      </c>
      <c r="E1285" t="inlineStr">
        <is>
          <t>28</t>
        </is>
      </c>
      <c r="F1285" t="inlineStr">
        <is>
          <t>S</t>
        </is>
      </c>
      <c r="G1285" t="inlineStr">
        <is>
          <t>Low Cost</t>
        </is>
      </c>
      <c r="H1285" t="n">
        <v>35.5</v>
      </c>
      <c r="I1285">
        <f>B1285&amp;"|"&amp;F1285&amp;"|"&amp;G1285</f>
        <v/>
      </c>
      <c r="J1285" t="inlineStr">
        <is>
          <t>MVS Sec.14 p.28</t>
        </is>
      </c>
    </row>
    <row r="1286">
      <c r="B1286" t="inlineStr">
        <is>
          <t>Mini-Warehouses / Self-Storage</t>
        </is>
      </c>
      <c r="C1286" t="inlineStr">
        <is>
          <t>386</t>
        </is>
      </c>
      <c r="D1286" t="inlineStr">
        <is>
          <t>14</t>
        </is>
      </c>
      <c r="E1286" t="inlineStr">
        <is>
          <t>28</t>
        </is>
      </c>
      <c r="F1286" t="inlineStr">
        <is>
          <t>S</t>
        </is>
      </c>
      <c r="G1286" t="inlineStr">
        <is>
          <t>Cheap</t>
        </is>
      </c>
      <c r="H1286" t="n">
        <v>26.25</v>
      </c>
      <c r="I1286">
        <f>B1286&amp;"|"&amp;F1286&amp;"|"&amp;G1286</f>
        <v/>
      </c>
      <c r="J1286" t="inlineStr">
        <is>
          <t>MVS Sec.14 p.28</t>
        </is>
      </c>
    </row>
    <row r="1287">
      <c r="B1287" t="inlineStr">
        <is>
          <t>Mini-Warehouses, High-Rise</t>
        </is>
      </c>
      <c r="C1287" t="inlineStr">
        <is>
          <t>525</t>
        </is>
      </c>
      <c r="D1287" t="inlineStr">
        <is>
          <t>14</t>
        </is>
      </c>
      <c r="E1287" t="inlineStr">
        <is>
          <t>28</t>
        </is>
      </c>
      <c r="F1287" t="inlineStr">
        <is>
          <t>A-B</t>
        </is>
      </c>
      <c r="G1287" t="inlineStr">
        <is>
          <t>Average</t>
        </is>
      </c>
      <c r="H1287" t="n">
        <v>94</v>
      </c>
      <c r="I1287">
        <f>B1287&amp;"|"&amp;F1287&amp;"|"&amp;G1287</f>
        <v/>
      </c>
      <c r="J1287" t="inlineStr">
        <is>
          <t>MVS Sec.14 p.28</t>
        </is>
      </c>
    </row>
    <row r="1288">
      <c r="B1288" t="inlineStr">
        <is>
          <t>Mini-Warehouses, High-Rise</t>
        </is>
      </c>
      <c r="C1288" t="inlineStr">
        <is>
          <t>525</t>
        </is>
      </c>
      <c r="D1288" t="inlineStr">
        <is>
          <t>14</t>
        </is>
      </c>
      <c r="E1288" t="inlineStr">
        <is>
          <t>28</t>
        </is>
      </c>
      <c r="F1288" t="inlineStr">
        <is>
          <t>C</t>
        </is>
      </c>
      <c r="G1288" t="inlineStr">
        <is>
          <t>Good</t>
        </is>
      </c>
      <c r="H1288" t="n">
        <v>86.5</v>
      </c>
      <c r="I1288">
        <f>B1288&amp;"|"&amp;F1288&amp;"|"&amp;G1288</f>
        <v/>
      </c>
      <c r="J1288" t="inlineStr">
        <is>
          <t>MVS Sec.14 p.28</t>
        </is>
      </c>
    </row>
    <row r="1289">
      <c r="B1289" t="inlineStr">
        <is>
          <t>Mini-Warehouses, High-Rise</t>
        </is>
      </c>
      <c r="C1289" t="inlineStr">
        <is>
          <t>525</t>
        </is>
      </c>
      <c r="D1289" t="inlineStr">
        <is>
          <t>14</t>
        </is>
      </c>
      <c r="E1289" t="inlineStr">
        <is>
          <t>28</t>
        </is>
      </c>
      <c r="F1289" t="inlineStr">
        <is>
          <t>C</t>
        </is>
      </c>
      <c r="G1289" t="inlineStr">
        <is>
          <t>Average</t>
        </is>
      </c>
      <c r="H1289" t="n">
        <v>66</v>
      </c>
      <c r="I1289">
        <f>B1289&amp;"|"&amp;F1289&amp;"|"&amp;G1289</f>
        <v/>
      </c>
      <c r="J1289" t="inlineStr">
        <is>
          <t>MVS Sec.14 p.28</t>
        </is>
      </c>
    </row>
    <row r="1290">
      <c r="B1290" t="inlineStr">
        <is>
          <t>Mini-Warehouses, High-Rise</t>
        </is>
      </c>
      <c r="C1290" t="inlineStr">
        <is>
          <t>525</t>
        </is>
      </c>
      <c r="D1290" t="inlineStr">
        <is>
          <t>14</t>
        </is>
      </c>
      <c r="E1290" t="inlineStr">
        <is>
          <t>28</t>
        </is>
      </c>
      <c r="F1290" t="inlineStr">
        <is>
          <t>D</t>
        </is>
      </c>
      <c r="G1290" t="inlineStr">
        <is>
          <t>Good</t>
        </is>
      </c>
      <c r="H1290" t="n">
        <v>79.5</v>
      </c>
      <c r="I1290">
        <f>B1290&amp;"|"&amp;F1290&amp;"|"&amp;G1290</f>
        <v/>
      </c>
      <c r="J1290" t="inlineStr">
        <is>
          <t>MVS Sec.14 p.28</t>
        </is>
      </c>
    </row>
    <row r="1291">
      <c r="B1291" t="inlineStr">
        <is>
          <t>Mini-Warehouses, High-Rise</t>
        </is>
      </c>
      <c r="C1291" t="inlineStr">
        <is>
          <t>525</t>
        </is>
      </c>
      <c r="D1291" t="inlineStr">
        <is>
          <t>14</t>
        </is>
      </c>
      <c r="E1291" t="inlineStr">
        <is>
          <t>28</t>
        </is>
      </c>
      <c r="F1291" t="inlineStr">
        <is>
          <t>S</t>
        </is>
      </c>
      <c r="G1291" t="inlineStr">
        <is>
          <t>Good</t>
        </is>
      </c>
      <c r="H1291" t="n">
        <v>81</v>
      </c>
      <c r="I1291">
        <f>B1291&amp;"|"&amp;F1291&amp;"|"&amp;G1291</f>
        <v/>
      </c>
      <c r="J1291" t="inlineStr">
        <is>
          <t>MVS Sec.14 p.28</t>
        </is>
      </c>
    </row>
    <row r="1292">
      <c r="B1292" t="inlineStr">
        <is>
          <t>Maintenance Hangars</t>
        </is>
      </c>
      <c r="C1292" t="inlineStr">
        <is>
          <t>329</t>
        </is>
      </c>
      <c r="D1292" t="inlineStr">
        <is>
          <t>14</t>
        </is>
      </c>
      <c r="E1292" t="inlineStr">
        <is>
          <t>29</t>
        </is>
      </c>
      <c r="F1292" t="inlineStr">
        <is>
          <t>C</t>
        </is>
      </c>
      <c r="G1292" t="inlineStr">
        <is>
          <t>Excellent</t>
        </is>
      </c>
      <c r="H1292" t="n">
        <v>165</v>
      </c>
      <c r="I1292">
        <f>B1292&amp;"|"&amp;F1292&amp;"|"&amp;G1292</f>
        <v/>
      </c>
      <c r="J1292" t="inlineStr">
        <is>
          <t>MVS Sec.14 p.29</t>
        </is>
      </c>
    </row>
    <row r="1293">
      <c r="B1293" t="inlineStr">
        <is>
          <t>Maintenance Hangars</t>
        </is>
      </c>
      <c r="C1293" t="inlineStr">
        <is>
          <t>329</t>
        </is>
      </c>
      <c r="D1293" t="inlineStr">
        <is>
          <t>14</t>
        </is>
      </c>
      <c r="E1293" t="inlineStr">
        <is>
          <t>29</t>
        </is>
      </c>
      <c r="F1293" t="inlineStr">
        <is>
          <t>C</t>
        </is>
      </c>
      <c r="G1293" t="inlineStr">
        <is>
          <t>Good</t>
        </is>
      </c>
      <c r="H1293" t="n">
        <v>111</v>
      </c>
      <c r="I1293">
        <f>B1293&amp;"|"&amp;F1293&amp;"|"&amp;G1293</f>
        <v/>
      </c>
      <c r="J1293" t="inlineStr">
        <is>
          <t>MVS Sec.14 p.29</t>
        </is>
      </c>
    </row>
    <row r="1294">
      <c r="B1294" t="inlineStr">
        <is>
          <t>Maintenance Hangars</t>
        </is>
      </c>
      <c r="C1294" t="inlineStr">
        <is>
          <t>329</t>
        </is>
      </c>
      <c r="D1294" t="inlineStr">
        <is>
          <t>14</t>
        </is>
      </c>
      <c r="E1294" t="inlineStr">
        <is>
          <t>29</t>
        </is>
      </c>
      <c r="F1294" t="inlineStr">
        <is>
          <t>C</t>
        </is>
      </c>
      <c r="G1294" t="inlineStr">
        <is>
          <t>Average</t>
        </is>
      </c>
      <c r="H1294" t="n">
        <v>80</v>
      </c>
      <c r="I1294">
        <f>B1294&amp;"|"&amp;F1294&amp;"|"&amp;G1294</f>
        <v/>
      </c>
      <c r="J1294" t="inlineStr">
        <is>
          <t>MVS Sec.14 p.29</t>
        </is>
      </c>
    </row>
    <row r="1295">
      <c r="B1295" t="inlineStr">
        <is>
          <t>Maintenance Hangars</t>
        </is>
      </c>
      <c r="C1295" t="inlineStr">
        <is>
          <t>329</t>
        </is>
      </c>
      <c r="D1295" t="inlineStr">
        <is>
          <t>14</t>
        </is>
      </c>
      <c r="E1295" t="inlineStr">
        <is>
          <t>29</t>
        </is>
      </c>
      <c r="F1295" t="inlineStr">
        <is>
          <t>C</t>
        </is>
      </c>
      <c r="G1295" t="inlineStr">
        <is>
          <t>Low Cost</t>
        </is>
      </c>
      <c r="H1295" t="n">
        <v>57.5</v>
      </c>
      <c r="I1295">
        <f>B1295&amp;"|"&amp;F1295&amp;"|"&amp;G1295</f>
        <v/>
      </c>
      <c r="J1295" t="inlineStr">
        <is>
          <t>MVS Sec.14 p.29</t>
        </is>
      </c>
    </row>
    <row r="1296">
      <c r="B1296" t="inlineStr">
        <is>
          <t>Maintenance Hangars</t>
        </is>
      </c>
      <c r="C1296" t="inlineStr">
        <is>
          <t>329</t>
        </is>
      </c>
      <c r="D1296" t="inlineStr">
        <is>
          <t>14</t>
        </is>
      </c>
      <c r="E1296" t="inlineStr">
        <is>
          <t>29</t>
        </is>
      </c>
      <c r="F1296" t="inlineStr">
        <is>
          <t>D</t>
        </is>
      </c>
      <c r="G1296" t="inlineStr">
        <is>
          <t>Average</t>
        </is>
      </c>
      <c r="H1296" t="n">
        <v>73</v>
      </c>
      <c r="I1296">
        <f>B1296&amp;"|"&amp;F1296&amp;"|"&amp;G1296</f>
        <v/>
      </c>
      <c r="J1296" t="inlineStr">
        <is>
          <t>MVS Sec.14 p.29</t>
        </is>
      </c>
    </row>
    <row r="1297">
      <c r="B1297" t="inlineStr">
        <is>
          <t>Maintenance Hangars</t>
        </is>
      </c>
      <c r="C1297" t="inlineStr">
        <is>
          <t>329</t>
        </is>
      </c>
      <c r="D1297" t="inlineStr">
        <is>
          <t>14</t>
        </is>
      </c>
      <c r="E1297" t="inlineStr">
        <is>
          <t>29</t>
        </is>
      </c>
      <c r="F1297" t="inlineStr">
        <is>
          <t>D</t>
        </is>
      </c>
      <c r="G1297" t="inlineStr">
        <is>
          <t>Low Cost</t>
        </is>
      </c>
      <c r="H1297" t="n">
        <v>52.5</v>
      </c>
      <c r="I1297">
        <f>B1297&amp;"|"&amp;F1297&amp;"|"&amp;G1297</f>
        <v/>
      </c>
      <c r="J1297" t="inlineStr">
        <is>
          <t>MVS Sec.14 p.29</t>
        </is>
      </c>
    </row>
    <row r="1298">
      <c r="B1298" t="inlineStr">
        <is>
          <t>Maintenance Hangars</t>
        </is>
      </c>
      <c r="C1298" t="inlineStr">
        <is>
          <t>329</t>
        </is>
      </c>
      <c r="D1298" t="inlineStr">
        <is>
          <t>14</t>
        </is>
      </c>
      <c r="E1298" t="inlineStr">
        <is>
          <t>29</t>
        </is>
      </c>
      <c r="F1298" t="inlineStr">
        <is>
          <t>S</t>
        </is>
      </c>
      <c r="G1298" t="inlineStr">
        <is>
          <t>Excellent</t>
        </is>
      </c>
      <c r="H1298" t="n">
        <v>158</v>
      </c>
      <c r="I1298">
        <f>B1298&amp;"|"&amp;F1298&amp;"|"&amp;G1298</f>
        <v/>
      </c>
      <c r="J1298" t="inlineStr">
        <is>
          <t>MVS Sec.14 p.29</t>
        </is>
      </c>
    </row>
    <row r="1299">
      <c r="B1299" t="inlineStr">
        <is>
          <t>Maintenance Hangars</t>
        </is>
      </c>
      <c r="C1299" t="inlineStr">
        <is>
          <t>329</t>
        </is>
      </c>
      <c r="D1299" t="inlineStr">
        <is>
          <t>14</t>
        </is>
      </c>
      <c r="E1299" t="inlineStr">
        <is>
          <t>29</t>
        </is>
      </c>
      <c r="F1299" t="inlineStr">
        <is>
          <t>S</t>
        </is>
      </c>
      <c r="G1299" t="inlineStr">
        <is>
          <t>Good</t>
        </is>
      </c>
      <c r="H1299" t="n">
        <v>102</v>
      </c>
      <c r="I1299">
        <f>B1299&amp;"|"&amp;F1299&amp;"|"&amp;G1299</f>
        <v/>
      </c>
      <c r="J1299" t="inlineStr">
        <is>
          <t>MVS Sec.14 p.29</t>
        </is>
      </c>
    </row>
    <row r="1300">
      <c r="B1300" t="inlineStr">
        <is>
          <t>Maintenance Hangars</t>
        </is>
      </c>
      <c r="C1300" t="inlineStr">
        <is>
          <t>329</t>
        </is>
      </c>
      <c r="D1300" t="inlineStr">
        <is>
          <t>14</t>
        </is>
      </c>
      <c r="E1300" t="inlineStr">
        <is>
          <t>29</t>
        </is>
      </c>
      <c r="F1300" t="inlineStr">
        <is>
          <t>S</t>
        </is>
      </c>
      <c r="G1300" t="inlineStr">
        <is>
          <t>Average</t>
        </is>
      </c>
      <c r="H1300" t="n">
        <v>71.5</v>
      </c>
      <c r="I1300">
        <f>B1300&amp;"|"&amp;F1300&amp;"|"&amp;G1300</f>
        <v/>
      </c>
      <c r="J1300" t="inlineStr">
        <is>
          <t>MVS Sec.14 p.29</t>
        </is>
      </c>
    </row>
    <row r="1301">
      <c r="B1301" t="inlineStr">
        <is>
          <t>Maintenance Hangars</t>
        </is>
      </c>
      <c r="C1301" t="inlineStr">
        <is>
          <t>329</t>
        </is>
      </c>
      <c r="D1301" t="inlineStr">
        <is>
          <t>14</t>
        </is>
      </c>
      <c r="E1301" t="inlineStr">
        <is>
          <t>29</t>
        </is>
      </c>
      <c r="F1301" t="inlineStr">
        <is>
          <t>S</t>
        </is>
      </c>
      <c r="G1301" t="inlineStr">
        <is>
          <t>Low Cost</t>
        </is>
      </c>
      <c r="H1301" t="n">
        <v>50</v>
      </c>
      <c r="I1301">
        <f>B1301&amp;"|"&amp;F1301&amp;"|"&amp;G1301</f>
        <v/>
      </c>
      <c r="J1301" t="inlineStr">
        <is>
          <t>MVS Sec.14 p.29</t>
        </is>
      </c>
    </row>
    <row r="1302">
      <c r="B1302" t="inlineStr">
        <is>
          <t>Storage Hangars</t>
        </is>
      </c>
      <c r="C1302" t="inlineStr">
        <is>
          <t>328</t>
        </is>
      </c>
      <c r="D1302" t="inlineStr">
        <is>
          <t>14</t>
        </is>
      </c>
      <c r="E1302" t="inlineStr">
        <is>
          <t>29</t>
        </is>
      </c>
      <c r="F1302" t="inlineStr">
        <is>
          <t>C</t>
        </is>
      </c>
      <c r="G1302" t="inlineStr">
        <is>
          <t>Excellent</t>
        </is>
      </c>
      <c r="H1302" t="n">
        <v>128</v>
      </c>
      <c r="I1302">
        <f>B1302&amp;"|"&amp;F1302&amp;"|"&amp;G1302</f>
        <v/>
      </c>
      <c r="J1302" t="inlineStr">
        <is>
          <t>MVS Sec.14 p.29</t>
        </is>
      </c>
    </row>
    <row r="1303">
      <c r="B1303" t="inlineStr">
        <is>
          <t>Storage Hangars</t>
        </is>
      </c>
      <c r="C1303" t="inlineStr">
        <is>
          <t>328</t>
        </is>
      </c>
      <c r="D1303" t="inlineStr">
        <is>
          <t>14</t>
        </is>
      </c>
      <c r="E1303" t="inlineStr">
        <is>
          <t>29</t>
        </is>
      </c>
      <c r="F1303" t="inlineStr">
        <is>
          <t>C</t>
        </is>
      </c>
      <c r="G1303" t="inlineStr">
        <is>
          <t>Good</t>
        </is>
      </c>
      <c r="H1303" t="n">
        <v>89</v>
      </c>
      <c r="I1303">
        <f>B1303&amp;"|"&amp;F1303&amp;"|"&amp;G1303</f>
        <v/>
      </c>
      <c r="J1303" t="inlineStr">
        <is>
          <t>MVS Sec.14 p.29</t>
        </is>
      </c>
    </row>
    <row r="1304">
      <c r="B1304" t="inlineStr">
        <is>
          <t>Storage Hangars</t>
        </is>
      </c>
      <c r="C1304" t="inlineStr">
        <is>
          <t>328</t>
        </is>
      </c>
      <c r="D1304" t="inlineStr">
        <is>
          <t>14</t>
        </is>
      </c>
      <c r="E1304" t="inlineStr">
        <is>
          <t>29</t>
        </is>
      </c>
      <c r="F1304" t="inlineStr">
        <is>
          <t>C</t>
        </is>
      </c>
      <c r="G1304" t="inlineStr">
        <is>
          <t>Average</t>
        </is>
      </c>
      <c r="H1304" t="n">
        <v>59.5</v>
      </c>
      <c r="I1304">
        <f>B1304&amp;"|"&amp;F1304&amp;"|"&amp;G1304</f>
        <v/>
      </c>
      <c r="J1304" t="inlineStr">
        <is>
          <t>MVS Sec.14 p.29</t>
        </is>
      </c>
    </row>
    <row r="1305">
      <c r="B1305" t="inlineStr">
        <is>
          <t>Storage Hangars</t>
        </is>
      </c>
      <c r="C1305" t="inlineStr">
        <is>
          <t>328</t>
        </is>
      </c>
      <c r="D1305" t="inlineStr">
        <is>
          <t>14</t>
        </is>
      </c>
      <c r="E1305" t="inlineStr">
        <is>
          <t>29</t>
        </is>
      </c>
      <c r="F1305" t="inlineStr">
        <is>
          <t>C</t>
        </is>
      </c>
      <c r="G1305" t="inlineStr">
        <is>
          <t>Low Cost</t>
        </is>
      </c>
      <c r="H1305" t="n">
        <v>41</v>
      </c>
      <c r="I1305">
        <f>B1305&amp;"|"&amp;F1305&amp;"|"&amp;G1305</f>
        <v/>
      </c>
      <c r="J1305" t="inlineStr">
        <is>
          <t>MVS Sec.14 p.29</t>
        </is>
      </c>
    </row>
    <row r="1306">
      <c r="B1306" t="inlineStr">
        <is>
          <t>Storage Hangars</t>
        </is>
      </c>
      <c r="C1306" t="inlineStr">
        <is>
          <t>328</t>
        </is>
      </c>
      <c r="D1306" t="inlineStr">
        <is>
          <t>14</t>
        </is>
      </c>
      <c r="E1306" t="inlineStr">
        <is>
          <t>29</t>
        </is>
      </c>
      <c r="F1306" t="inlineStr">
        <is>
          <t>D</t>
        </is>
      </c>
      <c r="G1306" t="inlineStr">
        <is>
          <t>Average</t>
        </is>
      </c>
      <c r="H1306" t="n">
        <v>53.5</v>
      </c>
      <c r="I1306">
        <f>B1306&amp;"|"&amp;F1306&amp;"|"&amp;G1306</f>
        <v/>
      </c>
      <c r="J1306" t="inlineStr">
        <is>
          <t>MVS Sec.14 p.29</t>
        </is>
      </c>
    </row>
    <row r="1307">
      <c r="B1307" t="inlineStr">
        <is>
          <t>Storage Hangars</t>
        </is>
      </c>
      <c r="C1307" t="inlineStr">
        <is>
          <t>328</t>
        </is>
      </c>
      <c r="D1307" t="inlineStr">
        <is>
          <t>14</t>
        </is>
      </c>
      <c r="E1307" t="inlineStr">
        <is>
          <t>29</t>
        </is>
      </c>
      <c r="F1307" t="inlineStr">
        <is>
          <t>D</t>
        </is>
      </c>
      <c r="G1307" t="inlineStr">
        <is>
          <t>Low Cost</t>
        </is>
      </c>
      <c r="H1307" t="n">
        <v>36.75</v>
      </c>
      <c r="I1307">
        <f>B1307&amp;"|"&amp;F1307&amp;"|"&amp;G1307</f>
        <v/>
      </c>
      <c r="J1307" t="inlineStr">
        <is>
          <t>MVS Sec.14 p.29</t>
        </is>
      </c>
    </row>
    <row r="1308">
      <c r="B1308" t="inlineStr">
        <is>
          <t>Storage Hangars</t>
        </is>
      </c>
      <c r="C1308" t="inlineStr">
        <is>
          <t>328</t>
        </is>
      </c>
      <c r="D1308" t="inlineStr">
        <is>
          <t>14</t>
        </is>
      </c>
      <c r="E1308" t="inlineStr">
        <is>
          <t>29</t>
        </is>
      </c>
      <c r="F1308" t="inlineStr">
        <is>
          <t>DPOLE</t>
        </is>
      </c>
      <c r="G1308" t="inlineStr">
        <is>
          <t>Low Cost</t>
        </is>
      </c>
      <c r="H1308" t="n">
        <v>31.75</v>
      </c>
      <c r="I1308">
        <f>B1308&amp;"|"&amp;F1308&amp;"|"&amp;G1308</f>
        <v/>
      </c>
      <c r="J1308" t="inlineStr">
        <is>
          <t>MVS Sec.14 p.29</t>
        </is>
      </c>
    </row>
    <row r="1309">
      <c r="B1309" t="inlineStr">
        <is>
          <t>Storage Hangars</t>
        </is>
      </c>
      <c r="C1309" t="inlineStr">
        <is>
          <t>328</t>
        </is>
      </c>
      <c r="D1309" t="inlineStr">
        <is>
          <t>14</t>
        </is>
      </c>
      <c r="E1309" t="inlineStr">
        <is>
          <t>29</t>
        </is>
      </c>
      <c r="F1309" t="inlineStr">
        <is>
          <t>DPOLE</t>
        </is>
      </c>
      <c r="G1309" t="inlineStr">
        <is>
          <t>Cheap</t>
        </is>
      </c>
      <c r="H1309" t="n">
        <v>23.1</v>
      </c>
      <c r="I1309">
        <f>B1309&amp;"|"&amp;F1309&amp;"|"&amp;G1309</f>
        <v/>
      </c>
      <c r="J1309" t="inlineStr">
        <is>
          <t>MVS Sec.14 p.29</t>
        </is>
      </c>
    </row>
    <row r="1310">
      <c r="B1310" t="inlineStr">
        <is>
          <t>Storage Hangars</t>
        </is>
      </c>
      <c r="C1310" t="inlineStr">
        <is>
          <t>328</t>
        </is>
      </c>
      <c r="D1310" t="inlineStr">
        <is>
          <t>14</t>
        </is>
      </c>
      <c r="E1310" t="inlineStr">
        <is>
          <t>29</t>
        </is>
      </c>
      <c r="F1310" t="inlineStr">
        <is>
          <t>S</t>
        </is>
      </c>
      <c r="G1310" t="inlineStr">
        <is>
          <t>Excellent</t>
        </is>
      </c>
      <c r="H1310" t="n">
        <v>119</v>
      </c>
      <c r="I1310">
        <f>B1310&amp;"|"&amp;F1310&amp;"|"&amp;G1310</f>
        <v/>
      </c>
      <c r="J1310" t="inlineStr">
        <is>
          <t>MVS Sec.14 p.29</t>
        </is>
      </c>
    </row>
    <row r="1311">
      <c r="B1311" t="inlineStr">
        <is>
          <t>Storage Hangars</t>
        </is>
      </c>
      <c r="C1311" t="inlineStr">
        <is>
          <t>328</t>
        </is>
      </c>
      <c r="D1311" t="inlineStr">
        <is>
          <t>14</t>
        </is>
      </c>
      <c r="E1311" t="inlineStr">
        <is>
          <t>29</t>
        </is>
      </c>
      <c r="F1311" t="inlineStr">
        <is>
          <t>S</t>
        </is>
      </c>
      <c r="G1311" t="inlineStr">
        <is>
          <t>Good</t>
        </is>
      </c>
      <c r="H1311" t="n">
        <v>81.5</v>
      </c>
      <c r="I1311">
        <f>B1311&amp;"|"&amp;F1311&amp;"|"&amp;G1311</f>
        <v/>
      </c>
      <c r="J1311" t="inlineStr">
        <is>
          <t>MVS Sec.14 p.29</t>
        </is>
      </c>
    </row>
    <row r="1312">
      <c r="B1312" t="inlineStr">
        <is>
          <t>Storage Hangars</t>
        </is>
      </c>
      <c r="C1312" t="inlineStr">
        <is>
          <t>328</t>
        </is>
      </c>
      <c r="D1312" t="inlineStr">
        <is>
          <t>14</t>
        </is>
      </c>
      <c r="E1312" t="inlineStr">
        <is>
          <t>29</t>
        </is>
      </c>
      <c r="F1312" t="inlineStr">
        <is>
          <t>S</t>
        </is>
      </c>
      <c r="G1312" t="inlineStr">
        <is>
          <t>Average</t>
        </is>
      </c>
      <c r="H1312" t="n">
        <v>53</v>
      </c>
      <c r="I1312">
        <f>B1312&amp;"|"&amp;F1312&amp;"|"&amp;G1312</f>
        <v/>
      </c>
      <c r="J1312" t="inlineStr">
        <is>
          <t>MVS Sec.14 p.29</t>
        </is>
      </c>
    </row>
    <row r="1313">
      <c r="B1313" t="inlineStr">
        <is>
          <t>Storage Hangars</t>
        </is>
      </c>
      <c r="C1313" t="inlineStr">
        <is>
          <t>328</t>
        </is>
      </c>
      <c r="D1313" t="inlineStr">
        <is>
          <t>14</t>
        </is>
      </c>
      <c r="E1313" t="inlineStr">
        <is>
          <t>29</t>
        </is>
      </c>
      <c r="F1313" t="inlineStr">
        <is>
          <t>S</t>
        </is>
      </c>
      <c r="G1313" t="inlineStr">
        <is>
          <t>Low Cost</t>
        </is>
      </c>
      <c r="H1313" t="n">
        <v>35.5</v>
      </c>
      <c r="I1313">
        <f>B1313&amp;"|"&amp;F1313&amp;"|"&amp;G1313</f>
        <v/>
      </c>
      <c r="J1313" t="inlineStr">
        <is>
          <t>MVS Sec.14 p.29</t>
        </is>
      </c>
    </row>
    <row r="1314">
      <c r="B1314" t="inlineStr">
        <is>
          <t>Storage Hangars</t>
        </is>
      </c>
      <c r="C1314" t="inlineStr">
        <is>
          <t>328</t>
        </is>
      </c>
      <c r="D1314" t="inlineStr">
        <is>
          <t>14</t>
        </is>
      </c>
      <c r="E1314" t="inlineStr">
        <is>
          <t>29</t>
        </is>
      </c>
      <c r="F1314" t="inlineStr">
        <is>
          <t>S</t>
        </is>
      </c>
      <c r="G1314" t="inlineStr">
        <is>
          <t>Cheap</t>
        </is>
      </c>
      <c r="H1314" t="n">
        <v>26</v>
      </c>
      <c r="I1314">
        <f>B1314&amp;"|"&amp;F1314&amp;"|"&amp;G1314</f>
        <v/>
      </c>
      <c r="J1314" t="inlineStr">
        <is>
          <t>MVS Sec.14 p.29</t>
        </is>
      </c>
    </row>
    <row r="1315">
      <c r="B1315" t="inlineStr">
        <is>
          <t>T-Hangars</t>
        </is>
      </c>
      <c r="C1315" t="inlineStr">
        <is>
          <t>409</t>
        </is>
      </c>
      <c r="D1315" t="inlineStr">
        <is>
          <t>14</t>
        </is>
      </c>
      <c r="E1315" t="inlineStr">
        <is>
          <t>30</t>
        </is>
      </c>
      <c r="F1315" t="inlineStr">
        <is>
          <t>C</t>
        </is>
      </c>
      <c r="G1315" t="inlineStr">
        <is>
          <t>Average</t>
        </is>
      </c>
      <c r="H1315" t="n">
        <v>53</v>
      </c>
      <c r="I1315">
        <f>B1315&amp;"|"&amp;F1315&amp;"|"&amp;G1315</f>
        <v/>
      </c>
      <c r="J1315" t="inlineStr">
        <is>
          <t>MVS Sec.14 p.30</t>
        </is>
      </c>
    </row>
    <row r="1316">
      <c r="B1316" t="inlineStr">
        <is>
          <t>T-Hangars</t>
        </is>
      </c>
      <c r="C1316" t="inlineStr">
        <is>
          <t>409</t>
        </is>
      </c>
      <c r="D1316" t="inlineStr">
        <is>
          <t>14</t>
        </is>
      </c>
      <c r="E1316" t="inlineStr">
        <is>
          <t>30</t>
        </is>
      </c>
      <c r="F1316" t="inlineStr">
        <is>
          <t>DPOLE</t>
        </is>
      </c>
      <c r="G1316" t="inlineStr">
        <is>
          <t>Low Cost</t>
        </is>
      </c>
      <c r="H1316" t="n">
        <v>34</v>
      </c>
      <c r="I1316">
        <f>B1316&amp;"|"&amp;F1316&amp;"|"&amp;G1316</f>
        <v/>
      </c>
      <c r="J1316" t="inlineStr">
        <is>
          <t>MVS Sec.14 p.30</t>
        </is>
      </c>
    </row>
    <row r="1317">
      <c r="B1317" t="inlineStr">
        <is>
          <t>T-Hangars</t>
        </is>
      </c>
      <c r="C1317" t="inlineStr">
        <is>
          <t>409</t>
        </is>
      </c>
      <c r="D1317" t="inlineStr">
        <is>
          <t>14</t>
        </is>
      </c>
      <c r="E1317" t="inlineStr">
        <is>
          <t>30</t>
        </is>
      </c>
      <c r="F1317" t="inlineStr">
        <is>
          <t>S</t>
        </is>
      </c>
      <c r="G1317" t="inlineStr">
        <is>
          <t>Average</t>
        </is>
      </c>
      <c r="H1317" t="n">
        <v>48.75</v>
      </c>
      <c r="I1317">
        <f>B1317&amp;"|"&amp;F1317&amp;"|"&amp;G1317</f>
        <v/>
      </c>
      <c r="J1317" t="inlineStr">
        <is>
          <t>MVS Sec.14 p.30</t>
        </is>
      </c>
    </row>
    <row r="1318">
      <c r="B1318" t="inlineStr">
        <is>
          <t>T-Hangars</t>
        </is>
      </c>
      <c r="C1318" t="inlineStr">
        <is>
          <t>409</t>
        </is>
      </c>
      <c r="D1318" t="inlineStr">
        <is>
          <t>14</t>
        </is>
      </c>
      <c r="E1318" t="inlineStr">
        <is>
          <t>30</t>
        </is>
      </c>
      <c r="F1318" t="inlineStr">
        <is>
          <t>S</t>
        </is>
      </c>
      <c r="G1318" t="inlineStr">
        <is>
          <t>Low Cost</t>
        </is>
      </c>
      <c r="H1318" t="n">
        <v>37.75</v>
      </c>
      <c r="I1318">
        <f>B1318&amp;"|"&amp;F1318&amp;"|"&amp;G1318</f>
        <v/>
      </c>
      <c r="J1318" t="inlineStr">
        <is>
          <t>MVS Sec.14 p.30</t>
        </is>
      </c>
    </row>
    <row r="1319">
      <c r="B1319" t="inlineStr">
        <is>
          <t>Complete Auto Dealerships</t>
        </is>
      </c>
      <c r="C1319" t="inlineStr">
        <is>
          <t>455</t>
        </is>
      </c>
      <c r="D1319" t="inlineStr">
        <is>
          <t>14</t>
        </is>
      </c>
      <c r="E1319" t="inlineStr">
        <is>
          <t>30</t>
        </is>
      </c>
      <c r="F1319" t="inlineStr">
        <is>
          <t>A-B</t>
        </is>
      </c>
      <c r="G1319" t="inlineStr">
        <is>
          <t>Average</t>
        </is>
      </c>
      <c r="H1319" t="n">
        <v>193</v>
      </c>
      <c r="I1319">
        <f>B1319&amp;"|"&amp;F1319&amp;"|"&amp;G1319</f>
        <v/>
      </c>
      <c r="J1319" t="inlineStr">
        <is>
          <t>MVS Sec.14 p.30</t>
        </is>
      </c>
    </row>
    <row r="1320">
      <c r="B1320" t="inlineStr">
        <is>
          <t>Complete Auto Dealerships</t>
        </is>
      </c>
      <c r="C1320" t="inlineStr">
        <is>
          <t>455</t>
        </is>
      </c>
      <c r="D1320" t="inlineStr">
        <is>
          <t>14</t>
        </is>
      </c>
      <c r="E1320" t="inlineStr">
        <is>
          <t>30</t>
        </is>
      </c>
      <c r="F1320" t="inlineStr">
        <is>
          <t>C</t>
        </is>
      </c>
      <c r="G1320" t="inlineStr">
        <is>
          <t>Excellent</t>
        </is>
      </c>
      <c r="H1320" t="n">
        <v>247</v>
      </c>
      <c r="I1320">
        <f>B1320&amp;"|"&amp;F1320&amp;"|"&amp;G1320</f>
        <v/>
      </c>
      <c r="J1320" t="inlineStr">
        <is>
          <t>MVS Sec.14 p.30</t>
        </is>
      </c>
    </row>
    <row r="1321">
      <c r="B1321" t="inlineStr">
        <is>
          <t>Complete Auto Dealerships</t>
        </is>
      </c>
      <c r="C1321" t="inlineStr">
        <is>
          <t>455</t>
        </is>
      </c>
      <c r="D1321" t="inlineStr">
        <is>
          <t>14</t>
        </is>
      </c>
      <c r="E1321" t="inlineStr">
        <is>
          <t>30</t>
        </is>
      </c>
      <c r="F1321" t="inlineStr">
        <is>
          <t>C</t>
        </is>
      </c>
      <c r="G1321" t="inlineStr">
        <is>
          <t>Good</t>
        </is>
      </c>
      <c r="H1321" t="n">
        <v>173</v>
      </c>
      <c r="I1321">
        <f>B1321&amp;"|"&amp;F1321&amp;"|"&amp;G1321</f>
        <v/>
      </c>
      <c r="J1321" t="inlineStr">
        <is>
          <t>MVS Sec.14 p.30</t>
        </is>
      </c>
    </row>
    <row r="1322">
      <c r="B1322" t="inlineStr">
        <is>
          <t>Complete Auto Dealerships</t>
        </is>
      </c>
      <c r="C1322" t="inlineStr">
        <is>
          <t>455</t>
        </is>
      </c>
      <c r="D1322" t="inlineStr">
        <is>
          <t>14</t>
        </is>
      </c>
      <c r="E1322" t="inlineStr">
        <is>
          <t>30</t>
        </is>
      </c>
      <c r="F1322" t="inlineStr">
        <is>
          <t>C</t>
        </is>
      </c>
      <c r="G1322" t="inlineStr">
        <is>
          <t>Average</t>
        </is>
      </c>
      <c r="H1322" t="n">
        <v>125</v>
      </c>
      <c r="I1322">
        <f>B1322&amp;"|"&amp;F1322&amp;"|"&amp;G1322</f>
        <v/>
      </c>
      <c r="J1322" t="inlineStr">
        <is>
          <t>MVS Sec.14 p.30</t>
        </is>
      </c>
    </row>
    <row r="1323">
      <c r="B1323" t="inlineStr">
        <is>
          <t>Complete Auto Dealerships</t>
        </is>
      </c>
      <c r="C1323" t="inlineStr">
        <is>
          <t>455</t>
        </is>
      </c>
      <c r="D1323" t="inlineStr">
        <is>
          <t>14</t>
        </is>
      </c>
      <c r="E1323" t="inlineStr">
        <is>
          <t>30</t>
        </is>
      </c>
      <c r="F1323" t="inlineStr">
        <is>
          <t>C</t>
        </is>
      </c>
      <c r="G1323" t="inlineStr">
        <is>
          <t>Low Cost</t>
        </is>
      </c>
      <c r="H1323" t="n">
        <v>85</v>
      </c>
      <c r="I1323">
        <f>B1323&amp;"|"&amp;F1323&amp;"|"&amp;G1323</f>
        <v/>
      </c>
      <c r="J1323" t="inlineStr">
        <is>
          <t>MVS Sec.14 p.30</t>
        </is>
      </c>
    </row>
    <row r="1324">
      <c r="B1324" t="inlineStr">
        <is>
          <t>Complete Auto Dealerships</t>
        </is>
      </c>
      <c r="C1324" t="inlineStr">
        <is>
          <t>455</t>
        </is>
      </c>
      <c r="D1324" t="inlineStr">
        <is>
          <t>14</t>
        </is>
      </c>
      <c r="E1324" t="inlineStr">
        <is>
          <t>30</t>
        </is>
      </c>
      <c r="F1324" t="inlineStr">
        <is>
          <t>D</t>
        </is>
      </c>
      <c r="G1324" t="inlineStr">
        <is>
          <t>Excellent</t>
        </is>
      </c>
      <c r="H1324" t="n">
        <v>238</v>
      </c>
      <c r="I1324">
        <f>B1324&amp;"|"&amp;F1324&amp;"|"&amp;G1324</f>
        <v/>
      </c>
      <c r="J1324" t="inlineStr">
        <is>
          <t>MVS Sec.14 p.30</t>
        </is>
      </c>
    </row>
    <row r="1325">
      <c r="B1325" t="inlineStr">
        <is>
          <t>Complete Auto Dealerships</t>
        </is>
      </c>
      <c r="C1325" t="inlineStr">
        <is>
          <t>455</t>
        </is>
      </c>
      <c r="D1325" t="inlineStr">
        <is>
          <t>14</t>
        </is>
      </c>
      <c r="E1325" t="inlineStr">
        <is>
          <t>30</t>
        </is>
      </c>
      <c r="F1325" t="inlineStr">
        <is>
          <t>D</t>
        </is>
      </c>
      <c r="G1325" t="inlineStr">
        <is>
          <t>Good</t>
        </is>
      </c>
      <c r="H1325" t="n">
        <v>165</v>
      </c>
      <c r="I1325">
        <f>B1325&amp;"|"&amp;F1325&amp;"|"&amp;G1325</f>
        <v/>
      </c>
      <c r="J1325" t="inlineStr">
        <is>
          <t>MVS Sec.14 p.30</t>
        </is>
      </c>
    </row>
    <row r="1326">
      <c r="B1326" t="inlineStr">
        <is>
          <t>Complete Auto Dealerships</t>
        </is>
      </c>
      <c r="C1326" t="inlineStr">
        <is>
          <t>455</t>
        </is>
      </c>
      <c r="D1326" t="inlineStr">
        <is>
          <t>14</t>
        </is>
      </c>
      <c r="E1326" t="inlineStr">
        <is>
          <t>30</t>
        </is>
      </c>
      <c r="F1326" t="inlineStr">
        <is>
          <t>D</t>
        </is>
      </c>
      <c r="G1326" t="inlineStr">
        <is>
          <t>Average</t>
        </is>
      </c>
      <c r="H1326" t="n">
        <v>117</v>
      </c>
      <c r="I1326">
        <f>B1326&amp;"|"&amp;F1326&amp;"|"&amp;G1326</f>
        <v/>
      </c>
      <c r="J1326" t="inlineStr">
        <is>
          <t>MVS Sec.14 p.30</t>
        </is>
      </c>
    </row>
    <row r="1327">
      <c r="B1327" t="inlineStr">
        <is>
          <t>Complete Auto Dealerships</t>
        </is>
      </c>
      <c r="C1327" t="inlineStr">
        <is>
          <t>455</t>
        </is>
      </c>
      <c r="D1327" t="inlineStr">
        <is>
          <t>14</t>
        </is>
      </c>
      <c r="E1327" t="inlineStr">
        <is>
          <t>30</t>
        </is>
      </c>
      <c r="F1327" t="inlineStr">
        <is>
          <t>D</t>
        </is>
      </c>
      <c r="G1327" t="inlineStr">
        <is>
          <t>Low Cost</t>
        </is>
      </c>
      <c r="H1327" t="n">
        <v>78.5</v>
      </c>
      <c r="I1327">
        <f>B1327&amp;"|"&amp;F1327&amp;"|"&amp;G1327</f>
        <v/>
      </c>
      <c r="J1327" t="inlineStr">
        <is>
          <t>MVS Sec.14 p.30</t>
        </is>
      </c>
    </row>
    <row r="1328">
      <c r="B1328" t="inlineStr">
        <is>
          <t>Complete Auto Dealerships</t>
        </is>
      </c>
      <c r="C1328" t="inlineStr">
        <is>
          <t>455</t>
        </is>
      </c>
      <c r="D1328" t="inlineStr">
        <is>
          <t>14</t>
        </is>
      </c>
      <c r="E1328" t="inlineStr">
        <is>
          <t>30</t>
        </is>
      </c>
      <c r="F1328" t="inlineStr">
        <is>
          <t>DPOLE</t>
        </is>
      </c>
      <c r="G1328" t="inlineStr">
        <is>
          <t>Average</t>
        </is>
      </c>
      <c r="H1328" t="n">
        <v>111</v>
      </c>
      <c r="I1328">
        <f>B1328&amp;"|"&amp;F1328&amp;"|"&amp;G1328</f>
        <v/>
      </c>
      <c r="J1328" t="inlineStr">
        <is>
          <t>MVS Sec.14 p.30</t>
        </is>
      </c>
    </row>
    <row r="1329">
      <c r="B1329" t="inlineStr">
        <is>
          <t>Complete Auto Dealerships</t>
        </is>
      </c>
      <c r="C1329" t="inlineStr">
        <is>
          <t>455</t>
        </is>
      </c>
      <c r="D1329" t="inlineStr">
        <is>
          <t>14</t>
        </is>
      </c>
      <c r="E1329" t="inlineStr">
        <is>
          <t>30</t>
        </is>
      </c>
      <c r="F1329" t="inlineStr">
        <is>
          <t>DPOLE</t>
        </is>
      </c>
      <c r="G1329" t="inlineStr">
        <is>
          <t>Low Cost</t>
        </is>
      </c>
      <c r="H1329" t="n">
        <v>73.5</v>
      </c>
      <c r="I1329">
        <f>B1329&amp;"|"&amp;F1329&amp;"|"&amp;G1329</f>
        <v/>
      </c>
      <c r="J1329" t="inlineStr">
        <is>
          <t>MVS Sec.14 p.30</t>
        </is>
      </c>
    </row>
    <row r="1330">
      <c r="B1330" t="inlineStr">
        <is>
          <t>Complete Auto Dealerships</t>
        </is>
      </c>
      <c r="C1330" t="inlineStr">
        <is>
          <t>455</t>
        </is>
      </c>
      <c r="D1330" t="inlineStr">
        <is>
          <t>14</t>
        </is>
      </c>
      <c r="E1330" t="inlineStr">
        <is>
          <t>30</t>
        </is>
      </c>
      <c r="F1330" t="inlineStr">
        <is>
          <t>S</t>
        </is>
      </c>
      <c r="G1330" t="inlineStr">
        <is>
          <t>Good</t>
        </is>
      </c>
      <c r="H1330" t="n">
        <v>167</v>
      </c>
      <c r="I1330">
        <f>B1330&amp;"|"&amp;F1330&amp;"|"&amp;G1330</f>
        <v/>
      </c>
      <c r="J1330" t="inlineStr">
        <is>
          <t>MVS Sec.14 p.30</t>
        </is>
      </c>
    </row>
    <row r="1331">
      <c r="B1331" t="inlineStr">
        <is>
          <t>Complete Auto Dealerships</t>
        </is>
      </c>
      <c r="C1331" t="inlineStr">
        <is>
          <t>455</t>
        </is>
      </c>
      <c r="D1331" t="inlineStr">
        <is>
          <t>14</t>
        </is>
      </c>
      <c r="E1331" t="inlineStr">
        <is>
          <t>30</t>
        </is>
      </c>
      <c r="F1331" t="inlineStr">
        <is>
          <t>S</t>
        </is>
      </c>
      <c r="G1331" t="inlineStr">
        <is>
          <t>Average</t>
        </is>
      </c>
      <c r="H1331" t="n">
        <v>118</v>
      </c>
      <c r="I1331">
        <f>B1331&amp;"|"&amp;F1331&amp;"|"&amp;G1331</f>
        <v/>
      </c>
      <c r="J1331" t="inlineStr">
        <is>
          <t>MVS Sec.14 p.30</t>
        </is>
      </c>
    </row>
    <row r="1332">
      <c r="B1332" t="inlineStr">
        <is>
          <t>Complete Auto Dealerships</t>
        </is>
      </c>
      <c r="C1332" t="inlineStr">
        <is>
          <t>455</t>
        </is>
      </c>
      <c r="D1332" t="inlineStr">
        <is>
          <t>14</t>
        </is>
      </c>
      <c r="E1332" t="inlineStr">
        <is>
          <t>30</t>
        </is>
      </c>
      <c r="F1332" t="inlineStr">
        <is>
          <t>S</t>
        </is>
      </c>
      <c r="G1332" t="inlineStr">
        <is>
          <t>Low Cost</t>
        </is>
      </c>
      <c r="H1332" t="n">
        <v>78.5</v>
      </c>
      <c r="I1332">
        <f>B1332&amp;"|"&amp;F1332&amp;"|"&amp;G1332</f>
        <v/>
      </c>
      <c r="J1332" t="inlineStr">
        <is>
          <t>MVS Sec.14 p.30</t>
        </is>
      </c>
    </row>
    <row r="1333">
      <c r="B1333" t="inlineStr">
        <is>
          <t>Automotive Service Centers</t>
        </is>
      </c>
      <c r="C1333" t="inlineStr">
        <is>
          <t>410</t>
        </is>
      </c>
      <c r="D1333" t="inlineStr">
        <is>
          <t>14</t>
        </is>
      </c>
      <c r="E1333" t="inlineStr">
        <is>
          <t>31</t>
        </is>
      </c>
      <c r="F1333" t="inlineStr">
        <is>
          <t>C</t>
        </is>
      </c>
      <c r="G1333" t="inlineStr">
        <is>
          <t>Good</t>
        </is>
      </c>
      <c r="H1333" t="n">
        <v>131</v>
      </c>
      <c r="I1333">
        <f>B1333&amp;"|"&amp;F1333&amp;"|"&amp;G1333</f>
        <v/>
      </c>
      <c r="J1333" t="inlineStr">
        <is>
          <t>MVS Sec.14 p.31</t>
        </is>
      </c>
    </row>
    <row r="1334">
      <c r="B1334" t="inlineStr">
        <is>
          <t>Automotive Service Centers</t>
        </is>
      </c>
      <c r="C1334" t="inlineStr">
        <is>
          <t>410</t>
        </is>
      </c>
      <c r="D1334" t="inlineStr">
        <is>
          <t>14</t>
        </is>
      </c>
      <c r="E1334" t="inlineStr">
        <is>
          <t>31</t>
        </is>
      </c>
      <c r="F1334" t="inlineStr">
        <is>
          <t>C</t>
        </is>
      </c>
      <c r="G1334" t="inlineStr">
        <is>
          <t>Average</t>
        </is>
      </c>
      <c r="H1334" t="n">
        <v>105</v>
      </c>
      <c r="I1334">
        <f>B1334&amp;"|"&amp;F1334&amp;"|"&amp;G1334</f>
        <v/>
      </c>
      <c r="J1334" t="inlineStr">
        <is>
          <t>MVS Sec.14 p.31</t>
        </is>
      </c>
    </row>
    <row r="1335">
      <c r="B1335" t="inlineStr">
        <is>
          <t>Automotive Service Centers</t>
        </is>
      </c>
      <c r="C1335" t="inlineStr">
        <is>
          <t>410</t>
        </is>
      </c>
      <c r="D1335" t="inlineStr">
        <is>
          <t>14</t>
        </is>
      </c>
      <c r="E1335" t="inlineStr">
        <is>
          <t>31</t>
        </is>
      </c>
      <c r="F1335" t="inlineStr">
        <is>
          <t>C</t>
        </is>
      </c>
      <c r="G1335" t="inlineStr">
        <is>
          <t>Low Cost</t>
        </is>
      </c>
      <c r="H1335" t="n">
        <v>84.5</v>
      </c>
      <c r="I1335">
        <f>B1335&amp;"|"&amp;F1335&amp;"|"&amp;G1335</f>
        <v/>
      </c>
      <c r="J1335" t="inlineStr">
        <is>
          <t>MVS Sec.14 p.31</t>
        </is>
      </c>
    </row>
    <row r="1336">
      <c r="B1336" t="inlineStr">
        <is>
          <t>Automotive Service Centers</t>
        </is>
      </c>
      <c r="C1336" t="inlineStr">
        <is>
          <t>410</t>
        </is>
      </c>
      <c r="D1336" t="inlineStr">
        <is>
          <t>14</t>
        </is>
      </c>
      <c r="E1336" t="inlineStr">
        <is>
          <t>31</t>
        </is>
      </c>
      <c r="F1336" t="inlineStr">
        <is>
          <t>D</t>
        </is>
      </c>
      <c r="G1336" t="inlineStr">
        <is>
          <t>Good</t>
        </is>
      </c>
      <c r="H1336" t="n">
        <v>122</v>
      </c>
      <c r="I1336">
        <f>B1336&amp;"|"&amp;F1336&amp;"|"&amp;G1336</f>
        <v/>
      </c>
      <c r="J1336" t="inlineStr">
        <is>
          <t>MVS Sec.14 p.31</t>
        </is>
      </c>
    </row>
    <row r="1337">
      <c r="B1337" t="inlineStr">
        <is>
          <t>Automotive Service Centers</t>
        </is>
      </c>
      <c r="C1337" t="inlineStr">
        <is>
          <t>410</t>
        </is>
      </c>
      <c r="D1337" t="inlineStr">
        <is>
          <t>14</t>
        </is>
      </c>
      <c r="E1337" t="inlineStr">
        <is>
          <t>31</t>
        </is>
      </c>
      <c r="F1337" t="inlineStr">
        <is>
          <t>D</t>
        </is>
      </c>
      <c r="G1337" t="inlineStr">
        <is>
          <t>Average</t>
        </is>
      </c>
      <c r="H1337" t="n">
        <v>98</v>
      </c>
      <c r="I1337">
        <f>B1337&amp;"|"&amp;F1337&amp;"|"&amp;G1337</f>
        <v/>
      </c>
      <c r="J1337" t="inlineStr">
        <is>
          <t>MVS Sec.14 p.31</t>
        </is>
      </c>
    </row>
    <row r="1338">
      <c r="B1338" t="inlineStr">
        <is>
          <t>Automotive Service Centers</t>
        </is>
      </c>
      <c r="C1338" t="inlineStr">
        <is>
          <t>410</t>
        </is>
      </c>
      <c r="D1338" t="inlineStr">
        <is>
          <t>14</t>
        </is>
      </c>
      <c r="E1338" t="inlineStr">
        <is>
          <t>31</t>
        </is>
      </c>
      <c r="F1338" t="inlineStr">
        <is>
          <t>DPOLE</t>
        </is>
      </c>
      <c r="G1338" t="inlineStr">
        <is>
          <t>Low Cost</t>
        </is>
      </c>
      <c r="H1338" t="n">
        <v>73</v>
      </c>
      <c r="I1338">
        <f>B1338&amp;"|"&amp;F1338&amp;"|"&amp;G1338</f>
        <v/>
      </c>
      <c r="J1338" t="inlineStr">
        <is>
          <t>MVS Sec.14 p.31</t>
        </is>
      </c>
    </row>
    <row r="1339">
      <c r="B1339" t="inlineStr">
        <is>
          <t>Automotive Service Centers</t>
        </is>
      </c>
      <c r="C1339" t="inlineStr">
        <is>
          <t>410</t>
        </is>
      </c>
      <c r="D1339" t="inlineStr">
        <is>
          <t>14</t>
        </is>
      </c>
      <c r="E1339" t="inlineStr">
        <is>
          <t>31</t>
        </is>
      </c>
      <c r="F1339" t="inlineStr">
        <is>
          <t>S</t>
        </is>
      </c>
      <c r="G1339" t="inlineStr">
        <is>
          <t>Average</t>
        </is>
      </c>
      <c r="H1339" t="n">
        <v>97.5</v>
      </c>
      <c r="I1339">
        <f>B1339&amp;"|"&amp;F1339&amp;"|"&amp;G1339</f>
        <v/>
      </c>
      <c r="J1339" t="inlineStr">
        <is>
          <t>MVS Sec.14 p.31</t>
        </is>
      </c>
    </row>
    <row r="1340">
      <c r="B1340" t="inlineStr">
        <is>
          <t>Automotive Service Centers</t>
        </is>
      </c>
      <c r="C1340" t="inlineStr">
        <is>
          <t>410</t>
        </is>
      </c>
      <c r="D1340" t="inlineStr">
        <is>
          <t>14</t>
        </is>
      </c>
      <c r="E1340" t="inlineStr">
        <is>
          <t>31</t>
        </is>
      </c>
      <c r="F1340" t="inlineStr">
        <is>
          <t>S</t>
        </is>
      </c>
      <c r="G1340" t="inlineStr">
        <is>
          <t>Low Cost</t>
        </is>
      </c>
      <c r="H1340" t="n">
        <v>78</v>
      </c>
      <c r="I1340">
        <f>B1340&amp;"|"&amp;F1340&amp;"|"&amp;G1340</f>
        <v/>
      </c>
      <c r="J1340" t="inlineStr">
        <is>
          <t>MVS Sec.14 p.31</t>
        </is>
      </c>
    </row>
    <row r="1341">
      <c r="B1341" t="inlineStr">
        <is>
          <t>Showrooms</t>
        </is>
      </c>
      <c r="C1341" t="inlineStr">
        <is>
          <t>303</t>
        </is>
      </c>
      <c r="D1341" t="inlineStr">
        <is>
          <t>14</t>
        </is>
      </c>
      <c r="E1341" t="inlineStr">
        <is>
          <t>31</t>
        </is>
      </c>
      <c r="F1341" t="inlineStr">
        <is>
          <t>A-B</t>
        </is>
      </c>
      <c r="G1341" t="inlineStr">
        <is>
          <t>Average</t>
        </is>
      </c>
      <c r="H1341" t="n">
        <v>218</v>
      </c>
      <c r="I1341">
        <f>B1341&amp;"|"&amp;F1341&amp;"|"&amp;G1341</f>
        <v/>
      </c>
      <c r="J1341" t="inlineStr">
        <is>
          <t>MVS Sec.14 p.31</t>
        </is>
      </c>
    </row>
    <row r="1342">
      <c r="B1342" t="inlineStr">
        <is>
          <t>Showrooms</t>
        </is>
      </c>
      <c r="C1342" t="inlineStr">
        <is>
          <t>303</t>
        </is>
      </c>
      <c r="D1342" t="inlineStr">
        <is>
          <t>14</t>
        </is>
      </c>
      <c r="E1342" t="inlineStr">
        <is>
          <t>31</t>
        </is>
      </c>
      <c r="F1342" t="inlineStr">
        <is>
          <t>C</t>
        </is>
      </c>
      <c r="G1342" t="inlineStr">
        <is>
          <t>Excellent</t>
        </is>
      </c>
      <c r="H1342" t="n">
        <v>274</v>
      </c>
      <c r="I1342">
        <f>B1342&amp;"|"&amp;F1342&amp;"|"&amp;G1342</f>
        <v/>
      </c>
      <c r="J1342" t="inlineStr">
        <is>
          <t>MVS Sec.14 p.31</t>
        </is>
      </c>
    </row>
    <row r="1343">
      <c r="B1343" t="inlineStr">
        <is>
          <t>Showrooms</t>
        </is>
      </c>
      <c r="C1343" t="inlineStr">
        <is>
          <t>303</t>
        </is>
      </c>
      <c r="D1343" t="inlineStr">
        <is>
          <t>14</t>
        </is>
      </c>
      <c r="E1343" t="inlineStr">
        <is>
          <t>31</t>
        </is>
      </c>
      <c r="F1343" t="inlineStr">
        <is>
          <t>C</t>
        </is>
      </c>
      <c r="G1343" t="inlineStr">
        <is>
          <t>Good</t>
        </is>
      </c>
      <c r="H1343" t="n">
        <v>194</v>
      </c>
      <c r="I1343">
        <f>B1343&amp;"|"&amp;F1343&amp;"|"&amp;G1343</f>
        <v/>
      </c>
      <c r="J1343" t="inlineStr">
        <is>
          <t>MVS Sec.14 p.31</t>
        </is>
      </c>
    </row>
    <row r="1344">
      <c r="B1344" t="inlineStr">
        <is>
          <t>Showrooms</t>
        </is>
      </c>
      <c r="C1344" t="inlineStr">
        <is>
          <t>303</t>
        </is>
      </c>
      <c r="D1344" t="inlineStr">
        <is>
          <t>14</t>
        </is>
      </c>
      <c r="E1344" t="inlineStr">
        <is>
          <t>31</t>
        </is>
      </c>
      <c r="F1344" t="inlineStr">
        <is>
          <t>C</t>
        </is>
      </c>
      <c r="G1344" t="inlineStr">
        <is>
          <t>Average</t>
        </is>
      </c>
      <c r="H1344" t="n">
        <v>140</v>
      </c>
      <c r="I1344">
        <f>B1344&amp;"|"&amp;F1344&amp;"|"&amp;G1344</f>
        <v/>
      </c>
      <c r="J1344" t="inlineStr">
        <is>
          <t>MVS Sec.14 p.31</t>
        </is>
      </c>
    </row>
    <row r="1345">
      <c r="B1345" t="inlineStr">
        <is>
          <t>Showrooms</t>
        </is>
      </c>
      <c r="C1345" t="inlineStr">
        <is>
          <t>303</t>
        </is>
      </c>
      <c r="D1345" t="inlineStr">
        <is>
          <t>14</t>
        </is>
      </c>
      <c r="E1345" t="inlineStr">
        <is>
          <t>31</t>
        </is>
      </c>
      <c r="F1345" t="inlineStr">
        <is>
          <t>C</t>
        </is>
      </c>
      <c r="G1345" t="inlineStr">
        <is>
          <t>Low Cost</t>
        </is>
      </c>
      <c r="H1345" t="n">
        <v>97</v>
      </c>
      <c r="I1345">
        <f>B1345&amp;"|"&amp;F1345&amp;"|"&amp;G1345</f>
        <v/>
      </c>
      <c r="J1345" t="inlineStr">
        <is>
          <t>MVS Sec.14 p.31</t>
        </is>
      </c>
    </row>
    <row r="1346">
      <c r="B1346" t="inlineStr">
        <is>
          <t>Showrooms</t>
        </is>
      </c>
      <c r="C1346" t="inlineStr">
        <is>
          <t>303</t>
        </is>
      </c>
      <c r="D1346" t="inlineStr">
        <is>
          <t>14</t>
        </is>
      </c>
      <c r="E1346" t="inlineStr">
        <is>
          <t>31</t>
        </is>
      </c>
      <c r="F1346" t="inlineStr">
        <is>
          <t>D</t>
        </is>
      </c>
      <c r="G1346" t="inlineStr">
        <is>
          <t>Excellent</t>
        </is>
      </c>
      <c r="H1346" t="n">
        <v>265</v>
      </c>
      <c r="I1346">
        <f>B1346&amp;"|"&amp;F1346&amp;"|"&amp;G1346</f>
        <v/>
      </c>
      <c r="J1346" t="inlineStr">
        <is>
          <t>MVS Sec.14 p.31</t>
        </is>
      </c>
    </row>
    <row r="1347">
      <c r="B1347" t="inlineStr">
        <is>
          <t>Showrooms</t>
        </is>
      </c>
      <c r="C1347" t="inlineStr">
        <is>
          <t>303</t>
        </is>
      </c>
      <c r="D1347" t="inlineStr">
        <is>
          <t>14</t>
        </is>
      </c>
      <c r="E1347" t="inlineStr">
        <is>
          <t>31</t>
        </is>
      </c>
      <c r="F1347" t="inlineStr">
        <is>
          <t>D</t>
        </is>
      </c>
      <c r="G1347" t="inlineStr">
        <is>
          <t>Good</t>
        </is>
      </c>
      <c r="H1347" t="n">
        <v>185</v>
      </c>
      <c r="I1347">
        <f>B1347&amp;"|"&amp;F1347&amp;"|"&amp;G1347</f>
        <v/>
      </c>
      <c r="J1347" t="inlineStr">
        <is>
          <t>MVS Sec.14 p.31</t>
        </is>
      </c>
    </row>
    <row r="1348">
      <c r="B1348" t="inlineStr">
        <is>
          <t>Showrooms</t>
        </is>
      </c>
      <c r="C1348" t="inlineStr">
        <is>
          <t>303</t>
        </is>
      </c>
      <c r="D1348" t="inlineStr">
        <is>
          <t>14</t>
        </is>
      </c>
      <c r="E1348" t="inlineStr">
        <is>
          <t>31</t>
        </is>
      </c>
      <c r="F1348" t="inlineStr">
        <is>
          <t>D</t>
        </is>
      </c>
      <c r="G1348" t="inlineStr">
        <is>
          <t>Average</t>
        </is>
      </c>
      <c r="H1348" t="n">
        <v>133</v>
      </c>
      <c r="I1348">
        <f>B1348&amp;"|"&amp;F1348&amp;"|"&amp;G1348</f>
        <v/>
      </c>
      <c r="J1348" t="inlineStr">
        <is>
          <t>MVS Sec.14 p.31</t>
        </is>
      </c>
    </row>
    <row r="1349">
      <c r="B1349" t="inlineStr">
        <is>
          <t>Showrooms</t>
        </is>
      </c>
      <c r="C1349" t="inlineStr">
        <is>
          <t>303</t>
        </is>
      </c>
      <c r="D1349" t="inlineStr">
        <is>
          <t>14</t>
        </is>
      </c>
      <c r="E1349" t="inlineStr">
        <is>
          <t>31</t>
        </is>
      </c>
      <c r="F1349" t="inlineStr">
        <is>
          <t>D</t>
        </is>
      </c>
      <c r="G1349" t="inlineStr">
        <is>
          <t>Low Cost</t>
        </is>
      </c>
      <c r="H1349" t="n">
        <v>90.5</v>
      </c>
      <c r="I1349">
        <f>B1349&amp;"|"&amp;F1349&amp;"|"&amp;G1349</f>
        <v/>
      </c>
      <c r="J1349" t="inlineStr">
        <is>
          <t>MVS Sec.14 p.31</t>
        </is>
      </c>
    </row>
    <row r="1350">
      <c r="B1350" t="inlineStr">
        <is>
          <t>Showrooms</t>
        </is>
      </c>
      <c r="C1350" t="inlineStr">
        <is>
          <t>303</t>
        </is>
      </c>
      <c r="D1350" t="inlineStr">
        <is>
          <t>14</t>
        </is>
      </c>
      <c r="E1350" t="inlineStr">
        <is>
          <t>31</t>
        </is>
      </c>
      <c r="F1350" t="inlineStr">
        <is>
          <t>DPOLE</t>
        </is>
      </c>
      <c r="G1350" t="inlineStr">
        <is>
          <t>Average</t>
        </is>
      </c>
      <c r="H1350" t="n">
        <v>125</v>
      </c>
      <c r="I1350">
        <f>B1350&amp;"|"&amp;F1350&amp;"|"&amp;G1350</f>
        <v/>
      </c>
      <c r="J1350" t="inlineStr">
        <is>
          <t>MVS Sec.14 p.31</t>
        </is>
      </c>
    </row>
    <row r="1351">
      <c r="B1351" t="inlineStr">
        <is>
          <t>Showrooms</t>
        </is>
      </c>
      <c r="C1351" t="inlineStr">
        <is>
          <t>303</t>
        </is>
      </c>
      <c r="D1351" t="inlineStr">
        <is>
          <t>14</t>
        </is>
      </c>
      <c r="E1351" t="inlineStr">
        <is>
          <t>31</t>
        </is>
      </c>
      <c r="F1351" t="inlineStr">
        <is>
          <t>DPOLE</t>
        </is>
      </c>
      <c r="G1351" t="inlineStr">
        <is>
          <t>Low Cost</t>
        </is>
      </c>
      <c r="H1351" t="n">
        <v>83.5</v>
      </c>
      <c r="I1351">
        <f>B1351&amp;"|"&amp;F1351&amp;"|"&amp;G1351</f>
        <v/>
      </c>
      <c r="J1351" t="inlineStr">
        <is>
          <t>MVS Sec.14 p.31</t>
        </is>
      </c>
    </row>
    <row r="1352">
      <c r="B1352" t="inlineStr">
        <is>
          <t>Showrooms</t>
        </is>
      </c>
      <c r="C1352" t="inlineStr">
        <is>
          <t>303</t>
        </is>
      </c>
      <c r="D1352" t="inlineStr">
        <is>
          <t>14</t>
        </is>
      </c>
      <c r="E1352" t="inlineStr">
        <is>
          <t>31</t>
        </is>
      </c>
      <c r="F1352" t="inlineStr">
        <is>
          <t>S</t>
        </is>
      </c>
      <c r="G1352" t="inlineStr">
        <is>
          <t>Good</t>
        </is>
      </c>
      <c r="H1352" t="n">
        <v>187</v>
      </c>
      <c r="I1352">
        <f>B1352&amp;"|"&amp;F1352&amp;"|"&amp;G1352</f>
        <v/>
      </c>
      <c r="J1352" t="inlineStr">
        <is>
          <t>MVS Sec.14 p.31</t>
        </is>
      </c>
    </row>
    <row r="1353">
      <c r="B1353" t="inlineStr">
        <is>
          <t>Showrooms</t>
        </is>
      </c>
      <c r="C1353" t="inlineStr">
        <is>
          <t>303</t>
        </is>
      </c>
      <c r="D1353" t="inlineStr">
        <is>
          <t>14</t>
        </is>
      </c>
      <c r="E1353" t="inlineStr">
        <is>
          <t>31</t>
        </is>
      </c>
      <c r="F1353" t="inlineStr">
        <is>
          <t>S</t>
        </is>
      </c>
      <c r="G1353" t="inlineStr">
        <is>
          <t>Average</t>
        </is>
      </c>
      <c r="H1353" t="n">
        <v>133</v>
      </c>
      <c r="I1353">
        <f>B1353&amp;"|"&amp;F1353&amp;"|"&amp;G1353</f>
        <v/>
      </c>
      <c r="J1353" t="inlineStr">
        <is>
          <t>MVS Sec.14 p.31</t>
        </is>
      </c>
    </row>
    <row r="1354">
      <c r="B1354" t="inlineStr">
        <is>
          <t>Showrooms</t>
        </is>
      </c>
      <c r="C1354" t="inlineStr">
        <is>
          <t>303</t>
        </is>
      </c>
      <c r="D1354" t="inlineStr">
        <is>
          <t>14</t>
        </is>
      </c>
      <c r="E1354" t="inlineStr">
        <is>
          <t>31</t>
        </is>
      </c>
      <c r="F1354" t="inlineStr">
        <is>
          <t>S</t>
        </is>
      </c>
      <c r="G1354" t="inlineStr">
        <is>
          <t>Low Cost</t>
        </is>
      </c>
      <c r="H1354" t="n">
        <v>89.5</v>
      </c>
      <c r="I1354">
        <f>B1354&amp;"|"&amp;F1354&amp;"|"&amp;G1354</f>
        <v/>
      </c>
      <c r="J1354" t="inlineStr">
        <is>
          <t>MVS Sec.14 p.31</t>
        </is>
      </c>
    </row>
    <row r="1355">
      <c r="B1355" t="inlineStr">
        <is>
          <t>Service Garages (Commercial/Repair)</t>
        </is>
      </c>
      <c r="C1355" t="inlineStr">
        <is>
          <t>528</t>
        </is>
      </c>
      <c r="D1355" t="inlineStr">
        <is>
          <t>14</t>
        </is>
      </c>
      <c r="E1355" t="inlineStr">
        <is>
          <t>32</t>
        </is>
      </c>
      <c r="F1355" t="inlineStr">
        <is>
          <t>A-B</t>
        </is>
      </c>
      <c r="G1355" t="inlineStr">
        <is>
          <t>Average</t>
        </is>
      </c>
      <c r="H1355" t="n">
        <v>122</v>
      </c>
      <c r="I1355">
        <f>B1355&amp;"|"&amp;F1355&amp;"|"&amp;G1355</f>
        <v/>
      </c>
      <c r="J1355" t="inlineStr">
        <is>
          <t>MVS Sec.14 p.32</t>
        </is>
      </c>
    </row>
    <row r="1356">
      <c r="B1356" t="inlineStr">
        <is>
          <t>Service Garages (Commercial/Repair)</t>
        </is>
      </c>
      <c r="C1356" t="inlineStr">
        <is>
          <t>528</t>
        </is>
      </c>
      <c r="D1356" t="inlineStr">
        <is>
          <t>14</t>
        </is>
      </c>
      <c r="E1356" t="inlineStr">
        <is>
          <t>32</t>
        </is>
      </c>
      <c r="F1356" t="inlineStr">
        <is>
          <t>C</t>
        </is>
      </c>
      <c r="G1356" t="inlineStr">
        <is>
          <t>Excellent</t>
        </is>
      </c>
      <c r="H1356" t="n">
        <v>156</v>
      </c>
      <c r="I1356">
        <f>B1356&amp;"|"&amp;F1356&amp;"|"&amp;G1356</f>
        <v/>
      </c>
      <c r="J1356" t="inlineStr">
        <is>
          <t>MVS Sec.14 p.32</t>
        </is>
      </c>
    </row>
    <row r="1357">
      <c r="B1357" t="inlineStr">
        <is>
          <t>Service Garages (Commercial/Repair)</t>
        </is>
      </c>
      <c r="C1357" t="inlineStr">
        <is>
          <t>528</t>
        </is>
      </c>
      <c r="D1357" t="inlineStr">
        <is>
          <t>14</t>
        </is>
      </c>
      <c r="E1357" t="inlineStr">
        <is>
          <t>32</t>
        </is>
      </c>
      <c r="F1357" t="inlineStr">
        <is>
          <t>C</t>
        </is>
      </c>
      <c r="G1357" t="inlineStr">
        <is>
          <t>Good</t>
        </is>
      </c>
      <c r="H1357" t="n">
        <v>109</v>
      </c>
      <c r="I1357">
        <f>B1357&amp;"|"&amp;F1357&amp;"|"&amp;G1357</f>
        <v/>
      </c>
      <c r="J1357" t="inlineStr">
        <is>
          <t>MVS Sec.14 p.32</t>
        </is>
      </c>
    </row>
    <row r="1358">
      <c r="B1358" t="inlineStr">
        <is>
          <t>Service Garages (Commercial/Repair)</t>
        </is>
      </c>
      <c r="C1358" t="inlineStr">
        <is>
          <t>528</t>
        </is>
      </c>
      <c r="D1358" t="inlineStr">
        <is>
          <t>14</t>
        </is>
      </c>
      <c r="E1358" t="inlineStr">
        <is>
          <t>32</t>
        </is>
      </c>
      <c r="F1358" t="inlineStr">
        <is>
          <t>C</t>
        </is>
      </c>
      <c r="G1358" t="inlineStr">
        <is>
          <t>Average</t>
        </is>
      </c>
      <c r="H1358" t="n">
        <v>79.5</v>
      </c>
      <c r="I1358">
        <f>B1358&amp;"|"&amp;F1358&amp;"|"&amp;G1358</f>
        <v/>
      </c>
      <c r="J1358" t="inlineStr">
        <is>
          <t>MVS Sec.14 p.32</t>
        </is>
      </c>
    </row>
    <row r="1359">
      <c r="B1359" t="inlineStr">
        <is>
          <t>Service Garages (Commercial/Repair)</t>
        </is>
      </c>
      <c r="C1359" t="inlineStr">
        <is>
          <t>528</t>
        </is>
      </c>
      <c r="D1359" t="inlineStr">
        <is>
          <t>14</t>
        </is>
      </c>
      <c r="E1359" t="inlineStr">
        <is>
          <t>32</t>
        </is>
      </c>
      <c r="F1359" t="inlineStr">
        <is>
          <t>C</t>
        </is>
      </c>
      <c r="G1359" t="inlineStr">
        <is>
          <t>Low Cost</t>
        </is>
      </c>
      <c r="H1359" t="n">
        <v>57.5</v>
      </c>
      <c r="I1359">
        <f>B1359&amp;"|"&amp;F1359&amp;"|"&amp;G1359</f>
        <v/>
      </c>
      <c r="J1359" t="inlineStr">
        <is>
          <t>MVS Sec.14 p.32</t>
        </is>
      </c>
    </row>
    <row r="1360">
      <c r="B1360" t="inlineStr">
        <is>
          <t>Service Garages (Commercial/Repair)</t>
        </is>
      </c>
      <c r="C1360" t="inlineStr">
        <is>
          <t>528</t>
        </is>
      </c>
      <c r="D1360" t="inlineStr">
        <is>
          <t>14</t>
        </is>
      </c>
      <c r="E1360" t="inlineStr">
        <is>
          <t>32</t>
        </is>
      </c>
      <c r="F1360" t="inlineStr">
        <is>
          <t>D</t>
        </is>
      </c>
      <c r="G1360" t="inlineStr">
        <is>
          <t>Good</t>
        </is>
      </c>
      <c r="H1360" t="n">
        <v>96</v>
      </c>
      <c r="I1360">
        <f>B1360&amp;"|"&amp;F1360&amp;"|"&amp;G1360</f>
        <v/>
      </c>
      <c r="J1360" t="inlineStr">
        <is>
          <t>MVS Sec.14 p.32</t>
        </is>
      </c>
    </row>
    <row r="1361">
      <c r="B1361" t="inlineStr">
        <is>
          <t>Service Garages (Commercial/Repair)</t>
        </is>
      </c>
      <c r="C1361" t="inlineStr">
        <is>
          <t>528</t>
        </is>
      </c>
      <c r="D1361" t="inlineStr">
        <is>
          <t>14</t>
        </is>
      </c>
      <c r="E1361" t="inlineStr">
        <is>
          <t>32</t>
        </is>
      </c>
      <c r="F1361" t="inlineStr">
        <is>
          <t>D</t>
        </is>
      </c>
      <c r="G1361" t="inlineStr">
        <is>
          <t>Average</t>
        </is>
      </c>
      <c r="H1361" t="n">
        <v>70.5</v>
      </c>
      <c r="I1361">
        <f>B1361&amp;"|"&amp;F1361&amp;"|"&amp;G1361</f>
        <v/>
      </c>
      <c r="J1361" t="inlineStr">
        <is>
          <t>MVS Sec.14 p.32</t>
        </is>
      </c>
    </row>
    <row r="1362">
      <c r="B1362" t="inlineStr">
        <is>
          <t>Service Garages (Commercial/Repair)</t>
        </is>
      </c>
      <c r="C1362" t="inlineStr">
        <is>
          <t>528</t>
        </is>
      </c>
      <c r="D1362" t="inlineStr">
        <is>
          <t>14</t>
        </is>
      </c>
      <c r="E1362" t="inlineStr">
        <is>
          <t>32</t>
        </is>
      </c>
      <c r="F1362" t="inlineStr">
        <is>
          <t>D</t>
        </is>
      </c>
      <c r="G1362" t="inlineStr">
        <is>
          <t>Low Cost</t>
        </is>
      </c>
      <c r="H1362" t="n">
        <v>52</v>
      </c>
      <c r="I1362">
        <f>B1362&amp;"|"&amp;F1362&amp;"|"&amp;G1362</f>
        <v/>
      </c>
      <c r="J1362" t="inlineStr">
        <is>
          <t>MVS Sec.14 p.32</t>
        </is>
      </c>
    </row>
    <row r="1363">
      <c r="B1363" t="inlineStr">
        <is>
          <t>Service Garages (Commercial/Repair)</t>
        </is>
      </c>
      <c r="C1363" t="inlineStr">
        <is>
          <t>528</t>
        </is>
      </c>
      <c r="D1363" t="inlineStr">
        <is>
          <t>14</t>
        </is>
      </c>
      <c r="E1363" t="inlineStr">
        <is>
          <t>32</t>
        </is>
      </c>
      <c r="F1363" t="inlineStr">
        <is>
          <t>DPOLE</t>
        </is>
      </c>
      <c r="G1363" t="inlineStr">
        <is>
          <t>Average</t>
        </is>
      </c>
      <c r="H1363" t="n">
        <v>62</v>
      </c>
      <c r="I1363">
        <f>B1363&amp;"|"&amp;F1363&amp;"|"&amp;G1363</f>
        <v/>
      </c>
      <c r="J1363" t="inlineStr">
        <is>
          <t>MVS Sec.14 p.32</t>
        </is>
      </c>
    </row>
    <row r="1364">
      <c r="B1364" t="inlineStr">
        <is>
          <t>Service Garages (Commercial/Repair)</t>
        </is>
      </c>
      <c r="C1364" t="inlineStr">
        <is>
          <t>528</t>
        </is>
      </c>
      <c r="D1364" t="inlineStr">
        <is>
          <t>14</t>
        </is>
      </c>
      <c r="E1364" t="inlineStr">
        <is>
          <t>32</t>
        </is>
      </c>
      <c r="F1364" t="inlineStr">
        <is>
          <t>DPOLE</t>
        </is>
      </c>
      <c r="G1364" t="inlineStr">
        <is>
          <t>Low Cost</t>
        </is>
      </c>
      <c r="H1364" t="n">
        <v>45.5</v>
      </c>
      <c r="I1364">
        <f>B1364&amp;"|"&amp;F1364&amp;"|"&amp;G1364</f>
        <v/>
      </c>
      <c r="J1364" t="inlineStr">
        <is>
          <t>MVS Sec.14 p.32</t>
        </is>
      </c>
    </row>
    <row r="1365">
      <c r="B1365" t="inlineStr">
        <is>
          <t>Service Garages (Commercial/Repair)</t>
        </is>
      </c>
      <c r="C1365" t="inlineStr">
        <is>
          <t>528</t>
        </is>
      </c>
      <c r="D1365" t="inlineStr">
        <is>
          <t>14</t>
        </is>
      </c>
      <c r="E1365" t="inlineStr">
        <is>
          <t>32</t>
        </is>
      </c>
      <c r="F1365" t="inlineStr">
        <is>
          <t>S</t>
        </is>
      </c>
      <c r="G1365" t="inlineStr">
        <is>
          <t>Good</t>
        </is>
      </c>
      <c r="H1365" t="n">
        <v>94.5</v>
      </c>
      <c r="I1365">
        <f>B1365&amp;"|"&amp;F1365&amp;"|"&amp;G1365</f>
        <v/>
      </c>
      <c r="J1365" t="inlineStr">
        <is>
          <t>MVS Sec.14 p.32</t>
        </is>
      </c>
    </row>
    <row r="1366">
      <c r="B1366" t="inlineStr">
        <is>
          <t>Service Garages (Commercial/Repair)</t>
        </is>
      </c>
      <c r="C1366" t="inlineStr">
        <is>
          <t>528</t>
        </is>
      </c>
      <c r="D1366" t="inlineStr">
        <is>
          <t>14</t>
        </is>
      </c>
      <c r="E1366" t="inlineStr">
        <is>
          <t>32</t>
        </is>
      </c>
      <c r="F1366" t="inlineStr">
        <is>
          <t>S</t>
        </is>
      </c>
      <c r="G1366" t="inlineStr">
        <is>
          <t>Average</t>
        </is>
      </c>
      <c r="H1366" t="n">
        <v>68</v>
      </c>
      <c r="I1366">
        <f>B1366&amp;"|"&amp;F1366&amp;"|"&amp;G1366</f>
        <v/>
      </c>
      <c r="J1366" t="inlineStr">
        <is>
          <t>MVS Sec.14 p.32</t>
        </is>
      </c>
    </row>
    <row r="1367">
      <c r="B1367" t="inlineStr">
        <is>
          <t>Service Garages (Commercial/Repair)</t>
        </is>
      </c>
      <c r="C1367" t="inlineStr">
        <is>
          <t>528</t>
        </is>
      </c>
      <c r="D1367" t="inlineStr">
        <is>
          <t>14</t>
        </is>
      </c>
      <c r="E1367" t="inlineStr">
        <is>
          <t>32</t>
        </is>
      </c>
      <c r="F1367" t="inlineStr">
        <is>
          <t>S</t>
        </is>
      </c>
      <c r="G1367" t="inlineStr">
        <is>
          <t>Low Cost</t>
        </is>
      </c>
      <c r="H1367" t="n">
        <v>49.5</v>
      </c>
      <c r="I1367">
        <f>B1367&amp;"|"&amp;F1367&amp;"|"&amp;G1367</f>
        <v/>
      </c>
      <c r="J1367" t="inlineStr">
        <is>
          <t>MVS Sec.14 p.32</t>
        </is>
      </c>
    </row>
    <row r="1368">
      <c r="B1368" t="inlineStr">
        <is>
          <t>Service Garage Sheds</t>
        </is>
      </c>
      <c r="C1368" t="inlineStr">
        <is>
          <t>526</t>
        </is>
      </c>
      <c r="D1368" t="inlineStr">
        <is>
          <t>14</t>
        </is>
      </c>
      <c r="E1368" t="inlineStr">
        <is>
          <t>32</t>
        </is>
      </c>
      <c r="F1368" t="inlineStr">
        <is>
          <t>C</t>
        </is>
      </c>
      <c r="G1368" t="inlineStr">
        <is>
          <t>Good</t>
        </is>
      </c>
      <c r="H1368" t="n">
        <v>49.5</v>
      </c>
      <c r="I1368">
        <f>B1368&amp;"|"&amp;F1368&amp;"|"&amp;G1368</f>
        <v/>
      </c>
      <c r="J1368" t="inlineStr">
        <is>
          <t>MVS Sec.14 p.32</t>
        </is>
      </c>
    </row>
    <row r="1369">
      <c r="B1369" t="inlineStr">
        <is>
          <t>Service Garage Sheds</t>
        </is>
      </c>
      <c r="C1369" t="inlineStr">
        <is>
          <t>526</t>
        </is>
      </c>
      <c r="D1369" t="inlineStr">
        <is>
          <t>14</t>
        </is>
      </c>
      <c r="E1369" t="inlineStr">
        <is>
          <t>32</t>
        </is>
      </c>
      <c r="F1369" t="inlineStr">
        <is>
          <t>C</t>
        </is>
      </c>
      <c r="G1369" t="inlineStr">
        <is>
          <t>Average</t>
        </is>
      </c>
      <c r="H1369" t="n">
        <v>35</v>
      </c>
      <c r="I1369">
        <f>B1369&amp;"|"&amp;F1369&amp;"|"&amp;G1369</f>
        <v/>
      </c>
      <c r="J1369" t="inlineStr">
        <is>
          <t>MVS Sec.14 p.32</t>
        </is>
      </c>
    </row>
    <row r="1370">
      <c r="B1370" t="inlineStr">
        <is>
          <t>Service Garage Sheds</t>
        </is>
      </c>
      <c r="C1370" t="inlineStr">
        <is>
          <t>526</t>
        </is>
      </c>
      <c r="D1370" t="inlineStr">
        <is>
          <t>14</t>
        </is>
      </c>
      <c r="E1370" t="inlineStr">
        <is>
          <t>32</t>
        </is>
      </c>
      <c r="F1370" t="inlineStr">
        <is>
          <t>C</t>
        </is>
      </c>
      <c r="G1370" t="inlineStr">
        <is>
          <t>Low Cost</t>
        </is>
      </c>
      <c r="H1370" t="n">
        <v>26.5</v>
      </c>
      <c r="I1370">
        <f>B1370&amp;"|"&amp;F1370&amp;"|"&amp;G1370</f>
        <v/>
      </c>
      <c r="J1370" t="inlineStr">
        <is>
          <t>MVS Sec.14 p.32</t>
        </is>
      </c>
    </row>
    <row r="1371">
      <c r="B1371" t="inlineStr">
        <is>
          <t>Service Garage Sheds</t>
        </is>
      </c>
      <c r="C1371" t="inlineStr">
        <is>
          <t>526</t>
        </is>
      </c>
      <c r="D1371" t="inlineStr">
        <is>
          <t>14</t>
        </is>
      </c>
      <c r="E1371" t="inlineStr">
        <is>
          <t>32</t>
        </is>
      </c>
      <c r="F1371" t="inlineStr">
        <is>
          <t>DPOLE</t>
        </is>
      </c>
      <c r="G1371" t="inlineStr">
        <is>
          <t>Good</t>
        </is>
      </c>
      <c r="H1371" t="n">
        <v>39.75</v>
      </c>
      <c r="I1371">
        <f>B1371&amp;"|"&amp;F1371&amp;"|"&amp;G1371</f>
        <v/>
      </c>
      <c r="J1371" t="inlineStr">
        <is>
          <t>MVS Sec.14 p.32</t>
        </is>
      </c>
    </row>
    <row r="1372">
      <c r="B1372" t="inlineStr">
        <is>
          <t>Service Garage Sheds</t>
        </is>
      </c>
      <c r="C1372" t="inlineStr">
        <is>
          <t>526</t>
        </is>
      </c>
      <c r="D1372" t="inlineStr">
        <is>
          <t>14</t>
        </is>
      </c>
      <c r="E1372" t="inlineStr">
        <is>
          <t>32</t>
        </is>
      </c>
      <c r="F1372" t="inlineStr">
        <is>
          <t>DPOLE</t>
        </is>
      </c>
      <c r="G1372" t="inlineStr">
        <is>
          <t>Average</t>
        </is>
      </c>
      <c r="H1372" t="n">
        <v>28.25</v>
      </c>
      <c r="I1372">
        <f>B1372&amp;"|"&amp;F1372&amp;"|"&amp;G1372</f>
        <v/>
      </c>
      <c r="J1372" t="inlineStr">
        <is>
          <t>MVS Sec.14 p.32</t>
        </is>
      </c>
    </row>
    <row r="1373">
      <c r="B1373" t="inlineStr">
        <is>
          <t>Service Garage Sheds</t>
        </is>
      </c>
      <c r="C1373" t="inlineStr">
        <is>
          <t>526</t>
        </is>
      </c>
      <c r="D1373" t="inlineStr">
        <is>
          <t>14</t>
        </is>
      </c>
      <c r="E1373" t="inlineStr">
        <is>
          <t>32</t>
        </is>
      </c>
      <c r="F1373" t="inlineStr">
        <is>
          <t>DPOLE</t>
        </is>
      </c>
      <c r="G1373" t="inlineStr">
        <is>
          <t>Low Cost</t>
        </is>
      </c>
      <c r="H1373" t="n">
        <v>21.7</v>
      </c>
      <c r="I1373">
        <f>B1373&amp;"|"&amp;F1373&amp;"|"&amp;G1373</f>
        <v/>
      </c>
      <c r="J1373" t="inlineStr">
        <is>
          <t>MVS Sec.14 p.32</t>
        </is>
      </c>
    </row>
    <row r="1374">
      <c r="B1374" t="inlineStr">
        <is>
          <t>Service Garage Sheds</t>
        </is>
      </c>
      <c r="C1374" t="inlineStr">
        <is>
          <t>526</t>
        </is>
      </c>
      <c r="D1374" t="inlineStr">
        <is>
          <t>14</t>
        </is>
      </c>
      <c r="E1374" t="inlineStr">
        <is>
          <t>32</t>
        </is>
      </c>
      <c r="F1374" t="inlineStr">
        <is>
          <t>S</t>
        </is>
      </c>
      <c r="G1374" t="inlineStr">
        <is>
          <t>Good</t>
        </is>
      </c>
      <c r="H1374" t="n">
        <v>43.75</v>
      </c>
      <c r="I1374">
        <f>B1374&amp;"|"&amp;F1374&amp;"|"&amp;G1374</f>
        <v/>
      </c>
      <c r="J1374" t="inlineStr">
        <is>
          <t>MVS Sec.14 p.32</t>
        </is>
      </c>
    </row>
    <row r="1375">
      <c r="B1375" t="inlineStr">
        <is>
          <t>Service Garage Sheds</t>
        </is>
      </c>
      <c r="C1375" t="inlineStr">
        <is>
          <t>526</t>
        </is>
      </c>
      <c r="D1375" t="inlineStr">
        <is>
          <t>14</t>
        </is>
      </c>
      <c r="E1375" t="inlineStr">
        <is>
          <t>32</t>
        </is>
      </c>
      <c r="F1375" t="inlineStr">
        <is>
          <t>S</t>
        </is>
      </c>
      <c r="G1375" t="inlineStr">
        <is>
          <t>Average</t>
        </is>
      </c>
      <c r="H1375" t="n">
        <v>31.25</v>
      </c>
      <c r="I1375">
        <f>B1375&amp;"|"&amp;F1375&amp;"|"&amp;G1375</f>
        <v/>
      </c>
      <c r="J1375" t="inlineStr">
        <is>
          <t>MVS Sec.14 p.32</t>
        </is>
      </c>
    </row>
    <row r="1376">
      <c r="B1376" t="inlineStr">
        <is>
          <t>Service Garage Sheds</t>
        </is>
      </c>
      <c r="C1376" t="inlineStr">
        <is>
          <t>526</t>
        </is>
      </c>
      <c r="D1376" t="inlineStr">
        <is>
          <t>14</t>
        </is>
      </c>
      <c r="E1376" t="inlineStr">
        <is>
          <t>32</t>
        </is>
      </c>
      <c r="F1376" t="inlineStr">
        <is>
          <t>S</t>
        </is>
      </c>
      <c r="G1376" t="inlineStr">
        <is>
          <t>Low Cost</t>
        </is>
      </c>
      <c r="H1376" t="n">
        <v>23.9</v>
      </c>
      <c r="I1376">
        <f>B1376&amp;"|"&amp;F1376&amp;"|"&amp;G1376</f>
        <v/>
      </c>
      <c r="J1376" t="inlineStr">
        <is>
          <t>MVS Sec.14 p.32</t>
        </is>
      </c>
    </row>
    <row r="1377">
      <c r="B1377" t="inlineStr">
        <is>
          <t>Municipal Service Garages</t>
        </is>
      </c>
      <c r="C1377" t="inlineStr">
        <is>
          <t>527</t>
        </is>
      </c>
      <c r="D1377" t="inlineStr">
        <is>
          <t>14</t>
        </is>
      </c>
      <c r="E1377" t="inlineStr">
        <is>
          <t>33</t>
        </is>
      </c>
      <c r="F1377" t="inlineStr">
        <is>
          <t>C</t>
        </is>
      </c>
      <c r="G1377" t="inlineStr">
        <is>
          <t>Excellent</t>
        </is>
      </c>
      <c r="H1377" t="n">
        <v>242</v>
      </c>
      <c r="I1377">
        <f>B1377&amp;"|"&amp;F1377&amp;"|"&amp;G1377</f>
        <v/>
      </c>
      <c r="J1377" t="inlineStr">
        <is>
          <t>MVS Sec.14 p.33</t>
        </is>
      </c>
    </row>
    <row r="1378">
      <c r="B1378" t="inlineStr">
        <is>
          <t>Municipal Service Garages</t>
        </is>
      </c>
      <c r="C1378" t="inlineStr">
        <is>
          <t>527</t>
        </is>
      </c>
      <c r="D1378" t="inlineStr">
        <is>
          <t>14</t>
        </is>
      </c>
      <c r="E1378" t="inlineStr">
        <is>
          <t>33</t>
        </is>
      </c>
      <c r="F1378" t="inlineStr">
        <is>
          <t>C</t>
        </is>
      </c>
      <c r="G1378" t="inlineStr">
        <is>
          <t>Good</t>
        </is>
      </c>
      <c r="H1378" t="n">
        <v>173</v>
      </c>
      <c r="I1378">
        <f>B1378&amp;"|"&amp;F1378&amp;"|"&amp;G1378</f>
        <v/>
      </c>
      <c r="J1378" t="inlineStr">
        <is>
          <t>MVS Sec.14 p.33</t>
        </is>
      </c>
    </row>
    <row r="1379">
      <c r="B1379" t="inlineStr">
        <is>
          <t>Municipal Service Garages</t>
        </is>
      </c>
      <c r="C1379" t="inlineStr">
        <is>
          <t>527</t>
        </is>
      </c>
      <c r="D1379" t="inlineStr">
        <is>
          <t>14</t>
        </is>
      </c>
      <c r="E1379" t="inlineStr">
        <is>
          <t>33</t>
        </is>
      </c>
      <c r="F1379" t="inlineStr">
        <is>
          <t>C</t>
        </is>
      </c>
      <c r="G1379" t="inlineStr">
        <is>
          <t>Average</t>
        </is>
      </c>
      <c r="H1379" t="n">
        <v>118</v>
      </c>
      <c r="I1379">
        <f>B1379&amp;"|"&amp;F1379&amp;"|"&amp;G1379</f>
        <v/>
      </c>
      <c r="J1379" t="inlineStr">
        <is>
          <t>MVS Sec.14 p.33</t>
        </is>
      </c>
    </row>
    <row r="1380">
      <c r="B1380" t="inlineStr">
        <is>
          <t>Municipal Service Garages</t>
        </is>
      </c>
      <c r="C1380" t="inlineStr">
        <is>
          <t>527</t>
        </is>
      </c>
      <c r="D1380" t="inlineStr">
        <is>
          <t>14</t>
        </is>
      </c>
      <c r="E1380" t="inlineStr">
        <is>
          <t>33</t>
        </is>
      </c>
      <c r="F1380" t="inlineStr">
        <is>
          <t>D</t>
        </is>
      </c>
      <c r="G1380" t="inlineStr">
        <is>
          <t>Average</t>
        </is>
      </c>
      <c r="H1380" t="n">
        <v>105</v>
      </c>
      <c r="I1380">
        <f>B1380&amp;"|"&amp;F1380&amp;"|"&amp;G1380</f>
        <v/>
      </c>
      <c r="J1380" t="inlineStr">
        <is>
          <t>MVS Sec.14 p.33</t>
        </is>
      </c>
    </row>
    <row r="1381">
      <c r="B1381" t="inlineStr">
        <is>
          <t>Municipal Service Garages</t>
        </is>
      </c>
      <c r="C1381" t="inlineStr">
        <is>
          <t>527</t>
        </is>
      </c>
      <c r="D1381" t="inlineStr">
        <is>
          <t>14</t>
        </is>
      </c>
      <c r="E1381" t="inlineStr">
        <is>
          <t>33</t>
        </is>
      </c>
      <c r="F1381" t="inlineStr">
        <is>
          <t>S</t>
        </is>
      </c>
      <c r="G1381" t="inlineStr">
        <is>
          <t>Excellent</t>
        </is>
      </c>
      <c r="H1381" t="n">
        <v>212</v>
      </c>
      <c r="I1381">
        <f>B1381&amp;"|"&amp;F1381&amp;"|"&amp;G1381</f>
        <v/>
      </c>
      <c r="J1381" t="inlineStr">
        <is>
          <t>MVS Sec.14 p.33</t>
        </is>
      </c>
    </row>
    <row r="1382">
      <c r="B1382" t="inlineStr">
        <is>
          <t>Municipal Service Garages</t>
        </is>
      </c>
      <c r="C1382" t="inlineStr">
        <is>
          <t>527</t>
        </is>
      </c>
      <c r="D1382" t="inlineStr">
        <is>
          <t>14</t>
        </is>
      </c>
      <c r="E1382" t="inlineStr">
        <is>
          <t>33</t>
        </is>
      </c>
      <c r="F1382" t="inlineStr">
        <is>
          <t>S</t>
        </is>
      </c>
      <c r="G1382" t="inlineStr">
        <is>
          <t>Good</t>
        </is>
      </c>
      <c r="H1382" t="n">
        <v>153</v>
      </c>
      <c r="I1382">
        <f>B1382&amp;"|"&amp;F1382&amp;"|"&amp;G1382</f>
        <v/>
      </c>
      <c r="J1382" t="inlineStr">
        <is>
          <t>MVS Sec.14 p.33</t>
        </is>
      </c>
    </row>
    <row r="1383">
      <c r="B1383" t="inlineStr">
        <is>
          <t>Municipal Service Garages</t>
        </is>
      </c>
      <c r="C1383" t="inlineStr">
        <is>
          <t>527</t>
        </is>
      </c>
      <c r="D1383" t="inlineStr">
        <is>
          <t>14</t>
        </is>
      </c>
      <c r="E1383" t="inlineStr">
        <is>
          <t>33</t>
        </is>
      </c>
      <c r="F1383" t="inlineStr">
        <is>
          <t>S</t>
        </is>
      </c>
      <c r="G1383" t="inlineStr">
        <is>
          <t>Average</t>
        </is>
      </c>
      <c r="H1383" t="n">
        <v>106</v>
      </c>
      <c r="I1383">
        <f>B1383&amp;"|"&amp;F1383&amp;"|"&amp;G1383</f>
        <v/>
      </c>
      <c r="J1383" t="inlineStr">
        <is>
          <t>MVS Sec.14 p.33</t>
        </is>
      </c>
    </row>
    <row r="1384">
      <c r="B1384" t="inlineStr">
        <is>
          <t>Mini-Lube Garages</t>
        </is>
      </c>
      <c r="C1384" t="inlineStr">
        <is>
          <t>423</t>
        </is>
      </c>
      <c r="D1384" t="inlineStr">
        <is>
          <t>14</t>
        </is>
      </c>
      <c r="E1384" t="inlineStr">
        <is>
          <t>33</t>
        </is>
      </c>
      <c r="F1384" t="inlineStr">
        <is>
          <t>C</t>
        </is>
      </c>
      <c r="G1384" t="inlineStr">
        <is>
          <t>Excellent</t>
        </is>
      </c>
      <c r="H1384" t="n">
        <v>235</v>
      </c>
      <c r="I1384">
        <f>B1384&amp;"|"&amp;F1384&amp;"|"&amp;G1384</f>
        <v/>
      </c>
      <c r="J1384" t="inlineStr">
        <is>
          <t>MVS Sec.14 p.33</t>
        </is>
      </c>
    </row>
    <row r="1385">
      <c r="B1385" t="inlineStr">
        <is>
          <t>Mini-Lube Garages</t>
        </is>
      </c>
      <c r="C1385" t="inlineStr">
        <is>
          <t>423</t>
        </is>
      </c>
      <c r="D1385" t="inlineStr">
        <is>
          <t>14</t>
        </is>
      </c>
      <c r="E1385" t="inlineStr">
        <is>
          <t>33</t>
        </is>
      </c>
      <c r="F1385" t="inlineStr">
        <is>
          <t>C</t>
        </is>
      </c>
      <c r="G1385" t="inlineStr">
        <is>
          <t>Good</t>
        </is>
      </c>
      <c r="H1385" t="n">
        <v>181</v>
      </c>
      <c r="I1385">
        <f>B1385&amp;"|"&amp;F1385&amp;"|"&amp;G1385</f>
        <v/>
      </c>
      <c r="J1385" t="inlineStr">
        <is>
          <t>MVS Sec.14 p.33</t>
        </is>
      </c>
    </row>
    <row r="1386">
      <c r="B1386" t="inlineStr">
        <is>
          <t>Mini-Lube Garages</t>
        </is>
      </c>
      <c r="C1386" t="inlineStr">
        <is>
          <t>423</t>
        </is>
      </c>
      <c r="D1386" t="inlineStr">
        <is>
          <t>14</t>
        </is>
      </c>
      <c r="E1386" t="inlineStr">
        <is>
          <t>33</t>
        </is>
      </c>
      <c r="F1386" t="inlineStr">
        <is>
          <t>C</t>
        </is>
      </c>
      <c r="G1386" t="inlineStr">
        <is>
          <t>Average</t>
        </is>
      </c>
      <c r="H1386" t="n">
        <v>140</v>
      </c>
      <c r="I1386">
        <f>B1386&amp;"|"&amp;F1386&amp;"|"&amp;G1386</f>
        <v/>
      </c>
      <c r="J1386" t="inlineStr">
        <is>
          <t>MVS Sec.14 p.33</t>
        </is>
      </c>
    </row>
    <row r="1387">
      <c r="B1387" t="inlineStr">
        <is>
          <t>Mini-Lube Garages</t>
        </is>
      </c>
      <c r="C1387" t="inlineStr">
        <is>
          <t>423</t>
        </is>
      </c>
      <c r="D1387" t="inlineStr">
        <is>
          <t>14</t>
        </is>
      </c>
      <c r="E1387" t="inlineStr">
        <is>
          <t>33</t>
        </is>
      </c>
      <c r="F1387" t="inlineStr">
        <is>
          <t>C</t>
        </is>
      </c>
      <c r="G1387" t="inlineStr">
        <is>
          <t>Low Cost</t>
        </is>
      </c>
      <c r="H1387" t="n">
        <v>111</v>
      </c>
      <c r="I1387">
        <f>B1387&amp;"|"&amp;F1387&amp;"|"&amp;G1387</f>
        <v/>
      </c>
      <c r="J1387" t="inlineStr">
        <is>
          <t>MVS Sec.14 p.33</t>
        </is>
      </c>
    </row>
    <row r="1388">
      <c r="B1388" t="inlineStr">
        <is>
          <t>Mini-Lube Garages</t>
        </is>
      </c>
      <c r="C1388" t="inlineStr">
        <is>
          <t>423</t>
        </is>
      </c>
      <c r="D1388" t="inlineStr">
        <is>
          <t>14</t>
        </is>
      </c>
      <c r="E1388" t="inlineStr">
        <is>
          <t>33</t>
        </is>
      </c>
      <c r="F1388" t="inlineStr">
        <is>
          <t>D</t>
        </is>
      </c>
      <c r="G1388" t="inlineStr">
        <is>
          <t>Excellent</t>
        </is>
      </c>
      <c r="H1388" t="n">
        <v>226</v>
      </c>
      <c r="I1388">
        <f>B1388&amp;"|"&amp;F1388&amp;"|"&amp;G1388</f>
        <v/>
      </c>
      <c r="J1388" t="inlineStr">
        <is>
          <t>MVS Sec.14 p.33</t>
        </is>
      </c>
    </row>
    <row r="1389">
      <c r="B1389" t="inlineStr">
        <is>
          <t>Mini-Lube Garages</t>
        </is>
      </c>
      <c r="C1389" t="inlineStr">
        <is>
          <t>423</t>
        </is>
      </c>
      <c r="D1389" t="inlineStr">
        <is>
          <t>14</t>
        </is>
      </c>
      <c r="E1389" t="inlineStr">
        <is>
          <t>33</t>
        </is>
      </c>
      <c r="F1389" t="inlineStr">
        <is>
          <t>D</t>
        </is>
      </c>
      <c r="G1389" t="inlineStr">
        <is>
          <t>Good</t>
        </is>
      </c>
      <c r="H1389" t="n">
        <v>173</v>
      </c>
      <c r="I1389">
        <f>B1389&amp;"|"&amp;F1389&amp;"|"&amp;G1389</f>
        <v/>
      </c>
      <c r="J1389" t="inlineStr">
        <is>
          <t>MVS Sec.14 p.33</t>
        </is>
      </c>
    </row>
    <row r="1390">
      <c r="B1390" t="inlineStr">
        <is>
          <t>Mini-Lube Garages</t>
        </is>
      </c>
      <c r="C1390" t="inlineStr">
        <is>
          <t>423</t>
        </is>
      </c>
      <c r="D1390" t="inlineStr">
        <is>
          <t>14</t>
        </is>
      </c>
      <c r="E1390" t="inlineStr">
        <is>
          <t>33</t>
        </is>
      </c>
      <c r="F1390" t="inlineStr">
        <is>
          <t>D</t>
        </is>
      </c>
      <c r="G1390" t="inlineStr">
        <is>
          <t>Average</t>
        </is>
      </c>
      <c r="H1390" t="n">
        <v>133</v>
      </c>
      <c r="I1390">
        <f>B1390&amp;"|"&amp;F1390&amp;"|"&amp;G1390</f>
        <v/>
      </c>
      <c r="J1390" t="inlineStr">
        <is>
          <t>MVS Sec.14 p.33</t>
        </is>
      </c>
    </row>
    <row r="1391">
      <c r="B1391" t="inlineStr">
        <is>
          <t>Mini-Lube Garages</t>
        </is>
      </c>
      <c r="C1391" t="inlineStr">
        <is>
          <t>423</t>
        </is>
      </c>
      <c r="D1391" t="inlineStr">
        <is>
          <t>14</t>
        </is>
      </c>
      <c r="E1391" t="inlineStr">
        <is>
          <t>33</t>
        </is>
      </c>
      <c r="F1391" t="inlineStr">
        <is>
          <t>D</t>
        </is>
      </c>
      <c r="G1391" t="inlineStr">
        <is>
          <t>Low Cost</t>
        </is>
      </c>
      <c r="H1391" t="n">
        <v>104</v>
      </c>
      <c r="I1391">
        <f>B1391&amp;"|"&amp;F1391&amp;"|"&amp;G1391</f>
        <v/>
      </c>
      <c r="J1391" t="inlineStr">
        <is>
          <t>MVS Sec.14 p.33</t>
        </is>
      </c>
    </row>
    <row r="1392">
      <c r="B1392" t="inlineStr">
        <is>
          <t>Mini-Lube Garages</t>
        </is>
      </c>
      <c r="C1392" t="inlineStr">
        <is>
          <t>423</t>
        </is>
      </c>
      <c r="D1392" t="inlineStr">
        <is>
          <t>14</t>
        </is>
      </c>
      <c r="E1392" t="inlineStr">
        <is>
          <t>33</t>
        </is>
      </c>
      <c r="F1392" t="inlineStr">
        <is>
          <t>S</t>
        </is>
      </c>
      <c r="G1392" t="inlineStr">
        <is>
          <t>Average</t>
        </is>
      </c>
      <c r="H1392" t="n">
        <v>133</v>
      </c>
      <c r="I1392">
        <f>B1392&amp;"|"&amp;F1392&amp;"|"&amp;G1392</f>
        <v/>
      </c>
      <c r="J1392" t="inlineStr">
        <is>
          <t>MVS Sec.14 p.33</t>
        </is>
      </c>
    </row>
    <row r="1393">
      <c r="B1393" t="inlineStr">
        <is>
          <t>Mini-Lube Garages</t>
        </is>
      </c>
      <c r="C1393" t="inlineStr">
        <is>
          <t>423</t>
        </is>
      </c>
      <c r="D1393" t="inlineStr">
        <is>
          <t>14</t>
        </is>
      </c>
      <c r="E1393" t="inlineStr">
        <is>
          <t>33</t>
        </is>
      </c>
      <c r="F1393" t="inlineStr">
        <is>
          <t>S</t>
        </is>
      </c>
      <c r="G1393" t="inlineStr">
        <is>
          <t>Low Cost</t>
        </is>
      </c>
      <c r="H1393" t="n">
        <v>105</v>
      </c>
      <c r="I1393">
        <f>B1393&amp;"|"&amp;F1393&amp;"|"&amp;G1393</f>
        <v/>
      </c>
      <c r="J1393" t="inlineStr">
        <is>
          <t>MVS Sec.14 p.33</t>
        </is>
      </c>
    </row>
    <row r="1394">
      <c r="B1394" t="inlineStr">
        <is>
          <t>Mini-Lube Garages</t>
        </is>
      </c>
      <c r="C1394" t="inlineStr">
        <is>
          <t>423</t>
        </is>
      </c>
      <c r="D1394" t="inlineStr">
        <is>
          <t>14</t>
        </is>
      </c>
      <c r="E1394" t="inlineStr">
        <is>
          <t>33</t>
        </is>
      </c>
      <c r="F1394" t="inlineStr">
        <is>
          <t>CDS</t>
        </is>
      </c>
      <c r="G1394" t="inlineStr">
        <is>
          <t>Average</t>
        </is>
      </c>
      <c r="H1394" t="n">
        <v>59.5</v>
      </c>
      <c r="I1394">
        <f>B1394&amp;"|"&amp;F1394&amp;"|"&amp;G1394</f>
        <v/>
      </c>
      <c r="J1394" t="inlineStr">
        <is>
          <t>MVS Sec.14 p.33</t>
        </is>
      </c>
    </row>
    <row r="1395">
      <c r="B1395" t="inlineStr">
        <is>
          <t>Parking (Parkade) Structures</t>
        </is>
      </c>
      <c r="C1395" t="inlineStr">
        <is>
          <t>345</t>
        </is>
      </c>
      <c r="D1395" t="inlineStr">
        <is>
          <t>14</t>
        </is>
      </c>
      <c r="E1395" t="inlineStr">
        <is>
          <t>34</t>
        </is>
      </c>
      <c r="F1395" t="inlineStr">
        <is>
          <t>A</t>
        </is>
      </c>
      <c r="G1395" t="inlineStr">
        <is>
          <t>Good</t>
        </is>
      </c>
      <c r="H1395" t="n">
        <v>110</v>
      </c>
      <c r="I1395">
        <f>B1395&amp;"|"&amp;F1395&amp;"|"&amp;G1395</f>
        <v/>
      </c>
      <c r="J1395" t="inlineStr">
        <is>
          <t>MVS Sec.14 p.34</t>
        </is>
      </c>
    </row>
    <row r="1396">
      <c r="B1396" t="inlineStr">
        <is>
          <t>Parking (Parkade) Structures</t>
        </is>
      </c>
      <c r="C1396" t="inlineStr">
        <is>
          <t>345</t>
        </is>
      </c>
      <c r="D1396" t="inlineStr">
        <is>
          <t>14</t>
        </is>
      </c>
      <c r="E1396" t="inlineStr">
        <is>
          <t>34</t>
        </is>
      </c>
      <c r="F1396" t="inlineStr">
        <is>
          <t>A</t>
        </is>
      </c>
      <c r="G1396" t="inlineStr">
        <is>
          <t>Average</t>
        </is>
      </c>
      <c r="H1396" t="n">
        <v>84</v>
      </c>
      <c r="I1396">
        <f>B1396&amp;"|"&amp;F1396&amp;"|"&amp;G1396</f>
        <v/>
      </c>
      <c r="J1396" t="inlineStr">
        <is>
          <t>MVS Sec.14 p.34</t>
        </is>
      </c>
    </row>
    <row r="1397">
      <c r="B1397" t="inlineStr">
        <is>
          <t>Parking (Parkade) Structures</t>
        </is>
      </c>
      <c r="C1397" t="inlineStr">
        <is>
          <t>345</t>
        </is>
      </c>
      <c r="D1397" t="inlineStr">
        <is>
          <t>14</t>
        </is>
      </c>
      <c r="E1397" t="inlineStr">
        <is>
          <t>34</t>
        </is>
      </c>
      <c r="F1397" t="inlineStr">
        <is>
          <t>B</t>
        </is>
      </c>
      <c r="G1397" t="inlineStr">
        <is>
          <t>Good</t>
        </is>
      </c>
      <c r="H1397" t="n">
        <v>96.5</v>
      </c>
      <c r="I1397">
        <f>B1397&amp;"|"&amp;F1397&amp;"|"&amp;G1397</f>
        <v/>
      </c>
      <c r="J1397" t="inlineStr">
        <is>
          <t>MVS Sec.14 p.34</t>
        </is>
      </c>
    </row>
    <row r="1398">
      <c r="B1398" t="inlineStr">
        <is>
          <t>Parking (Parkade) Structures</t>
        </is>
      </c>
      <c r="C1398" t="inlineStr">
        <is>
          <t>345</t>
        </is>
      </c>
      <c r="D1398" t="inlineStr">
        <is>
          <t>14</t>
        </is>
      </c>
      <c r="E1398" t="inlineStr">
        <is>
          <t>34</t>
        </is>
      </c>
      <c r="F1398" t="inlineStr">
        <is>
          <t>B</t>
        </is>
      </c>
      <c r="G1398" t="inlineStr">
        <is>
          <t>Average</t>
        </is>
      </c>
      <c r="H1398" t="n">
        <v>75</v>
      </c>
      <c r="I1398">
        <f>B1398&amp;"|"&amp;F1398&amp;"|"&amp;G1398</f>
        <v/>
      </c>
      <c r="J1398" t="inlineStr">
        <is>
          <t>MVS Sec.14 p.34</t>
        </is>
      </c>
    </row>
    <row r="1399">
      <c r="B1399" t="inlineStr">
        <is>
          <t>Parking (Parkade) Structures</t>
        </is>
      </c>
      <c r="C1399" t="inlineStr">
        <is>
          <t>345</t>
        </is>
      </c>
      <c r="D1399" t="inlineStr">
        <is>
          <t>14</t>
        </is>
      </c>
      <c r="E1399" t="inlineStr">
        <is>
          <t>34</t>
        </is>
      </c>
      <c r="F1399" t="inlineStr">
        <is>
          <t>B</t>
        </is>
      </c>
      <c r="G1399" t="inlineStr">
        <is>
          <t>Low Cost</t>
        </is>
      </c>
      <c r="H1399" t="n">
        <v>58.5</v>
      </c>
      <c r="I1399">
        <f>B1399&amp;"|"&amp;F1399&amp;"|"&amp;G1399</f>
        <v/>
      </c>
      <c r="J1399" t="inlineStr">
        <is>
          <t>MVS Sec.14 p.34</t>
        </is>
      </c>
    </row>
    <row r="1400">
      <c r="B1400" t="inlineStr">
        <is>
          <t>Parking (Parkade) Structures</t>
        </is>
      </c>
      <c r="C1400" t="inlineStr">
        <is>
          <t>345</t>
        </is>
      </c>
      <c r="D1400" t="inlineStr">
        <is>
          <t>14</t>
        </is>
      </c>
      <c r="E1400" t="inlineStr">
        <is>
          <t>34</t>
        </is>
      </c>
      <c r="F1400" t="inlineStr">
        <is>
          <t>S</t>
        </is>
      </c>
      <c r="G1400" t="inlineStr">
        <is>
          <t>Low Cost</t>
        </is>
      </c>
      <c r="H1400" t="n">
        <v>56</v>
      </c>
      <c r="I1400">
        <f>B1400&amp;"|"&amp;F1400&amp;"|"&amp;G1400</f>
        <v/>
      </c>
      <c r="J1400" t="inlineStr">
        <is>
          <t>MVS Sec.14 p.34</t>
        </is>
      </c>
    </row>
    <row r="1401">
      <c r="B1401" t="inlineStr">
        <is>
          <t>Parking (Parkade) Structures</t>
        </is>
      </c>
      <c r="C1401" t="inlineStr">
        <is>
          <t>345</t>
        </is>
      </c>
      <c r="D1401" t="inlineStr">
        <is>
          <t>14</t>
        </is>
      </c>
      <c r="E1401" t="inlineStr">
        <is>
          <t>34</t>
        </is>
      </c>
      <c r="F1401" t="inlineStr">
        <is>
          <t>S</t>
        </is>
      </c>
      <c r="G1401" t="inlineStr">
        <is>
          <t>Cheap</t>
        </is>
      </c>
      <c r="H1401" t="n">
        <v>43.75</v>
      </c>
      <c r="I1401">
        <f>B1401&amp;"|"&amp;F1401&amp;"|"&amp;G1401</f>
        <v/>
      </c>
      <c r="J1401" t="inlineStr">
        <is>
          <t>MVS Sec.14 p.34</t>
        </is>
      </c>
    </row>
    <row r="1402">
      <c r="B1402" t="inlineStr">
        <is>
          <t>Storage Garages</t>
        </is>
      </c>
      <c r="C1402" t="inlineStr">
        <is>
          <t>326</t>
        </is>
      </c>
      <c r="D1402" t="inlineStr">
        <is>
          <t>14</t>
        </is>
      </c>
      <c r="E1402" t="inlineStr">
        <is>
          <t>34</t>
        </is>
      </c>
      <c r="F1402" t="inlineStr">
        <is>
          <t>A-B</t>
        </is>
      </c>
      <c r="G1402" t="inlineStr">
        <is>
          <t>Average</t>
        </is>
      </c>
      <c r="H1402" t="n">
        <v>109</v>
      </c>
      <c r="I1402">
        <f>B1402&amp;"|"&amp;F1402&amp;"|"&amp;G1402</f>
        <v/>
      </c>
      <c r="J1402" t="inlineStr">
        <is>
          <t>MVS Sec.14 p.34</t>
        </is>
      </c>
    </row>
    <row r="1403">
      <c r="B1403" t="inlineStr">
        <is>
          <t>Storage Garages</t>
        </is>
      </c>
      <c r="C1403" t="inlineStr">
        <is>
          <t>326</t>
        </is>
      </c>
      <c r="D1403" t="inlineStr">
        <is>
          <t>14</t>
        </is>
      </c>
      <c r="E1403" t="inlineStr">
        <is>
          <t>34</t>
        </is>
      </c>
      <c r="F1403" t="inlineStr">
        <is>
          <t>C</t>
        </is>
      </c>
      <c r="G1403" t="inlineStr">
        <is>
          <t>Average</t>
        </is>
      </c>
      <c r="H1403" t="n">
        <v>79</v>
      </c>
      <c r="I1403">
        <f>B1403&amp;"|"&amp;F1403&amp;"|"&amp;G1403</f>
        <v/>
      </c>
      <c r="J1403" t="inlineStr">
        <is>
          <t>MVS Sec.14 p.34</t>
        </is>
      </c>
    </row>
    <row r="1404">
      <c r="B1404" t="inlineStr">
        <is>
          <t>Storage Garages</t>
        </is>
      </c>
      <c r="C1404" t="inlineStr">
        <is>
          <t>326</t>
        </is>
      </c>
      <c r="D1404" t="inlineStr">
        <is>
          <t>14</t>
        </is>
      </c>
      <c r="E1404" t="inlineStr">
        <is>
          <t>34</t>
        </is>
      </c>
      <c r="F1404" t="inlineStr">
        <is>
          <t>CMILL</t>
        </is>
      </c>
      <c r="G1404" t="inlineStr">
        <is>
          <t>Average</t>
        </is>
      </c>
      <c r="H1404" t="n">
        <v>93.5</v>
      </c>
      <c r="I1404">
        <f>B1404&amp;"|"&amp;F1404&amp;"|"&amp;G1404</f>
        <v/>
      </c>
      <c r="J1404" t="inlineStr">
        <is>
          <t>MVS Sec.14 p.34</t>
        </is>
      </c>
    </row>
    <row r="1405">
      <c r="B1405" t="inlineStr">
        <is>
          <t>Storage Garages</t>
        </is>
      </c>
      <c r="C1405" t="inlineStr">
        <is>
          <t>326</t>
        </is>
      </c>
      <c r="D1405" t="inlineStr">
        <is>
          <t>14</t>
        </is>
      </c>
      <c r="E1405" t="inlineStr">
        <is>
          <t>34</t>
        </is>
      </c>
      <c r="F1405" t="inlineStr">
        <is>
          <t>D</t>
        </is>
      </c>
      <c r="G1405" t="inlineStr">
        <is>
          <t>Average</t>
        </is>
      </c>
      <c r="H1405" t="n">
        <v>71.5</v>
      </c>
      <c r="I1405">
        <f>B1405&amp;"|"&amp;F1405&amp;"|"&amp;G1405</f>
        <v/>
      </c>
      <c r="J1405" t="inlineStr">
        <is>
          <t>MVS Sec.14 p.34</t>
        </is>
      </c>
    </row>
    <row r="1406">
      <c r="B1406" t="inlineStr">
        <is>
          <t>Storage Garages</t>
        </is>
      </c>
      <c r="C1406" t="inlineStr">
        <is>
          <t>326</t>
        </is>
      </c>
      <c r="D1406" t="inlineStr">
        <is>
          <t>14</t>
        </is>
      </c>
      <c r="E1406" t="inlineStr">
        <is>
          <t>34</t>
        </is>
      </c>
      <c r="F1406" t="inlineStr">
        <is>
          <t>S</t>
        </is>
      </c>
      <c r="G1406" t="inlineStr">
        <is>
          <t>Average</t>
        </is>
      </c>
      <c r="H1406" t="n">
        <v>69.5</v>
      </c>
      <c r="I1406">
        <f>B1406&amp;"|"&amp;F1406&amp;"|"&amp;G1406</f>
        <v/>
      </c>
      <c r="J1406" t="inlineStr">
        <is>
          <t>MVS Sec.14 p.34</t>
        </is>
      </c>
    </row>
    <row r="1407">
      <c r="B1407" t="inlineStr">
        <is>
          <t>Light Industrial/Warehouse Shell Buildings</t>
        </is>
      </c>
      <c r="C1407" t="inlineStr">
        <is>
          <t>454</t>
        </is>
      </c>
      <c r="D1407" t="inlineStr">
        <is>
          <t>14</t>
        </is>
      </c>
      <c r="E1407" t="inlineStr">
        <is>
          <t>35</t>
        </is>
      </c>
      <c r="F1407" t="inlineStr">
        <is>
          <t>C</t>
        </is>
      </c>
      <c r="G1407" t="inlineStr">
        <is>
          <t>Good</t>
        </is>
      </c>
      <c r="H1407" t="n">
        <v>71</v>
      </c>
      <c r="I1407">
        <f>B1407&amp;"|"&amp;F1407&amp;"|"&amp;G1407</f>
        <v/>
      </c>
      <c r="J1407" t="inlineStr">
        <is>
          <t>MVS Sec.14 p.35</t>
        </is>
      </c>
    </row>
    <row r="1408">
      <c r="B1408" t="inlineStr">
        <is>
          <t>Light Industrial/Warehouse Shell Buildings</t>
        </is>
      </c>
      <c r="C1408" t="inlineStr">
        <is>
          <t>454</t>
        </is>
      </c>
      <c r="D1408" t="inlineStr">
        <is>
          <t>14</t>
        </is>
      </c>
      <c r="E1408" t="inlineStr">
        <is>
          <t>35</t>
        </is>
      </c>
      <c r="F1408" t="inlineStr">
        <is>
          <t>C</t>
        </is>
      </c>
      <c r="G1408" t="inlineStr">
        <is>
          <t>Average</t>
        </is>
      </c>
      <c r="H1408" t="n">
        <v>51</v>
      </c>
      <c r="I1408">
        <f>B1408&amp;"|"&amp;F1408&amp;"|"&amp;G1408</f>
        <v/>
      </c>
      <c r="J1408" t="inlineStr">
        <is>
          <t>MVS Sec.14 p.35</t>
        </is>
      </c>
    </row>
    <row r="1409">
      <c r="B1409" t="inlineStr">
        <is>
          <t>Light Industrial/Warehouse Shell Buildings</t>
        </is>
      </c>
      <c r="C1409" t="inlineStr">
        <is>
          <t>454</t>
        </is>
      </c>
      <c r="D1409" t="inlineStr">
        <is>
          <t>14</t>
        </is>
      </c>
      <c r="E1409" t="inlineStr">
        <is>
          <t>35</t>
        </is>
      </c>
      <c r="F1409" t="inlineStr">
        <is>
          <t>C</t>
        </is>
      </c>
      <c r="G1409" t="inlineStr">
        <is>
          <t>Low Cost</t>
        </is>
      </c>
      <c r="H1409" t="n">
        <v>36.75</v>
      </c>
      <c r="I1409">
        <f>B1409&amp;"|"&amp;F1409&amp;"|"&amp;G1409</f>
        <v/>
      </c>
      <c r="J1409" t="inlineStr">
        <is>
          <t>MVS Sec.14 p.35</t>
        </is>
      </c>
    </row>
    <row r="1410">
      <c r="B1410" t="inlineStr">
        <is>
          <t>Light Industrial/Warehouse Shell Buildings</t>
        </is>
      </c>
      <c r="C1410" t="inlineStr">
        <is>
          <t>454</t>
        </is>
      </c>
      <c r="D1410" t="inlineStr">
        <is>
          <t>14</t>
        </is>
      </c>
      <c r="E1410" t="inlineStr">
        <is>
          <t>35</t>
        </is>
      </c>
      <c r="F1410" t="inlineStr">
        <is>
          <t>C</t>
        </is>
      </c>
      <c r="G1410" t="inlineStr">
        <is>
          <t>Cheap</t>
        </is>
      </c>
      <c r="H1410" t="n">
        <v>29.75</v>
      </c>
      <c r="I1410">
        <f>B1410&amp;"|"&amp;F1410&amp;"|"&amp;G1410</f>
        <v/>
      </c>
      <c r="J1410" t="inlineStr">
        <is>
          <t>MVS Sec.14 p.35</t>
        </is>
      </c>
    </row>
    <row r="1411">
      <c r="B1411" t="inlineStr">
        <is>
          <t>Light Industrial/Warehouse Shell Buildings</t>
        </is>
      </c>
      <c r="C1411" t="inlineStr">
        <is>
          <t>454</t>
        </is>
      </c>
      <c r="D1411" t="inlineStr">
        <is>
          <t>14</t>
        </is>
      </c>
      <c r="E1411" t="inlineStr">
        <is>
          <t>35</t>
        </is>
      </c>
      <c r="F1411" t="inlineStr">
        <is>
          <t>D</t>
        </is>
      </c>
      <c r="G1411" t="inlineStr">
        <is>
          <t>Good</t>
        </is>
      </c>
      <c r="H1411" t="n">
        <v>65.5</v>
      </c>
      <c r="I1411">
        <f>B1411&amp;"|"&amp;F1411&amp;"|"&amp;G1411</f>
        <v/>
      </c>
      <c r="J1411" t="inlineStr">
        <is>
          <t>MVS Sec.14 p.35</t>
        </is>
      </c>
    </row>
    <row r="1412">
      <c r="B1412" t="inlineStr">
        <is>
          <t>Light Industrial/Warehouse Shell Buildings</t>
        </is>
      </c>
      <c r="C1412" t="inlineStr">
        <is>
          <t>454</t>
        </is>
      </c>
      <c r="D1412" t="inlineStr">
        <is>
          <t>14</t>
        </is>
      </c>
      <c r="E1412" t="inlineStr">
        <is>
          <t>35</t>
        </is>
      </c>
      <c r="F1412" t="inlineStr">
        <is>
          <t>D</t>
        </is>
      </c>
      <c r="G1412" t="inlineStr">
        <is>
          <t>Average</t>
        </is>
      </c>
      <c r="H1412" t="n">
        <v>46.75</v>
      </c>
      <c r="I1412">
        <f>B1412&amp;"|"&amp;F1412&amp;"|"&amp;G1412</f>
        <v/>
      </c>
      <c r="J1412" t="inlineStr">
        <is>
          <t>MVS Sec.14 p.35</t>
        </is>
      </c>
    </row>
    <row r="1413">
      <c r="B1413" t="inlineStr">
        <is>
          <t>Light Industrial/Warehouse Shell Buildings</t>
        </is>
      </c>
      <c r="C1413" t="inlineStr">
        <is>
          <t>454</t>
        </is>
      </c>
      <c r="D1413" t="inlineStr">
        <is>
          <t>14</t>
        </is>
      </c>
      <c r="E1413" t="inlineStr">
        <is>
          <t>35</t>
        </is>
      </c>
      <c r="F1413" t="inlineStr">
        <is>
          <t>DPOLE</t>
        </is>
      </c>
      <c r="G1413" t="inlineStr">
        <is>
          <t>Average</t>
        </is>
      </c>
      <c r="H1413" t="n">
        <v>38.75</v>
      </c>
      <c r="I1413">
        <f>B1413&amp;"|"&amp;F1413&amp;"|"&amp;G1413</f>
        <v/>
      </c>
      <c r="J1413" t="inlineStr">
        <is>
          <t>MVS Sec.14 p.35</t>
        </is>
      </c>
    </row>
    <row r="1414">
      <c r="B1414" t="inlineStr">
        <is>
          <t>Light Industrial/Warehouse Shell Buildings</t>
        </is>
      </c>
      <c r="C1414" t="inlineStr">
        <is>
          <t>454</t>
        </is>
      </c>
      <c r="D1414" t="inlineStr">
        <is>
          <t>14</t>
        </is>
      </c>
      <c r="E1414" t="inlineStr">
        <is>
          <t>35</t>
        </is>
      </c>
      <c r="F1414" t="inlineStr">
        <is>
          <t>DPOLE</t>
        </is>
      </c>
      <c r="G1414" t="inlineStr">
        <is>
          <t>Low Cost</t>
        </is>
      </c>
      <c r="H1414" t="n">
        <v>27.75</v>
      </c>
      <c r="I1414">
        <f>B1414&amp;"|"&amp;F1414&amp;"|"&amp;G1414</f>
        <v/>
      </c>
      <c r="J1414" t="inlineStr">
        <is>
          <t>MVS Sec.14 p.35</t>
        </is>
      </c>
    </row>
    <row r="1415">
      <c r="B1415" t="inlineStr">
        <is>
          <t>Light Industrial/Warehouse Shell Buildings</t>
        </is>
      </c>
      <c r="C1415" t="inlineStr">
        <is>
          <t>454</t>
        </is>
      </c>
      <c r="D1415" t="inlineStr">
        <is>
          <t>14</t>
        </is>
      </c>
      <c r="E1415" t="inlineStr">
        <is>
          <t>35</t>
        </is>
      </c>
      <c r="F1415" t="inlineStr">
        <is>
          <t>DPOLE</t>
        </is>
      </c>
      <c r="G1415" t="inlineStr">
        <is>
          <t>Cheap</t>
        </is>
      </c>
      <c r="H1415" t="n">
        <v>21.55</v>
      </c>
      <c r="I1415">
        <f>B1415&amp;"|"&amp;F1415&amp;"|"&amp;G1415</f>
        <v/>
      </c>
      <c r="J1415" t="inlineStr">
        <is>
          <t>MVS Sec.14 p.35</t>
        </is>
      </c>
    </row>
    <row r="1416">
      <c r="B1416" t="inlineStr">
        <is>
          <t>Light Industrial/Warehouse Shell Buildings</t>
        </is>
      </c>
      <c r="C1416" t="inlineStr">
        <is>
          <t>454</t>
        </is>
      </c>
      <c r="D1416" t="inlineStr">
        <is>
          <t>14</t>
        </is>
      </c>
      <c r="E1416" t="inlineStr">
        <is>
          <t>35</t>
        </is>
      </c>
      <c r="F1416" t="inlineStr">
        <is>
          <t>S</t>
        </is>
      </c>
      <c r="G1416" t="inlineStr">
        <is>
          <t>Good</t>
        </is>
      </c>
      <c r="H1416" t="n">
        <v>64.5</v>
      </c>
      <c r="I1416">
        <f>B1416&amp;"|"&amp;F1416&amp;"|"&amp;G1416</f>
        <v/>
      </c>
      <c r="J1416" t="inlineStr">
        <is>
          <t>MVS Sec.14 p.35</t>
        </is>
      </c>
    </row>
    <row r="1417">
      <c r="B1417" t="inlineStr">
        <is>
          <t>Light Industrial/Warehouse Shell Buildings</t>
        </is>
      </c>
      <c r="C1417" t="inlineStr">
        <is>
          <t>454</t>
        </is>
      </c>
      <c r="D1417" t="inlineStr">
        <is>
          <t>14</t>
        </is>
      </c>
      <c r="E1417" t="inlineStr">
        <is>
          <t>35</t>
        </is>
      </c>
      <c r="F1417" t="inlineStr">
        <is>
          <t>S</t>
        </is>
      </c>
      <c r="G1417" t="inlineStr">
        <is>
          <t>Average</t>
        </is>
      </c>
      <c r="H1417" t="n">
        <v>45.75</v>
      </c>
      <c r="I1417">
        <f>B1417&amp;"|"&amp;F1417&amp;"|"&amp;G1417</f>
        <v/>
      </c>
      <c r="J1417" t="inlineStr">
        <is>
          <t>MVS Sec.14 p.35</t>
        </is>
      </c>
    </row>
    <row r="1418">
      <c r="B1418" t="inlineStr">
        <is>
          <t>Light Industrial/Warehouse Shell Buildings</t>
        </is>
      </c>
      <c r="C1418" t="inlineStr">
        <is>
          <t>454</t>
        </is>
      </c>
      <c r="D1418" t="inlineStr">
        <is>
          <t>14</t>
        </is>
      </c>
      <c r="E1418" t="inlineStr">
        <is>
          <t>35</t>
        </is>
      </c>
      <c r="F1418" t="inlineStr">
        <is>
          <t>S</t>
        </is>
      </c>
      <c r="G1418" t="inlineStr">
        <is>
          <t>Low Cost</t>
        </is>
      </c>
      <c r="H1418" t="n">
        <v>32.5</v>
      </c>
      <c r="I1418">
        <f>B1418&amp;"|"&amp;F1418&amp;"|"&amp;G1418</f>
        <v/>
      </c>
      <c r="J1418" t="inlineStr">
        <is>
          <t>MVS Sec.14 p.35</t>
        </is>
      </c>
    </row>
    <row r="1419">
      <c r="B1419" t="inlineStr">
        <is>
          <t>Light Industrial/Warehouse Shell Buildings</t>
        </is>
      </c>
      <c r="C1419" t="inlineStr">
        <is>
          <t>454</t>
        </is>
      </c>
      <c r="D1419" t="inlineStr">
        <is>
          <t>14</t>
        </is>
      </c>
      <c r="E1419" t="inlineStr">
        <is>
          <t>35</t>
        </is>
      </c>
      <c r="F1419" t="inlineStr">
        <is>
          <t>S</t>
        </is>
      </c>
      <c r="G1419" t="inlineStr">
        <is>
          <t>Cheap</t>
        </is>
      </c>
      <c r="H1419" t="n">
        <v>24.65</v>
      </c>
      <c r="I1419">
        <f>B1419&amp;"|"&amp;F1419&amp;"|"&amp;G1419</f>
        <v/>
      </c>
      <c r="J1419" t="inlineStr">
        <is>
          <t>MVS Sec.14 p.35</t>
        </is>
      </c>
    </row>
    <row r="1420">
      <c r="B1420" t="inlineStr">
        <is>
          <t>Office Buildings</t>
        </is>
      </c>
      <c r="C1420" t="inlineStr">
        <is>
          <t>344</t>
        </is>
      </c>
      <c r="D1420" t="inlineStr">
        <is>
          <t>15</t>
        </is>
      </c>
      <c r="E1420" t="inlineStr">
        <is>
          <t>17</t>
        </is>
      </c>
      <c r="F1420" t="inlineStr">
        <is>
          <t>A</t>
        </is>
      </c>
      <c r="G1420" t="inlineStr">
        <is>
          <t>Excellent</t>
        </is>
      </c>
      <c r="H1420" t="n">
        <v>404</v>
      </c>
      <c r="I1420">
        <f>B1420&amp;"|"&amp;F1420&amp;"|"&amp;G1420</f>
        <v/>
      </c>
      <c r="J1420" t="inlineStr">
        <is>
          <t>MVS Sec.15 p.17</t>
        </is>
      </c>
    </row>
    <row r="1421">
      <c r="B1421" t="inlineStr">
        <is>
          <t>Office Buildings</t>
        </is>
      </c>
      <c r="C1421" t="inlineStr">
        <is>
          <t>344</t>
        </is>
      </c>
      <c r="D1421" t="inlineStr">
        <is>
          <t>15</t>
        </is>
      </c>
      <c r="E1421" t="inlineStr">
        <is>
          <t>17</t>
        </is>
      </c>
      <c r="F1421" t="inlineStr">
        <is>
          <t>A</t>
        </is>
      </c>
      <c r="G1421" t="inlineStr">
        <is>
          <t>Good</t>
        </is>
      </c>
      <c r="H1421" t="n">
        <v>320</v>
      </c>
      <c r="I1421">
        <f>B1421&amp;"|"&amp;F1421&amp;"|"&amp;G1421</f>
        <v/>
      </c>
      <c r="J1421" t="inlineStr">
        <is>
          <t>MVS Sec.15 p.17</t>
        </is>
      </c>
    </row>
    <row r="1422">
      <c r="B1422" t="inlineStr">
        <is>
          <t>Office Buildings</t>
        </is>
      </c>
      <c r="C1422" t="inlineStr">
        <is>
          <t>344</t>
        </is>
      </c>
      <c r="D1422" t="inlineStr">
        <is>
          <t>15</t>
        </is>
      </c>
      <c r="E1422" t="inlineStr">
        <is>
          <t>17</t>
        </is>
      </c>
      <c r="F1422" t="inlineStr">
        <is>
          <t>A</t>
        </is>
      </c>
      <c r="G1422" t="inlineStr">
        <is>
          <t>Average</t>
        </is>
      </c>
      <c r="H1422" t="n">
        <v>241</v>
      </c>
      <c r="I1422">
        <f>B1422&amp;"|"&amp;F1422&amp;"|"&amp;G1422</f>
        <v/>
      </c>
      <c r="J1422" t="inlineStr">
        <is>
          <t>MVS Sec.15 p.17</t>
        </is>
      </c>
    </row>
    <row r="1423">
      <c r="B1423" t="inlineStr">
        <is>
          <t>Office Buildings</t>
        </is>
      </c>
      <c r="C1423" t="inlineStr">
        <is>
          <t>344</t>
        </is>
      </c>
      <c r="D1423" t="inlineStr">
        <is>
          <t>15</t>
        </is>
      </c>
      <c r="E1423" t="inlineStr">
        <is>
          <t>17</t>
        </is>
      </c>
      <c r="F1423" t="inlineStr">
        <is>
          <t>A</t>
        </is>
      </c>
      <c r="G1423" t="inlineStr">
        <is>
          <t>Low Cost</t>
        </is>
      </c>
      <c r="H1423" t="n">
        <v>192</v>
      </c>
      <c r="I1423">
        <f>B1423&amp;"|"&amp;F1423&amp;"|"&amp;G1423</f>
        <v/>
      </c>
      <c r="J1423" t="inlineStr">
        <is>
          <t>MVS Sec.15 p.17</t>
        </is>
      </c>
    </row>
    <row r="1424">
      <c r="B1424" t="inlineStr">
        <is>
          <t>Office Buildings</t>
        </is>
      </c>
      <c r="C1424" t="inlineStr">
        <is>
          <t>344</t>
        </is>
      </c>
      <c r="D1424" t="inlineStr">
        <is>
          <t>15</t>
        </is>
      </c>
      <c r="E1424" t="inlineStr">
        <is>
          <t>17</t>
        </is>
      </c>
      <c r="F1424" t="inlineStr">
        <is>
          <t>B</t>
        </is>
      </c>
      <c r="G1424" t="inlineStr">
        <is>
          <t>Excellent</t>
        </is>
      </c>
      <c r="H1424" t="n">
        <v>372</v>
      </c>
      <c r="I1424">
        <f>B1424&amp;"|"&amp;F1424&amp;"|"&amp;G1424</f>
        <v/>
      </c>
      <c r="J1424" t="inlineStr">
        <is>
          <t>MVS Sec.15 p.17</t>
        </is>
      </c>
    </row>
    <row r="1425">
      <c r="B1425" t="inlineStr">
        <is>
          <t>Office Buildings</t>
        </is>
      </c>
      <c r="C1425" t="inlineStr">
        <is>
          <t>344</t>
        </is>
      </c>
      <c r="D1425" t="inlineStr">
        <is>
          <t>15</t>
        </is>
      </c>
      <c r="E1425" t="inlineStr">
        <is>
          <t>17</t>
        </is>
      </c>
      <c r="F1425" t="inlineStr">
        <is>
          <t>B</t>
        </is>
      </c>
      <c r="G1425" t="inlineStr">
        <is>
          <t>Good</t>
        </is>
      </c>
      <c r="H1425" t="n">
        <v>293</v>
      </c>
      <c r="I1425">
        <f>B1425&amp;"|"&amp;F1425&amp;"|"&amp;G1425</f>
        <v/>
      </c>
      <c r="J1425" t="inlineStr">
        <is>
          <t>MVS Sec.15 p.17</t>
        </is>
      </c>
    </row>
    <row r="1426">
      <c r="B1426" t="inlineStr">
        <is>
          <t>Office Buildings</t>
        </is>
      </c>
      <c r="C1426" t="inlineStr">
        <is>
          <t>344</t>
        </is>
      </c>
      <c r="D1426" t="inlineStr">
        <is>
          <t>15</t>
        </is>
      </c>
      <c r="E1426" t="inlineStr">
        <is>
          <t>17</t>
        </is>
      </c>
      <c r="F1426" t="inlineStr">
        <is>
          <t>B</t>
        </is>
      </c>
      <c r="G1426" t="inlineStr">
        <is>
          <t>Average</t>
        </is>
      </c>
      <c r="H1426" t="n">
        <v>219</v>
      </c>
      <c r="I1426">
        <f>B1426&amp;"|"&amp;F1426&amp;"|"&amp;G1426</f>
        <v/>
      </c>
      <c r="J1426" t="inlineStr">
        <is>
          <t>MVS Sec.15 p.17</t>
        </is>
      </c>
    </row>
    <row r="1427">
      <c r="B1427" t="inlineStr">
        <is>
          <t>Office Buildings</t>
        </is>
      </c>
      <c r="C1427" t="inlineStr">
        <is>
          <t>344</t>
        </is>
      </c>
      <c r="D1427" t="inlineStr">
        <is>
          <t>15</t>
        </is>
      </c>
      <c r="E1427" t="inlineStr">
        <is>
          <t>17</t>
        </is>
      </c>
      <c r="F1427" t="inlineStr">
        <is>
          <t>B</t>
        </is>
      </c>
      <c r="G1427" t="inlineStr">
        <is>
          <t>Low Cost</t>
        </is>
      </c>
      <c r="H1427" t="n">
        <v>173</v>
      </c>
      <c r="I1427">
        <f>B1427&amp;"|"&amp;F1427&amp;"|"&amp;G1427</f>
        <v/>
      </c>
      <c r="J1427" t="inlineStr">
        <is>
          <t>MVS Sec.15 p.17</t>
        </is>
      </c>
    </row>
    <row r="1428">
      <c r="B1428" t="inlineStr">
        <is>
          <t>Office Buildings</t>
        </is>
      </c>
      <c r="C1428" t="inlineStr">
        <is>
          <t>344</t>
        </is>
      </c>
      <c r="D1428" t="inlineStr">
        <is>
          <t>15</t>
        </is>
      </c>
      <c r="E1428" t="inlineStr">
        <is>
          <t>17</t>
        </is>
      </c>
      <c r="F1428" t="inlineStr">
        <is>
          <t>C</t>
        </is>
      </c>
      <c r="G1428" t="inlineStr">
        <is>
          <t>Excellent</t>
        </is>
      </c>
      <c r="H1428" t="n">
        <v>317</v>
      </c>
      <c r="I1428">
        <f>B1428&amp;"|"&amp;F1428&amp;"|"&amp;G1428</f>
        <v/>
      </c>
      <c r="J1428" t="inlineStr">
        <is>
          <t>MVS Sec.15 p.17</t>
        </is>
      </c>
    </row>
    <row r="1429">
      <c r="B1429" t="inlineStr">
        <is>
          <t>Office Buildings</t>
        </is>
      </c>
      <c r="C1429" t="inlineStr">
        <is>
          <t>344</t>
        </is>
      </c>
      <c r="D1429" t="inlineStr">
        <is>
          <t>15</t>
        </is>
      </c>
      <c r="E1429" t="inlineStr">
        <is>
          <t>17</t>
        </is>
      </c>
      <c r="F1429" t="inlineStr">
        <is>
          <t>C</t>
        </is>
      </c>
      <c r="G1429" t="inlineStr">
        <is>
          <t>Good</t>
        </is>
      </c>
      <c r="H1429" t="n">
        <v>221</v>
      </c>
      <c r="I1429">
        <f>B1429&amp;"|"&amp;F1429&amp;"|"&amp;G1429</f>
        <v/>
      </c>
      <c r="J1429" t="inlineStr">
        <is>
          <t>MVS Sec.15 p.17</t>
        </is>
      </c>
    </row>
    <row r="1430">
      <c r="B1430" t="inlineStr">
        <is>
          <t>Office Buildings</t>
        </is>
      </c>
      <c r="C1430" t="inlineStr">
        <is>
          <t>344</t>
        </is>
      </c>
      <c r="D1430" t="inlineStr">
        <is>
          <t>15</t>
        </is>
      </c>
      <c r="E1430" t="inlineStr">
        <is>
          <t>17</t>
        </is>
      </c>
      <c r="F1430" t="inlineStr">
        <is>
          <t>C</t>
        </is>
      </c>
      <c r="G1430" t="inlineStr">
        <is>
          <t>Average</t>
        </is>
      </c>
      <c r="H1430" t="n">
        <v>157</v>
      </c>
      <c r="I1430">
        <f>B1430&amp;"|"&amp;F1430&amp;"|"&amp;G1430</f>
        <v/>
      </c>
      <c r="J1430" t="inlineStr">
        <is>
          <t>MVS Sec.15 p.17</t>
        </is>
      </c>
    </row>
    <row r="1431">
      <c r="B1431" t="inlineStr">
        <is>
          <t>Office Buildings</t>
        </is>
      </c>
      <c r="C1431" t="inlineStr">
        <is>
          <t>344</t>
        </is>
      </c>
      <c r="D1431" t="inlineStr">
        <is>
          <t>15</t>
        </is>
      </c>
      <c r="E1431" t="inlineStr">
        <is>
          <t>17</t>
        </is>
      </c>
      <c r="F1431" t="inlineStr">
        <is>
          <t>C</t>
        </is>
      </c>
      <c r="G1431" t="inlineStr">
        <is>
          <t>Low Cost</t>
        </is>
      </c>
      <c r="H1431" t="n">
        <v>106</v>
      </c>
      <c r="I1431">
        <f>B1431&amp;"|"&amp;F1431&amp;"|"&amp;G1431</f>
        <v/>
      </c>
      <c r="J1431" t="inlineStr">
        <is>
          <t>MVS Sec.15 p.17</t>
        </is>
      </c>
    </row>
    <row r="1432">
      <c r="B1432" t="inlineStr">
        <is>
          <t>Office Buildings</t>
        </is>
      </c>
      <c r="C1432" t="inlineStr">
        <is>
          <t>344</t>
        </is>
      </c>
      <c r="D1432" t="inlineStr">
        <is>
          <t>15</t>
        </is>
      </c>
      <c r="E1432" t="inlineStr">
        <is>
          <t>17</t>
        </is>
      </c>
      <c r="F1432" t="inlineStr">
        <is>
          <t>D</t>
        </is>
      </c>
      <c r="G1432" t="inlineStr">
        <is>
          <t>Excellent</t>
        </is>
      </c>
      <c r="H1432" t="n">
        <v>302</v>
      </c>
      <c r="I1432">
        <f>B1432&amp;"|"&amp;F1432&amp;"|"&amp;G1432</f>
        <v/>
      </c>
      <c r="J1432" t="inlineStr">
        <is>
          <t>MVS Sec.15 p.17</t>
        </is>
      </c>
    </row>
    <row r="1433">
      <c r="B1433" t="inlineStr">
        <is>
          <t>Office Buildings</t>
        </is>
      </c>
      <c r="C1433" t="inlineStr">
        <is>
          <t>344</t>
        </is>
      </c>
      <c r="D1433" t="inlineStr">
        <is>
          <t>15</t>
        </is>
      </c>
      <c r="E1433" t="inlineStr">
        <is>
          <t>17</t>
        </is>
      </c>
      <c r="F1433" t="inlineStr">
        <is>
          <t>D</t>
        </is>
      </c>
      <c r="G1433" t="inlineStr">
        <is>
          <t>Good</t>
        </is>
      </c>
      <c r="H1433" t="n">
        <v>210</v>
      </c>
      <c r="I1433">
        <f>B1433&amp;"|"&amp;F1433&amp;"|"&amp;G1433</f>
        <v/>
      </c>
      <c r="J1433" t="inlineStr">
        <is>
          <t>MVS Sec.15 p.17</t>
        </is>
      </c>
    </row>
    <row r="1434">
      <c r="B1434" t="inlineStr">
        <is>
          <t>Office Buildings</t>
        </is>
      </c>
      <c r="C1434" t="inlineStr">
        <is>
          <t>344</t>
        </is>
      </c>
      <c r="D1434" t="inlineStr">
        <is>
          <t>15</t>
        </is>
      </c>
      <c r="E1434" t="inlineStr">
        <is>
          <t>17</t>
        </is>
      </c>
      <c r="F1434" t="inlineStr">
        <is>
          <t>D</t>
        </is>
      </c>
      <c r="G1434" t="inlineStr">
        <is>
          <t>Average</t>
        </is>
      </c>
      <c r="H1434" t="n">
        <v>149</v>
      </c>
      <c r="I1434">
        <f>B1434&amp;"|"&amp;F1434&amp;"|"&amp;G1434</f>
        <v/>
      </c>
      <c r="J1434" t="inlineStr">
        <is>
          <t>MVS Sec.15 p.17</t>
        </is>
      </c>
    </row>
    <row r="1435">
      <c r="B1435" t="inlineStr">
        <is>
          <t>Office Buildings</t>
        </is>
      </c>
      <c r="C1435" t="inlineStr">
        <is>
          <t>344</t>
        </is>
      </c>
      <c r="D1435" t="inlineStr">
        <is>
          <t>15</t>
        </is>
      </c>
      <c r="E1435" t="inlineStr">
        <is>
          <t>17</t>
        </is>
      </c>
      <c r="F1435" t="inlineStr">
        <is>
          <t>D</t>
        </is>
      </c>
      <c r="G1435" t="inlineStr">
        <is>
          <t>Low Cost</t>
        </is>
      </c>
      <c r="H1435" t="n">
        <v>99.5</v>
      </c>
      <c r="I1435">
        <f>B1435&amp;"|"&amp;F1435&amp;"|"&amp;G1435</f>
        <v/>
      </c>
      <c r="J1435" t="inlineStr">
        <is>
          <t>MVS Sec.15 p.17</t>
        </is>
      </c>
    </row>
    <row r="1436">
      <c r="B1436" t="inlineStr">
        <is>
          <t>Office Buildings</t>
        </is>
      </c>
      <c r="C1436" t="inlineStr">
        <is>
          <t>344</t>
        </is>
      </c>
      <c r="D1436" t="inlineStr">
        <is>
          <t>15</t>
        </is>
      </c>
      <c r="E1436" t="inlineStr">
        <is>
          <t>17</t>
        </is>
      </c>
      <c r="F1436" t="inlineStr">
        <is>
          <t>DPOLE</t>
        </is>
      </c>
      <c r="G1436" t="inlineStr">
        <is>
          <t>Good</t>
        </is>
      </c>
      <c r="H1436" t="n">
        <v>198</v>
      </c>
      <c r="I1436">
        <f>B1436&amp;"|"&amp;F1436&amp;"|"&amp;G1436</f>
        <v/>
      </c>
      <c r="J1436" t="inlineStr">
        <is>
          <t>MVS Sec.15 p.17</t>
        </is>
      </c>
    </row>
    <row r="1437">
      <c r="B1437" t="inlineStr">
        <is>
          <t>Office Buildings</t>
        </is>
      </c>
      <c r="C1437" t="inlineStr">
        <is>
          <t>344</t>
        </is>
      </c>
      <c r="D1437" t="inlineStr">
        <is>
          <t>15</t>
        </is>
      </c>
      <c r="E1437" t="inlineStr">
        <is>
          <t>17</t>
        </is>
      </c>
      <c r="F1437" t="inlineStr">
        <is>
          <t>DPOLE</t>
        </is>
      </c>
      <c r="G1437" t="inlineStr">
        <is>
          <t>Average</t>
        </is>
      </c>
      <c r="H1437" t="n">
        <v>135</v>
      </c>
      <c r="I1437">
        <f>B1437&amp;"|"&amp;F1437&amp;"|"&amp;G1437</f>
        <v/>
      </c>
      <c r="J1437" t="inlineStr">
        <is>
          <t>MVS Sec.15 p.17</t>
        </is>
      </c>
    </row>
    <row r="1438">
      <c r="B1438" t="inlineStr">
        <is>
          <t>Office Buildings</t>
        </is>
      </c>
      <c r="C1438" t="inlineStr">
        <is>
          <t>344</t>
        </is>
      </c>
      <c r="D1438" t="inlineStr">
        <is>
          <t>15</t>
        </is>
      </c>
      <c r="E1438" t="inlineStr">
        <is>
          <t>17</t>
        </is>
      </c>
      <c r="F1438" t="inlineStr">
        <is>
          <t>DPOLE</t>
        </is>
      </c>
      <c r="G1438" t="inlineStr">
        <is>
          <t>Low Cost</t>
        </is>
      </c>
      <c r="H1438" t="n">
        <v>91.5</v>
      </c>
      <c r="I1438">
        <f>B1438&amp;"|"&amp;F1438&amp;"|"&amp;G1438</f>
        <v/>
      </c>
      <c r="J1438" t="inlineStr">
        <is>
          <t>MVS Sec.15 p.17</t>
        </is>
      </c>
    </row>
    <row r="1439">
      <c r="B1439" t="inlineStr">
        <is>
          <t>Office Buildings</t>
        </is>
      </c>
      <c r="C1439" t="inlineStr">
        <is>
          <t>344</t>
        </is>
      </c>
      <c r="D1439" t="inlineStr">
        <is>
          <t>15</t>
        </is>
      </c>
      <c r="E1439" t="inlineStr">
        <is>
          <t>17</t>
        </is>
      </c>
      <c r="F1439" t="inlineStr">
        <is>
          <t>S</t>
        </is>
      </c>
      <c r="G1439" t="inlineStr">
        <is>
          <t>Good</t>
        </is>
      </c>
      <c r="H1439" t="n">
        <v>203</v>
      </c>
      <c r="I1439">
        <f>B1439&amp;"|"&amp;F1439&amp;"|"&amp;G1439</f>
        <v/>
      </c>
      <c r="J1439" t="inlineStr">
        <is>
          <t>MVS Sec.15 p.17</t>
        </is>
      </c>
    </row>
    <row r="1440">
      <c r="B1440" t="inlineStr">
        <is>
          <t>Office Buildings</t>
        </is>
      </c>
      <c r="C1440" t="inlineStr">
        <is>
          <t>344</t>
        </is>
      </c>
      <c r="D1440" t="inlineStr">
        <is>
          <t>15</t>
        </is>
      </c>
      <c r="E1440" t="inlineStr">
        <is>
          <t>17</t>
        </is>
      </c>
      <c r="F1440" t="inlineStr">
        <is>
          <t>S</t>
        </is>
      </c>
      <c r="G1440" t="inlineStr">
        <is>
          <t>Average</t>
        </is>
      </c>
      <c r="H1440" t="n">
        <v>140</v>
      </c>
      <c r="I1440">
        <f>B1440&amp;"|"&amp;F1440&amp;"|"&amp;G1440</f>
        <v/>
      </c>
      <c r="J1440" t="inlineStr">
        <is>
          <t>MVS Sec.15 p.17</t>
        </is>
      </c>
    </row>
    <row r="1441">
      <c r="B1441" t="inlineStr">
        <is>
          <t>Office Buildings</t>
        </is>
      </c>
      <c r="C1441" t="inlineStr">
        <is>
          <t>344</t>
        </is>
      </c>
      <c r="D1441" t="inlineStr">
        <is>
          <t>15</t>
        </is>
      </c>
      <c r="E1441" t="inlineStr">
        <is>
          <t>17</t>
        </is>
      </c>
      <c r="F1441" t="inlineStr">
        <is>
          <t>S</t>
        </is>
      </c>
      <c r="G1441" t="inlineStr">
        <is>
          <t>Low Cost</t>
        </is>
      </c>
      <c r="H1441" t="n">
        <v>94.5</v>
      </c>
      <c r="I1441">
        <f>B1441&amp;"|"&amp;F1441&amp;"|"&amp;G1441</f>
        <v/>
      </c>
      <c r="J1441" t="inlineStr">
        <is>
          <t>MVS Sec.15 p.17</t>
        </is>
      </c>
    </row>
    <row r="1442">
      <c r="B1442" t="inlineStr">
        <is>
          <t>Atriums/Vestibules</t>
        </is>
      </c>
      <c r="C1442" t="inlineStr">
        <is>
          <t>576</t>
        </is>
      </c>
      <c r="D1442" t="inlineStr">
        <is>
          <t>15</t>
        </is>
      </c>
      <c r="E1442" t="inlineStr">
        <is>
          <t>18</t>
        </is>
      </c>
      <c r="F1442" t="inlineStr">
        <is>
          <t>A-B</t>
        </is>
      </c>
      <c r="G1442" t="inlineStr">
        <is>
          <t>Excellent</t>
        </is>
      </c>
      <c r="H1442" t="n">
        <v>715</v>
      </c>
      <c r="I1442">
        <f>B1442&amp;"|"&amp;F1442&amp;"|"&amp;G1442</f>
        <v/>
      </c>
      <c r="J1442" t="inlineStr">
        <is>
          <t>MVS Sec.15 p.18</t>
        </is>
      </c>
    </row>
    <row r="1443">
      <c r="B1443" t="inlineStr">
        <is>
          <t>Atriums/Vestibules</t>
        </is>
      </c>
      <c r="C1443" t="inlineStr">
        <is>
          <t>576</t>
        </is>
      </c>
      <c r="D1443" t="inlineStr">
        <is>
          <t>15</t>
        </is>
      </c>
      <c r="E1443" t="inlineStr">
        <is>
          <t>18</t>
        </is>
      </c>
      <c r="F1443" t="inlineStr">
        <is>
          <t>A-B</t>
        </is>
      </c>
      <c r="G1443" t="inlineStr">
        <is>
          <t>Good</t>
        </is>
      </c>
      <c r="H1443" t="n">
        <v>458</v>
      </c>
      <c r="I1443">
        <f>B1443&amp;"|"&amp;F1443&amp;"|"&amp;G1443</f>
        <v/>
      </c>
      <c r="J1443" t="inlineStr">
        <is>
          <t>MVS Sec.15 p.18</t>
        </is>
      </c>
    </row>
    <row r="1444">
      <c r="B1444" t="inlineStr">
        <is>
          <t>Atriums/Vestibules</t>
        </is>
      </c>
      <c r="C1444" t="inlineStr">
        <is>
          <t>576</t>
        </is>
      </c>
      <c r="D1444" t="inlineStr">
        <is>
          <t>15</t>
        </is>
      </c>
      <c r="E1444" t="inlineStr">
        <is>
          <t>18</t>
        </is>
      </c>
      <c r="F1444" t="inlineStr">
        <is>
          <t>A-B</t>
        </is>
      </c>
      <c r="G1444" t="inlineStr">
        <is>
          <t>Average</t>
        </is>
      </c>
      <c r="H1444" t="n">
        <v>300</v>
      </c>
      <c r="I1444">
        <f>B1444&amp;"|"&amp;F1444&amp;"|"&amp;G1444</f>
        <v/>
      </c>
      <c r="J1444" t="inlineStr">
        <is>
          <t>MVS Sec.15 p.18</t>
        </is>
      </c>
    </row>
    <row r="1445">
      <c r="B1445" t="inlineStr">
        <is>
          <t>Atriums/Vestibules</t>
        </is>
      </c>
      <c r="C1445" t="inlineStr">
        <is>
          <t>576</t>
        </is>
      </c>
      <c r="D1445" t="inlineStr">
        <is>
          <t>15</t>
        </is>
      </c>
      <c r="E1445" t="inlineStr">
        <is>
          <t>18</t>
        </is>
      </c>
      <c r="F1445" t="inlineStr">
        <is>
          <t>A-B</t>
        </is>
      </c>
      <c r="G1445" t="inlineStr">
        <is>
          <t>Low Cost</t>
        </is>
      </c>
      <c r="H1445" t="n">
        <v>187</v>
      </c>
      <c r="I1445">
        <f>B1445&amp;"|"&amp;F1445&amp;"|"&amp;G1445</f>
        <v/>
      </c>
      <c r="J1445" t="inlineStr">
        <is>
          <t>MVS Sec.15 p.18</t>
        </is>
      </c>
    </row>
    <row r="1446">
      <c r="B1446" t="inlineStr">
        <is>
          <t>Atriums/Vestibules</t>
        </is>
      </c>
      <c r="C1446" t="inlineStr">
        <is>
          <t>576</t>
        </is>
      </c>
      <c r="D1446" t="inlineStr">
        <is>
          <t>15</t>
        </is>
      </c>
      <c r="E1446" t="inlineStr">
        <is>
          <t>18</t>
        </is>
      </c>
      <c r="F1446" t="inlineStr">
        <is>
          <t>A-B</t>
        </is>
      </c>
      <c r="G1446" t="inlineStr">
        <is>
          <t>Cheap</t>
        </is>
      </c>
      <c r="H1446" t="n">
        <v>100</v>
      </c>
      <c r="I1446">
        <f>B1446&amp;"|"&amp;F1446&amp;"|"&amp;G1446</f>
        <v/>
      </c>
      <c r="J1446" t="inlineStr">
        <is>
          <t>MVS Sec.15 p.18</t>
        </is>
      </c>
    </row>
    <row r="1447">
      <c r="B1447" t="inlineStr">
        <is>
          <t>Atriums/Vestibules</t>
        </is>
      </c>
      <c r="C1447" t="inlineStr">
        <is>
          <t>576</t>
        </is>
      </c>
      <c r="D1447" t="inlineStr">
        <is>
          <t>15</t>
        </is>
      </c>
      <c r="E1447" t="inlineStr">
        <is>
          <t>18</t>
        </is>
      </c>
      <c r="F1447" t="inlineStr">
        <is>
          <t>CDS</t>
        </is>
      </c>
      <c r="G1447" t="inlineStr">
        <is>
          <t>Good</t>
        </is>
      </c>
      <c r="H1447" t="n">
        <v>360</v>
      </c>
      <c r="I1447">
        <f>B1447&amp;"|"&amp;F1447&amp;"|"&amp;G1447</f>
        <v/>
      </c>
      <c r="J1447" t="inlineStr">
        <is>
          <t>MVS Sec.15 p.18</t>
        </is>
      </c>
    </row>
    <row r="1448">
      <c r="B1448" t="inlineStr">
        <is>
          <t>Atriums/Vestibules</t>
        </is>
      </c>
      <c r="C1448" t="inlineStr">
        <is>
          <t>576</t>
        </is>
      </c>
      <c r="D1448" t="inlineStr">
        <is>
          <t>15</t>
        </is>
      </c>
      <c r="E1448" t="inlineStr">
        <is>
          <t>18</t>
        </is>
      </c>
      <c r="F1448" t="inlineStr">
        <is>
          <t>CDS</t>
        </is>
      </c>
      <c r="G1448" t="inlineStr">
        <is>
          <t>Average</t>
        </is>
      </c>
      <c r="H1448" t="n">
        <v>220</v>
      </c>
      <c r="I1448">
        <f>B1448&amp;"|"&amp;F1448&amp;"|"&amp;G1448</f>
        <v/>
      </c>
      <c r="J1448" t="inlineStr">
        <is>
          <t>MVS Sec.15 p.18</t>
        </is>
      </c>
    </row>
    <row r="1449">
      <c r="B1449" t="inlineStr">
        <is>
          <t>Atriums/Vestibules</t>
        </is>
      </c>
      <c r="C1449" t="inlineStr">
        <is>
          <t>576</t>
        </is>
      </c>
      <c r="D1449" t="inlineStr">
        <is>
          <t>15</t>
        </is>
      </c>
      <c r="E1449" t="inlineStr">
        <is>
          <t>18</t>
        </is>
      </c>
      <c r="F1449" t="inlineStr">
        <is>
          <t>CDS</t>
        </is>
      </c>
      <c r="G1449" t="inlineStr">
        <is>
          <t>Low Cost</t>
        </is>
      </c>
      <c r="H1449" t="n">
        <v>144</v>
      </c>
      <c r="I1449">
        <f>B1449&amp;"|"&amp;F1449&amp;"|"&amp;G1449</f>
        <v/>
      </c>
      <c r="J1449" t="inlineStr">
        <is>
          <t>MVS Sec.15 p.18</t>
        </is>
      </c>
    </row>
    <row r="1450">
      <c r="B1450" t="inlineStr">
        <is>
          <t>Atriums/Vestibules</t>
        </is>
      </c>
      <c r="C1450" t="inlineStr">
        <is>
          <t>576</t>
        </is>
      </c>
      <c r="D1450" t="inlineStr">
        <is>
          <t>15</t>
        </is>
      </c>
      <c r="E1450" t="inlineStr">
        <is>
          <t>18</t>
        </is>
      </c>
      <c r="F1450" t="inlineStr">
        <is>
          <t>CDS</t>
        </is>
      </c>
      <c r="G1450" t="inlineStr">
        <is>
          <t>Cheap</t>
        </is>
      </c>
      <c r="H1450" t="n">
        <v>71.5</v>
      </c>
      <c r="I1450">
        <f>B1450&amp;"|"&amp;F1450&amp;"|"&amp;G1450</f>
        <v/>
      </c>
      <c r="J1450" t="inlineStr">
        <is>
          <t>MVS Sec.15 p.18</t>
        </is>
      </c>
    </row>
    <row r="1451">
      <c r="B1451" t="inlineStr">
        <is>
          <t>Parking Levels (Intermediate/Under Building)</t>
        </is>
      </c>
      <c r="C1451" t="inlineStr">
        <is>
          <t>577</t>
        </is>
      </c>
      <c r="D1451" t="inlineStr">
        <is>
          <t>15</t>
        </is>
      </c>
      <c r="E1451" t="inlineStr">
        <is>
          <t>18</t>
        </is>
      </c>
      <c r="F1451" t="inlineStr">
        <is>
          <t>A-B</t>
        </is>
      </c>
      <c r="G1451" t="inlineStr">
        <is>
          <t>Excellent</t>
        </is>
      </c>
      <c r="H1451" t="n">
        <v>151</v>
      </c>
      <c r="I1451">
        <f>B1451&amp;"|"&amp;F1451&amp;"|"&amp;G1451</f>
        <v/>
      </c>
      <c r="J1451" t="inlineStr">
        <is>
          <t>MVS Sec.15 p.18</t>
        </is>
      </c>
    </row>
    <row r="1452">
      <c r="B1452" t="inlineStr">
        <is>
          <t>Parking Levels (Intermediate/Under Building)</t>
        </is>
      </c>
      <c r="C1452" t="inlineStr">
        <is>
          <t>577</t>
        </is>
      </c>
      <c r="D1452" t="inlineStr">
        <is>
          <t>15</t>
        </is>
      </c>
      <c r="E1452" t="inlineStr">
        <is>
          <t>18</t>
        </is>
      </c>
      <c r="F1452" t="inlineStr">
        <is>
          <t>A-B</t>
        </is>
      </c>
      <c r="G1452" t="inlineStr">
        <is>
          <t>Good</t>
        </is>
      </c>
      <c r="H1452" t="n">
        <v>118</v>
      </c>
      <c r="I1452">
        <f>B1452&amp;"|"&amp;F1452&amp;"|"&amp;G1452</f>
        <v/>
      </c>
      <c r="J1452" t="inlineStr">
        <is>
          <t>MVS Sec.15 p.18</t>
        </is>
      </c>
    </row>
    <row r="1453">
      <c r="B1453" t="inlineStr">
        <is>
          <t>Parking Levels (Intermediate/Under Building)</t>
        </is>
      </c>
      <c r="C1453" t="inlineStr">
        <is>
          <t>577</t>
        </is>
      </c>
      <c r="D1453" t="inlineStr">
        <is>
          <t>15</t>
        </is>
      </c>
      <c r="E1453" t="inlineStr">
        <is>
          <t>18</t>
        </is>
      </c>
      <c r="F1453" t="inlineStr">
        <is>
          <t>A-B</t>
        </is>
      </c>
      <c r="G1453" t="inlineStr">
        <is>
          <t>Average</t>
        </is>
      </c>
      <c r="H1453" t="n">
        <v>94</v>
      </c>
      <c r="I1453">
        <f>B1453&amp;"|"&amp;F1453&amp;"|"&amp;G1453</f>
        <v/>
      </c>
      <c r="J1453" t="inlineStr">
        <is>
          <t>MVS Sec.15 p.18</t>
        </is>
      </c>
    </row>
    <row r="1454">
      <c r="B1454" t="inlineStr">
        <is>
          <t>Parking Levels (Intermediate/Under Building)</t>
        </is>
      </c>
      <c r="C1454" t="inlineStr">
        <is>
          <t>577</t>
        </is>
      </c>
      <c r="D1454" t="inlineStr">
        <is>
          <t>15</t>
        </is>
      </c>
      <c r="E1454" t="inlineStr">
        <is>
          <t>18</t>
        </is>
      </c>
      <c r="F1454" t="inlineStr">
        <is>
          <t>A-B</t>
        </is>
      </c>
      <c r="G1454" t="inlineStr">
        <is>
          <t>Low Cost</t>
        </is>
      </c>
      <c r="H1454" t="n">
        <v>72</v>
      </c>
      <c r="I1454">
        <f>B1454&amp;"|"&amp;F1454&amp;"|"&amp;G1454</f>
        <v/>
      </c>
      <c r="J1454" t="inlineStr">
        <is>
          <t>MVS Sec.15 p.18</t>
        </is>
      </c>
    </row>
    <row r="1455">
      <c r="B1455" t="inlineStr">
        <is>
          <t>Parking Levels (Intermediate/Under Building)</t>
        </is>
      </c>
      <c r="C1455" t="inlineStr">
        <is>
          <t>577</t>
        </is>
      </c>
      <c r="D1455" t="inlineStr">
        <is>
          <t>15</t>
        </is>
      </c>
      <c r="E1455" t="inlineStr">
        <is>
          <t>18</t>
        </is>
      </c>
      <c r="F1455" t="inlineStr">
        <is>
          <t>A-B</t>
        </is>
      </c>
      <c r="G1455" t="inlineStr">
        <is>
          <t>Cheap</t>
        </is>
      </c>
      <c r="H1455" t="n">
        <v>46</v>
      </c>
      <c r="I1455">
        <f>B1455&amp;"|"&amp;F1455&amp;"|"&amp;G1455</f>
        <v/>
      </c>
      <c r="J1455" t="inlineStr">
        <is>
          <t>MVS Sec.15 p.18</t>
        </is>
      </c>
    </row>
    <row r="1456">
      <c r="B1456" t="inlineStr">
        <is>
          <t>Parking Levels (Intermediate/Under Building)</t>
        </is>
      </c>
      <c r="C1456" t="inlineStr">
        <is>
          <t>577</t>
        </is>
      </c>
      <c r="D1456" t="inlineStr">
        <is>
          <t>15</t>
        </is>
      </c>
      <c r="E1456" t="inlineStr">
        <is>
          <t>18</t>
        </is>
      </c>
      <c r="F1456" t="inlineStr">
        <is>
          <t>CDS</t>
        </is>
      </c>
      <c r="G1456" t="inlineStr">
        <is>
          <t>Good</t>
        </is>
      </c>
      <c r="H1456" t="n">
        <v>96.5</v>
      </c>
      <c r="I1456">
        <f>B1456&amp;"|"&amp;F1456&amp;"|"&amp;G1456</f>
        <v/>
      </c>
      <c r="J1456" t="inlineStr">
        <is>
          <t>MVS Sec.15 p.18</t>
        </is>
      </c>
    </row>
    <row r="1457">
      <c r="B1457" t="inlineStr">
        <is>
          <t>Parking Levels (Intermediate/Under Building)</t>
        </is>
      </c>
      <c r="C1457" t="inlineStr">
        <is>
          <t>577</t>
        </is>
      </c>
      <c r="D1457" t="inlineStr">
        <is>
          <t>15</t>
        </is>
      </c>
      <c r="E1457" t="inlineStr">
        <is>
          <t>18</t>
        </is>
      </c>
      <c r="F1457" t="inlineStr">
        <is>
          <t>CDS</t>
        </is>
      </c>
      <c r="G1457" t="inlineStr">
        <is>
          <t>Average</t>
        </is>
      </c>
      <c r="H1457" t="n">
        <v>75.5</v>
      </c>
      <c r="I1457">
        <f>B1457&amp;"|"&amp;F1457&amp;"|"&amp;G1457</f>
        <v/>
      </c>
      <c r="J1457" t="inlineStr">
        <is>
          <t>MVS Sec.15 p.18</t>
        </is>
      </c>
    </row>
    <row r="1458">
      <c r="B1458" t="inlineStr">
        <is>
          <t>Parking Levels (Intermediate/Under Building)</t>
        </is>
      </c>
      <c r="C1458" t="inlineStr">
        <is>
          <t>577</t>
        </is>
      </c>
      <c r="D1458" t="inlineStr">
        <is>
          <t>15</t>
        </is>
      </c>
      <c r="E1458" t="inlineStr">
        <is>
          <t>18</t>
        </is>
      </c>
      <c r="F1458" t="inlineStr">
        <is>
          <t>CDS</t>
        </is>
      </c>
      <c r="G1458" t="inlineStr">
        <is>
          <t>Low Cost</t>
        </is>
      </c>
      <c r="H1458" t="n">
        <v>56.5</v>
      </c>
      <c r="I1458">
        <f>B1458&amp;"|"&amp;F1458&amp;"|"&amp;G1458</f>
        <v/>
      </c>
      <c r="J1458" t="inlineStr">
        <is>
          <t>MVS Sec.15 p.18</t>
        </is>
      </c>
    </row>
    <row r="1459">
      <c r="B1459" t="inlineStr">
        <is>
          <t>Parking Levels (Intermediate/Under Building)</t>
        </is>
      </c>
      <c r="C1459" t="inlineStr">
        <is>
          <t>577</t>
        </is>
      </c>
      <c r="D1459" t="inlineStr">
        <is>
          <t>15</t>
        </is>
      </c>
      <c r="E1459" t="inlineStr">
        <is>
          <t>18</t>
        </is>
      </c>
      <c r="F1459" t="inlineStr">
        <is>
          <t>CDS</t>
        </is>
      </c>
      <c r="G1459" t="inlineStr">
        <is>
          <t>Cheap</t>
        </is>
      </c>
      <c r="H1459" t="n">
        <v>34.5</v>
      </c>
      <c r="I1459">
        <f>B1459&amp;"|"&amp;F1459&amp;"|"&amp;G1459</f>
        <v/>
      </c>
      <c r="J1459" t="inlineStr">
        <is>
          <t>MVS Sec.15 p.18</t>
        </is>
      </c>
    </row>
    <row r="1460">
      <c r="B1460" t="inlineStr">
        <is>
          <t>Mechanical Penthouses</t>
        </is>
      </c>
      <c r="C1460" t="inlineStr">
        <is>
          <t>585</t>
        </is>
      </c>
      <c r="D1460" t="inlineStr">
        <is>
          <t>15</t>
        </is>
      </c>
      <c r="E1460" t="inlineStr">
        <is>
          <t>19</t>
        </is>
      </c>
      <c r="F1460" t="inlineStr">
        <is>
          <t>A-B</t>
        </is>
      </c>
      <c r="G1460" t="inlineStr">
        <is>
          <t>Excellent</t>
        </is>
      </c>
      <c r="H1460" t="n">
        <v>134</v>
      </c>
      <c r="I1460">
        <f>B1460&amp;"|"&amp;F1460&amp;"|"&amp;G1460</f>
        <v/>
      </c>
      <c r="J1460" t="inlineStr">
        <is>
          <t>MVS Sec.15 p.19</t>
        </is>
      </c>
    </row>
    <row r="1461">
      <c r="B1461" t="inlineStr">
        <is>
          <t>Mechanical Penthouses</t>
        </is>
      </c>
      <c r="C1461" t="inlineStr">
        <is>
          <t>585</t>
        </is>
      </c>
      <c r="D1461" t="inlineStr">
        <is>
          <t>15</t>
        </is>
      </c>
      <c r="E1461" t="inlineStr">
        <is>
          <t>19</t>
        </is>
      </c>
      <c r="F1461" t="inlineStr">
        <is>
          <t>A-B</t>
        </is>
      </c>
      <c r="G1461" t="inlineStr">
        <is>
          <t>Good</t>
        </is>
      </c>
      <c r="H1461" t="n">
        <v>121</v>
      </c>
      <c r="I1461">
        <f>B1461&amp;"|"&amp;F1461&amp;"|"&amp;G1461</f>
        <v/>
      </c>
      <c r="J1461" t="inlineStr">
        <is>
          <t>MVS Sec.15 p.19</t>
        </is>
      </c>
    </row>
    <row r="1462">
      <c r="B1462" t="inlineStr">
        <is>
          <t>Mechanical Penthouses</t>
        </is>
      </c>
      <c r="C1462" t="inlineStr">
        <is>
          <t>585</t>
        </is>
      </c>
      <c r="D1462" t="inlineStr">
        <is>
          <t>15</t>
        </is>
      </c>
      <c r="E1462" t="inlineStr">
        <is>
          <t>19</t>
        </is>
      </c>
      <c r="F1462" t="inlineStr">
        <is>
          <t>A-B</t>
        </is>
      </c>
      <c r="G1462" t="inlineStr">
        <is>
          <t>Average</t>
        </is>
      </c>
      <c r="H1462" t="n">
        <v>85.5</v>
      </c>
      <c r="I1462">
        <f>B1462&amp;"|"&amp;F1462&amp;"|"&amp;G1462</f>
        <v/>
      </c>
      <c r="J1462" t="inlineStr">
        <is>
          <t>MVS Sec.15 p.19</t>
        </is>
      </c>
    </row>
    <row r="1463">
      <c r="B1463" t="inlineStr">
        <is>
          <t>Mechanical Penthouses</t>
        </is>
      </c>
      <c r="C1463" t="inlineStr">
        <is>
          <t>585</t>
        </is>
      </c>
      <c r="D1463" t="inlineStr">
        <is>
          <t>15</t>
        </is>
      </c>
      <c r="E1463" t="inlineStr">
        <is>
          <t>19</t>
        </is>
      </c>
      <c r="F1463" t="inlineStr">
        <is>
          <t>A-B</t>
        </is>
      </c>
      <c r="G1463" t="inlineStr">
        <is>
          <t>Low Cost</t>
        </is>
      </c>
      <c r="H1463" t="n">
        <v>60.5</v>
      </c>
      <c r="I1463">
        <f>B1463&amp;"|"&amp;F1463&amp;"|"&amp;G1463</f>
        <v/>
      </c>
      <c r="J1463" t="inlineStr">
        <is>
          <t>MVS Sec.15 p.19</t>
        </is>
      </c>
    </row>
    <row r="1464">
      <c r="B1464" t="inlineStr">
        <is>
          <t>Mechanical Penthouses</t>
        </is>
      </c>
      <c r="C1464" t="inlineStr">
        <is>
          <t>585</t>
        </is>
      </c>
      <c r="D1464" t="inlineStr">
        <is>
          <t>15</t>
        </is>
      </c>
      <c r="E1464" t="inlineStr">
        <is>
          <t>19</t>
        </is>
      </c>
      <c r="F1464" t="inlineStr">
        <is>
          <t>CDS</t>
        </is>
      </c>
      <c r="G1464" t="inlineStr">
        <is>
          <t>Average</t>
        </is>
      </c>
      <c r="H1464" t="n">
        <v>64.5</v>
      </c>
      <c r="I1464">
        <f>B1464&amp;"|"&amp;F1464&amp;"|"&amp;G1464</f>
        <v/>
      </c>
      <c r="J1464" t="inlineStr">
        <is>
          <t>MVS Sec.15 p.19</t>
        </is>
      </c>
    </row>
    <row r="1465">
      <c r="B1465" t="inlineStr">
        <is>
          <t>Mechanical Penthouses</t>
        </is>
      </c>
      <c r="C1465" t="inlineStr">
        <is>
          <t>585</t>
        </is>
      </c>
      <c r="D1465" t="inlineStr">
        <is>
          <t>15</t>
        </is>
      </c>
      <c r="E1465" t="inlineStr">
        <is>
          <t>19</t>
        </is>
      </c>
      <c r="F1465" t="inlineStr">
        <is>
          <t>CDS</t>
        </is>
      </c>
      <c r="G1465" t="inlineStr">
        <is>
          <t>Low Cost</t>
        </is>
      </c>
      <c r="H1465" t="n">
        <v>45.25</v>
      </c>
      <c r="I1465">
        <f>B1465&amp;"|"&amp;F1465&amp;"|"&amp;G1465</f>
        <v/>
      </c>
      <c r="J1465" t="inlineStr">
        <is>
          <t>MVS Sec.15 p.19</t>
        </is>
      </c>
    </row>
    <row r="1466">
      <c r="B1466" t="inlineStr">
        <is>
          <t>Banks – Central Offices</t>
        </is>
      </c>
      <c r="C1466" t="inlineStr">
        <is>
          <t>443</t>
        </is>
      </c>
      <c r="D1466" t="inlineStr">
        <is>
          <t>15</t>
        </is>
      </c>
      <c r="E1466" t="inlineStr">
        <is>
          <t>20</t>
        </is>
      </c>
      <c r="F1466" t="inlineStr">
        <is>
          <t>A</t>
        </is>
      </c>
      <c r="G1466" t="inlineStr">
        <is>
          <t>Excellent</t>
        </is>
      </c>
      <c r="H1466" t="n">
        <v>505</v>
      </c>
      <c r="I1466">
        <f>B1466&amp;"|"&amp;F1466&amp;"|"&amp;G1466</f>
        <v/>
      </c>
      <c r="J1466" t="inlineStr">
        <is>
          <t>MVS Sec.15 p.20</t>
        </is>
      </c>
    </row>
    <row r="1467">
      <c r="B1467" t="inlineStr">
        <is>
          <t>Banks – Central Offices</t>
        </is>
      </c>
      <c r="C1467" t="inlineStr">
        <is>
          <t>443</t>
        </is>
      </c>
      <c r="D1467" t="inlineStr">
        <is>
          <t>15</t>
        </is>
      </c>
      <c r="E1467" t="inlineStr">
        <is>
          <t>20</t>
        </is>
      </c>
      <c r="F1467" t="inlineStr">
        <is>
          <t>A</t>
        </is>
      </c>
      <c r="G1467" t="inlineStr">
        <is>
          <t>Good</t>
        </is>
      </c>
      <c r="H1467" t="n">
        <v>395</v>
      </c>
      <c r="I1467">
        <f>B1467&amp;"|"&amp;F1467&amp;"|"&amp;G1467</f>
        <v/>
      </c>
      <c r="J1467" t="inlineStr">
        <is>
          <t>MVS Sec.15 p.20</t>
        </is>
      </c>
    </row>
    <row r="1468">
      <c r="B1468" t="inlineStr">
        <is>
          <t>Banks – Central Offices</t>
        </is>
      </c>
      <c r="C1468" t="inlineStr">
        <is>
          <t>443</t>
        </is>
      </c>
      <c r="D1468" t="inlineStr">
        <is>
          <t>15</t>
        </is>
      </c>
      <c r="E1468" t="inlineStr">
        <is>
          <t>20</t>
        </is>
      </c>
      <c r="F1468" t="inlineStr">
        <is>
          <t>A</t>
        </is>
      </c>
      <c r="G1468" t="inlineStr">
        <is>
          <t>Average</t>
        </is>
      </c>
      <c r="H1468" t="n">
        <v>312</v>
      </c>
      <c r="I1468">
        <f>B1468&amp;"|"&amp;F1468&amp;"|"&amp;G1468</f>
        <v/>
      </c>
      <c r="J1468" t="inlineStr">
        <is>
          <t>MVS Sec.15 p.20</t>
        </is>
      </c>
    </row>
    <row r="1469">
      <c r="B1469" t="inlineStr">
        <is>
          <t>Banks – Central Offices</t>
        </is>
      </c>
      <c r="C1469" t="inlineStr">
        <is>
          <t>443</t>
        </is>
      </c>
      <c r="D1469" t="inlineStr">
        <is>
          <t>15</t>
        </is>
      </c>
      <c r="E1469" t="inlineStr">
        <is>
          <t>20</t>
        </is>
      </c>
      <c r="F1469" t="inlineStr">
        <is>
          <t>B</t>
        </is>
      </c>
      <c r="G1469" t="inlineStr">
        <is>
          <t>Excellent</t>
        </is>
      </c>
      <c r="H1469" t="n">
        <v>464</v>
      </c>
      <c r="I1469">
        <f>B1469&amp;"|"&amp;F1469&amp;"|"&amp;G1469</f>
        <v/>
      </c>
      <c r="J1469" t="inlineStr">
        <is>
          <t>MVS Sec.15 p.20</t>
        </is>
      </c>
    </row>
    <row r="1470">
      <c r="B1470" t="inlineStr">
        <is>
          <t>Banks – Central Offices</t>
        </is>
      </c>
      <c r="C1470" t="inlineStr">
        <is>
          <t>443</t>
        </is>
      </c>
      <c r="D1470" t="inlineStr">
        <is>
          <t>15</t>
        </is>
      </c>
      <c r="E1470" t="inlineStr">
        <is>
          <t>20</t>
        </is>
      </c>
      <c r="F1470" t="inlineStr">
        <is>
          <t>B</t>
        </is>
      </c>
      <c r="G1470" t="inlineStr">
        <is>
          <t>Good</t>
        </is>
      </c>
      <c r="H1470" t="n">
        <v>362</v>
      </c>
      <c r="I1470">
        <f>B1470&amp;"|"&amp;F1470&amp;"|"&amp;G1470</f>
        <v/>
      </c>
      <c r="J1470" t="inlineStr">
        <is>
          <t>MVS Sec.15 p.20</t>
        </is>
      </c>
    </row>
    <row r="1471">
      <c r="B1471" t="inlineStr">
        <is>
          <t>Banks – Central Offices</t>
        </is>
      </c>
      <c r="C1471" t="inlineStr">
        <is>
          <t>443</t>
        </is>
      </c>
      <c r="D1471" t="inlineStr">
        <is>
          <t>15</t>
        </is>
      </c>
      <c r="E1471" t="inlineStr">
        <is>
          <t>20</t>
        </is>
      </c>
      <c r="F1471" t="inlineStr">
        <is>
          <t>B</t>
        </is>
      </c>
      <c r="G1471" t="inlineStr">
        <is>
          <t>Average</t>
        </is>
      </c>
      <c r="H1471" t="n">
        <v>285</v>
      </c>
      <c r="I1471">
        <f>B1471&amp;"|"&amp;F1471&amp;"|"&amp;G1471</f>
        <v/>
      </c>
      <c r="J1471" t="inlineStr">
        <is>
          <t>MVS Sec.15 p.20</t>
        </is>
      </c>
    </row>
    <row r="1472">
      <c r="B1472" t="inlineStr">
        <is>
          <t>Banks – Central Offices</t>
        </is>
      </c>
      <c r="C1472" t="inlineStr">
        <is>
          <t>443</t>
        </is>
      </c>
      <c r="D1472" t="inlineStr">
        <is>
          <t>15</t>
        </is>
      </c>
      <c r="E1472" t="inlineStr">
        <is>
          <t>20</t>
        </is>
      </c>
      <c r="F1472" t="inlineStr">
        <is>
          <t>C</t>
        </is>
      </c>
      <c r="G1472" t="inlineStr">
        <is>
          <t>Excellent</t>
        </is>
      </c>
      <c r="H1472" t="n">
        <v>409</v>
      </c>
      <c r="I1472">
        <f>B1472&amp;"|"&amp;F1472&amp;"|"&amp;G1472</f>
        <v/>
      </c>
      <c r="J1472" t="inlineStr">
        <is>
          <t>MVS Sec.15 p.20</t>
        </is>
      </c>
    </row>
    <row r="1473">
      <c r="B1473" t="inlineStr">
        <is>
          <t>Banks – Central Offices</t>
        </is>
      </c>
      <c r="C1473" t="inlineStr">
        <is>
          <t>443</t>
        </is>
      </c>
      <c r="D1473" t="inlineStr">
        <is>
          <t>15</t>
        </is>
      </c>
      <c r="E1473" t="inlineStr">
        <is>
          <t>20</t>
        </is>
      </c>
      <c r="F1473" t="inlineStr">
        <is>
          <t>C</t>
        </is>
      </c>
      <c r="G1473" t="inlineStr">
        <is>
          <t>Good</t>
        </is>
      </c>
      <c r="H1473" t="n">
        <v>300</v>
      </c>
      <c r="I1473">
        <f>B1473&amp;"|"&amp;F1473&amp;"|"&amp;G1473</f>
        <v/>
      </c>
      <c r="J1473" t="inlineStr">
        <is>
          <t>MVS Sec.15 p.20</t>
        </is>
      </c>
    </row>
    <row r="1474">
      <c r="B1474" t="inlineStr">
        <is>
          <t>Banks – Central Offices</t>
        </is>
      </c>
      <c r="C1474" t="inlineStr">
        <is>
          <t>443</t>
        </is>
      </c>
      <c r="D1474" t="inlineStr">
        <is>
          <t>15</t>
        </is>
      </c>
      <c r="E1474" t="inlineStr">
        <is>
          <t>20</t>
        </is>
      </c>
      <c r="F1474" t="inlineStr">
        <is>
          <t>C</t>
        </is>
      </c>
      <c r="G1474" t="inlineStr">
        <is>
          <t>Average</t>
        </is>
      </c>
      <c r="H1474" t="n">
        <v>232</v>
      </c>
      <c r="I1474">
        <f>B1474&amp;"|"&amp;F1474&amp;"|"&amp;G1474</f>
        <v/>
      </c>
      <c r="J1474" t="inlineStr">
        <is>
          <t>MVS Sec.15 p.20</t>
        </is>
      </c>
    </row>
    <row r="1475">
      <c r="B1475" t="inlineStr">
        <is>
          <t>Banks – Central Offices</t>
        </is>
      </c>
      <c r="C1475" t="inlineStr">
        <is>
          <t>443</t>
        </is>
      </c>
      <c r="D1475" t="inlineStr">
        <is>
          <t>15</t>
        </is>
      </c>
      <c r="E1475" t="inlineStr">
        <is>
          <t>20</t>
        </is>
      </c>
      <c r="F1475" t="inlineStr">
        <is>
          <t>D</t>
        </is>
      </c>
      <c r="G1475" t="inlineStr">
        <is>
          <t>Excellent</t>
        </is>
      </c>
      <c r="H1475" t="n">
        <v>394</v>
      </c>
      <c r="I1475">
        <f>B1475&amp;"|"&amp;F1475&amp;"|"&amp;G1475</f>
        <v/>
      </c>
      <c r="J1475" t="inlineStr">
        <is>
          <t>MVS Sec.15 p.20</t>
        </is>
      </c>
    </row>
    <row r="1476">
      <c r="B1476" t="inlineStr">
        <is>
          <t>Banks – Central Offices</t>
        </is>
      </c>
      <c r="C1476" t="inlineStr">
        <is>
          <t>443</t>
        </is>
      </c>
      <c r="D1476" t="inlineStr">
        <is>
          <t>15</t>
        </is>
      </c>
      <c r="E1476" t="inlineStr">
        <is>
          <t>20</t>
        </is>
      </c>
      <c r="F1476" t="inlineStr">
        <is>
          <t>D</t>
        </is>
      </c>
      <c r="G1476" t="inlineStr">
        <is>
          <t>Good</t>
        </is>
      </c>
      <c r="H1476" t="n">
        <v>288</v>
      </c>
      <c r="I1476">
        <f>B1476&amp;"|"&amp;F1476&amp;"|"&amp;G1476</f>
        <v/>
      </c>
      <c r="J1476" t="inlineStr">
        <is>
          <t>MVS Sec.15 p.20</t>
        </is>
      </c>
    </row>
    <row r="1477">
      <c r="B1477" t="inlineStr">
        <is>
          <t>Banks – Central Offices</t>
        </is>
      </c>
      <c r="C1477" t="inlineStr">
        <is>
          <t>443</t>
        </is>
      </c>
      <c r="D1477" t="inlineStr">
        <is>
          <t>15</t>
        </is>
      </c>
      <c r="E1477" t="inlineStr">
        <is>
          <t>20</t>
        </is>
      </c>
      <c r="F1477" t="inlineStr">
        <is>
          <t>D</t>
        </is>
      </c>
      <c r="G1477" t="inlineStr">
        <is>
          <t>Average</t>
        </is>
      </c>
      <c r="H1477" t="n">
        <v>222</v>
      </c>
      <c r="I1477">
        <f>B1477&amp;"|"&amp;F1477&amp;"|"&amp;G1477</f>
        <v/>
      </c>
      <c r="J1477" t="inlineStr">
        <is>
          <t>MVS Sec.15 p.20</t>
        </is>
      </c>
    </row>
    <row r="1478">
      <c r="B1478" t="inlineStr">
        <is>
          <t>Banks – Central Offices</t>
        </is>
      </c>
      <c r="C1478" t="inlineStr">
        <is>
          <t>443</t>
        </is>
      </c>
      <c r="D1478" t="inlineStr">
        <is>
          <t>15</t>
        </is>
      </c>
      <c r="E1478" t="inlineStr">
        <is>
          <t>20</t>
        </is>
      </c>
      <c r="F1478" t="inlineStr">
        <is>
          <t>S</t>
        </is>
      </c>
      <c r="G1478" t="inlineStr">
        <is>
          <t>Good</t>
        </is>
      </c>
      <c r="H1478" t="n">
        <v>280</v>
      </c>
      <c r="I1478">
        <f>B1478&amp;"|"&amp;F1478&amp;"|"&amp;G1478</f>
        <v/>
      </c>
      <c r="J1478" t="inlineStr">
        <is>
          <t>MVS Sec.15 p.20</t>
        </is>
      </c>
    </row>
    <row r="1479">
      <c r="B1479" t="inlineStr">
        <is>
          <t>Banks – Central Offices</t>
        </is>
      </c>
      <c r="C1479" t="inlineStr">
        <is>
          <t>443</t>
        </is>
      </c>
      <c r="D1479" t="inlineStr">
        <is>
          <t>15</t>
        </is>
      </c>
      <c r="E1479" t="inlineStr">
        <is>
          <t>20</t>
        </is>
      </c>
      <c r="F1479" t="inlineStr">
        <is>
          <t>S</t>
        </is>
      </c>
      <c r="G1479" t="inlineStr">
        <is>
          <t>Average</t>
        </is>
      </c>
      <c r="H1479" t="n">
        <v>217</v>
      </c>
      <c r="I1479">
        <f>B1479&amp;"|"&amp;F1479&amp;"|"&amp;G1479</f>
        <v/>
      </c>
      <c r="J1479" t="inlineStr">
        <is>
          <t>MVS Sec.15 p.20</t>
        </is>
      </c>
    </row>
    <row r="1480">
      <c r="B1480" t="inlineStr">
        <is>
          <t>Mini-Banks (Walk-Up and Drive-Through)</t>
        </is>
      </c>
      <c r="C1480" t="inlineStr">
        <is>
          <t>578</t>
        </is>
      </c>
      <c r="D1480" t="inlineStr">
        <is>
          <t>15</t>
        </is>
      </c>
      <c r="E1480" t="inlineStr">
        <is>
          <t>20</t>
        </is>
      </c>
      <c r="F1480" t="inlineStr">
        <is>
          <t>A-B</t>
        </is>
      </c>
      <c r="G1480" t="inlineStr">
        <is>
          <t>Good</t>
        </is>
      </c>
      <c r="H1480" t="n">
        <v>710</v>
      </c>
      <c r="I1480">
        <f>B1480&amp;"|"&amp;F1480&amp;"|"&amp;G1480</f>
        <v/>
      </c>
      <c r="J1480" t="inlineStr">
        <is>
          <t>MVS Sec.15 p.20</t>
        </is>
      </c>
    </row>
    <row r="1481">
      <c r="B1481" t="inlineStr">
        <is>
          <t>Mini-Banks (Walk-Up and Drive-Through)</t>
        </is>
      </c>
      <c r="C1481" t="inlineStr">
        <is>
          <t>578</t>
        </is>
      </c>
      <c r="D1481" t="inlineStr">
        <is>
          <t>15</t>
        </is>
      </c>
      <c r="E1481" t="inlineStr">
        <is>
          <t>20</t>
        </is>
      </c>
      <c r="F1481" t="inlineStr">
        <is>
          <t>A-B</t>
        </is>
      </c>
      <c r="G1481" t="inlineStr">
        <is>
          <t>Average</t>
        </is>
      </c>
      <c r="H1481" t="n">
        <v>580</v>
      </c>
      <c r="I1481">
        <f>B1481&amp;"|"&amp;F1481&amp;"|"&amp;G1481</f>
        <v/>
      </c>
      <c r="J1481" t="inlineStr">
        <is>
          <t>MVS Sec.15 p.20</t>
        </is>
      </c>
    </row>
    <row r="1482">
      <c r="B1482" t="inlineStr">
        <is>
          <t>Mini-Banks (Walk-Up and Drive-Through)</t>
        </is>
      </c>
      <c r="C1482" t="inlineStr">
        <is>
          <t>578</t>
        </is>
      </c>
      <c r="D1482" t="inlineStr">
        <is>
          <t>15</t>
        </is>
      </c>
      <c r="E1482" t="inlineStr">
        <is>
          <t>20</t>
        </is>
      </c>
      <c r="F1482" t="inlineStr">
        <is>
          <t>C</t>
        </is>
      </c>
      <c r="G1482" t="inlineStr">
        <is>
          <t>Excellent</t>
        </is>
      </c>
      <c r="H1482" t="n">
        <v>665</v>
      </c>
      <c r="I1482">
        <f>B1482&amp;"|"&amp;F1482&amp;"|"&amp;G1482</f>
        <v/>
      </c>
      <c r="J1482" t="inlineStr">
        <is>
          <t>MVS Sec.15 p.20</t>
        </is>
      </c>
    </row>
    <row r="1483">
      <c r="B1483" t="inlineStr">
        <is>
          <t>Mini-Banks (Walk-Up and Drive-Through)</t>
        </is>
      </c>
      <c r="C1483" t="inlineStr">
        <is>
          <t>578</t>
        </is>
      </c>
      <c r="D1483" t="inlineStr">
        <is>
          <t>15</t>
        </is>
      </c>
      <c r="E1483" t="inlineStr">
        <is>
          <t>20</t>
        </is>
      </c>
      <c r="F1483" t="inlineStr">
        <is>
          <t>C</t>
        </is>
      </c>
      <c r="G1483" t="inlineStr">
        <is>
          <t>Good</t>
        </is>
      </c>
      <c r="H1483" t="n">
        <v>535</v>
      </c>
      <c r="I1483">
        <f>B1483&amp;"|"&amp;F1483&amp;"|"&amp;G1483</f>
        <v/>
      </c>
      <c r="J1483" t="inlineStr">
        <is>
          <t>MVS Sec.15 p.20</t>
        </is>
      </c>
    </row>
    <row r="1484">
      <c r="B1484" t="inlineStr">
        <is>
          <t>Mini-Banks (Walk-Up and Drive-Through)</t>
        </is>
      </c>
      <c r="C1484" t="inlineStr">
        <is>
          <t>578</t>
        </is>
      </c>
      <c r="D1484" t="inlineStr">
        <is>
          <t>15</t>
        </is>
      </c>
      <c r="E1484" t="inlineStr">
        <is>
          <t>20</t>
        </is>
      </c>
      <c r="F1484" t="inlineStr">
        <is>
          <t>C</t>
        </is>
      </c>
      <c r="G1484" t="inlineStr">
        <is>
          <t>Average</t>
        </is>
      </c>
      <c r="H1484" t="n">
        <v>426</v>
      </c>
      <c r="I1484">
        <f>B1484&amp;"|"&amp;F1484&amp;"|"&amp;G1484</f>
        <v/>
      </c>
      <c r="J1484" t="inlineStr">
        <is>
          <t>MVS Sec.15 p.20</t>
        </is>
      </c>
    </row>
    <row r="1485">
      <c r="B1485" t="inlineStr">
        <is>
          <t>Mini-Banks (Walk-Up and Drive-Through)</t>
        </is>
      </c>
      <c r="C1485" t="inlineStr">
        <is>
          <t>578</t>
        </is>
      </c>
      <c r="D1485" t="inlineStr">
        <is>
          <t>15</t>
        </is>
      </c>
      <c r="E1485" t="inlineStr">
        <is>
          <t>20</t>
        </is>
      </c>
      <c r="F1485" t="inlineStr">
        <is>
          <t>C</t>
        </is>
      </c>
      <c r="G1485" t="inlineStr">
        <is>
          <t>Low Cost</t>
        </is>
      </c>
      <c r="H1485" t="n">
        <v>345</v>
      </c>
      <c r="I1485">
        <f>B1485&amp;"|"&amp;F1485&amp;"|"&amp;G1485</f>
        <v/>
      </c>
      <c r="J1485" t="inlineStr">
        <is>
          <t>MVS Sec.15 p.20</t>
        </is>
      </c>
    </row>
    <row r="1486">
      <c r="B1486" t="inlineStr">
        <is>
          <t>Mini-Banks (Walk-Up and Drive-Through)</t>
        </is>
      </c>
      <c r="C1486" t="inlineStr">
        <is>
          <t>578</t>
        </is>
      </c>
      <c r="D1486" t="inlineStr">
        <is>
          <t>15</t>
        </is>
      </c>
      <c r="E1486" t="inlineStr">
        <is>
          <t>20</t>
        </is>
      </c>
      <c r="F1486" t="inlineStr">
        <is>
          <t>D</t>
        </is>
      </c>
      <c r="G1486" t="inlineStr">
        <is>
          <t>Excellent</t>
        </is>
      </c>
      <c r="H1486" t="n">
        <v>650</v>
      </c>
      <c r="I1486">
        <f>B1486&amp;"|"&amp;F1486&amp;"|"&amp;G1486</f>
        <v/>
      </c>
      <c r="J1486" t="inlineStr">
        <is>
          <t>MVS Sec.15 p.20</t>
        </is>
      </c>
    </row>
    <row r="1487">
      <c r="B1487" t="inlineStr">
        <is>
          <t>Mini-Banks (Walk-Up and Drive-Through)</t>
        </is>
      </c>
      <c r="C1487" t="inlineStr">
        <is>
          <t>578</t>
        </is>
      </c>
      <c r="D1487" t="inlineStr">
        <is>
          <t>15</t>
        </is>
      </c>
      <c r="E1487" t="inlineStr">
        <is>
          <t>20</t>
        </is>
      </c>
      <c r="F1487" t="inlineStr">
        <is>
          <t>D</t>
        </is>
      </c>
      <c r="G1487" t="inlineStr">
        <is>
          <t>Good</t>
        </is>
      </c>
      <c r="H1487" t="n">
        <v>520</v>
      </c>
      <c r="I1487">
        <f>B1487&amp;"|"&amp;F1487&amp;"|"&amp;G1487</f>
        <v/>
      </c>
      <c r="J1487" t="inlineStr">
        <is>
          <t>MVS Sec.15 p.20</t>
        </is>
      </c>
    </row>
    <row r="1488">
      <c r="B1488" t="inlineStr">
        <is>
          <t>Mini-Banks (Walk-Up and Drive-Through)</t>
        </is>
      </c>
      <c r="C1488" t="inlineStr">
        <is>
          <t>578</t>
        </is>
      </c>
      <c r="D1488" t="inlineStr">
        <is>
          <t>15</t>
        </is>
      </c>
      <c r="E1488" t="inlineStr">
        <is>
          <t>20</t>
        </is>
      </c>
      <c r="F1488" t="inlineStr">
        <is>
          <t>D</t>
        </is>
      </c>
      <c r="G1488" t="inlineStr">
        <is>
          <t>Average</t>
        </is>
      </c>
      <c r="H1488" t="n">
        <v>411</v>
      </c>
      <c r="I1488">
        <f>B1488&amp;"|"&amp;F1488&amp;"|"&amp;G1488</f>
        <v/>
      </c>
      <c r="J1488" t="inlineStr">
        <is>
          <t>MVS Sec.15 p.20</t>
        </is>
      </c>
    </row>
    <row r="1489">
      <c r="B1489" t="inlineStr">
        <is>
          <t>Mini-Banks (Walk-Up and Drive-Through)</t>
        </is>
      </c>
      <c r="C1489" t="inlineStr">
        <is>
          <t>578</t>
        </is>
      </c>
      <c r="D1489" t="inlineStr">
        <is>
          <t>15</t>
        </is>
      </c>
      <c r="E1489" t="inlineStr">
        <is>
          <t>20</t>
        </is>
      </c>
      <c r="F1489" t="inlineStr">
        <is>
          <t>D</t>
        </is>
      </c>
      <c r="G1489" t="inlineStr">
        <is>
          <t>Low Cost</t>
        </is>
      </c>
      <c r="H1489" t="n">
        <v>332</v>
      </c>
      <c r="I1489">
        <f>B1489&amp;"|"&amp;F1489&amp;"|"&amp;G1489</f>
        <v/>
      </c>
      <c r="J1489" t="inlineStr">
        <is>
          <t>MVS Sec.15 p.20</t>
        </is>
      </c>
    </row>
    <row r="1490">
      <c r="B1490" t="inlineStr">
        <is>
          <t>Mini-Banks (Walk-Up and Drive-Through)</t>
        </is>
      </c>
      <c r="C1490" t="inlineStr">
        <is>
          <t>578</t>
        </is>
      </c>
      <c r="D1490" t="inlineStr">
        <is>
          <t>15</t>
        </is>
      </c>
      <c r="E1490" t="inlineStr">
        <is>
          <t>20</t>
        </is>
      </c>
      <c r="F1490" t="inlineStr">
        <is>
          <t>S</t>
        </is>
      </c>
      <c r="G1490" t="inlineStr">
        <is>
          <t>Average</t>
        </is>
      </c>
      <c r="H1490" t="n">
        <v>407</v>
      </c>
      <c r="I1490">
        <f>B1490&amp;"|"&amp;F1490&amp;"|"&amp;G1490</f>
        <v/>
      </c>
      <c r="J1490" t="inlineStr">
        <is>
          <t>MVS Sec.15 p.20</t>
        </is>
      </c>
    </row>
    <row r="1491">
      <c r="B1491" t="inlineStr">
        <is>
          <t>Banks, Branch</t>
        </is>
      </c>
      <c r="C1491" t="inlineStr">
        <is>
          <t>304</t>
        </is>
      </c>
      <c r="D1491" t="inlineStr">
        <is>
          <t>15</t>
        </is>
      </c>
      <c r="E1491" t="inlineStr">
        <is>
          <t>21</t>
        </is>
      </c>
      <c r="F1491" t="inlineStr">
        <is>
          <t>A</t>
        </is>
      </c>
      <c r="G1491" t="inlineStr">
        <is>
          <t>Good</t>
        </is>
      </c>
      <c r="H1491" t="n">
        <v>416</v>
      </c>
      <c r="I1491">
        <f>B1491&amp;"|"&amp;F1491&amp;"|"&amp;G1491</f>
        <v/>
      </c>
      <c r="J1491" t="inlineStr">
        <is>
          <t>MVS Sec.15 p.21</t>
        </is>
      </c>
    </row>
    <row r="1492">
      <c r="B1492" t="inlineStr">
        <is>
          <t>Banks, Branch</t>
        </is>
      </c>
      <c r="C1492" t="inlineStr">
        <is>
          <t>304</t>
        </is>
      </c>
      <c r="D1492" t="inlineStr">
        <is>
          <t>15</t>
        </is>
      </c>
      <c r="E1492" t="inlineStr">
        <is>
          <t>21</t>
        </is>
      </c>
      <c r="F1492" t="inlineStr">
        <is>
          <t>A</t>
        </is>
      </c>
      <c r="G1492" t="inlineStr">
        <is>
          <t>Average</t>
        </is>
      </c>
      <c r="H1492" t="n">
        <v>327</v>
      </c>
      <c r="I1492">
        <f>B1492&amp;"|"&amp;F1492&amp;"|"&amp;G1492</f>
        <v/>
      </c>
      <c r="J1492" t="inlineStr">
        <is>
          <t>MVS Sec.15 p.21</t>
        </is>
      </c>
    </row>
    <row r="1493">
      <c r="B1493" t="inlineStr">
        <is>
          <t>Banks, Branch</t>
        </is>
      </c>
      <c r="C1493" t="inlineStr">
        <is>
          <t>304</t>
        </is>
      </c>
      <c r="D1493" t="inlineStr">
        <is>
          <t>15</t>
        </is>
      </c>
      <c r="E1493" t="inlineStr">
        <is>
          <t>21</t>
        </is>
      </c>
      <c r="F1493" t="inlineStr">
        <is>
          <t>A</t>
        </is>
      </c>
      <c r="G1493" t="inlineStr">
        <is>
          <t>Low Cost</t>
        </is>
      </c>
      <c r="H1493" t="n">
        <v>260</v>
      </c>
      <c r="I1493">
        <f>B1493&amp;"|"&amp;F1493&amp;"|"&amp;G1493</f>
        <v/>
      </c>
      <c r="J1493" t="inlineStr">
        <is>
          <t>MVS Sec.15 p.21</t>
        </is>
      </c>
    </row>
    <row r="1494">
      <c r="B1494" t="inlineStr">
        <is>
          <t>Banks, Branch</t>
        </is>
      </c>
      <c r="C1494" t="inlineStr">
        <is>
          <t>304</t>
        </is>
      </c>
      <c r="D1494" t="inlineStr">
        <is>
          <t>15</t>
        </is>
      </c>
      <c r="E1494" t="inlineStr">
        <is>
          <t>21</t>
        </is>
      </c>
      <c r="F1494" t="inlineStr">
        <is>
          <t>B</t>
        </is>
      </c>
      <c r="G1494" t="inlineStr">
        <is>
          <t>Good</t>
        </is>
      </c>
      <c r="H1494" t="n">
        <v>378</v>
      </c>
      <c r="I1494">
        <f>B1494&amp;"|"&amp;F1494&amp;"|"&amp;G1494</f>
        <v/>
      </c>
      <c r="J1494" t="inlineStr">
        <is>
          <t>MVS Sec.15 p.21</t>
        </is>
      </c>
    </row>
    <row r="1495">
      <c r="B1495" t="inlineStr">
        <is>
          <t>Banks, Branch</t>
        </is>
      </c>
      <c r="C1495" t="inlineStr">
        <is>
          <t>304</t>
        </is>
      </c>
      <c r="D1495" t="inlineStr">
        <is>
          <t>15</t>
        </is>
      </c>
      <c r="E1495" t="inlineStr">
        <is>
          <t>21</t>
        </is>
      </c>
      <c r="F1495" t="inlineStr">
        <is>
          <t>B</t>
        </is>
      </c>
      <c r="G1495" t="inlineStr">
        <is>
          <t>Average</t>
        </is>
      </c>
      <c r="H1495" t="n">
        <v>296</v>
      </c>
      <c r="I1495">
        <f>B1495&amp;"|"&amp;F1495&amp;"|"&amp;G1495</f>
        <v/>
      </c>
      <c r="J1495" t="inlineStr">
        <is>
          <t>MVS Sec.15 p.21</t>
        </is>
      </c>
    </row>
    <row r="1496">
      <c r="B1496" t="inlineStr">
        <is>
          <t>Banks, Branch</t>
        </is>
      </c>
      <c r="C1496" t="inlineStr">
        <is>
          <t>304</t>
        </is>
      </c>
      <c r="D1496" t="inlineStr">
        <is>
          <t>15</t>
        </is>
      </c>
      <c r="E1496" t="inlineStr">
        <is>
          <t>21</t>
        </is>
      </c>
      <c r="F1496" t="inlineStr">
        <is>
          <t>B</t>
        </is>
      </c>
      <c r="G1496" t="inlineStr">
        <is>
          <t>Low Cost</t>
        </is>
      </c>
      <c r="H1496" t="n">
        <v>234</v>
      </c>
      <c r="I1496">
        <f>B1496&amp;"|"&amp;F1496&amp;"|"&amp;G1496</f>
        <v/>
      </c>
      <c r="J1496" t="inlineStr">
        <is>
          <t>MVS Sec.15 p.21</t>
        </is>
      </c>
    </row>
    <row r="1497">
      <c r="B1497" t="inlineStr">
        <is>
          <t>Banks, Branch</t>
        </is>
      </c>
      <c r="C1497" t="inlineStr">
        <is>
          <t>304</t>
        </is>
      </c>
      <c r="D1497" t="inlineStr">
        <is>
          <t>15</t>
        </is>
      </c>
      <c r="E1497" t="inlineStr">
        <is>
          <t>21</t>
        </is>
      </c>
      <c r="F1497" t="inlineStr">
        <is>
          <t>C</t>
        </is>
      </c>
      <c r="G1497" t="inlineStr">
        <is>
          <t>Excellent</t>
        </is>
      </c>
      <c r="H1497" t="n">
        <v>448</v>
      </c>
      <c r="I1497">
        <f>B1497&amp;"|"&amp;F1497&amp;"|"&amp;G1497</f>
        <v/>
      </c>
      <c r="J1497" t="inlineStr">
        <is>
          <t>MVS Sec.15 p.21</t>
        </is>
      </c>
    </row>
    <row r="1498">
      <c r="B1498" t="inlineStr">
        <is>
          <t>Banks, Branch</t>
        </is>
      </c>
      <c r="C1498" t="inlineStr">
        <is>
          <t>304</t>
        </is>
      </c>
      <c r="D1498" t="inlineStr">
        <is>
          <t>15</t>
        </is>
      </c>
      <c r="E1498" t="inlineStr">
        <is>
          <t>21</t>
        </is>
      </c>
      <c r="F1498" t="inlineStr">
        <is>
          <t>C</t>
        </is>
      </c>
      <c r="G1498" t="inlineStr">
        <is>
          <t>Good</t>
        </is>
      </c>
      <c r="H1498" t="n">
        <v>326</v>
      </c>
      <c r="I1498">
        <f>B1498&amp;"|"&amp;F1498&amp;"|"&amp;G1498</f>
        <v/>
      </c>
      <c r="J1498" t="inlineStr">
        <is>
          <t>MVS Sec.15 p.21</t>
        </is>
      </c>
    </row>
    <row r="1499">
      <c r="B1499" t="inlineStr">
        <is>
          <t>Banks, Branch</t>
        </is>
      </c>
      <c r="C1499" t="inlineStr">
        <is>
          <t>304</t>
        </is>
      </c>
      <c r="D1499" t="inlineStr">
        <is>
          <t>15</t>
        </is>
      </c>
      <c r="E1499" t="inlineStr">
        <is>
          <t>21</t>
        </is>
      </c>
      <c r="F1499" t="inlineStr">
        <is>
          <t>C</t>
        </is>
      </c>
      <c r="G1499" t="inlineStr">
        <is>
          <t>Average</t>
        </is>
      </c>
      <c r="H1499" t="n">
        <v>236</v>
      </c>
      <c r="I1499">
        <f>B1499&amp;"|"&amp;F1499&amp;"|"&amp;G1499</f>
        <v/>
      </c>
      <c r="J1499" t="inlineStr">
        <is>
          <t>MVS Sec.15 p.21</t>
        </is>
      </c>
    </row>
    <row r="1500">
      <c r="B1500" t="inlineStr">
        <is>
          <t>Banks, Branch</t>
        </is>
      </c>
      <c r="C1500" t="inlineStr">
        <is>
          <t>304</t>
        </is>
      </c>
      <c r="D1500" t="inlineStr">
        <is>
          <t>15</t>
        </is>
      </c>
      <c r="E1500" t="inlineStr">
        <is>
          <t>21</t>
        </is>
      </c>
      <c r="F1500" t="inlineStr">
        <is>
          <t>C</t>
        </is>
      </c>
      <c r="G1500" t="inlineStr">
        <is>
          <t>Low Cost</t>
        </is>
      </c>
      <c r="H1500" t="n">
        <v>177</v>
      </c>
      <c r="I1500">
        <f>B1500&amp;"|"&amp;F1500&amp;"|"&amp;G1500</f>
        <v/>
      </c>
      <c r="J1500" t="inlineStr">
        <is>
          <t>MVS Sec.15 p.21</t>
        </is>
      </c>
    </row>
    <row r="1501">
      <c r="B1501" t="inlineStr">
        <is>
          <t>Banks, Branch</t>
        </is>
      </c>
      <c r="C1501" t="inlineStr">
        <is>
          <t>304</t>
        </is>
      </c>
      <c r="D1501" t="inlineStr">
        <is>
          <t>15</t>
        </is>
      </c>
      <c r="E1501" t="inlineStr">
        <is>
          <t>21</t>
        </is>
      </c>
      <c r="F1501" t="inlineStr">
        <is>
          <t>D</t>
        </is>
      </c>
      <c r="G1501" t="inlineStr">
        <is>
          <t>Excellent</t>
        </is>
      </c>
      <c r="H1501" t="n">
        <v>423</v>
      </c>
      <c r="I1501">
        <f>B1501&amp;"|"&amp;F1501&amp;"|"&amp;G1501</f>
        <v/>
      </c>
      <c r="J1501" t="inlineStr">
        <is>
          <t>MVS Sec.15 p.21</t>
        </is>
      </c>
    </row>
    <row r="1502">
      <c r="B1502" t="inlineStr">
        <is>
          <t>Banks, Branch</t>
        </is>
      </c>
      <c r="C1502" t="inlineStr">
        <is>
          <t>304</t>
        </is>
      </c>
      <c r="D1502" t="inlineStr">
        <is>
          <t>15</t>
        </is>
      </c>
      <c r="E1502" t="inlineStr">
        <is>
          <t>21</t>
        </is>
      </c>
      <c r="F1502" t="inlineStr">
        <is>
          <t>D</t>
        </is>
      </c>
      <c r="G1502" t="inlineStr">
        <is>
          <t>Good</t>
        </is>
      </c>
      <c r="H1502" t="n">
        <v>308</v>
      </c>
      <c r="I1502">
        <f>B1502&amp;"|"&amp;F1502&amp;"|"&amp;G1502</f>
        <v/>
      </c>
      <c r="J1502" t="inlineStr">
        <is>
          <t>MVS Sec.15 p.21</t>
        </is>
      </c>
    </row>
    <row r="1503">
      <c r="B1503" t="inlineStr">
        <is>
          <t>Banks, Branch</t>
        </is>
      </c>
      <c r="C1503" t="inlineStr">
        <is>
          <t>304</t>
        </is>
      </c>
      <c r="D1503" t="inlineStr">
        <is>
          <t>15</t>
        </is>
      </c>
      <c r="E1503" t="inlineStr">
        <is>
          <t>21</t>
        </is>
      </c>
      <c r="F1503" t="inlineStr">
        <is>
          <t>D</t>
        </is>
      </c>
      <c r="G1503" t="inlineStr">
        <is>
          <t>Average</t>
        </is>
      </c>
      <c r="H1503" t="n">
        <v>223</v>
      </c>
      <c r="I1503">
        <f>B1503&amp;"|"&amp;F1503&amp;"|"&amp;G1503</f>
        <v/>
      </c>
      <c r="J1503" t="inlineStr">
        <is>
          <t>MVS Sec.15 p.21</t>
        </is>
      </c>
    </row>
    <row r="1504">
      <c r="B1504" t="inlineStr">
        <is>
          <t>Banks, Branch</t>
        </is>
      </c>
      <c r="C1504" t="inlineStr">
        <is>
          <t>304</t>
        </is>
      </c>
      <c r="D1504" t="inlineStr">
        <is>
          <t>15</t>
        </is>
      </c>
      <c r="E1504" t="inlineStr">
        <is>
          <t>21</t>
        </is>
      </c>
      <c r="F1504" t="inlineStr">
        <is>
          <t>D</t>
        </is>
      </c>
      <c r="G1504" t="inlineStr">
        <is>
          <t>Low Cost</t>
        </is>
      </c>
      <c r="H1504" t="n">
        <v>168</v>
      </c>
      <c r="I1504">
        <f>B1504&amp;"|"&amp;F1504&amp;"|"&amp;G1504</f>
        <v/>
      </c>
      <c r="J1504" t="inlineStr">
        <is>
          <t>MVS Sec.15 p.21</t>
        </is>
      </c>
    </row>
    <row r="1505">
      <c r="B1505" t="inlineStr">
        <is>
          <t>Banks, Branch</t>
        </is>
      </c>
      <c r="C1505" t="inlineStr">
        <is>
          <t>304</t>
        </is>
      </c>
      <c r="D1505" t="inlineStr">
        <is>
          <t>15</t>
        </is>
      </c>
      <c r="E1505" t="inlineStr">
        <is>
          <t>21</t>
        </is>
      </c>
      <c r="F1505" t="inlineStr">
        <is>
          <t>S</t>
        </is>
      </c>
      <c r="G1505" t="inlineStr">
        <is>
          <t>Good</t>
        </is>
      </c>
      <c r="H1505" t="n">
        <v>288</v>
      </c>
      <c r="I1505">
        <f>B1505&amp;"|"&amp;F1505&amp;"|"&amp;G1505</f>
        <v/>
      </c>
      <c r="J1505" t="inlineStr">
        <is>
          <t>MVS Sec.15 p.21</t>
        </is>
      </c>
    </row>
    <row r="1506">
      <c r="B1506" t="inlineStr">
        <is>
          <t>Banks, Branch</t>
        </is>
      </c>
      <c r="C1506" t="inlineStr">
        <is>
          <t>304</t>
        </is>
      </c>
      <c r="D1506" t="inlineStr">
        <is>
          <t>15</t>
        </is>
      </c>
      <c r="E1506" t="inlineStr">
        <is>
          <t>21</t>
        </is>
      </c>
      <c r="F1506" t="inlineStr">
        <is>
          <t>S</t>
        </is>
      </c>
      <c r="G1506" t="inlineStr">
        <is>
          <t>Average</t>
        </is>
      </c>
      <c r="H1506" t="n">
        <v>218</v>
      </c>
      <c r="I1506">
        <f>B1506&amp;"|"&amp;F1506&amp;"|"&amp;G1506</f>
        <v/>
      </c>
      <c r="J1506" t="inlineStr">
        <is>
          <t>MVS Sec.15 p.21</t>
        </is>
      </c>
    </row>
    <row r="1507">
      <c r="B1507" t="inlineStr">
        <is>
          <t>Banks, Branch</t>
        </is>
      </c>
      <c r="C1507" t="inlineStr">
        <is>
          <t>304</t>
        </is>
      </c>
      <c r="D1507" t="inlineStr">
        <is>
          <t>15</t>
        </is>
      </c>
      <c r="E1507" t="inlineStr">
        <is>
          <t>21</t>
        </is>
      </c>
      <c r="F1507" t="inlineStr">
        <is>
          <t>S</t>
        </is>
      </c>
      <c r="G1507" t="inlineStr">
        <is>
          <t>Low Cost</t>
        </is>
      </c>
      <c r="H1507" t="n">
        <v>167</v>
      </c>
      <c r="I1507">
        <f>B1507&amp;"|"&amp;F1507&amp;"|"&amp;G1507</f>
        <v/>
      </c>
      <c r="J1507" t="inlineStr">
        <is>
          <t>MVS Sec.15 p.21</t>
        </is>
      </c>
    </row>
    <row r="1508">
      <c r="B1508" t="inlineStr">
        <is>
          <t>Medical Office Buildings</t>
        </is>
      </c>
      <c r="C1508" t="inlineStr">
        <is>
          <t>341</t>
        </is>
      </c>
      <c r="D1508" t="inlineStr">
        <is>
          <t>15</t>
        </is>
      </c>
      <c r="E1508" t="inlineStr">
        <is>
          <t>22</t>
        </is>
      </c>
      <c r="F1508" t="inlineStr">
        <is>
          <t>A</t>
        </is>
      </c>
      <c r="G1508" t="inlineStr">
        <is>
          <t>Excellent</t>
        </is>
      </c>
      <c r="H1508" t="n">
        <v>438</v>
      </c>
      <c r="I1508">
        <f>B1508&amp;"|"&amp;F1508&amp;"|"&amp;G1508</f>
        <v/>
      </c>
      <c r="J1508" t="inlineStr">
        <is>
          <t>MVS Sec.15 p.22</t>
        </is>
      </c>
    </row>
    <row r="1509">
      <c r="B1509" t="inlineStr">
        <is>
          <t>Medical Office Buildings</t>
        </is>
      </c>
      <c r="C1509" t="inlineStr">
        <is>
          <t>341</t>
        </is>
      </c>
      <c r="D1509" t="inlineStr">
        <is>
          <t>15</t>
        </is>
      </c>
      <c r="E1509" t="inlineStr">
        <is>
          <t>22</t>
        </is>
      </c>
      <c r="F1509" t="inlineStr">
        <is>
          <t>A</t>
        </is>
      </c>
      <c r="G1509" t="inlineStr">
        <is>
          <t>Good</t>
        </is>
      </c>
      <c r="H1509" t="n">
        <v>351</v>
      </c>
      <c r="I1509">
        <f>B1509&amp;"|"&amp;F1509&amp;"|"&amp;G1509</f>
        <v/>
      </c>
      <c r="J1509" t="inlineStr">
        <is>
          <t>MVS Sec.15 p.22</t>
        </is>
      </c>
    </row>
    <row r="1510">
      <c r="B1510" t="inlineStr">
        <is>
          <t>Medical Office Buildings</t>
        </is>
      </c>
      <c r="C1510" t="inlineStr">
        <is>
          <t>341</t>
        </is>
      </c>
      <c r="D1510" t="inlineStr">
        <is>
          <t>15</t>
        </is>
      </c>
      <c r="E1510" t="inlineStr">
        <is>
          <t>22</t>
        </is>
      </c>
      <c r="F1510" t="inlineStr">
        <is>
          <t>A</t>
        </is>
      </c>
      <c r="G1510" t="inlineStr">
        <is>
          <t>Average</t>
        </is>
      </c>
      <c r="H1510" t="n">
        <v>270</v>
      </c>
      <c r="I1510">
        <f>B1510&amp;"|"&amp;F1510&amp;"|"&amp;G1510</f>
        <v/>
      </c>
      <c r="J1510" t="inlineStr">
        <is>
          <t>MVS Sec.15 p.22</t>
        </is>
      </c>
    </row>
    <row r="1511">
      <c r="B1511" t="inlineStr">
        <is>
          <t>Medical Office Buildings</t>
        </is>
      </c>
      <c r="C1511" t="inlineStr">
        <is>
          <t>341</t>
        </is>
      </c>
      <c r="D1511" t="inlineStr">
        <is>
          <t>15</t>
        </is>
      </c>
      <c r="E1511" t="inlineStr">
        <is>
          <t>22</t>
        </is>
      </c>
      <c r="F1511" t="inlineStr">
        <is>
          <t>A</t>
        </is>
      </c>
      <c r="G1511" t="inlineStr">
        <is>
          <t>Low Cost</t>
        </is>
      </c>
      <c r="H1511" t="n">
        <v>207</v>
      </c>
      <c r="I1511">
        <f>B1511&amp;"|"&amp;F1511&amp;"|"&amp;G1511</f>
        <v/>
      </c>
      <c r="J1511" t="inlineStr">
        <is>
          <t>MVS Sec.15 p.22</t>
        </is>
      </c>
    </row>
    <row r="1512">
      <c r="B1512" t="inlineStr">
        <is>
          <t>Medical Office Buildings</t>
        </is>
      </c>
      <c r="C1512" t="inlineStr">
        <is>
          <t>341</t>
        </is>
      </c>
      <c r="D1512" t="inlineStr">
        <is>
          <t>15</t>
        </is>
      </c>
      <c r="E1512" t="inlineStr">
        <is>
          <t>22</t>
        </is>
      </c>
      <c r="F1512" t="inlineStr">
        <is>
          <t>B</t>
        </is>
      </c>
      <c r="G1512" t="inlineStr">
        <is>
          <t>Excellent</t>
        </is>
      </c>
      <c r="H1512" t="n">
        <v>402</v>
      </c>
      <c r="I1512">
        <f>B1512&amp;"|"&amp;F1512&amp;"|"&amp;G1512</f>
        <v/>
      </c>
      <c r="J1512" t="inlineStr">
        <is>
          <t>MVS Sec.15 p.22</t>
        </is>
      </c>
    </row>
    <row r="1513">
      <c r="B1513" t="inlineStr">
        <is>
          <t>Medical Office Buildings</t>
        </is>
      </c>
      <c r="C1513" t="inlineStr">
        <is>
          <t>341</t>
        </is>
      </c>
      <c r="D1513" t="inlineStr">
        <is>
          <t>15</t>
        </is>
      </c>
      <c r="E1513" t="inlineStr">
        <is>
          <t>22</t>
        </is>
      </c>
      <c r="F1513" t="inlineStr">
        <is>
          <t>B</t>
        </is>
      </c>
      <c r="G1513" t="inlineStr">
        <is>
          <t>Good</t>
        </is>
      </c>
      <c r="H1513" t="n">
        <v>322</v>
      </c>
      <c r="I1513">
        <f>B1513&amp;"|"&amp;F1513&amp;"|"&amp;G1513</f>
        <v/>
      </c>
      <c r="J1513" t="inlineStr">
        <is>
          <t>MVS Sec.15 p.22</t>
        </is>
      </c>
    </row>
    <row r="1514">
      <c r="B1514" t="inlineStr">
        <is>
          <t>Medical Office Buildings</t>
        </is>
      </c>
      <c r="C1514" t="inlineStr">
        <is>
          <t>341</t>
        </is>
      </c>
      <c r="D1514" t="inlineStr">
        <is>
          <t>15</t>
        </is>
      </c>
      <c r="E1514" t="inlineStr">
        <is>
          <t>22</t>
        </is>
      </c>
      <c r="F1514" t="inlineStr">
        <is>
          <t>B</t>
        </is>
      </c>
      <c r="G1514" t="inlineStr">
        <is>
          <t>Average</t>
        </is>
      </c>
      <c r="H1514" t="n">
        <v>246</v>
      </c>
      <c r="I1514">
        <f>B1514&amp;"|"&amp;F1514&amp;"|"&amp;G1514</f>
        <v/>
      </c>
      <c r="J1514" t="inlineStr">
        <is>
          <t>MVS Sec.15 p.22</t>
        </is>
      </c>
    </row>
    <row r="1515">
      <c r="B1515" t="inlineStr">
        <is>
          <t>Medical Office Buildings</t>
        </is>
      </c>
      <c r="C1515" t="inlineStr">
        <is>
          <t>341</t>
        </is>
      </c>
      <c r="D1515" t="inlineStr">
        <is>
          <t>15</t>
        </is>
      </c>
      <c r="E1515" t="inlineStr">
        <is>
          <t>22</t>
        </is>
      </c>
      <c r="F1515" t="inlineStr">
        <is>
          <t>B</t>
        </is>
      </c>
      <c r="G1515" t="inlineStr">
        <is>
          <t>Low Cost</t>
        </is>
      </c>
      <c r="H1515" t="n">
        <v>187</v>
      </c>
      <c r="I1515">
        <f>B1515&amp;"|"&amp;F1515&amp;"|"&amp;G1515</f>
        <v/>
      </c>
      <c r="J1515" t="inlineStr">
        <is>
          <t>MVS Sec.15 p.22</t>
        </is>
      </c>
    </row>
    <row r="1516">
      <c r="B1516" t="inlineStr">
        <is>
          <t>Medical Office Buildings</t>
        </is>
      </c>
      <c r="C1516" t="inlineStr">
        <is>
          <t>341</t>
        </is>
      </c>
      <c r="D1516" t="inlineStr">
        <is>
          <t>15</t>
        </is>
      </c>
      <c r="E1516" t="inlineStr">
        <is>
          <t>22</t>
        </is>
      </c>
      <c r="F1516" t="inlineStr">
        <is>
          <t>C</t>
        </is>
      </c>
      <c r="G1516" t="inlineStr">
        <is>
          <t>Excellent</t>
        </is>
      </c>
      <c r="H1516" t="n">
        <v>344</v>
      </c>
      <c r="I1516">
        <f>B1516&amp;"|"&amp;F1516&amp;"|"&amp;G1516</f>
        <v/>
      </c>
      <c r="J1516" t="inlineStr">
        <is>
          <t>MVS Sec.15 p.22</t>
        </is>
      </c>
    </row>
    <row r="1517">
      <c r="B1517" t="inlineStr">
        <is>
          <t>Medical Office Buildings</t>
        </is>
      </c>
      <c r="C1517" t="inlineStr">
        <is>
          <t>341</t>
        </is>
      </c>
      <c r="D1517" t="inlineStr">
        <is>
          <t>15</t>
        </is>
      </c>
      <c r="E1517" t="inlineStr">
        <is>
          <t>22</t>
        </is>
      </c>
      <c r="F1517" t="inlineStr">
        <is>
          <t>C</t>
        </is>
      </c>
      <c r="G1517" t="inlineStr">
        <is>
          <t>Good</t>
        </is>
      </c>
      <c r="H1517" t="n">
        <v>261</v>
      </c>
      <c r="I1517">
        <f>B1517&amp;"|"&amp;F1517&amp;"|"&amp;G1517</f>
        <v/>
      </c>
      <c r="J1517" t="inlineStr">
        <is>
          <t>MVS Sec.15 p.22</t>
        </is>
      </c>
    </row>
    <row r="1518">
      <c r="B1518" t="inlineStr">
        <is>
          <t>Medical Office Buildings</t>
        </is>
      </c>
      <c r="C1518" t="inlineStr">
        <is>
          <t>341</t>
        </is>
      </c>
      <c r="D1518" t="inlineStr">
        <is>
          <t>15</t>
        </is>
      </c>
      <c r="E1518" t="inlineStr">
        <is>
          <t>22</t>
        </is>
      </c>
      <c r="F1518" t="inlineStr">
        <is>
          <t>C</t>
        </is>
      </c>
      <c r="G1518" t="inlineStr">
        <is>
          <t>Average</t>
        </is>
      </c>
      <c r="H1518" t="n">
        <v>198</v>
      </c>
      <c r="I1518">
        <f>B1518&amp;"|"&amp;F1518&amp;"|"&amp;G1518</f>
        <v/>
      </c>
      <c r="J1518" t="inlineStr">
        <is>
          <t>MVS Sec.15 p.22</t>
        </is>
      </c>
    </row>
    <row r="1519">
      <c r="B1519" t="inlineStr">
        <is>
          <t>Medical Office Buildings</t>
        </is>
      </c>
      <c r="C1519" t="inlineStr">
        <is>
          <t>341</t>
        </is>
      </c>
      <c r="D1519" t="inlineStr">
        <is>
          <t>15</t>
        </is>
      </c>
      <c r="E1519" t="inlineStr">
        <is>
          <t>22</t>
        </is>
      </c>
      <c r="F1519" t="inlineStr">
        <is>
          <t>C</t>
        </is>
      </c>
      <c r="G1519" t="inlineStr">
        <is>
          <t>Low Cost</t>
        </is>
      </c>
      <c r="H1519" t="n">
        <v>150</v>
      </c>
      <c r="I1519">
        <f>B1519&amp;"|"&amp;F1519&amp;"|"&amp;G1519</f>
        <v/>
      </c>
      <c r="J1519" t="inlineStr">
        <is>
          <t>MVS Sec.15 p.22</t>
        </is>
      </c>
    </row>
    <row r="1520">
      <c r="B1520" t="inlineStr">
        <is>
          <t>Medical Office Buildings</t>
        </is>
      </c>
      <c r="C1520" t="inlineStr">
        <is>
          <t>341</t>
        </is>
      </c>
      <c r="D1520" t="inlineStr">
        <is>
          <t>15</t>
        </is>
      </c>
      <c r="E1520" t="inlineStr">
        <is>
          <t>22</t>
        </is>
      </c>
      <c r="F1520" t="inlineStr">
        <is>
          <t>D</t>
        </is>
      </c>
      <c r="G1520" t="inlineStr">
        <is>
          <t>Excellent</t>
        </is>
      </c>
      <c r="H1520" t="n">
        <v>314</v>
      </c>
      <c r="I1520">
        <f>B1520&amp;"|"&amp;F1520&amp;"|"&amp;G1520</f>
        <v/>
      </c>
      <c r="J1520" t="inlineStr">
        <is>
          <t>MVS Sec.15 p.22</t>
        </is>
      </c>
    </row>
    <row r="1521">
      <c r="B1521" t="inlineStr">
        <is>
          <t>Medical Office Buildings</t>
        </is>
      </c>
      <c r="C1521" t="inlineStr">
        <is>
          <t>341</t>
        </is>
      </c>
      <c r="D1521" t="inlineStr">
        <is>
          <t>15</t>
        </is>
      </c>
      <c r="E1521" t="inlineStr">
        <is>
          <t>22</t>
        </is>
      </c>
      <c r="F1521" t="inlineStr">
        <is>
          <t>D</t>
        </is>
      </c>
      <c r="G1521" t="inlineStr">
        <is>
          <t>Good</t>
        </is>
      </c>
      <c r="H1521" t="n">
        <v>249</v>
      </c>
      <c r="I1521">
        <f>B1521&amp;"|"&amp;F1521&amp;"|"&amp;G1521</f>
        <v/>
      </c>
      <c r="J1521" t="inlineStr">
        <is>
          <t>MVS Sec.15 p.22</t>
        </is>
      </c>
    </row>
    <row r="1522">
      <c r="B1522" t="inlineStr">
        <is>
          <t>Medical Office Buildings</t>
        </is>
      </c>
      <c r="C1522" t="inlineStr">
        <is>
          <t>341</t>
        </is>
      </c>
      <c r="D1522" t="inlineStr">
        <is>
          <t>15</t>
        </is>
      </c>
      <c r="E1522" t="inlineStr">
        <is>
          <t>22</t>
        </is>
      </c>
      <c r="F1522" t="inlineStr">
        <is>
          <t>D</t>
        </is>
      </c>
      <c r="G1522" t="inlineStr">
        <is>
          <t>Average</t>
        </is>
      </c>
      <c r="H1522" t="n">
        <v>189</v>
      </c>
      <c r="I1522">
        <f>B1522&amp;"|"&amp;F1522&amp;"|"&amp;G1522</f>
        <v/>
      </c>
      <c r="J1522" t="inlineStr">
        <is>
          <t>MVS Sec.15 p.22</t>
        </is>
      </c>
    </row>
    <row r="1523">
      <c r="B1523" t="inlineStr">
        <is>
          <t>Medical Office Buildings</t>
        </is>
      </c>
      <c r="C1523" t="inlineStr">
        <is>
          <t>341</t>
        </is>
      </c>
      <c r="D1523" t="inlineStr">
        <is>
          <t>15</t>
        </is>
      </c>
      <c r="E1523" t="inlineStr">
        <is>
          <t>22</t>
        </is>
      </c>
      <c r="F1523" t="inlineStr">
        <is>
          <t>D</t>
        </is>
      </c>
      <c r="G1523" t="inlineStr">
        <is>
          <t>Low Cost</t>
        </is>
      </c>
      <c r="H1523" t="n">
        <v>144</v>
      </c>
      <c r="I1523">
        <f>B1523&amp;"|"&amp;F1523&amp;"|"&amp;G1523</f>
        <v/>
      </c>
      <c r="J1523" t="inlineStr">
        <is>
          <t>MVS Sec.15 p.22</t>
        </is>
      </c>
    </row>
    <row r="1524">
      <c r="B1524" t="inlineStr">
        <is>
          <t>Medical Office Buildings</t>
        </is>
      </c>
      <c r="C1524" t="inlineStr">
        <is>
          <t>341</t>
        </is>
      </c>
      <c r="D1524" t="inlineStr">
        <is>
          <t>15</t>
        </is>
      </c>
      <c r="E1524" t="inlineStr">
        <is>
          <t>22</t>
        </is>
      </c>
      <c r="F1524" t="inlineStr">
        <is>
          <t>DPOLE</t>
        </is>
      </c>
      <c r="G1524" t="inlineStr">
        <is>
          <t>Low Cost</t>
        </is>
      </c>
      <c r="H1524" t="n">
        <v>132</v>
      </c>
      <c r="I1524">
        <f>B1524&amp;"|"&amp;F1524&amp;"|"&amp;G1524</f>
        <v/>
      </c>
      <c r="J1524" t="inlineStr">
        <is>
          <t>MVS Sec.15 p.22</t>
        </is>
      </c>
    </row>
    <row r="1525">
      <c r="B1525" t="inlineStr">
        <is>
          <t>Medical Office Buildings</t>
        </is>
      </c>
      <c r="C1525" t="inlineStr">
        <is>
          <t>341</t>
        </is>
      </c>
      <c r="D1525" t="inlineStr">
        <is>
          <t>15</t>
        </is>
      </c>
      <c r="E1525" t="inlineStr">
        <is>
          <t>22</t>
        </is>
      </c>
      <c r="F1525" t="inlineStr">
        <is>
          <t>S</t>
        </is>
      </c>
      <c r="G1525" t="inlineStr">
        <is>
          <t>Good</t>
        </is>
      </c>
      <c r="H1525" t="n">
        <v>242</v>
      </c>
      <c r="I1525">
        <f>B1525&amp;"|"&amp;F1525&amp;"|"&amp;G1525</f>
        <v/>
      </c>
      <c r="J1525" t="inlineStr">
        <is>
          <t>MVS Sec.15 p.22</t>
        </is>
      </c>
    </row>
    <row r="1526">
      <c r="B1526" t="inlineStr">
        <is>
          <t>Medical Office Buildings</t>
        </is>
      </c>
      <c r="C1526" t="inlineStr">
        <is>
          <t>341</t>
        </is>
      </c>
      <c r="D1526" t="inlineStr">
        <is>
          <t>15</t>
        </is>
      </c>
      <c r="E1526" t="inlineStr">
        <is>
          <t>22</t>
        </is>
      </c>
      <c r="F1526" t="inlineStr">
        <is>
          <t>S</t>
        </is>
      </c>
      <c r="G1526" t="inlineStr">
        <is>
          <t>Average</t>
        </is>
      </c>
      <c r="H1526" t="n">
        <v>177</v>
      </c>
      <c r="I1526">
        <f>B1526&amp;"|"&amp;F1526&amp;"|"&amp;G1526</f>
        <v/>
      </c>
      <c r="J1526" t="inlineStr">
        <is>
          <t>MVS Sec.15 p.22</t>
        </is>
      </c>
    </row>
    <row r="1527">
      <c r="B1527" t="inlineStr">
        <is>
          <t>Medical Office Buildings</t>
        </is>
      </c>
      <c r="C1527" t="inlineStr">
        <is>
          <t>341</t>
        </is>
      </c>
      <c r="D1527" t="inlineStr">
        <is>
          <t>15</t>
        </is>
      </c>
      <c r="E1527" t="inlineStr">
        <is>
          <t>22</t>
        </is>
      </c>
      <c r="F1527" t="inlineStr">
        <is>
          <t>S</t>
        </is>
      </c>
      <c r="G1527" t="inlineStr">
        <is>
          <t>Low Cost</t>
        </is>
      </c>
      <c r="H1527" t="n">
        <v>135</v>
      </c>
      <c r="I1527">
        <f>B1527&amp;"|"&amp;F1527&amp;"|"&amp;G1527</f>
        <v/>
      </c>
      <c r="J1527" t="inlineStr">
        <is>
          <t>MVS Sec.15 p.22</t>
        </is>
      </c>
    </row>
    <row r="1528">
      <c r="B1528" t="inlineStr">
        <is>
          <t>Dental Clinics</t>
        </is>
      </c>
      <c r="C1528" t="inlineStr">
        <is>
          <t>444</t>
        </is>
      </c>
      <c r="D1528" t="inlineStr">
        <is>
          <t>15</t>
        </is>
      </c>
      <c r="E1528" t="inlineStr">
        <is>
          <t>23</t>
        </is>
      </c>
      <c r="F1528" t="inlineStr">
        <is>
          <t>C</t>
        </is>
      </c>
      <c r="G1528" t="inlineStr">
        <is>
          <t>Excellent</t>
        </is>
      </c>
      <c r="H1528" t="n">
        <v>346</v>
      </c>
      <c r="I1528">
        <f>B1528&amp;"|"&amp;F1528&amp;"|"&amp;G1528</f>
        <v/>
      </c>
      <c r="J1528" t="inlineStr">
        <is>
          <t>MVS Sec.15 p.23</t>
        </is>
      </c>
    </row>
    <row r="1529">
      <c r="B1529" t="inlineStr">
        <is>
          <t>Dental Clinics</t>
        </is>
      </c>
      <c r="C1529" t="inlineStr">
        <is>
          <t>444</t>
        </is>
      </c>
      <c r="D1529" t="inlineStr">
        <is>
          <t>15</t>
        </is>
      </c>
      <c r="E1529" t="inlineStr">
        <is>
          <t>23</t>
        </is>
      </c>
      <c r="F1529" t="inlineStr">
        <is>
          <t>C</t>
        </is>
      </c>
      <c r="G1529" t="inlineStr">
        <is>
          <t>Good</t>
        </is>
      </c>
      <c r="H1529" t="n">
        <v>265</v>
      </c>
      <c r="I1529">
        <f>B1529&amp;"|"&amp;F1529&amp;"|"&amp;G1529</f>
        <v/>
      </c>
      <c r="J1529" t="inlineStr">
        <is>
          <t>MVS Sec.15 p.23</t>
        </is>
      </c>
    </row>
    <row r="1530">
      <c r="B1530" t="inlineStr">
        <is>
          <t>Dental Clinics</t>
        </is>
      </c>
      <c r="C1530" t="inlineStr">
        <is>
          <t>444</t>
        </is>
      </c>
      <c r="D1530" t="inlineStr">
        <is>
          <t>15</t>
        </is>
      </c>
      <c r="E1530" t="inlineStr">
        <is>
          <t>23</t>
        </is>
      </c>
      <c r="F1530" t="inlineStr">
        <is>
          <t>C</t>
        </is>
      </c>
      <c r="G1530" t="inlineStr">
        <is>
          <t>Average</t>
        </is>
      </c>
      <c r="H1530" t="n">
        <v>202</v>
      </c>
      <c r="I1530">
        <f>B1530&amp;"|"&amp;F1530&amp;"|"&amp;G1530</f>
        <v/>
      </c>
      <c r="J1530" t="inlineStr">
        <is>
          <t>MVS Sec.15 p.23</t>
        </is>
      </c>
    </row>
    <row r="1531">
      <c r="B1531" t="inlineStr">
        <is>
          <t>Dental Clinics</t>
        </is>
      </c>
      <c r="C1531" t="inlineStr">
        <is>
          <t>444</t>
        </is>
      </c>
      <c r="D1531" t="inlineStr">
        <is>
          <t>15</t>
        </is>
      </c>
      <c r="E1531" t="inlineStr">
        <is>
          <t>23</t>
        </is>
      </c>
      <c r="F1531" t="inlineStr">
        <is>
          <t>C</t>
        </is>
      </c>
      <c r="G1531" t="inlineStr">
        <is>
          <t>Low Cost</t>
        </is>
      </c>
      <c r="H1531" t="n">
        <v>154</v>
      </c>
      <c r="I1531">
        <f>B1531&amp;"|"&amp;F1531&amp;"|"&amp;G1531</f>
        <v/>
      </c>
      <c r="J1531" t="inlineStr">
        <is>
          <t>MVS Sec.15 p.23</t>
        </is>
      </c>
    </row>
    <row r="1532">
      <c r="B1532" t="inlineStr">
        <is>
          <t>Dental Clinics</t>
        </is>
      </c>
      <c r="C1532" t="inlineStr">
        <is>
          <t>444</t>
        </is>
      </c>
      <c r="D1532" t="inlineStr">
        <is>
          <t>15</t>
        </is>
      </c>
      <c r="E1532" t="inlineStr">
        <is>
          <t>23</t>
        </is>
      </c>
      <c r="F1532" t="inlineStr">
        <is>
          <t>D</t>
        </is>
      </c>
      <c r="G1532" t="inlineStr">
        <is>
          <t>Excellent</t>
        </is>
      </c>
      <c r="H1532" t="n">
        <v>332</v>
      </c>
      <c r="I1532">
        <f>B1532&amp;"|"&amp;F1532&amp;"|"&amp;G1532</f>
        <v/>
      </c>
      <c r="J1532" t="inlineStr">
        <is>
          <t>MVS Sec.15 p.23</t>
        </is>
      </c>
    </row>
    <row r="1533">
      <c r="B1533" t="inlineStr">
        <is>
          <t>Dental Clinics</t>
        </is>
      </c>
      <c r="C1533" t="inlineStr">
        <is>
          <t>444</t>
        </is>
      </c>
      <c r="D1533" t="inlineStr">
        <is>
          <t>15</t>
        </is>
      </c>
      <c r="E1533" t="inlineStr">
        <is>
          <t>23</t>
        </is>
      </c>
      <c r="F1533" t="inlineStr">
        <is>
          <t>D</t>
        </is>
      </c>
      <c r="G1533" t="inlineStr">
        <is>
          <t>Good</t>
        </is>
      </c>
      <c r="H1533" t="n">
        <v>254</v>
      </c>
      <c r="I1533">
        <f>B1533&amp;"|"&amp;F1533&amp;"|"&amp;G1533</f>
        <v/>
      </c>
      <c r="J1533" t="inlineStr">
        <is>
          <t>MVS Sec.15 p.23</t>
        </is>
      </c>
    </row>
    <row r="1534">
      <c r="B1534" t="inlineStr">
        <is>
          <t>Dental Clinics</t>
        </is>
      </c>
      <c r="C1534" t="inlineStr">
        <is>
          <t>444</t>
        </is>
      </c>
      <c r="D1534" t="inlineStr">
        <is>
          <t>15</t>
        </is>
      </c>
      <c r="E1534" t="inlineStr">
        <is>
          <t>23</t>
        </is>
      </c>
      <c r="F1534" t="inlineStr">
        <is>
          <t>D</t>
        </is>
      </c>
      <c r="G1534" t="inlineStr">
        <is>
          <t>Average</t>
        </is>
      </c>
      <c r="H1534" t="n">
        <v>194</v>
      </c>
      <c r="I1534">
        <f>B1534&amp;"|"&amp;F1534&amp;"|"&amp;G1534</f>
        <v/>
      </c>
      <c r="J1534" t="inlineStr">
        <is>
          <t>MVS Sec.15 p.23</t>
        </is>
      </c>
    </row>
    <row r="1535">
      <c r="B1535" t="inlineStr">
        <is>
          <t>Dental Clinics</t>
        </is>
      </c>
      <c r="C1535" t="inlineStr">
        <is>
          <t>444</t>
        </is>
      </c>
      <c r="D1535" t="inlineStr">
        <is>
          <t>15</t>
        </is>
      </c>
      <c r="E1535" t="inlineStr">
        <is>
          <t>23</t>
        </is>
      </c>
      <c r="F1535" t="inlineStr">
        <is>
          <t>D</t>
        </is>
      </c>
      <c r="G1535" t="inlineStr">
        <is>
          <t>Low Cost</t>
        </is>
      </c>
      <c r="H1535" t="n">
        <v>147</v>
      </c>
      <c r="I1535">
        <f>B1535&amp;"|"&amp;F1535&amp;"|"&amp;G1535</f>
        <v/>
      </c>
      <c r="J1535" t="inlineStr">
        <is>
          <t>MVS Sec.15 p.23</t>
        </is>
      </c>
    </row>
    <row r="1536">
      <c r="B1536" t="inlineStr">
        <is>
          <t>Dental Clinics</t>
        </is>
      </c>
      <c r="C1536" t="inlineStr">
        <is>
          <t>444</t>
        </is>
      </c>
      <c r="D1536" t="inlineStr">
        <is>
          <t>15</t>
        </is>
      </c>
      <c r="E1536" t="inlineStr">
        <is>
          <t>23</t>
        </is>
      </c>
      <c r="F1536" t="inlineStr">
        <is>
          <t>DPOLE</t>
        </is>
      </c>
      <c r="G1536" t="inlineStr">
        <is>
          <t>Average</t>
        </is>
      </c>
      <c r="H1536" t="n">
        <v>181</v>
      </c>
      <c r="I1536">
        <f>B1536&amp;"|"&amp;F1536&amp;"|"&amp;G1536</f>
        <v/>
      </c>
      <c r="J1536" t="inlineStr">
        <is>
          <t>MVS Sec.15 p.23</t>
        </is>
      </c>
    </row>
    <row r="1537">
      <c r="B1537" t="inlineStr">
        <is>
          <t>Dental Clinics</t>
        </is>
      </c>
      <c r="C1537" t="inlineStr">
        <is>
          <t>444</t>
        </is>
      </c>
      <c r="D1537" t="inlineStr">
        <is>
          <t>15</t>
        </is>
      </c>
      <c r="E1537" t="inlineStr">
        <is>
          <t>23</t>
        </is>
      </c>
      <c r="F1537" t="inlineStr">
        <is>
          <t>DPOLE</t>
        </is>
      </c>
      <c r="G1537" t="inlineStr">
        <is>
          <t>Low Cost</t>
        </is>
      </c>
      <c r="H1537" t="n">
        <v>135</v>
      </c>
      <c r="I1537">
        <f>B1537&amp;"|"&amp;F1537&amp;"|"&amp;G1537</f>
        <v/>
      </c>
      <c r="J1537" t="inlineStr">
        <is>
          <t>MVS Sec.15 p.23</t>
        </is>
      </c>
    </row>
    <row r="1538">
      <c r="B1538" t="inlineStr">
        <is>
          <t>Dental Clinics</t>
        </is>
      </c>
      <c r="C1538" t="inlineStr">
        <is>
          <t>444</t>
        </is>
      </c>
      <c r="D1538" t="inlineStr">
        <is>
          <t>15</t>
        </is>
      </c>
      <c r="E1538" t="inlineStr">
        <is>
          <t>23</t>
        </is>
      </c>
      <c r="F1538" t="inlineStr">
        <is>
          <t>S</t>
        </is>
      </c>
      <c r="G1538" t="inlineStr">
        <is>
          <t>Good</t>
        </is>
      </c>
      <c r="H1538" t="n">
        <v>246</v>
      </c>
      <c r="I1538">
        <f>B1538&amp;"|"&amp;F1538&amp;"|"&amp;G1538</f>
        <v/>
      </c>
      <c r="J1538" t="inlineStr">
        <is>
          <t>MVS Sec.15 p.23</t>
        </is>
      </c>
    </row>
    <row r="1539">
      <c r="B1539" t="inlineStr">
        <is>
          <t>Dental Clinics</t>
        </is>
      </c>
      <c r="C1539" t="inlineStr">
        <is>
          <t>444</t>
        </is>
      </c>
      <c r="D1539" t="inlineStr">
        <is>
          <t>15</t>
        </is>
      </c>
      <c r="E1539" t="inlineStr">
        <is>
          <t>23</t>
        </is>
      </c>
      <c r="F1539" t="inlineStr">
        <is>
          <t>S</t>
        </is>
      </c>
      <c r="G1539" t="inlineStr">
        <is>
          <t>Average</t>
        </is>
      </c>
      <c r="H1539" t="n">
        <v>185</v>
      </c>
      <c r="I1539">
        <f>B1539&amp;"|"&amp;F1539&amp;"|"&amp;G1539</f>
        <v/>
      </c>
      <c r="J1539" t="inlineStr">
        <is>
          <t>MVS Sec.15 p.23</t>
        </is>
      </c>
    </row>
    <row r="1540">
      <c r="B1540" t="inlineStr">
        <is>
          <t>Dental Clinics</t>
        </is>
      </c>
      <c r="C1540" t="inlineStr">
        <is>
          <t>444</t>
        </is>
      </c>
      <c r="D1540" t="inlineStr">
        <is>
          <t>15</t>
        </is>
      </c>
      <c r="E1540" t="inlineStr">
        <is>
          <t>23</t>
        </is>
      </c>
      <c r="F1540" t="inlineStr">
        <is>
          <t>S</t>
        </is>
      </c>
      <c r="G1540" t="inlineStr">
        <is>
          <t>Low Cost</t>
        </is>
      </c>
      <c r="H1540" t="n">
        <v>139</v>
      </c>
      <c r="I1540">
        <f>B1540&amp;"|"&amp;F1540&amp;"|"&amp;G1540</f>
        <v/>
      </c>
      <c r="J1540" t="inlineStr">
        <is>
          <t>MVS Sec.15 p.23</t>
        </is>
      </c>
    </row>
    <row r="1541">
      <c r="B1541" t="inlineStr">
        <is>
          <t>Urgent Care Clinics</t>
        </is>
      </c>
      <c r="C1541" t="inlineStr">
        <is>
          <t>320</t>
        </is>
      </c>
      <c r="D1541" t="inlineStr">
        <is>
          <t>15</t>
        </is>
      </c>
      <c r="E1541" t="inlineStr">
        <is>
          <t>23</t>
        </is>
      </c>
      <c r="F1541" t="inlineStr">
        <is>
          <t>A-B</t>
        </is>
      </c>
      <c r="G1541" t="inlineStr">
        <is>
          <t>Good</t>
        </is>
      </c>
      <c r="H1541" t="n">
        <v>244</v>
      </c>
      <c r="I1541">
        <f>B1541&amp;"|"&amp;F1541&amp;"|"&amp;G1541</f>
        <v/>
      </c>
      <c r="J1541" t="inlineStr">
        <is>
          <t>MVS Sec.15 p.23</t>
        </is>
      </c>
    </row>
    <row r="1542">
      <c r="B1542" t="inlineStr">
        <is>
          <t>Urgent Care Clinics</t>
        </is>
      </c>
      <c r="C1542" t="inlineStr">
        <is>
          <t>320</t>
        </is>
      </c>
      <c r="D1542" t="inlineStr">
        <is>
          <t>15</t>
        </is>
      </c>
      <c r="E1542" t="inlineStr">
        <is>
          <t>23</t>
        </is>
      </c>
      <c r="F1542" t="inlineStr">
        <is>
          <t>A-B</t>
        </is>
      </c>
      <c r="G1542" t="inlineStr">
        <is>
          <t>Average</t>
        </is>
      </c>
      <c r="H1542" t="n">
        <v>201</v>
      </c>
      <c r="I1542">
        <f>B1542&amp;"|"&amp;F1542&amp;"|"&amp;G1542</f>
        <v/>
      </c>
      <c r="J1542" t="inlineStr">
        <is>
          <t>MVS Sec.15 p.23</t>
        </is>
      </c>
    </row>
    <row r="1543">
      <c r="B1543" t="inlineStr">
        <is>
          <t>Urgent Care Clinics</t>
        </is>
      </c>
      <c r="C1543" t="inlineStr">
        <is>
          <t>320</t>
        </is>
      </c>
      <c r="D1543" t="inlineStr">
        <is>
          <t>15</t>
        </is>
      </c>
      <c r="E1543" t="inlineStr">
        <is>
          <t>23</t>
        </is>
      </c>
      <c r="F1543" t="inlineStr">
        <is>
          <t>C</t>
        </is>
      </c>
      <c r="G1543" t="inlineStr">
        <is>
          <t>Excellent</t>
        </is>
      </c>
      <c r="H1543" t="n">
        <v>248</v>
      </c>
      <c r="I1543">
        <f>B1543&amp;"|"&amp;F1543&amp;"|"&amp;G1543</f>
        <v/>
      </c>
      <c r="J1543" t="inlineStr">
        <is>
          <t>MVS Sec.15 p.23</t>
        </is>
      </c>
    </row>
    <row r="1544">
      <c r="B1544" t="inlineStr">
        <is>
          <t>Urgent Care Clinics</t>
        </is>
      </c>
      <c r="C1544" t="inlineStr">
        <is>
          <t>320</t>
        </is>
      </c>
      <c r="D1544" t="inlineStr">
        <is>
          <t>15</t>
        </is>
      </c>
      <c r="E1544" t="inlineStr">
        <is>
          <t>23</t>
        </is>
      </c>
      <c r="F1544" t="inlineStr">
        <is>
          <t>C</t>
        </is>
      </c>
      <c r="G1544" t="inlineStr">
        <is>
          <t>Good</t>
        </is>
      </c>
      <c r="H1544" t="n">
        <v>190</v>
      </c>
      <c r="I1544">
        <f>B1544&amp;"|"&amp;F1544&amp;"|"&amp;G1544</f>
        <v/>
      </c>
      <c r="J1544" t="inlineStr">
        <is>
          <t>MVS Sec.15 p.23</t>
        </is>
      </c>
    </row>
    <row r="1545">
      <c r="B1545" t="inlineStr">
        <is>
          <t>Urgent Care Clinics</t>
        </is>
      </c>
      <c r="C1545" t="inlineStr">
        <is>
          <t>320</t>
        </is>
      </c>
      <c r="D1545" t="inlineStr">
        <is>
          <t>15</t>
        </is>
      </c>
      <c r="E1545" t="inlineStr">
        <is>
          <t>23</t>
        </is>
      </c>
      <c r="F1545" t="inlineStr">
        <is>
          <t>C</t>
        </is>
      </c>
      <c r="G1545" t="inlineStr">
        <is>
          <t>Average</t>
        </is>
      </c>
      <c r="H1545" t="n">
        <v>148</v>
      </c>
      <c r="I1545">
        <f>B1545&amp;"|"&amp;F1545&amp;"|"&amp;G1545</f>
        <v/>
      </c>
      <c r="J1545" t="inlineStr">
        <is>
          <t>MVS Sec.15 p.23</t>
        </is>
      </c>
    </row>
    <row r="1546">
      <c r="B1546" t="inlineStr">
        <is>
          <t>Urgent Care Clinics</t>
        </is>
      </c>
      <c r="C1546" t="inlineStr">
        <is>
          <t>320</t>
        </is>
      </c>
      <c r="D1546" t="inlineStr">
        <is>
          <t>15</t>
        </is>
      </c>
      <c r="E1546" t="inlineStr">
        <is>
          <t>23</t>
        </is>
      </c>
      <c r="F1546" t="inlineStr">
        <is>
          <t>D</t>
        </is>
      </c>
      <c r="G1546" t="inlineStr">
        <is>
          <t>Excellent</t>
        </is>
      </c>
      <c r="H1546" t="n">
        <v>236</v>
      </c>
      <c r="I1546">
        <f>B1546&amp;"|"&amp;F1546&amp;"|"&amp;G1546</f>
        <v/>
      </c>
      <c r="J1546" t="inlineStr">
        <is>
          <t>MVS Sec.15 p.23</t>
        </is>
      </c>
    </row>
    <row r="1547">
      <c r="B1547" t="inlineStr">
        <is>
          <t>Urgent Care Clinics</t>
        </is>
      </c>
      <c r="C1547" t="inlineStr">
        <is>
          <t>320</t>
        </is>
      </c>
      <c r="D1547" t="inlineStr">
        <is>
          <t>15</t>
        </is>
      </c>
      <c r="E1547" t="inlineStr">
        <is>
          <t>23</t>
        </is>
      </c>
      <c r="F1547" t="inlineStr">
        <is>
          <t>D</t>
        </is>
      </c>
      <c r="G1547" t="inlineStr">
        <is>
          <t>Good</t>
        </is>
      </c>
      <c r="H1547" t="n">
        <v>180</v>
      </c>
      <c r="I1547">
        <f>B1547&amp;"|"&amp;F1547&amp;"|"&amp;G1547</f>
        <v/>
      </c>
      <c r="J1547" t="inlineStr">
        <is>
          <t>MVS Sec.15 p.23</t>
        </is>
      </c>
    </row>
    <row r="1548">
      <c r="B1548" t="inlineStr">
        <is>
          <t>Urgent Care Clinics</t>
        </is>
      </c>
      <c r="C1548" t="inlineStr">
        <is>
          <t>320</t>
        </is>
      </c>
      <c r="D1548" t="inlineStr">
        <is>
          <t>15</t>
        </is>
      </c>
      <c r="E1548" t="inlineStr">
        <is>
          <t>23</t>
        </is>
      </c>
      <c r="F1548" t="inlineStr">
        <is>
          <t>D</t>
        </is>
      </c>
      <c r="G1548" t="inlineStr">
        <is>
          <t>Average</t>
        </is>
      </c>
      <c r="H1548" t="n">
        <v>140</v>
      </c>
      <c r="I1548">
        <f>B1548&amp;"|"&amp;F1548&amp;"|"&amp;G1548</f>
        <v/>
      </c>
      <c r="J1548" t="inlineStr">
        <is>
          <t>MVS Sec.15 p.23</t>
        </is>
      </c>
    </row>
    <row r="1549">
      <c r="B1549" t="inlineStr">
        <is>
          <t>Urgent Care Clinics</t>
        </is>
      </c>
      <c r="C1549" t="inlineStr">
        <is>
          <t>320</t>
        </is>
      </c>
      <c r="D1549" t="inlineStr">
        <is>
          <t>15</t>
        </is>
      </c>
      <c r="E1549" t="inlineStr">
        <is>
          <t>23</t>
        </is>
      </c>
      <c r="F1549" t="inlineStr">
        <is>
          <t>S</t>
        </is>
      </c>
      <c r="G1549" t="inlineStr">
        <is>
          <t>Average</t>
        </is>
      </c>
      <c r="H1549" t="n">
        <v>135</v>
      </c>
      <c r="I1549">
        <f>B1549&amp;"|"&amp;F1549&amp;"|"&amp;G1549</f>
        <v/>
      </c>
      <c r="J1549" t="inlineStr">
        <is>
          <t>MVS Sec.15 p.23</t>
        </is>
      </c>
    </row>
    <row r="1550">
      <c r="B1550" t="inlineStr">
        <is>
          <t>General Hospitals</t>
        </is>
      </c>
      <c r="C1550" t="inlineStr">
        <is>
          <t>331</t>
        </is>
      </c>
      <c r="D1550" t="inlineStr">
        <is>
          <t>15</t>
        </is>
      </c>
      <c r="E1550" t="inlineStr">
        <is>
          <t>24</t>
        </is>
      </c>
      <c r="F1550" t="inlineStr">
        <is>
          <t>A</t>
        </is>
      </c>
      <c r="G1550" t="inlineStr">
        <is>
          <t>Excellent</t>
        </is>
      </c>
      <c r="H1550" t="n">
        <v>735</v>
      </c>
      <c r="I1550">
        <f>B1550&amp;"|"&amp;F1550&amp;"|"&amp;G1550</f>
        <v/>
      </c>
      <c r="J1550" t="inlineStr">
        <is>
          <t>MVS Sec.15 p.24</t>
        </is>
      </c>
    </row>
    <row r="1551">
      <c r="B1551" t="inlineStr">
        <is>
          <t>General Hospitals</t>
        </is>
      </c>
      <c r="C1551" t="inlineStr">
        <is>
          <t>331</t>
        </is>
      </c>
      <c r="D1551" t="inlineStr">
        <is>
          <t>15</t>
        </is>
      </c>
      <c r="E1551" t="inlineStr">
        <is>
          <t>24</t>
        </is>
      </c>
      <c r="F1551" t="inlineStr">
        <is>
          <t>A</t>
        </is>
      </c>
      <c r="G1551" t="inlineStr">
        <is>
          <t>Good</t>
        </is>
      </c>
      <c r="H1551" t="n">
        <v>560</v>
      </c>
      <c r="I1551">
        <f>B1551&amp;"|"&amp;F1551&amp;"|"&amp;G1551</f>
        <v/>
      </c>
      <c r="J1551" t="inlineStr">
        <is>
          <t>MVS Sec.15 p.24</t>
        </is>
      </c>
    </row>
    <row r="1552">
      <c r="B1552" t="inlineStr">
        <is>
          <t>General Hospitals</t>
        </is>
      </c>
      <c r="C1552" t="inlineStr">
        <is>
          <t>331</t>
        </is>
      </c>
      <c r="D1552" t="inlineStr">
        <is>
          <t>15</t>
        </is>
      </c>
      <c r="E1552" t="inlineStr">
        <is>
          <t>24</t>
        </is>
      </c>
      <c r="F1552" t="inlineStr">
        <is>
          <t>A</t>
        </is>
      </c>
      <c r="G1552" t="inlineStr">
        <is>
          <t>Average</t>
        </is>
      </c>
      <c r="H1552" t="n">
        <v>430</v>
      </c>
      <c r="I1552">
        <f>B1552&amp;"|"&amp;F1552&amp;"|"&amp;G1552</f>
        <v/>
      </c>
      <c r="J1552" t="inlineStr">
        <is>
          <t>MVS Sec.15 p.24</t>
        </is>
      </c>
    </row>
    <row r="1553">
      <c r="B1553" t="inlineStr">
        <is>
          <t>General Hospitals</t>
        </is>
      </c>
      <c r="C1553" t="inlineStr">
        <is>
          <t>331</t>
        </is>
      </c>
      <c r="D1553" t="inlineStr">
        <is>
          <t>15</t>
        </is>
      </c>
      <c r="E1553" t="inlineStr">
        <is>
          <t>24</t>
        </is>
      </c>
      <c r="F1553" t="inlineStr">
        <is>
          <t>A</t>
        </is>
      </c>
      <c r="G1553" t="inlineStr">
        <is>
          <t>Low Cost</t>
        </is>
      </c>
      <c r="H1553" t="n">
        <v>331</v>
      </c>
      <c r="I1553">
        <f>B1553&amp;"|"&amp;F1553&amp;"|"&amp;G1553</f>
        <v/>
      </c>
      <c r="J1553" t="inlineStr">
        <is>
          <t>MVS Sec.15 p.24</t>
        </is>
      </c>
    </row>
    <row r="1554">
      <c r="B1554" t="inlineStr">
        <is>
          <t>General Hospitals</t>
        </is>
      </c>
      <c r="C1554" t="inlineStr">
        <is>
          <t>331</t>
        </is>
      </c>
      <c r="D1554" t="inlineStr">
        <is>
          <t>15</t>
        </is>
      </c>
      <c r="E1554" t="inlineStr">
        <is>
          <t>24</t>
        </is>
      </c>
      <c r="F1554" t="inlineStr">
        <is>
          <t>B</t>
        </is>
      </c>
      <c r="G1554" t="inlineStr">
        <is>
          <t>Excellent</t>
        </is>
      </c>
      <c r="H1554" t="n">
        <v>675</v>
      </c>
      <c r="I1554">
        <f>B1554&amp;"|"&amp;F1554&amp;"|"&amp;G1554</f>
        <v/>
      </c>
      <c r="J1554" t="inlineStr">
        <is>
          <t>MVS Sec.15 p.24</t>
        </is>
      </c>
    </row>
    <row r="1555">
      <c r="B1555" t="inlineStr">
        <is>
          <t>General Hospitals</t>
        </is>
      </c>
      <c r="C1555" t="inlineStr">
        <is>
          <t>331</t>
        </is>
      </c>
      <c r="D1555" t="inlineStr">
        <is>
          <t>15</t>
        </is>
      </c>
      <c r="E1555" t="inlineStr">
        <is>
          <t>24</t>
        </is>
      </c>
      <c r="F1555" t="inlineStr">
        <is>
          <t>B</t>
        </is>
      </c>
      <c r="G1555" t="inlineStr">
        <is>
          <t>Good</t>
        </is>
      </c>
      <c r="H1555" t="n">
        <v>520</v>
      </c>
      <c r="I1555">
        <f>B1555&amp;"|"&amp;F1555&amp;"|"&amp;G1555</f>
        <v/>
      </c>
      <c r="J1555" t="inlineStr">
        <is>
          <t>MVS Sec.15 p.24</t>
        </is>
      </c>
    </row>
    <row r="1556">
      <c r="B1556" t="inlineStr">
        <is>
          <t>General Hospitals</t>
        </is>
      </c>
      <c r="C1556" t="inlineStr">
        <is>
          <t>331</t>
        </is>
      </c>
      <c r="D1556" t="inlineStr">
        <is>
          <t>15</t>
        </is>
      </c>
      <c r="E1556" t="inlineStr">
        <is>
          <t>24</t>
        </is>
      </c>
      <c r="F1556" t="inlineStr">
        <is>
          <t>B</t>
        </is>
      </c>
      <c r="G1556" t="inlineStr">
        <is>
          <t>Average</t>
        </is>
      </c>
      <c r="H1556" t="n">
        <v>398</v>
      </c>
      <c r="I1556">
        <f>B1556&amp;"|"&amp;F1556&amp;"|"&amp;G1556</f>
        <v/>
      </c>
      <c r="J1556" t="inlineStr">
        <is>
          <t>MVS Sec.15 p.24</t>
        </is>
      </c>
    </row>
    <row r="1557">
      <c r="B1557" t="inlineStr">
        <is>
          <t>General Hospitals</t>
        </is>
      </c>
      <c r="C1557" t="inlineStr">
        <is>
          <t>331</t>
        </is>
      </c>
      <c r="D1557" t="inlineStr">
        <is>
          <t>15</t>
        </is>
      </c>
      <c r="E1557" t="inlineStr">
        <is>
          <t>24</t>
        </is>
      </c>
      <c r="F1557" t="inlineStr">
        <is>
          <t>B</t>
        </is>
      </c>
      <c r="G1557" t="inlineStr">
        <is>
          <t>Low Cost</t>
        </is>
      </c>
      <c r="H1557" t="n">
        <v>307</v>
      </c>
      <c r="I1557">
        <f>B1557&amp;"|"&amp;F1557&amp;"|"&amp;G1557</f>
        <v/>
      </c>
      <c r="J1557" t="inlineStr">
        <is>
          <t>MVS Sec.15 p.24</t>
        </is>
      </c>
    </row>
    <row r="1558">
      <c r="B1558" t="inlineStr">
        <is>
          <t>General Hospitals</t>
        </is>
      </c>
      <c r="C1558" t="inlineStr">
        <is>
          <t>331</t>
        </is>
      </c>
      <c r="D1558" t="inlineStr">
        <is>
          <t>15</t>
        </is>
      </c>
      <c r="E1558" t="inlineStr">
        <is>
          <t>24</t>
        </is>
      </c>
      <c r="F1558" t="inlineStr">
        <is>
          <t>C</t>
        </is>
      </c>
      <c r="G1558" t="inlineStr">
        <is>
          <t>Excellent</t>
        </is>
      </c>
      <c r="H1558" t="n">
        <v>540</v>
      </c>
      <c r="I1558">
        <f>B1558&amp;"|"&amp;F1558&amp;"|"&amp;G1558</f>
        <v/>
      </c>
      <c r="J1558" t="inlineStr">
        <is>
          <t>MVS Sec.15 p.24</t>
        </is>
      </c>
    </row>
    <row r="1559">
      <c r="B1559" t="inlineStr">
        <is>
          <t>General Hospitals</t>
        </is>
      </c>
      <c r="C1559" t="inlineStr">
        <is>
          <t>331</t>
        </is>
      </c>
      <c r="D1559" t="inlineStr">
        <is>
          <t>15</t>
        </is>
      </c>
      <c r="E1559" t="inlineStr">
        <is>
          <t>24</t>
        </is>
      </c>
      <c r="F1559" t="inlineStr">
        <is>
          <t>C</t>
        </is>
      </c>
      <c r="G1559" t="inlineStr">
        <is>
          <t>Good</t>
        </is>
      </c>
      <c r="H1559" t="n">
        <v>403</v>
      </c>
      <c r="I1559">
        <f>B1559&amp;"|"&amp;F1559&amp;"|"&amp;G1559</f>
        <v/>
      </c>
      <c r="J1559" t="inlineStr">
        <is>
          <t>MVS Sec.15 p.24</t>
        </is>
      </c>
    </row>
    <row r="1560">
      <c r="B1560" t="inlineStr">
        <is>
          <t>General Hospitals</t>
        </is>
      </c>
      <c r="C1560" t="inlineStr">
        <is>
          <t>331</t>
        </is>
      </c>
      <c r="D1560" t="inlineStr">
        <is>
          <t>15</t>
        </is>
      </c>
      <c r="E1560" t="inlineStr">
        <is>
          <t>24</t>
        </is>
      </c>
      <c r="F1560" t="inlineStr">
        <is>
          <t>C</t>
        </is>
      </c>
      <c r="G1560" t="inlineStr">
        <is>
          <t>Average</t>
        </is>
      </c>
      <c r="H1560" t="n">
        <v>303</v>
      </c>
      <c r="I1560">
        <f>B1560&amp;"|"&amp;F1560&amp;"|"&amp;G1560</f>
        <v/>
      </c>
      <c r="J1560" t="inlineStr">
        <is>
          <t>MVS Sec.15 p.24</t>
        </is>
      </c>
    </row>
    <row r="1561">
      <c r="B1561" t="inlineStr">
        <is>
          <t>General Hospitals</t>
        </is>
      </c>
      <c r="C1561" t="inlineStr">
        <is>
          <t>331</t>
        </is>
      </c>
      <c r="D1561" t="inlineStr">
        <is>
          <t>15</t>
        </is>
      </c>
      <c r="E1561" t="inlineStr">
        <is>
          <t>24</t>
        </is>
      </c>
      <c r="F1561" t="inlineStr">
        <is>
          <t>C</t>
        </is>
      </c>
      <c r="G1561" t="inlineStr">
        <is>
          <t>Low Cost</t>
        </is>
      </c>
      <c r="H1561" t="n">
        <v>225</v>
      </c>
      <c r="I1561">
        <f>B1561&amp;"|"&amp;F1561&amp;"|"&amp;G1561</f>
        <v/>
      </c>
      <c r="J1561" t="inlineStr">
        <is>
          <t>MVS Sec.15 p.24</t>
        </is>
      </c>
    </row>
    <row r="1562">
      <c r="B1562" t="inlineStr">
        <is>
          <t>General Hospitals</t>
        </is>
      </c>
      <c r="C1562" t="inlineStr">
        <is>
          <t>331</t>
        </is>
      </c>
      <c r="D1562" t="inlineStr">
        <is>
          <t>15</t>
        </is>
      </c>
      <c r="E1562" t="inlineStr">
        <is>
          <t>24</t>
        </is>
      </c>
      <c r="F1562" t="inlineStr">
        <is>
          <t>D</t>
        </is>
      </c>
      <c r="G1562" t="inlineStr">
        <is>
          <t>Good</t>
        </is>
      </c>
      <c r="H1562" t="n">
        <v>382</v>
      </c>
      <c r="I1562">
        <f>B1562&amp;"|"&amp;F1562&amp;"|"&amp;G1562</f>
        <v/>
      </c>
      <c r="J1562" t="inlineStr">
        <is>
          <t>MVS Sec.15 p.24</t>
        </is>
      </c>
    </row>
    <row r="1563">
      <c r="B1563" t="inlineStr">
        <is>
          <t>General Hospitals</t>
        </is>
      </c>
      <c r="C1563" t="inlineStr">
        <is>
          <t>331</t>
        </is>
      </c>
      <c r="D1563" t="inlineStr">
        <is>
          <t>15</t>
        </is>
      </c>
      <c r="E1563" t="inlineStr">
        <is>
          <t>24</t>
        </is>
      </c>
      <c r="F1563" t="inlineStr">
        <is>
          <t>D</t>
        </is>
      </c>
      <c r="G1563" t="inlineStr">
        <is>
          <t>Average</t>
        </is>
      </c>
      <c r="H1563" t="n">
        <v>289</v>
      </c>
      <c r="I1563">
        <f>B1563&amp;"|"&amp;F1563&amp;"|"&amp;G1563</f>
        <v/>
      </c>
      <c r="J1563" t="inlineStr">
        <is>
          <t>MVS Sec.15 p.24</t>
        </is>
      </c>
    </row>
    <row r="1564">
      <c r="B1564" t="inlineStr">
        <is>
          <t>General Hospitals</t>
        </is>
      </c>
      <c r="C1564" t="inlineStr">
        <is>
          <t>331</t>
        </is>
      </c>
      <c r="D1564" t="inlineStr">
        <is>
          <t>15</t>
        </is>
      </c>
      <c r="E1564" t="inlineStr">
        <is>
          <t>24</t>
        </is>
      </c>
      <c r="F1564" t="inlineStr">
        <is>
          <t>D</t>
        </is>
      </c>
      <c r="G1564" t="inlineStr">
        <is>
          <t>Low Cost</t>
        </is>
      </c>
      <c r="H1564" t="n">
        <v>218</v>
      </c>
      <c r="I1564">
        <f>B1564&amp;"|"&amp;F1564&amp;"|"&amp;G1564</f>
        <v/>
      </c>
      <c r="J1564" t="inlineStr">
        <is>
          <t>MVS Sec.15 p.24</t>
        </is>
      </c>
    </row>
    <row r="1565">
      <c r="B1565" t="inlineStr">
        <is>
          <t>General Hospitals</t>
        </is>
      </c>
      <c r="C1565" t="inlineStr">
        <is>
          <t>331</t>
        </is>
      </c>
      <c r="D1565" t="inlineStr">
        <is>
          <t>15</t>
        </is>
      </c>
      <c r="E1565" t="inlineStr">
        <is>
          <t>24</t>
        </is>
      </c>
      <c r="F1565" t="inlineStr">
        <is>
          <t>S</t>
        </is>
      </c>
      <c r="G1565" t="inlineStr">
        <is>
          <t>Low Cost</t>
        </is>
      </c>
      <c r="H1565" t="n">
        <v>215</v>
      </c>
      <c r="I1565">
        <f>B1565&amp;"|"&amp;F1565&amp;"|"&amp;G1565</f>
        <v/>
      </c>
      <c r="J1565" t="inlineStr">
        <is>
          <t>MVS Sec.15 p.24</t>
        </is>
      </c>
    </row>
    <row r="1566">
      <c r="B1566" t="inlineStr">
        <is>
          <t>Outpatient (Surgical) Centers</t>
        </is>
      </c>
      <c r="C1566" t="inlineStr">
        <is>
          <t>431</t>
        </is>
      </c>
      <c r="D1566" t="inlineStr">
        <is>
          <t>15</t>
        </is>
      </c>
      <c r="E1566" t="inlineStr">
        <is>
          <t>25</t>
        </is>
      </c>
      <c r="F1566" t="inlineStr">
        <is>
          <t>A-B</t>
        </is>
      </c>
      <c r="G1566" t="inlineStr">
        <is>
          <t>Good</t>
        </is>
      </c>
      <c r="H1566" t="n">
        <v>550</v>
      </c>
      <c r="I1566">
        <f>B1566&amp;"|"&amp;F1566&amp;"|"&amp;G1566</f>
        <v/>
      </c>
      <c r="J1566" t="inlineStr">
        <is>
          <t>MVS Sec.15 p.25</t>
        </is>
      </c>
    </row>
    <row r="1567">
      <c r="B1567" t="inlineStr">
        <is>
          <t>Outpatient (Surgical) Centers</t>
        </is>
      </c>
      <c r="C1567" t="inlineStr">
        <is>
          <t>431</t>
        </is>
      </c>
      <c r="D1567" t="inlineStr">
        <is>
          <t>15</t>
        </is>
      </c>
      <c r="E1567" t="inlineStr">
        <is>
          <t>25</t>
        </is>
      </c>
      <c r="F1567" t="inlineStr">
        <is>
          <t>A-B</t>
        </is>
      </c>
      <c r="G1567" t="inlineStr">
        <is>
          <t>Average</t>
        </is>
      </c>
      <c r="H1567" t="n">
        <v>403</v>
      </c>
      <c r="I1567">
        <f>B1567&amp;"|"&amp;F1567&amp;"|"&amp;G1567</f>
        <v/>
      </c>
      <c r="J1567" t="inlineStr">
        <is>
          <t>MVS Sec.15 p.25</t>
        </is>
      </c>
    </row>
    <row r="1568">
      <c r="B1568" t="inlineStr">
        <is>
          <t>Outpatient (Surgical) Centers</t>
        </is>
      </c>
      <c r="C1568" t="inlineStr">
        <is>
          <t>431</t>
        </is>
      </c>
      <c r="D1568" t="inlineStr">
        <is>
          <t>15</t>
        </is>
      </c>
      <c r="E1568" t="inlineStr">
        <is>
          <t>25</t>
        </is>
      </c>
      <c r="F1568" t="inlineStr">
        <is>
          <t>C</t>
        </is>
      </c>
      <c r="G1568" t="inlineStr">
        <is>
          <t>Excellent</t>
        </is>
      </c>
      <c r="H1568" t="n">
        <v>620</v>
      </c>
      <c r="I1568">
        <f>B1568&amp;"|"&amp;F1568&amp;"|"&amp;G1568</f>
        <v/>
      </c>
      <c r="J1568" t="inlineStr">
        <is>
          <t>MVS Sec.15 p.25</t>
        </is>
      </c>
    </row>
    <row r="1569">
      <c r="B1569" t="inlineStr">
        <is>
          <t>Outpatient (Surgical) Centers</t>
        </is>
      </c>
      <c r="C1569" t="inlineStr">
        <is>
          <t>431</t>
        </is>
      </c>
      <c r="D1569" t="inlineStr">
        <is>
          <t>15</t>
        </is>
      </c>
      <c r="E1569" t="inlineStr">
        <is>
          <t>25</t>
        </is>
      </c>
      <c r="F1569" t="inlineStr">
        <is>
          <t>C</t>
        </is>
      </c>
      <c r="G1569" t="inlineStr">
        <is>
          <t>Good</t>
        </is>
      </c>
      <c r="H1569" t="n">
        <v>429</v>
      </c>
      <c r="I1569">
        <f>B1569&amp;"|"&amp;F1569&amp;"|"&amp;G1569</f>
        <v/>
      </c>
      <c r="J1569" t="inlineStr">
        <is>
          <t>MVS Sec.15 p.25</t>
        </is>
      </c>
    </row>
    <row r="1570">
      <c r="B1570" t="inlineStr">
        <is>
          <t>Outpatient (Surgical) Centers</t>
        </is>
      </c>
      <c r="C1570" t="inlineStr">
        <is>
          <t>431</t>
        </is>
      </c>
      <c r="D1570" t="inlineStr">
        <is>
          <t>15</t>
        </is>
      </c>
      <c r="E1570" t="inlineStr">
        <is>
          <t>25</t>
        </is>
      </c>
      <c r="F1570" t="inlineStr">
        <is>
          <t>C</t>
        </is>
      </c>
      <c r="G1570" t="inlineStr">
        <is>
          <t>Average</t>
        </is>
      </c>
      <c r="H1570" t="n">
        <v>298</v>
      </c>
      <c r="I1570">
        <f>B1570&amp;"|"&amp;F1570&amp;"|"&amp;G1570</f>
        <v/>
      </c>
      <c r="J1570" t="inlineStr">
        <is>
          <t>MVS Sec.15 p.25</t>
        </is>
      </c>
    </row>
    <row r="1571">
      <c r="B1571" t="inlineStr">
        <is>
          <t>Outpatient (Surgical) Centers</t>
        </is>
      </c>
      <c r="C1571" t="inlineStr">
        <is>
          <t>431</t>
        </is>
      </c>
      <c r="D1571" t="inlineStr">
        <is>
          <t>15</t>
        </is>
      </c>
      <c r="E1571" t="inlineStr">
        <is>
          <t>25</t>
        </is>
      </c>
      <c r="F1571" t="inlineStr">
        <is>
          <t>C</t>
        </is>
      </c>
      <c r="G1571" t="inlineStr">
        <is>
          <t>Fair</t>
        </is>
      </c>
      <c r="H1571" t="n">
        <v>249</v>
      </c>
      <c r="I1571">
        <f>B1571&amp;"|"&amp;F1571&amp;"|"&amp;G1571</f>
        <v/>
      </c>
      <c r="J1571" t="inlineStr">
        <is>
          <t>MVS Sec.15 p.25</t>
        </is>
      </c>
    </row>
    <row r="1572">
      <c r="B1572" t="inlineStr">
        <is>
          <t>Outpatient (Surgical) Centers</t>
        </is>
      </c>
      <c r="C1572" t="inlineStr">
        <is>
          <t>431</t>
        </is>
      </c>
      <c r="D1572" t="inlineStr">
        <is>
          <t>15</t>
        </is>
      </c>
      <c r="E1572" t="inlineStr">
        <is>
          <t>25</t>
        </is>
      </c>
      <c r="F1572" t="inlineStr">
        <is>
          <t>C</t>
        </is>
      </c>
      <c r="G1572" t="inlineStr">
        <is>
          <t>Low Cost</t>
        </is>
      </c>
      <c r="H1572" t="n">
        <v>208</v>
      </c>
      <c r="I1572">
        <f>B1572&amp;"|"&amp;F1572&amp;"|"&amp;G1572</f>
        <v/>
      </c>
      <c r="J1572" t="inlineStr">
        <is>
          <t>MVS Sec.15 p.25</t>
        </is>
      </c>
    </row>
    <row r="1573">
      <c r="B1573" t="inlineStr">
        <is>
          <t>Outpatient (Surgical) Centers</t>
        </is>
      </c>
      <c r="C1573" t="inlineStr">
        <is>
          <t>431</t>
        </is>
      </c>
      <c r="D1573" t="inlineStr">
        <is>
          <t>15</t>
        </is>
      </c>
      <c r="E1573" t="inlineStr">
        <is>
          <t>25</t>
        </is>
      </c>
      <c r="F1573" t="inlineStr">
        <is>
          <t>D</t>
        </is>
      </c>
      <c r="G1573" t="inlineStr">
        <is>
          <t>Excellent</t>
        </is>
      </c>
      <c r="H1573" t="n">
        <v>585</v>
      </c>
      <c r="I1573">
        <f>B1573&amp;"|"&amp;F1573&amp;"|"&amp;G1573</f>
        <v/>
      </c>
      <c r="J1573" t="inlineStr">
        <is>
          <t>MVS Sec.15 p.25</t>
        </is>
      </c>
    </row>
    <row r="1574">
      <c r="B1574" t="inlineStr">
        <is>
          <t>Outpatient (Surgical) Centers</t>
        </is>
      </c>
      <c r="C1574" t="inlineStr">
        <is>
          <t>431</t>
        </is>
      </c>
      <c r="D1574" t="inlineStr">
        <is>
          <t>15</t>
        </is>
      </c>
      <c r="E1574" t="inlineStr">
        <is>
          <t>25</t>
        </is>
      </c>
      <c r="F1574" t="inlineStr">
        <is>
          <t>D</t>
        </is>
      </c>
      <c r="G1574" t="inlineStr">
        <is>
          <t>Good</t>
        </is>
      </c>
      <c r="H1574" t="n">
        <v>409</v>
      </c>
      <c r="I1574">
        <f>B1574&amp;"|"&amp;F1574&amp;"|"&amp;G1574</f>
        <v/>
      </c>
      <c r="J1574" t="inlineStr">
        <is>
          <t>MVS Sec.15 p.25</t>
        </is>
      </c>
    </row>
    <row r="1575">
      <c r="B1575" t="inlineStr">
        <is>
          <t>Outpatient (Surgical) Centers</t>
        </is>
      </c>
      <c r="C1575" t="inlineStr">
        <is>
          <t>431</t>
        </is>
      </c>
      <c r="D1575" t="inlineStr">
        <is>
          <t>15</t>
        </is>
      </c>
      <c r="E1575" t="inlineStr">
        <is>
          <t>25</t>
        </is>
      </c>
      <c r="F1575" t="inlineStr">
        <is>
          <t>D</t>
        </is>
      </c>
      <c r="G1575" t="inlineStr">
        <is>
          <t>Average</t>
        </is>
      </c>
      <c r="H1575" t="n">
        <v>287</v>
      </c>
      <c r="I1575">
        <f>B1575&amp;"|"&amp;F1575&amp;"|"&amp;G1575</f>
        <v/>
      </c>
      <c r="J1575" t="inlineStr">
        <is>
          <t>MVS Sec.15 p.25</t>
        </is>
      </c>
    </row>
    <row r="1576">
      <c r="B1576" t="inlineStr">
        <is>
          <t>Outpatient (Surgical) Centers</t>
        </is>
      </c>
      <c r="C1576" t="inlineStr">
        <is>
          <t>431</t>
        </is>
      </c>
      <c r="D1576" t="inlineStr">
        <is>
          <t>15</t>
        </is>
      </c>
      <c r="E1576" t="inlineStr">
        <is>
          <t>25</t>
        </is>
      </c>
      <c r="F1576" t="inlineStr">
        <is>
          <t>D</t>
        </is>
      </c>
      <c r="G1576" t="inlineStr">
        <is>
          <t>Fair</t>
        </is>
      </c>
      <c r="H1576" t="n">
        <v>240</v>
      </c>
      <c r="I1576">
        <f>B1576&amp;"|"&amp;F1576&amp;"|"&amp;G1576</f>
        <v/>
      </c>
      <c r="J1576" t="inlineStr">
        <is>
          <t>MVS Sec.15 p.25</t>
        </is>
      </c>
    </row>
    <row r="1577">
      <c r="B1577" t="inlineStr">
        <is>
          <t>Outpatient (Surgical) Centers</t>
        </is>
      </c>
      <c r="C1577" t="inlineStr">
        <is>
          <t>431</t>
        </is>
      </c>
      <c r="D1577" t="inlineStr">
        <is>
          <t>15</t>
        </is>
      </c>
      <c r="E1577" t="inlineStr">
        <is>
          <t>25</t>
        </is>
      </c>
      <c r="F1577" t="inlineStr">
        <is>
          <t>D</t>
        </is>
      </c>
      <c r="G1577" t="inlineStr">
        <is>
          <t>Low Cost</t>
        </is>
      </c>
      <c r="H1577" t="n">
        <v>201</v>
      </c>
      <c r="I1577">
        <f>B1577&amp;"|"&amp;F1577&amp;"|"&amp;G1577</f>
        <v/>
      </c>
      <c r="J1577" t="inlineStr">
        <is>
          <t>MVS Sec.15 p.25</t>
        </is>
      </c>
    </row>
    <row r="1578">
      <c r="B1578" t="inlineStr">
        <is>
          <t>Outpatient (Surgical) Centers</t>
        </is>
      </c>
      <c r="C1578" t="inlineStr">
        <is>
          <t>431</t>
        </is>
      </c>
      <c r="D1578" t="inlineStr">
        <is>
          <t>15</t>
        </is>
      </c>
      <c r="E1578" t="inlineStr">
        <is>
          <t>25</t>
        </is>
      </c>
      <c r="F1578" t="inlineStr">
        <is>
          <t>S</t>
        </is>
      </c>
      <c r="G1578" t="inlineStr">
        <is>
          <t>Average</t>
        </is>
      </c>
      <c r="H1578" t="n">
        <v>284</v>
      </c>
      <c r="I1578">
        <f>B1578&amp;"|"&amp;F1578&amp;"|"&amp;G1578</f>
        <v/>
      </c>
      <c r="J1578" t="inlineStr">
        <is>
          <t>MVS Sec.15 p.25</t>
        </is>
      </c>
    </row>
    <row r="1579">
      <c r="B1579" t="inlineStr">
        <is>
          <t>Outpatient (Surgical) Centers</t>
        </is>
      </c>
      <c r="C1579" t="inlineStr">
        <is>
          <t>431</t>
        </is>
      </c>
      <c r="D1579" t="inlineStr">
        <is>
          <t>15</t>
        </is>
      </c>
      <c r="E1579" t="inlineStr">
        <is>
          <t>25</t>
        </is>
      </c>
      <c r="F1579" t="inlineStr">
        <is>
          <t>S</t>
        </is>
      </c>
      <c r="G1579" t="inlineStr">
        <is>
          <t>Fair</t>
        </is>
      </c>
      <c r="H1579" t="n">
        <v>238</v>
      </c>
      <c r="I1579">
        <f>B1579&amp;"|"&amp;F1579&amp;"|"&amp;G1579</f>
        <v/>
      </c>
      <c r="J1579" t="inlineStr">
        <is>
          <t>MVS Sec.15 p.25</t>
        </is>
      </c>
    </row>
    <row r="1580">
      <c r="B1580" t="inlineStr">
        <is>
          <t>Outpatient (Surgical) Centers</t>
        </is>
      </c>
      <c r="C1580" t="inlineStr">
        <is>
          <t>431</t>
        </is>
      </c>
      <c r="D1580" t="inlineStr">
        <is>
          <t>15</t>
        </is>
      </c>
      <c r="E1580" t="inlineStr">
        <is>
          <t>25</t>
        </is>
      </c>
      <c r="F1580" t="inlineStr">
        <is>
          <t>S</t>
        </is>
      </c>
      <c r="G1580" t="inlineStr">
        <is>
          <t>Low Cost</t>
        </is>
      </c>
      <c r="H1580" t="n">
        <v>199</v>
      </c>
      <c r="I1580">
        <f>B1580&amp;"|"&amp;F1580&amp;"|"&amp;G1580</f>
        <v/>
      </c>
      <c r="J1580" t="inlineStr">
        <is>
          <t>MVS Sec.15 p.25</t>
        </is>
      </c>
    </row>
    <row r="1581">
      <c r="B1581" t="inlineStr">
        <is>
          <t>Nursing Homes (Convalescent Hospitals)</t>
        </is>
      </c>
      <c r="C1581" t="inlineStr">
        <is>
          <t>313</t>
        </is>
      </c>
      <c r="D1581" t="inlineStr">
        <is>
          <t>15</t>
        </is>
      </c>
      <c r="E1581" t="inlineStr">
        <is>
          <t>26</t>
        </is>
      </c>
      <c r="F1581" t="inlineStr">
        <is>
          <t>A</t>
        </is>
      </c>
      <c r="G1581" t="inlineStr">
        <is>
          <t>Good</t>
        </is>
      </c>
      <c r="H1581" t="n">
        <v>393</v>
      </c>
      <c r="I1581">
        <f>B1581&amp;"|"&amp;F1581&amp;"|"&amp;G1581</f>
        <v/>
      </c>
      <c r="J1581" t="inlineStr">
        <is>
          <t>MVS Sec.15 p.26</t>
        </is>
      </c>
    </row>
    <row r="1582">
      <c r="B1582" t="inlineStr">
        <is>
          <t>Nursing Homes (Convalescent Hospitals)</t>
        </is>
      </c>
      <c r="C1582" t="inlineStr">
        <is>
          <t>313</t>
        </is>
      </c>
      <c r="D1582" t="inlineStr">
        <is>
          <t>15</t>
        </is>
      </c>
      <c r="E1582" t="inlineStr">
        <is>
          <t>26</t>
        </is>
      </c>
      <c r="F1582" t="inlineStr">
        <is>
          <t>A</t>
        </is>
      </c>
      <c r="G1582" t="inlineStr">
        <is>
          <t>Average</t>
        </is>
      </c>
      <c r="H1582" t="n">
        <v>320</v>
      </c>
      <c r="I1582">
        <f>B1582&amp;"|"&amp;F1582&amp;"|"&amp;G1582</f>
        <v/>
      </c>
      <c r="J1582" t="inlineStr">
        <is>
          <t>MVS Sec.15 p.26</t>
        </is>
      </c>
    </row>
    <row r="1583">
      <c r="B1583" t="inlineStr">
        <is>
          <t>Nursing Homes (Convalescent Hospitals)</t>
        </is>
      </c>
      <c r="C1583" t="inlineStr">
        <is>
          <t>313</t>
        </is>
      </c>
      <c r="D1583" t="inlineStr">
        <is>
          <t>15</t>
        </is>
      </c>
      <c r="E1583" t="inlineStr">
        <is>
          <t>26</t>
        </is>
      </c>
      <c r="F1583" t="inlineStr">
        <is>
          <t>B</t>
        </is>
      </c>
      <c r="G1583" t="inlineStr">
        <is>
          <t>Good</t>
        </is>
      </c>
      <c r="H1583" t="n">
        <v>361</v>
      </c>
      <c r="I1583">
        <f>B1583&amp;"|"&amp;F1583&amp;"|"&amp;G1583</f>
        <v/>
      </c>
      <c r="J1583" t="inlineStr">
        <is>
          <t>MVS Sec.15 p.26</t>
        </is>
      </c>
    </row>
    <row r="1584">
      <c r="B1584" t="inlineStr">
        <is>
          <t>Nursing Homes (Convalescent Hospitals)</t>
        </is>
      </c>
      <c r="C1584" t="inlineStr">
        <is>
          <t>313</t>
        </is>
      </c>
      <c r="D1584" t="inlineStr">
        <is>
          <t>15</t>
        </is>
      </c>
      <c r="E1584" t="inlineStr">
        <is>
          <t>26</t>
        </is>
      </c>
      <c r="F1584" t="inlineStr">
        <is>
          <t>B</t>
        </is>
      </c>
      <c r="G1584" t="inlineStr">
        <is>
          <t>Average</t>
        </is>
      </c>
      <c r="H1584" t="n">
        <v>296</v>
      </c>
      <c r="I1584">
        <f>B1584&amp;"|"&amp;F1584&amp;"|"&amp;G1584</f>
        <v/>
      </c>
      <c r="J1584" t="inlineStr">
        <is>
          <t>MVS Sec.15 p.26</t>
        </is>
      </c>
    </row>
    <row r="1585">
      <c r="B1585" t="inlineStr">
        <is>
          <t>Nursing Homes (Convalescent Hospitals)</t>
        </is>
      </c>
      <c r="C1585" t="inlineStr">
        <is>
          <t>313</t>
        </is>
      </c>
      <c r="D1585" t="inlineStr">
        <is>
          <t>15</t>
        </is>
      </c>
      <c r="E1585" t="inlineStr">
        <is>
          <t>26</t>
        </is>
      </c>
      <c r="F1585" t="inlineStr">
        <is>
          <t>C</t>
        </is>
      </c>
      <c r="G1585" t="inlineStr">
        <is>
          <t>Excellent</t>
        </is>
      </c>
      <c r="H1585" t="n">
        <v>351</v>
      </c>
      <c r="I1585">
        <f>B1585&amp;"|"&amp;F1585&amp;"|"&amp;G1585</f>
        <v/>
      </c>
      <c r="J1585" t="inlineStr">
        <is>
          <t>MVS Sec.15 p.26</t>
        </is>
      </c>
    </row>
    <row r="1586">
      <c r="B1586" t="inlineStr">
        <is>
          <t>Nursing Homes (Convalescent Hospitals)</t>
        </is>
      </c>
      <c r="C1586" t="inlineStr">
        <is>
          <t>313</t>
        </is>
      </c>
      <c r="D1586" t="inlineStr">
        <is>
          <t>15</t>
        </is>
      </c>
      <c r="E1586" t="inlineStr">
        <is>
          <t>26</t>
        </is>
      </c>
      <c r="F1586" t="inlineStr">
        <is>
          <t>C</t>
        </is>
      </c>
      <c r="G1586" t="inlineStr">
        <is>
          <t>Good</t>
        </is>
      </c>
      <c r="H1586" t="n">
        <v>266</v>
      </c>
      <c r="I1586">
        <f>B1586&amp;"|"&amp;F1586&amp;"|"&amp;G1586</f>
        <v/>
      </c>
      <c r="J1586" t="inlineStr">
        <is>
          <t>MVS Sec.15 p.26</t>
        </is>
      </c>
    </row>
    <row r="1587">
      <c r="B1587" t="inlineStr">
        <is>
          <t>Nursing Homes (Convalescent Hospitals)</t>
        </is>
      </c>
      <c r="C1587" t="inlineStr">
        <is>
          <t>313</t>
        </is>
      </c>
      <c r="D1587" t="inlineStr">
        <is>
          <t>15</t>
        </is>
      </c>
      <c r="E1587" t="inlineStr">
        <is>
          <t>26</t>
        </is>
      </c>
      <c r="F1587" t="inlineStr">
        <is>
          <t>C</t>
        </is>
      </c>
      <c r="G1587" t="inlineStr">
        <is>
          <t>Average</t>
        </is>
      </c>
      <c r="H1587" t="n">
        <v>200</v>
      </c>
      <c r="I1587">
        <f>B1587&amp;"|"&amp;F1587&amp;"|"&amp;G1587</f>
        <v/>
      </c>
      <c r="J1587" t="inlineStr">
        <is>
          <t>MVS Sec.15 p.26</t>
        </is>
      </c>
    </row>
    <row r="1588">
      <c r="B1588" t="inlineStr">
        <is>
          <t>Nursing Homes (Convalescent Hospitals)</t>
        </is>
      </c>
      <c r="C1588" t="inlineStr">
        <is>
          <t>313</t>
        </is>
      </c>
      <c r="D1588" t="inlineStr">
        <is>
          <t>15</t>
        </is>
      </c>
      <c r="E1588" t="inlineStr">
        <is>
          <t>26</t>
        </is>
      </c>
      <c r="F1588" t="inlineStr">
        <is>
          <t>C</t>
        </is>
      </c>
      <c r="G1588" t="inlineStr">
        <is>
          <t>Low Cost</t>
        </is>
      </c>
      <c r="H1588" t="n">
        <v>154</v>
      </c>
      <c r="I1588">
        <f>B1588&amp;"|"&amp;F1588&amp;"|"&amp;G1588</f>
        <v/>
      </c>
      <c r="J1588" t="inlineStr">
        <is>
          <t>MVS Sec.15 p.26</t>
        </is>
      </c>
    </row>
    <row r="1589">
      <c r="B1589" t="inlineStr">
        <is>
          <t>Nursing Homes (Convalescent Hospitals)</t>
        </is>
      </c>
      <c r="C1589" t="inlineStr">
        <is>
          <t>313</t>
        </is>
      </c>
      <c r="D1589" t="inlineStr">
        <is>
          <t>15</t>
        </is>
      </c>
      <c r="E1589" t="inlineStr">
        <is>
          <t>26</t>
        </is>
      </c>
      <c r="F1589" t="inlineStr">
        <is>
          <t>D</t>
        </is>
      </c>
      <c r="G1589" t="inlineStr">
        <is>
          <t>Excellent</t>
        </is>
      </c>
      <c r="H1589" t="n">
        <v>324</v>
      </c>
      <c r="I1589">
        <f>B1589&amp;"|"&amp;F1589&amp;"|"&amp;G1589</f>
        <v/>
      </c>
      <c r="J1589" t="inlineStr">
        <is>
          <t>MVS Sec.15 p.26</t>
        </is>
      </c>
    </row>
    <row r="1590">
      <c r="B1590" t="inlineStr">
        <is>
          <t>Nursing Homes (Convalescent Hospitals)</t>
        </is>
      </c>
      <c r="C1590" t="inlineStr">
        <is>
          <t>313</t>
        </is>
      </c>
      <c r="D1590" t="inlineStr">
        <is>
          <t>15</t>
        </is>
      </c>
      <c r="E1590" t="inlineStr">
        <is>
          <t>26</t>
        </is>
      </c>
      <c r="F1590" t="inlineStr">
        <is>
          <t>D</t>
        </is>
      </c>
      <c r="G1590" t="inlineStr">
        <is>
          <t>Good</t>
        </is>
      </c>
      <c r="H1590" t="n">
        <v>255</v>
      </c>
      <c r="I1590">
        <f>B1590&amp;"|"&amp;F1590&amp;"|"&amp;G1590</f>
        <v/>
      </c>
      <c r="J1590" t="inlineStr">
        <is>
          <t>MVS Sec.15 p.26</t>
        </is>
      </c>
    </row>
    <row r="1591">
      <c r="B1591" t="inlineStr">
        <is>
          <t>Nursing Homes (Convalescent Hospitals)</t>
        </is>
      </c>
      <c r="C1591" t="inlineStr">
        <is>
          <t>313</t>
        </is>
      </c>
      <c r="D1591" t="inlineStr">
        <is>
          <t>15</t>
        </is>
      </c>
      <c r="E1591" t="inlineStr">
        <is>
          <t>26</t>
        </is>
      </c>
      <c r="F1591" t="inlineStr">
        <is>
          <t>D</t>
        </is>
      </c>
      <c r="G1591" t="inlineStr">
        <is>
          <t>Average</t>
        </is>
      </c>
      <c r="H1591" t="n">
        <v>192</v>
      </c>
      <c r="I1591">
        <f>B1591&amp;"|"&amp;F1591&amp;"|"&amp;G1591</f>
        <v/>
      </c>
      <c r="J1591" t="inlineStr">
        <is>
          <t>MVS Sec.15 p.26</t>
        </is>
      </c>
    </row>
    <row r="1592">
      <c r="B1592" t="inlineStr">
        <is>
          <t>Nursing Homes (Convalescent Hospitals)</t>
        </is>
      </c>
      <c r="C1592" t="inlineStr">
        <is>
          <t>313</t>
        </is>
      </c>
      <c r="D1592" t="inlineStr">
        <is>
          <t>15</t>
        </is>
      </c>
      <c r="E1592" t="inlineStr">
        <is>
          <t>26</t>
        </is>
      </c>
      <c r="F1592" t="inlineStr">
        <is>
          <t>D</t>
        </is>
      </c>
      <c r="G1592" t="inlineStr">
        <is>
          <t>Low Cost</t>
        </is>
      </c>
      <c r="H1592" t="n">
        <v>147</v>
      </c>
      <c r="I1592">
        <f>B1592&amp;"|"&amp;F1592&amp;"|"&amp;G1592</f>
        <v/>
      </c>
      <c r="J1592" t="inlineStr">
        <is>
          <t>MVS Sec.15 p.26</t>
        </is>
      </c>
    </row>
    <row r="1593">
      <c r="B1593" t="inlineStr">
        <is>
          <t>Nursing Homes (Convalescent Hospitals)</t>
        </is>
      </c>
      <c r="C1593" t="inlineStr">
        <is>
          <t>313</t>
        </is>
      </c>
      <c r="D1593" t="inlineStr">
        <is>
          <t>15</t>
        </is>
      </c>
      <c r="E1593" t="inlineStr">
        <is>
          <t>26</t>
        </is>
      </c>
      <c r="F1593" t="inlineStr">
        <is>
          <t>DPOLE</t>
        </is>
      </c>
      <c r="G1593" t="inlineStr">
        <is>
          <t>Low Cost</t>
        </is>
      </c>
      <c r="H1593" t="n">
        <v>142</v>
      </c>
      <c r="I1593">
        <f>B1593&amp;"|"&amp;F1593&amp;"|"&amp;G1593</f>
        <v/>
      </c>
      <c r="J1593" t="inlineStr">
        <is>
          <t>MVS Sec.15 p.26</t>
        </is>
      </c>
    </row>
    <row r="1594">
      <c r="B1594" t="inlineStr">
        <is>
          <t>Nursing Homes (Convalescent Hospitals)</t>
        </is>
      </c>
      <c r="C1594" t="inlineStr">
        <is>
          <t>313</t>
        </is>
      </c>
      <c r="D1594" t="inlineStr">
        <is>
          <t>15</t>
        </is>
      </c>
      <c r="E1594" t="inlineStr">
        <is>
          <t>26</t>
        </is>
      </c>
      <c r="F1594" t="inlineStr">
        <is>
          <t>S</t>
        </is>
      </c>
      <c r="G1594" t="inlineStr">
        <is>
          <t>Average</t>
        </is>
      </c>
      <c r="H1594" t="n">
        <v>189</v>
      </c>
      <c r="I1594">
        <f>B1594&amp;"|"&amp;F1594&amp;"|"&amp;G1594</f>
        <v/>
      </c>
      <c r="J1594" t="inlineStr">
        <is>
          <t>MVS Sec.15 p.26</t>
        </is>
      </c>
    </row>
    <row r="1595">
      <c r="B1595" t="inlineStr">
        <is>
          <t>Nursing Homes (Convalescent Hospitals)</t>
        </is>
      </c>
      <c r="C1595" t="inlineStr">
        <is>
          <t>313</t>
        </is>
      </c>
      <c r="D1595" t="inlineStr">
        <is>
          <t>15</t>
        </is>
      </c>
      <c r="E1595" t="inlineStr">
        <is>
          <t>26</t>
        </is>
      </c>
      <c r="F1595" t="inlineStr">
        <is>
          <t>S</t>
        </is>
      </c>
      <c r="G1595" t="inlineStr">
        <is>
          <t>Low Cost</t>
        </is>
      </c>
      <c r="H1595" t="n">
        <v>145</v>
      </c>
      <c r="I1595">
        <f>B1595&amp;"|"&amp;F1595&amp;"|"&amp;G1595</f>
        <v/>
      </c>
      <c r="J1595" t="inlineStr">
        <is>
          <t>MVS Sec.15 p.26</t>
        </is>
      </c>
    </row>
    <row r="1596">
      <c r="B1596" t="inlineStr">
        <is>
          <t>Kennels</t>
        </is>
      </c>
      <c r="C1596" t="inlineStr">
        <is>
          <t>490</t>
        </is>
      </c>
      <c r="D1596" t="inlineStr">
        <is>
          <t>15</t>
        </is>
      </c>
      <c r="E1596" t="inlineStr">
        <is>
          <t>27</t>
        </is>
      </c>
      <c r="F1596" t="inlineStr">
        <is>
          <t>C</t>
        </is>
      </c>
      <c r="G1596" t="inlineStr">
        <is>
          <t>Excellent</t>
        </is>
      </c>
      <c r="H1596" t="n">
        <v>315</v>
      </c>
      <c r="I1596">
        <f>B1596&amp;"|"&amp;F1596&amp;"|"&amp;G1596</f>
        <v/>
      </c>
      <c r="J1596" t="inlineStr">
        <is>
          <t>MVS Sec.15 p.27</t>
        </is>
      </c>
    </row>
    <row r="1597">
      <c r="B1597" t="inlineStr">
        <is>
          <t>Kennels</t>
        </is>
      </c>
      <c r="C1597" t="inlineStr">
        <is>
          <t>490</t>
        </is>
      </c>
      <c r="D1597" t="inlineStr">
        <is>
          <t>15</t>
        </is>
      </c>
      <c r="E1597" t="inlineStr">
        <is>
          <t>27</t>
        </is>
      </c>
      <c r="F1597" t="inlineStr">
        <is>
          <t>C</t>
        </is>
      </c>
      <c r="G1597" t="inlineStr">
        <is>
          <t>Very Good</t>
        </is>
      </c>
      <c r="H1597" t="n">
        <v>243</v>
      </c>
      <c r="I1597">
        <f>B1597&amp;"|"&amp;F1597&amp;"|"&amp;G1597</f>
        <v/>
      </c>
      <c r="J1597" t="inlineStr">
        <is>
          <t>MVS Sec.15 p.27</t>
        </is>
      </c>
    </row>
    <row r="1598">
      <c r="B1598" t="inlineStr">
        <is>
          <t>Kennels</t>
        </is>
      </c>
      <c r="C1598" t="inlineStr">
        <is>
          <t>490</t>
        </is>
      </c>
      <c r="D1598" t="inlineStr">
        <is>
          <t>15</t>
        </is>
      </c>
      <c r="E1598" t="inlineStr">
        <is>
          <t>27</t>
        </is>
      </c>
      <c r="F1598" t="inlineStr">
        <is>
          <t>C</t>
        </is>
      </c>
      <c r="G1598" t="inlineStr">
        <is>
          <t>Good</t>
        </is>
      </c>
      <c r="H1598" t="n">
        <v>178</v>
      </c>
      <c r="I1598">
        <f>B1598&amp;"|"&amp;F1598&amp;"|"&amp;G1598</f>
        <v/>
      </c>
      <c r="J1598" t="inlineStr">
        <is>
          <t>MVS Sec.15 p.27</t>
        </is>
      </c>
    </row>
    <row r="1599">
      <c r="B1599" t="inlineStr">
        <is>
          <t>Kennels</t>
        </is>
      </c>
      <c r="C1599" t="inlineStr">
        <is>
          <t>490</t>
        </is>
      </c>
      <c r="D1599" t="inlineStr">
        <is>
          <t>15</t>
        </is>
      </c>
      <c r="E1599" t="inlineStr">
        <is>
          <t>27</t>
        </is>
      </c>
      <c r="F1599" t="inlineStr">
        <is>
          <t>C</t>
        </is>
      </c>
      <c r="G1599" t="inlineStr">
        <is>
          <t>Average</t>
        </is>
      </c>
      <c r="H1599" t="n">
        <v>133</v>
      </c>
      <c r="I1599">
        <f>B1599&amp;"|"&amp;F1599&amp;"|"&amp;G1599</f>
        <v/>
      </c>
      <c r="J1599" t="inlineStr">
        <is>
          <t>MVS Sec.15 p.27</t>
        </is>
      </c>
    </row>
    <row r="1600">
      <c r="B1600" t="inlineStr">
        <is>
          <t>Kennels</t>
        </is>
      </c>
      <c r="C1600" t="inlineStr">
        <is>
          <t>490</t>
        </is>
      </c>
      <c r="D1600" t="inlineStr">
        <is>
          <t>15</t>
        </is>
      </c>
      <c r="E1600" t="inlineStr">
        <is>
          <t>27</t>
        </is>
      </c>
      <c r="F1600" t="inlineStr">
        <is>
          <t>C</t>
        </is>
      </c>
      <c r="G1600" t="inlineStr">
        <is>
          <t>Low Cost</t>
        </is>
      </c>
      <c r="H1600" t="n">
        <v>95</v>
      </c>
      <c r="I1600">
        <f>B1600&amp;"|"&amp;F1600&amp;"|"&amp;G1600</f>
        <v/>
      </c>
      <c r="J1600" t="inlineStr">
        <is>
          <t>MVS Sec.15 p.27</t>
        </is>
      </c>
    </row>
    <row r="1601">
      <c r="B1601" t="inlineStr">
        <is>
          <t>Kennels</t>
        </is>
      </c>
      <c r="C1601" t="inlineStr">
        <is>
          <t>490</t>
        </is>
      </c>
      <c r="D1601" t="inlineStr">
        <is>
          <t>15</t>
        </is>
      </c>
      <c r="E1601" t="inlineStr">
        <is>
          <t>27</t>
        </is>
      </c>
      <c r="F1601" t="inlineStr">
        <is>
          <t>C</t>
        </is>
      </c>
      <c r="G1601" t="inlineStr">
        <is>
          <t>Cheap</t>
        </is>
      </c>
      <c r="H1601" t="n">
        <v>68</v>
      </c>
      <c r="I1601">
        <f>B1601&amp;"|"&amp;F1601&amp;"|"&amp;G1601</f>
        <v/>
      </c>
      <c r="J1601" t="inlineStr">
        <is>
          <t>MVS Sec.15 p.27</t>
        </is>
      </c>
    </row>
    <row r="1602">
      <c r="B1602" t="inlineStr">
        <is>
          <t>Kennels</t>
        </is>
      </c>
      <c r="C1602" t="inlineStr">
        <is>
          <t>490</t>
        </is>
      </c>
      <c r="D1602" t="inlineStr">
        <is>
          <t>15</t>
        </is>
      </c>
      <c r="E1602" t="inlineStr">
        <is>
          <t>27</t>
        </is>
      </c>
      <c r="F1602" t="inlineStr">
        <is>
          <t>D</t>
        </is>
      </c>
      <c r="G1602" t="inlineStr">
        <is>
          <t>Excellent</t>
        </is>
      </c>
      <c r="H1602" t="n">
        <v>297</v>
      </c>
      <c r="I1602">
        <f>B1602&amp;"|"&amp;F1602&amp;"|"&amp;G1602</f>
        <v/>
      </c>
      <c r="J1602" t="inlineStr">
        <is>
          <t>MVS Sec.15 p.27</t>
        </is>
      </c>
    </row>
    <row r="1603">
      <c r="B1603" t="inlineStr">
        <is>
          <t>Kennels</t>
        </is>
      </c>
      <c r="C1603" t="inlineStr">
        <is>
          <t>490</t>
        </is>
      </c>
      <c r="D1603" t="inlineStr">
        <is>
          <t>15</t>
        </is>
      </c>
      <c r="E1603" t="inlineStr">
        <is>
          <t>27</t>
        </is>
      </c>
      <c r="F1603" t="inlineStr">
        <is>
          <t>D</t>
        </is>
      </c>
      <c r="G1603" t="inlineStr">
        <is>
          <t>Very Good</t>
        </is>
      </c>
      <c r="H1603" t="n">
        <v>229</v>
      </c>
      <c r="I1603">
        <f>B1603&amp;"|"&amp;F1603&amp;"|"&amp;G1603</f>
        <v/>
      </c>
      <c r="J1603" t="inlineStr">
        <is>
          <t>MVS Sec.15 p.27</t>
        </is>
      </c>
    </row>
    <row r="1604">
      <c r="B1604" t="inlineStr">
        <is>
          <t>Kennels</t>
        </is>
      </c>
      <c r="C1604" t="inlineStr">
        <is>
          <t>490</t>
        </is>
      </c>
      <c r="D1604" t="inlineStr">
        <is>
          <t>15</t>
        </is>
      </c>
      <c r="E1604" t="inlineStr">
        <is>
          <t>27</t>
        </is>
      </c>
      <c r="F1604" t="inlineStr">
        <is>
          <t>D</t>
        </is>
      </c>
      <c r="G1604" t="inlineStr">
        <is>
          <t>Good</t>
        </is>
      </c>
      <c r="H1604" t="n">
        <v>167</v>
      </c>
      <c r="I1604">
        <f>B1604&amp;"|"&amp;F1604&amp;"|"&amp;G1604</f>
        <v/>
      </c>
      <c r="J1604" t="inlineStr">
        <is>
          <t>MVS Sec.15 p.27</t>
        </is>
      </c>
    </row>
    <row r="1605">
      <c r="B1605" t="inlineStr">
        <is>
          <t>Kennels</t>
        </is>
      </c>
      <c r="C1605" t="inlineStr">
        <is>
          <t>490</t>
        </is>
      </c>
      <c r="D1605" t="inlineStr">
        <is>
          <t>15</t>
        </is>
      </c>
      <c r="E1605" t="inlineStr">
        <is>
          <t>27</t>
        </is>
      </c>
      <c r="F1605" t="inlineStr">
        <is>
          <t>D</t>
        </is>
      </c>
      <c r="G1605" t="inlineStr">
        <is>
          <t>Average</t>
        </is>
      </c>
      <c r="H1605" t="n">
        <v>125</v>
      </c>
      <c r="I1605">
        <f>B1605&amp;"|"&amp;F1605&amp;"|"&amp;G1605</f>
        <v/>
      </c>
      <c r="J1605" t="inlineStr">
        <is>
          <t>MVS Sec.15 p.27</t>
        </is>
      </c>
    </row>
    <row r="1606">
      <c r="B1606" t="inlineStr">
        <is>
          <t>Kennels</t>
        </is>
      </c>
      <c r="C1606" t="inlineStr">
        <is>
          <t>490</t>
        </is>
      </c>
      <c r="D1606" t="inlineStr">
        <is>
          <t>15</t>
        </is>
      </c>
      <c r="E1606" t="inlineStr">
        <is>
          <t>27</t>
        </is>
      </c>
      <c r="F1606" t="inlineStr">
        <is>
          <t>D</t>
        </is>
      </c>
      <c r="G1606" t="inlineStr">
        <is>
          <t>Low Cost</t>
        </is>
      </c>
      <c r="H1606" t="n">
        <v>89</v>
      </c>
      <c r="I1606">
        <f>B1606&amp;"|"&amp;F1606&amp;"|"&amp;G1606</f>
        <v/>
      </c>
      <c r="J1606" t="inlineStr">
        <is>
          <t>MVS Sec.15 p.27</t>
        </is>
      </c>
    </row>
    <row r="1607">
      <c r="B1607" t="inlineStr">
        <is>
          <t>Kennels</t>
        </is>
      </c>
      <c r="C1607" t="inlineStr">
        <is>
          <t>490</t>
        </is>
      </c>
      <c r="D1607" t="inlineStr">
        <is>
          <t>15</t>
        </is>
      </c>
      <c r="E1607" t="inlineStr">
        <is>
          <t>27</t>
        </is>
      </c>
      <c r="F1607" t="inlineStr">
        <is>
          <t>D</t>
        </is>
      </c>
      <c r="G1607" t="inlineStr">
        <is>
          <t>Cheap</t>
        </is>
      </c>
      <c r="H1607" t="n">
        <v>63.5</v>
      </c>
      <c r="I1607">
        <f>B1607&amp;"|"&amp;F1607&amp;"|"&amp;G1607</f>
        <v/>
      </c>
      <c r="J1607" t="inlineStr">
        <is>
          <t>MVS Sec.15 p.27</t>
        </is>
      </c>
    </row>
    <row r="1608">
      <c r="B1608" t="inlineStr">
        <is>
          <t>Kennels</t>
        </is>
      </c>
      <c r="C1608" t="inlineStr">
        <is>
          <t>490</t>
        </is>
      </c>
      <c r="D1608" t="inlineStr">
        <is>
          <t>15</t>
        </is>
      </c>
      <c r="E1608" t="inlineStr">
        <is>
          <t>27</t>
        </is>
      </c>
      <c r="F1608" t="inlineStr">
        <is>
          <t>DPOLE</t>
        </is>
      </c>
      <c r="G1608" t="inlineStr">
        <is>
          <t>Average</t>
        </is>
      </c>
      <c r="H1608" t="n">
        <v>118</v>
      </c>
      <c r="I1608">
        <f>B1608&amp;"|"&amp;F1608&amp;"|"&amp;G1608</f>
        <v/>
      </c>
      <c r="J1608" t="inlineStr">
        <is>
          <t>MVS Sec.15 p.27</t>
        </is>
      </c>
    </row>
    <row r="1609">
      <c r="B1609" t="inlineStr">
        <is>
          <t>Kennels</t>
        </is>
      </c>
      <c r="C1609" t="inlineStr">
        <is>
          <t>490</t>
        </is>
      </c>
      <c r="D1609" t="inlineStr">
        <is>
          <t>15</t>
        </is>
      </c>
      <c r="E1609" t="inlineStr">
        <is>
          <t>27</t>
        </is>
      </c>
      <c r="F1609" t="inlineStr">
        <is>
          <t>DPOLE</t>
        </is>
      </c>
      <c r="G1609" t="inlineStr">
        <is>
          <t>Low Cost</t>
        </is>
      </c>
      <c r="H1609" t="n">
        <v>82.5</v>
      </c>
      <c r="I1609">
        <f>B1609&amp;"|"&amp;F1609&amp;"|"&amp;G1609</f>
        <v/>
      </c>
      <c r="J1609" t="inlineStr">
        <is>
          <t>MVS Sec.15 p.27</t>
        </is>
      </c>
    </row>
    <row r="1610">
      <c r="B1610" t="inlineStr">
        <is>
          <t>Kennels</t>
        </is>
      </c>
      <c r="C1610" t="inlineStr">
        <is>
          <t>490</t>
        </is>
      </c>
      <c r="D1610" t="inlineStr">
        <is>
          <t>15</t>
        </is>
      </c>
      <c r="E1610" t="inlineStr">
        <is>
          <t>27</t>
        </is>
      </c>
      <c r="F1610" t="inlineStr">
        <is>
          <t>DPOLE</t>
        </is>
      </c>
      <c r="G1610" t="inlineStr">
        <is>
          <t>Cheap</t>
        </is>
      </c>
      <c r="H1610" t="n">
        <v>58</v>
      </c>
      <c r="I1610">
        <f>B1610&amp;"|"&amp;F1610&amp;"|"&amp;G1610</f>
        <v/>
      </c>
      <c r="J1610" t="inlineStr">
        <is>
          <t>MVS Sec.15 p.27</t>
        </is>
      </c>
    </row>
    <row r="1611">
      <c r="B1611" t="inlineStr">
        <is>
          <t>Kennels</t>
        </is>
      </c>
      <c r="C1611" t="inlineStr">
        <is>
          <t>490</t>
        </is>
      </c>
      <c r="D1611" t="inlineStr">
        <is>
          <t>15</t>
        </is>
      </c>
      <c r="E1611" t="inlineStr">
        <is>
          <t>27</t>
        </is>
      </c>
      <c r="F1611" t="inlineStr">
        <is>
          <t>S</t>
        </is>
      </c>
      <c r="G1611" t="inlineStr">
        <is>
          <t>Good</t>
        </is>
      </c>
      <c r="H1611" t="n">
        <v>165</v>
      </c>
      <c r="I1611">
        <f>B1611&amp;"|"&amp;F1611&amp;"|"&amp;G1611</f>
        <v/>
      </c>
      <c r="J1611" t="inlineStr">
        <is>
          <t>MVS Sec.15 p.27</t>
        </is>
      </c>
    </row>
    <row r="1612">
      <c r="B1612" t="inlineStr">
        <is>
          <t>Kennels</t>
        </is>
      </c>
      <c r="C1612" t="inlineStr">
        <is>
          <t>490</t>
        </is>
      </c>
      <c r="D1612" t="inlineStr">
        <is>
          <t>15</t>
        </is>
      </c>
      <c r="E1612" t="inlineStr">
        <is>
          <t>27</t>
        </is>
      </c>
      <c r="F1612" t="inlineStr">
        <is>
          <t>S</t>
        </is>
      </c>
      <c r="G1612" t="inlineStr">
        <is>
          <t>Average</t>
        </is>
      </c>
      <c r="H1612" t="n">
        <v>121</v>
      </c>
      <c r="I1612">
        <f>B1612&amp;"|"&amp;F1612&amp;"|"&amp;G1612</f>
        <v/>
      </c>
      <c r="J1612" t="inlineStr">
        <is>
          <t>MVS Sec.15 p.27</t>
        </is>
      </c>
    </row>
    <row r="1613">
      <c r="B1613" t="inlineStr">
        <is>
          <t>Kennels</t>
        </is>
      </c>
      <c r="C1613" t="inlineStr">
        <is>
          <t>490</t>
        </is>
      </c>
      <c r="D1613" t="inlineStr">
        <is>
          <t>15</t>
        </is>
      </c>
      <c r="E1613" t="inlineStr">
        <is>
          <t>27</t>
        </is>
      </c>
      <c r="F1613" t="inlineStr">
        <is>
          <t>S</t>
        </is>
      </c>
      <c r="G1613" t="inlineStr">
        <is>
          <t>Low Cost</t>
        </is>
      </c>
      <c r="H1613" t="n">
        <v>86</v>
      </c>
      <c r="I1613">
        <f>B1613&amp;"|"&amp;F1613&amp;"|"&amp;G1613</f>
        <v/>
      </c>
      <c r="J1613" t="inlineStr">
        <is>
          <t>MVS Sec.15 p.27</t>
        </is>
      </c>
    </row>
    <row r="1614">
      <c r="B1614" t="inlineStr">
        <is>
          <t>Kennels</t>
        </is>
      </c>
      <c r="C1614" t="inlineStr">
        <is>
          <t>490</t>
        </is>
      </c>
      <c r="D1614" t="inlineStr">
        <is>
          <t>15</t>
        </is>
      </c>
      <c r="E1614" t="inlineStr">
        <is>
          <t>27</t>
        </is>
      </c>
      <c r="F1614" t="inlineStr">
        <is>
          <t>S</t>
        </is>
      </c>
      <c r="G1614" t="inlineStr">
        <is>
          <t>Cheap</t>
        </is>
      </c>
      <c r="H1614" t="n">
        <v>60.5</v>
      </c>
      <c r="I1614">
        <f>B1614&amp;"|"&amp;F1614&amp;"|"&amp;G1614</f>
        <v/>
      </c>
      <c r="J1614" t="inlineStr">
        <is>
          <t>MVS Sec.15 p.27</t>
        </is>
      </c>
    </row>
    <row r="1615">
      <c r="B1615" t="inlineStr">
        <is>
          <t>Veterinary Hospitals</t>
        </is>
      </c>
      <c r="C1615" t="inlineStr">
        <is>
          <t>381</t>
        </is>
      </c>
      <c r="D1615" t="inlineStr">
        <is>
          <t>15</t>
        </is>
      </c>
      <c r="E1615" t="inlineStr">
        <is>
          <t>28</t>
        </is>
      </c>
      <c r="F1615" t="inlineStr">
        <is>
          <t>A-B</t>
        </is>
      </c>
      <c r="G1615" t="inlineStr">
        <is>
          <t>Average</t>
        </is>
      </c>
      <c r="H1615" t="n">
        <v>293</v>
      </c>
      <c r="I1615">
        <f>B1615&amp;"|"&amp;F1615&amp;"|"&amp;G1615</f>
        <v/>
      </c>
      <c r="J1615" t="inlineStr">
        <is>
          <t>MVS Sec.15 p.28</t>
        </is>
      </c>
    </row>
    <row r="1616">
      <c r="B1616" t="inlineStr">
        <is>
          <t>Veterinary Hospitals</t>
        </is>
      </c>
      <c r="C1616" t="inlineStr">
        <is>
          <t>381</t>
        </is>
      </c>
      <c r="D1616" t="inlineStr">
        <is>
          <t>15</t>
        </is>
      </c>
      <c r="E1616" t="inlineStr">
        <is>
          <t>28</t>
        </is>
      </c>
      <c r="F1616" t="inlineStr">
        <is>
          <t>C</t>
        </is>
      </c>
      <c r="G1616" t="inlineStr">
        <is>
          <t>Excellent</t>
        </is>
      </c>
      <c r="H1616" t="n">
        <v>326</v>
      </c>
      <c r="I1616">
        <f>B1616&amp;"|"&amp;F1616&amp;"|"&amp;G1616</f>
        <v/>
      </c>
      <c r="J1616" t="inlineStr">
        <is>
          <t>MVS Sec.15 p.28</t>
        </is>
      </c>
    </row>
    <row r="1617">
      <c r="B1617" t="inlineStr">
        <is>
          <t>Veterinary Hospitals</t>
        </is>
      </c>
      <c r="C1617" t="inlineStr">
        <is>
          <t>381</t>
        </is>
      </c>
      <c r="D1617" t="inlineStr">
        <is>
          <t>15</t>
        </is>
      </c>
      <c r="E1617" t="inlineStr">
        <is>
          <t>28</t>
        </is>
      </c>
      <c r="F1617" t="inlineStr">
        <is>
          <t>C</t>
        </is>
      </c>
      <c r="G1617" t="inlineStr">
        <is>
          <t>Good</t>
        </is>
      </c>
      <c r="H1617" t="n">
        <v>250</v>
      </c>
      <c r="I1617">
        <f>B1617&amp;"|"&amp;F1617&amp;"|"&amp;G1617</f>
        <v/>
      </c>
      <c r="J1617" t="inlineStr">
        <is>
          <t>MVS Sec.15 p.28</t>
        </is>
      </c>
    </row>
    <row r="1618">
      <c r="B1618" t="inlineStr">
        <is>
          <t>Veterinary Hospitals</t>
        </is>
      </c>
      <c r="C1618" t="inlineStr">
        <is>
          <t>381</t>
        </is>
      </c>
      <c r="D1618" t="inlineStr">
        <is>
          <t>15</t>
        </is>
      </c>
      <c r="E1618" t="inlineStr">
        <is>
          <t>28</t>
        </is>
      </c>
      <c r="F1618" t="inlineStr">
        <is>
          <t>C</t>
        </is>
      </c>
      <c r="G1618" t="inlineStr">
        <is>
          <t>Average</t>
        </is>
      </c>
      <c r="H1618" t="n">
        <v>194</v>
      </c>
      <c r="I1618">
        <f>B1618&amp;"|"&amp;F1618&amp;"|"&amp;G1618</f>
        <v/>
      </c>
      <c r="J1618" t="inlineStr">
        <is>
          <t>MVS Sec.15 p.28</t>
        </is>
      </c>
    </row>
    <row r="1619">
      <c r="B1619" t="inlineStr">
        <is>
          <t>Veterinary Hospitals</t>
        </is>
      </c>
      <c r="C1619" t="inlineStr">
        <is>
          <t>381</t>
        </is>
      </c>
      <c r="D1619" t="inlineStr">
        <is>
          <t>15</t>
        </is>
      </c>
      <c r="E1619" t="inlineStr">
        <is>
          <t>28</t>
        </is>
      </c>
      <c r="F1619" t="inlineStr">
        <is>
          <t>C</t>
        </is>
      </c>
      <c r="G1619" t="inlineStr">
        <is>
          <t>Low Cost</t>
        </is>
      </c>
      <c r="H1619" t="n">
        <v>146</v>
      </c>
      <c r="I1619">
        <f>B1619&amp;"|"&amp;F1619&amp;"|"&amp;G1619</f>
        <v/>
      </c>
      <c r="J1619" t="inlineStr">
        <is>
          <t>MVS Sec.15 p.28</t>
        </is>
      </c>
    </row>
    <row r="1620">
      <c r="B1620" t="inlineStr">
        <is>
          <t>Veterinary Hospitals</t>
        </is>
      </c>
      <c r="C1620" t="inlineStr">
        <is>
          <t>381</t>
        </is>
      </c>
      <c r="D1620" t="inlineStr">
        <is>
          <t>15</t>
        </is>
      </c>
      <c r="E1620" t="inlineStr">
        <is>
          <t>28</t>
        </is>
      </c>
      <c r="F1620" t="inlineStr">
        <is>
          <t>D</t>
        </is>
      </c>
      <c r="G1620" t="inlineStr">
        <is>
          <t>Excellent</t>
        </is>
      </c>
      <c r="H1620" t="n">
        <v>315</v>
      </c>
      <c r="I1620">
        <f>B1620&amp;"|"&amp;F1620&amp;"|"&amp;G1620</f>
        <v/>
      </c>
      <c r="J1620" t="inlineStr">
        <is>
          <t>MVS Sec.15 p.28</t>
        </is>
      </c>
    </row>
    <row r="1621">
      <c r="B1621" t="inlineStr">
        <is>
          <t>Veterinary Hospitals</t>
        </is>
      </c>
      <c r="C1621" t="inlineStr">
        <is>
          <t>381</t>
        </is>
      </c>
      <c r="D1621" t="inlineStr">
        <is>
          <t>15</t>
        </is>
      </c>
      <c r="E1621" t="inlineStr">
        <is>
          <t>28</t>
        </is>
      </c>
      <c r="F1621" t="inlineStr">
        <is>
          <t>D</t>
        </is>
      </c>
      <c r="G1621" t="inlineStr">
        <is>
          <t>Good</t>
        </is>
      </c>
      <c r="H1621" t="n">
        <v>240</v>
      </c>
      <c r="I1621">
        <f>B1621&amp;"|"&amp;F1621&amp;"|"&amp;G1621</f>
        <v/>
      </c>
      <c r="J1621" t="inlineStr">
        <is>
          <t>MVS Sec.15 p.28</t>
        </is>
      </c>
    </row>
    <row r="1622">
      <c r="B1622" t="inlineStr">
        <is>
          <t>Veterinary Hospitals</t>
        </is>
      </c>
      <c r="C1622" t="inlineStr">
        <is>
          <t>381</t>
        </is>
      </c>
      <c r="D1622" t="inlineStr">
        <is>
          <t>15</t>
        </is>
      </c>
      <c r="E1622" t="inlineStr">
        <is>
          <t>28</t>
        </is>
      </c>
      <c r="F1622" t="inlineStr">
        <is>
          <t>D</t>
        </is>
      </c>
      <c r="G1622" t="inlineStr">
        <is>
          <t>Average</t>
        </is>
      </c>
      <c r="H1622" t="n">
        <v>186</v>
      </c>
      <c r="I1622">
        <f>B1622&amp;"|"&amp;F1622&amp;"|"&amp;G1622</f>
        <v/>
      </c>
      <c r="J1622" t="inlineStr">
        <is>
          <t>MVS Sec.15 p.28</t>
        </is>
      </c>
    </row>
    <row r="1623">
      <c r="B1623" t="inlineStr">
        <is>
          <t>Veterinary Hospitals</t>
        </is>
      </c>
      <c r="C1623" t="inlineStr">
        <is>
          <t>381</t>
        </is>
      </c>
      <c r="D1623" t="inlineStr">
        <is>
          <t>15</t>
        </is>
      </c>
      <c r="E1623" t="inlineStr">
        <is>
          <t>28</t>
        </is>
      </c>
      <c r="F1623" t="inlineStr">
        <is>
          <t>D</t>
        </is>
      </c>
      <c r="G1623" t="inlineStr">
        <is>
          <t>Low Cost</t>
        </is>
      </c>
      <c r="H1623" t="n">
        <v>140</v>
      </c>
      <c r="I1623">
        <f>B1623&amp;"|"&amp;F1623&amp;"|"&amp;G1623</f>
        <v/>
      </c>
      <c r="J1623" t="inlineStr">
        <is>
          <t>MVS Sec.15 p.28</t>
        </is>
      </c>
    </row>
    <row r="1624">
      <c r="B1624" t="inlineStr">
        <is>
          <t>Veterinary Hospitals</t>
        </is>
      </c>
      <c r="C1624" t="inlineStr">
        <is>
          <t>381</t>
        </is>
      </c>
      <c r="D1624" t="inlineStr">
        <is>
          <t>15</t>
        </is>
      </c>
      <c r="E1624" t="inlineStr">
        <is>
          <t>28</t>
        </is>
      </c>
      <c r="F1624" t="inlineStr">
        <is>
          <t>DPOLE</t>
        </is>
      </c>
      <c r="G1624" t="inlineStr">
        <is>
          <t>Low Cost</t>
        </is>
      </c>
      <c r="H1624" t="n">
        <v>127</v>
      </c>
      <c r="I1624">
        <f>B1624&amp;"|"&amp;F1624&amp;"|"&amp;G1624</f>
        <v/>
      </c>
      <c r="J1624" t="inlineStr">
        <is>
          <t>MVS Sec.15 p.28</t>
        </is>
      </c>
    </row>
    <row r="1625">
      <c r="B1625" t="inlineStr">
        <is>
          <t>Veterinary Hospitals</t>
        </is>
      </c>
      <c r="C1625" t="inlineStr">
        <is>
          <t>381</t>
        </is>
      </c>
      <c r="D1625" t="inlineStr">
        <is>
          <t>15</t>
        </is>
      </c>
      <c r="E1625" t="inlineStr">
        <is>
          <t>28</t>
        </is>
      </c>
      <c r="F1625" t="inlineStr">
        <is>
          <t>S</t>
        </is>
      </c>
      <c r="G1625" t="inlineStr">
        <is>
          <t>Average</t>
        </is>
      </c>
      <c r="H1625" t="n">
        <v>177</v>
      </c>
      <c r="I1625">
        <f>B1625&amp;"|"&amp;F1625&amp;"|"&amp;G1625</f>
        <v/>
      </c>
      <c r="J1625" t="inlineStr">
        <is>
          <t>MVS Sec.15 p.28</t>
        </is>
      </c>
    </row>
    <row r="1626">
      <c r="B1626" t="inlineStr">
        <is>
          <t>Veterinary Hospitals</t>
        </is>
      </c>
      <c r="C1626" t="inlineStr">
        <is>
          <t>381</t>
        </is>
      </c>
      <c r="D1626" t="inlineStr">
        <is>
          <t>15</t>
        </is>
      </c>
      <c r="E1626" t="inlineStr">
        <is>
          <t>28</t>
        </is>
      </c>
      <c r="F1626" t="inlineStr">
        <is>
          <t>S</t>
        </is>
      </c>
      <c r="G1626" t="inlineStr">
        <is>
          <t>Low Cost</t>
        </is>
      </c>
      <c r="H1626" t="n">
        <v>130</v>
      </c>
      <c r="I1626">
        <f>B1626&amp;"|"&amp;F1626&amp;"|"&amp;G1626</f>
        <v/>
      </c>
      <c r="J1626" t="inlineStr">
        <is>
          <t>MVS Sec.15 p.28</t>
        </is>
      </c>
    </row>
    <row r="1627">
      <c r="B1627" t="inlineStr">
        <is>
          <t>Fire Stations – Volunteer</t>
        </is>
      </c>
      <c r="C1627" t="inlineStr">
        <is>
          <t>427</t>
        </is>
      </c>
      <c r="D1627" t="inlineStr">
        <is>
          <t>15</t>
        </is>
      </c>
      <c r="E1627" t="inlineStr">
        <is>
          <t>28</t>
        </is>
      </c>
      <c r="F1627" t="inlineStr">
        <is>
          <t>A-B</t>
        </is>
      </c>
      <c r="G1627" t="inlineStr">
        <is>
          <t>Average</t>
        </is>
      </c>
      <c r="H1627" t="n">
        <v>159</v>
      </c>
      <c r="I1627">
        <f>B1627&amp;"|"&amp;F1627&amp;"|"&amp;G1627</f>
        <v/>
      </c>
      <c r="J1627" t="inlineStr">
        <is>
          <t>MVS Sec.15 p.28</t>
        </is>
      </c>
    </row>
    <row r="1628">
      <c r="B1628" t="inlineStr">
        <is>
          <t>Fire Stations – Volunteer</t>
        </is>
      </c>
      <c r="C1628" t="inlineStr">
        <is>
          <t>427</t>
        </is>
      </c>
      <c r="D1628" t="inlineStr">
        <is>
          <t>15</t>
        </is>
      </c>
      <c r="E1628" t="inlineStr">
        <is>
          <t>28</t>
        </is>
      </c>
      <c r="F1628" t="inlineStr">
        <is>
          <t>A-B</t>
        </is>
      </c>
      <c r="G1628" t="inlineStr">
        <is>
          <t>Low Cost</t>
        </is>
      </c>
      <c r="H1628" t="n">
        <v>126</v>
      </c>
      <c r="I1628">
        <f>B1628&amp;"|"&amp;F1628&amp;"|"&amp;G1628</f>
        <v/>
      </c>
      <c r="J1628" t="inlineStr">
        <is>
          <t>MVS Sec.15 p.28</t>
        </is>
      </c>
    </row>
    <row r="1629">
      <c r="B1629" t="inlineStr">
        <is>
          <t>Fire Stations – Volunteer</t>
        </is>
      </c>
      <c r="C1629" t="inlineStr">
        <is>
          <t>427</t>
        </is>
      </c>
      <c r="D1629" t="inlineStr">
        <is>
          <t>15</t>
        </is>
      </c>
      <c r="E1629" t="inlineStr">
        <is>
          <t>28</t>
        </is>
      </c>
      <c r="F1629" t="inlineStr">
        <is>
          <t>C</t>
        </is>
      </c>
      <c r="G1629" t="inlineStr">
        <is>
          <t>Good</t>
        </is>
      </c>
      <c r="H1629" t="n">
        <v>137</v>
      </c>
      <c r="I1629">
        <f>B1629&amp;"|"&amp;F1629&amp;"|"&amp;G1629</f>
        <v/>
      </c>
      <c r="J1629" t="inlineStr">
        <is>
          <t>MVS Sec.15 p.28</t>
        </is>
      </c>
    </row>
    <row r="1630">
      <c r="B1630" t="inlineStr">
        <is>
          <t>Fire Stations – Volunteer</t>
        </is>
      </c>
      <c r="C1630" t="inlineStr">
        <is>
          <t>427</t>
        </is>
      </c>
      <c r="D1630" t="inlineStr">
        <is>
          <t>15</t>
        </is>
      </c>
      <c r="E1630" t="inlineStr">
        <is>
          <t>28</t>
        </is>
      </c>
      <c r="F1630" t="inlineStr">
        <is>
          <t>C</t>
        </is>
      </c>
      <c r="G1630" t="inlineStr">
        <is>
          <t>Average</t>
        </is>
      </c>
      <c r="H1630" t="n">
        <v>97.5</v>
      </c>
      <c r="I1630">
        <f>B1630&amp;"|"&amp;F1630&amp;"|"&amp;G1630</f>
        <v/>
      </c>
      <c r="J1630" t="inlineStr">
        <is>
          <t>MVS Sec.15 p.28</t>
        </is>
      </c>
    </row>
    <row r="1631">
      <c r="B1631" t="inlineStr">
        <is>
          <t>Fire Stations – Volunteer</t>
        </is>
      </c>
      <c r="C1631" t="inlineStr">
        <is>
          <t>427</t>
        </is>
      </c>
      <c r="D1631" t="inlineStr">
        <is>
          <t>15</t>
        </is>
      </c>
      <c r="E1631" t="inlineStr">
        <is>
          <t>28</t>
        </is>
      </c>
      <c r="F1631" t="inlineStr">
        <is>
          <t>C</t>
        </is>
      </c>
      <c r="G1631" t="inlineStr">
        <is>
          <t>Low Cost</t>
        </is>
      </c>
      <c r="H1631" t="n">
        <v>74</v>
      </c>
      <c r="I1631">
        <f>B1631&amp;"|"&amp;F1631&amp;"|"&amp;G1631</f>
        <v/>
      </c>
      <c r="J1631" t="inlineStr">
        <is>
          <t>MVS Sec.15 p.28</t>
        </is>
      </c>
    </row>
    <row r="1632">
      <c r="B1632" t="inlineStr">
        <is>
          <t>Fire Stations – Volunteer</t>
        </is>
      </c>
      <c r="C1632" t="inlineStr">
        <is>
          <t>427</t>
        </is>
      </c>
      <c r="D1632" t="inlineStr">
        <is>
          <t>15</t>
        </is>
      </c>
      <c r="E1632" t="inlineStr">
        <is>
          <t>28</t>
        </is>
      </c>
      <c r="F1632" t="inlineStr">
        <is>
          <t>D</t>
        </is>
      </c>
      <c r="G1632" t="inlineStr">
        <is>
          <t>Good</t>
        </is>
      </c>
      <c r="H1632" t="n">
        <v>126</v>
      </c>
      <c r="I1632">
        <f>B1632&amp;"|"&amp;F1632&amp;"|"&amp;G1632</f>
        <v/>
      </c>
      <c r="J1632" t="inlineStr">
        <is>
          <t>MVS Sec.15 p.28</t>
        </is>
      </c>
    </row>
    <row r="1633">
      <c r="B1633" t="inlineStr">
        <is>
          <t>Fire Stations – Volunteer</t>
        </is>
      </c>
      <c r="C1633" t="inlineStr">
        <is>
          <t>427</t>
        </is>
      </c>
      <c r="D1633" t="inlineStr">
        <is>
          <t>15</t>
        </is>
      </c>
      <c r="E1633" t="inlineStr">
        <is>
          <t>28</t>
        </is>
      </c>
      <c r="F1633" t="inlineStr">
        <is>
          <t>D</t>
        </is>
      </c>
      <c r="G1633" t="inlineStr">
        <is>
          <t>Average</t>
        </is>
      </c>
      <c r="H1633" t="n">
        <v>88.5</v>
      </c>
      <c r="I1633">
        <f>B1633&amp;"|"&amp;F1633&amp;"|"&amp;G1633</f>
        <v/>
      </c>
      <c r="J1633" t="inlineStr">
        <is>
          <t>MVS Sec.15 p.28</t>
        </is>
      </c>
    </row>
    <row r="1634">
      <c r="B1634" t="inlineStr">
        <is>
          <t>Fire Stations – Volunteer</t>
        </is>
      </c>
      <c r="C1634" t="inlineStr">
        <is>
          <t>427</t>
        </is>
      </c>
      <c r="D1634" t="inlineStr">
        <is>
          <t>15</t>
        </is>
      </c>
      <c r="E1634" t="inlineStr">
        <is>
          <t>28</t>
        </is>
      </c>
      <c r="F1634" t="inlineStr">
        <is>
          <t>D</t>
        </is>
      </c>
      <c r="G1634" t="inlineStr">
        <is>
          <t>Low Cost</t>
        </is>
      </c>
      <c r="H1634" t="n">
        <v>67</v>
      </c>
      <c r="I1634">
        <f>B1634&amp;"|"&amp;F1634&amp;"|"&amp;G1634</f>
        <v/>
      </c>
      <c r="J1634" t="inlineStr">
        <is>
          <t>MVS Sec.15 p.28</t>
        </is>
      </c>
    </row>
    <row r="1635">
      <c r="B1635" t="inlineStr">
        <is>
          <t>Fire Stations – Volunteer</t>
        </is>
      </c>
      <c r="C1635" t="inlineStr">
        <is>
          <t>427</t>
        </is>
      </c>
      <c r="D1635" t="inlineStr">
        <is>
          <t>15</t>
        </is>
      </c>
      <c r="E1635" t="inlineStr">
        <is>
          <t>28</t>
        </is>
      </c>
      <c r="F1635" t="inlineStr">
        <is>
          <t>DPOLE</t>
        </is>
      </c>
      <c r="G1635" t="inlineStr">
        <is>
          <t>Average</t>
        </is>
      </c>
      <c r="H1635" t="n">
        <v>81</v>
      </c>
      <c r="I1635">
        <f>B1635&amp;"|"&amp;F1635&amp;"|"&amp;G1635</f>
        <v/>
      </c>
      <c r="J1635" t="inlineStr">
        <is>
          <t>MVS Sec.15 p.28</t>
        </is>
      </c>
    </row>
    <row r="1636">
      <c r="B1636" t="inlineStr">
        <is>
          <t>Fire Stations – Volunteer</t>
        </is>
      </c>
      <c r="C1636" t="inlineStr">
        <is>
          <t>427</t>
        </is>
      </c>
      <c r="D1636" t="inlineStr">
        <is>
          <t>15</t>
        </is>
      </c>
      <c r="E1636" t="inlineStr">
        <is>
          <t>28</t>
        </is>
      </c>
      <c r="F1636" t="inlineStr">
        <is>
          <t>DPOLE</t>
        </is>
      </c>
      <c r="G1636" t="inlineStr">
        <is>
          <t>Low Cost</t>
        </is>
      </c>
      <c r="H1636" t="n">
        <v>59.5</v>
      </c>
      <c r="I1636">
        <f>B1636&amp;"|"&amp;F1636&amp;"|"&amp;G1636</f>
        <v/>
      </c>
      <c r="J1636" t="inlineStr">
        <is>
          <t>MVS Sec.15 p.28</t>
        </is>
      </c>
    </row>
    <row r="1637">
      <c r="B1637" t="inlineStr">
        <is>
          <t>Fire Stations – Volunteer</t>
        </is>
      </c>
      <c r="C1637" t="inlineStr">
        <is>
          <t>427</t>
        </is>
      </c>
      <c r="D1637" t="inlineStr">
        <is>
          <t>15</t>
        </is>
      </c>
      <c r="E1637" t="inlineStr">
        <is>
          <t>28</t>
        </is>
      </c>
      <c r="F1637" t="inlineStr">
        <is>
          <t>S</t>
        </is>
      </c>
      <c r="G1637" t="inlineStr">
        <is>
          <t>Good</t>
        </is>
      </c>
      <c r="H1637" t="n">
        <v>122</v>
      </c>
      <c r="I1637">
        <f>B1637&amp;"|"&amp;F1637&amp;"|"&amp;G1637</f>
        <v/>
      </c>
      <c r="J1637" t="inlineStr">
        <is>
          <t>MVS Sec.15 p.28</t>
        </is>
      </c>
    </row>
    <row r="1638">
      <c r="B1638" t="inlineStr">
        <is>
          <t>Fire Stations – Volunteer</t>
        </is>
      </c>
      <c r="C1638" t="inlineStr">
        <is>
          <t>427</t>
        </is>
      </c>
      <c r="D1638" t="inlineStr">
        <is>
          <t>15</t>
        </is>
      </c>
      <c r="E1638" t="inlineStr">
        <is>
          <t>28</t>
        </is>
      </c>
      <c r="F1638" t="inlineStr">
        <is>
          <t>S</t>
        </is>
      </c>
      <c r="G1638" t="inlineStr">
        <is>
          <t>Average</t>
        </is>
      </c>
      <c r="H1638" t="n">
        <v>85</v>
      </c>
      <c r="I1638">
        <f>B1638&amp;"|"&amp;F1638&amp;"|"&amp;G1638</f>
        <v/>
      </c>
      <c r="J1638" t="inlineStr">
        <is>
          <t>MVS Sec.15 p.28</t>
        </is>
      </c>
    </row>
    <row r="1639">
      <c r="B1639" t="inlineStr">
        <is>
          <t>Fire Stations – Volunteer</t>
        </is>
      </c>
      <c r="C1639" t="inlineStr">
        <is>
          <t>427</t>
        </is>
      </c>
      <c r="D1639" t="inlineStr">
        <is>
          <t>15</t>
        </is>
      </c>
      <c r="E1639" t="inlineStr">
        <is>
          <t>28</t>
        </is>
      </c>
      <c r="F1639" t="inlineStr">
        <is>
          <t>S</t>
        </is>
      </c>
      <c r="G1639" t="inlineStr">
        <is>
          <t>Low Cost</t>
        </is>
      </c>
      <c r="H1639" t="n">
        <v>63.5</v>
      </c>
      <c r="I1639">
        <f>B1639&amp;"|"&amp;F1639&amp;"|"&amp;G1639</f>
        <v/>
      </c>
      <c r="J1639" t="inlineStr">
        <is>
          <t>MVS Sec.15 p.28</t>
        </is>
      </c>
    </row>
    <row r="1640">
      <c r="B1640" t="inlineStr">
        <is>
          <t>Fire Stations – Staffed</t>
        </is>
      </c>
      <c r="C1640" t="inlineStr">
        <is>
          <t>322</t>
        </is>
      </c>
      <c r="D1640" t="inlineStr">
        <is>
          <t>15</t>
        </is>
      </c>
      <c r="E1640" t="inlineStr">
        <is>
          <t>29</t>
        </is>
      </c>
      <c r="F1640" t="inlineStr">
        <is>
          <t>A-B</t>
        </is>
      </c>
      <c r="G1640" t="inlineStr">
        <is>
          <t>Good</t>
        </is>
      </c>
      <c r="H1640" t="n">
        <v>387</v>
      </c>
      <c r="I1640">
        <f>B1640&amp;"|"&amp;F1640&amp;"|"&amp;G1640</f>
        <v/>
      </c>
      <c r="J1640" t="inlineStr">
        <is>
          <t>MVS Sec.15 p.29</t>
        </is>
      </c>
    </row>
    <row r="1641">
      <c r="B1641" t="inlineStr">
        <is>
          <t>Fire Stations – Staffed</t>
        </is>
      </c>
      <c r="C1641" t="inlineStr">
        <is>
          <t>322</t>
        </is>
      </c>
      <c r="D1641" t="inlineStr">
        <is>
          <t>15</t>
        </is>
      </c>
      <c r="E1641" t="inlineStr">
        <is>
          <t>29</t>
        </is>
      </c>
      <c r="F1641" t="inlineStr">
        <is>
          <t>A-B</t>
        </is>
      </c>
      <c r="G1641" t="inlineStr">
        <is>
          <t>Average</t>
        </is>
      </c>
      <c r="H1641" t="n">
        <v>279</v>
      </c>
      <c r="I1641">
        <f>B1641&amp;"|"&amp;F1641&amp;"|"&amp;G1641</f>
        <v/>
      </c>
      <c r="J1641" t="inlineStr">
        <is>
          <t>MVS Sec.15 p.29</t>
        </is>
      </c>
    </row>
    <row r="1642">
      <c r="B1642" t="inlineStr">
        <is>
          <t>Fire Stations – Staffed</t>
        </is>
      </c>
      <c r="C1642" t="inlineStr">
        <is>
          <t>322</t>
        </is>
      </c>
      <c r="D1642" t="inlineStr">
        <is>
          <t>15</t>
        </is>
      </c>
      <c r="E1642" t="inlineStr">
        <is>
          <t>29</t>
        </is>
      </c>
      <c r="F1642" t="inlineStr">
        <is>
          <t>C</t>
        </is>
      </c>
      <c r="G1642" t="inlineStr">
        <is>
          <t>Excellent</t>
        </is>
      </c>
      <c r="H1642" t="n">
        <v>366</v>
      </c>
      <c r="I1642">
        <f>B1642&amp;"|"&amp;F1642&amp;"|"&amp;G1642</f>
        <v/>
      </c>
      <c r="J1642" t="inlineStr">
        <is>
          <t>MVS Sec.15 p.29</t>
        </is>
      </c>
    </row>
    <row r="1643">
      <c r="B1643" t="inlineStr">
        <is>
          <t>Fire Stations – Staffed</t>
        </is>
      </c>
      <c r="C1643" t="inlineStr">
        <is>
          <t>322</t>
        </is>
      </c>
      <c r="D1643" t="inlineStr">
        <is>
          <t>15</t>
        </is>
      </c>
      <c r="E1643" t="inlineStr">
        <is>
          <t>29</t>
        </is>
      </c>
      <c r="F1643" t="inlineStr">
        <is>
          <t>C</t>
        </is>
      </c>
      <c r="G1643" t="inlineStr">
        <is>
          <t>Very Good</t>
        </is>
      </c>
      <c r="H1643" t="n">
        <v>304</v>
      </c>
      <c r="I1643">
        <f>B1643&amp;"|"&amp;F1643&amp;"|"&amp;G1643</f>
        <v/>
      </c>
      <c r="J1643" t="inlineStr">
        <is>
          <t>MVS Sec.15 p.29</t>
        </is>
      </c>
    </row>
    <row r="1644">
      <c r="B1644" t="inlineStr">
        <is>
          <t>Fire Stations – Staffed</t>
        </is>
      </c>
      <c r="C1644" t="inlineStr">
        <is>
          <t>322</t>
        </is>
      </c>
      <c r="D1644" t="inlineStr">
        <is>
          <t>15</t>
        </is>
      </c>
      <c r="E1644" t="inlineStr">
        <is>
          <t>29</t>
        </is>
      </c>
      <c r="F1644" t="inlineStr">
        <is>
          <t>C</t>
        </is>
      </c>
      <c r="G1644" t="inlineStr">
        <is>
          <t>Good</t>
        </is>
      </c>
      <c r="H1644" t="n">
        <v>252</v>
      </c>
      <c r="I1644">
        <f>B1644&amp;"|"&amp;F1644&amp;"|"&amp;G1644</f>
        <v/>
      </c>
      <c r="J1644" t="inlineStr">
        <is>
          <t>MVS Sec.15 p.29</t>
        </is>
      </c>
    </row>
    <row r="1645">
      <c r="B1645" t="inlineStr">
        <is>
          <t>Fire Stations – Staffed</t>
        </is>
      </c>
      <c r="C1645" t="inlineStr">
        <is>
          <t>322</t>
        </is>
      </c>
      <c r="D1645" t="inlineStr">
        <is>
          <t>15</t>
        </is>
      </c>
      <c r="E1645" t="inlineStr">
        <is>
          <t>29</t>
        </is>
      </c>
      <c r="F1645" t="inlineStr">
        <is>
          <t>C</t>
        </is>
      </c>
      <c r="G1645" t="inlineStr">
        <is>
          <t>Average</t>
        </is>
      </c>
      <c r="H1645" t="n">
        <v>176</v>
      </c>
      <c r="I1645">
        <f>B1645&amp;"|"&amp;F1645&amp;"|"&amp;G1645</f>
        <v/>
      </c>
      <c r="J1645" t="inlineStr">
        <is>
          <t>MVS Sec.15 p.29</t>
        </is>
      </c>
    </row>
    <row r="1646">
      <c r="B1646" t="inlineStr">
        <is>
          <t>Fire Stations – Staffed</t>
        </is>
      </c>
      <c r="C1646" t="inlineStr">
        <is>
          <t>322</t>
        </is>
      </c>
      <c r="D1646" t="inlineStr">
        <is>
          <t>15</t>
        </is>
      </c>
      <c r="E1646" t="inlineStr">
        <is>
          <t>29</t>
        </is>
      </c>
      <c r="F1646" t="inlineStr">
        <is>
          <t>C</t>
        </is>
      </c>
      <c r="G1646" t="inlineStr">
        <is>
          <t>Low Cost</t>
        </is>
      </c>
      <c r="H1646" t="n">
        <v>119</v>
      </c>
      <c r="I1646">
        <f>B1646&amp;"|"&amp;F1646&amp;"|"&amp;G1646</f>
        <v/>
      </c>
      <c r="J1646" t="inlineStr">
        <is>
          <t>MVS Sec.15 p.29</t>
        </is>
      </c>
    </row>
    <row r="1647">
      <c r="B1647" t="inlineStr">
        <is>
          <t>Fire Stations – Staffed</t>
        </is>
      </c>
      <c r="C1647" t="inlineStr">
        <is>
          <t>322</t>
        </is>
      </c>
      <c r="D1647" t="inlineStr">
        <is>
          <t>15</t>
        </is>
      </c>
      <c r="E1647" t="inlineStr">
        <is>
          <t>29</t>
        </is>
      </c>
      <c r="F1647" t="inlineStr">
        <is>
          <t>D</t>
        </is>
      </c>
      <c r="G1647" t="inlineStr">
        <is>
          <t>Excellent</t>
        </is>
      </c>
      <c r="H1647" t="n">
        <v>352</v>
      </c>
      <c r="I1647">
        <f>B1647&amp;"|"&amp;F1647&amp;"|"&amp;G1647</f>
        <v/>
      </c>
      <c r="J1647" t="inlineStr">
        <is>
          <t>MVS Sec.15 p.29</t>
        </is>
      </c>
    </row>
    <row r="1648">
      <c r="B1648" t="inlineStr">
        <is>
          <t>Fire Stations – Staffed</t>
        </is>
      </c>
      <c r="C1648" t="inlineStr">
        <is>
          <t>322</t>
        </is>
      </c>
      <c r="D1648" t="inlineStr">
        <is>
          <t>15</t>
        </is>
      </c>
      <c r="E1648" t="inlineStr">
        <is>
          <t>29</t>
        </is>
      </c>
      <c r="F1648" t="inlineStr">
        <is>
          <t>D</t>
        </is>
      </c>
      <c r="G1648" t="inlineStr">
        <is>
          <t>Very Good</t>
        </is>
      </c>
      <c r="H1648" t="n">
        <v>290</v>
      </c>
      <c r="I1648">
        <f>B1648&amp;"|"&amp;F1648&amp;"|"&amp;G1648</f>
        <v/>
      </c>
      <c r="J1648" t="inlineStr">
        <is>
          <t>MVS Sec.15 p.29</t>
        </is>
      </c>
    </row>
    <row r="1649">
      <c r="B1649" t="inlineStr">
        <is>
          <t>Fire Stations – Staffed</t>
        </is>
      </c>
      <c r="C1649" t="inlineStr">
        <is>
          <t>322</t>
        </is>
      </c>
      <c r="D1649" t="inlineStr">
        <is>
          <t>15</t>
        </is>
      </c>
      <c r="E1649" t="inlineStr">
        <is>
          <t>29</t>
        </is>
      </c>
      <c r="F1649" t="inlineStr">
        <is>
          <t>D</t>
        </is>
      </c>
      <c r="G1649" t="inlineStr">
        <is>
          <t>Good</t>
        </is>
      </c>
      <c r="H1649" t="n">
        <v>238</v>
      </c>
      <c r="I1649">
        <f>B1649&amp;"|"&amp;F1649&amp;"|"&amp;G1649</f>
        <v/>
      </c>
      <c r="J1649" t="inlineStr">
        <is>
          <t>MVS Sec.15 p.29</t>
        </is>
      </c>
    </row>
    <row r="1650">
      <c r="B1650" t="inlineStr">
        <is>
          <t>Fire Stations – Staffed</t>
        </is>
      </c>
      <c r="C1650" t="inlineStr">
        <is>
          <t>322</t>
        </is>
      </c>
      <c r="D1650" t="inlineStr">
        <is>
          <t>15</t>
        </is>
      </c>
      <c r="E1650" t="inlineStr">
        <is>
          <t>29</t>
        </is>
      </c>
      <c r="F1650" t="inlineStr">
        <is>
          <t>D</t>
        </is>
      </c>
      <c r="G1650" t="inlineStr">
        <is>
          <t>Average</t>
        </is>
      </c>
      <c r="H1650" t="n">
        <v>163</v>
      </c>
      <c r="I1650">
        <f>B1650&amp;"|"&amp;F1650&amp;"|"&amp;G1650</f>
        <v/>
      </c>
      <c r="J1650" t="inlineStr">
        <is>
          <t>MVS Sec.15 p.29</t>
        </is>
      </c>
    </row>
    <row r="1651">
      <c r="B1651" t="inlineStr">
        <is>
          <t>Fire Stations – Staffed</t>
        </is>
      </c>
      <c r="C1651" t="inlineStr">
        <is>
          <t>322</t>
        </is>
      </c>
      <c r="D1651" t="inlineStr">
        <is>
          <t>15</t>
        </is>
      </c>
      <c r="E1651" t="inlineStr">
        <is>
          <t>29</t>
        </is>
      </c>
      <c r="F1651" t="inlineStr">
        <is>
          <t>D</t>
        </is>
      </c>
      <c r="G1651" t="inlineStr">
        <is>
          <t>Low Cost</t>
        </is>
      </c>
      <c r="H1651" t="n">
        <v>108</v>
      </c>
      <c r="I1651">
        <f>B1651&amp;"|"&amp;F1651&amp;"|"&amp;G1651</f>
        <v/>
      </c>
      <c r="J1651" t="inlineStr">
        <is>
          <t>MVS Sec.15 p.29</t>
        </is>
      </c>
    </row>
    <row r="1652">
      <c r="B1652" t="inlineStr">
        <is>
          <t>Fire Stations – Staffed</t>
        </is>
      </c>
      <c r="C1652" t="inlineStr">
        <is>
          <t>322</t>
        </is>
      </c>
      <c r="D1652" t="inlineStr">
        <is>
          <t>15</t>
        </is>
      </c>
      <c r="E1652" t="inlineStr">
        <is>
          <t>29</t>
        </is>
      </c>
      <c r="F1652" t="inlineStr">
        <is>
          <t>DPOLE</t>
        </is>
      </c>
      <c r="G1652" t="inlineStr">
        <is>
          <t>Average</t>
        </is>
      </c>
      <c r="H1652" t="n">
        <v>139</v>
      </c>
      <c r="I1652">
        <f>B1652&amp;"|"&amp;F1652&amp;"|"&amp;G1652</f>
        <v/>
      </c>
      <c r="J1652" t="inlineStr">
        <is>
          <t>MVS Sec.15 p.29</t>
        </is>
      </c>
    </row>
    <row r="1653">
      <c r="B1653" t="inlineStr">
        <is>
          <t>Fire Stations – Staffed</t>
        </is>
      </c>
      <c r="C1653" t="inlineStr">
        <is>
          <t>322</t>
        </is>
      </c>
      <c r="D1653" t="inlineStr">
        <is>
          <t>15</t>
        </is>
      </c>
      <c r="E1653" t="inlineStr">
        <is>
          <t>29</t>
        </is>
      </c>
      <c r="F1653" t="inlineStr">
        <is>
          <t>DPOLE</t>
        </is>
      </c>
      <c r="G1653" t="inlineStr">
        <is>
          <t>Low Cost</t>
        </is>
      </c>
      <c r="H1653" t="n">
        <v>91.5</v>
      </c>
      <c r="I1653">
        <f>B1653&amp;"|"&amp;F1653&amp;"|"&amp;G1653</f>
        <v/>
      </c>
      <c r="J1653" t="inlineStr">
        <is>
          <t>MVS Sec.15 p.29</t>
        </is>
      </c>
    </row>
    <row r="1654">
      <c r="B1654" t="inlineStr">
        <is>
          <t>Fire Stations – Staffed</t>
        </is>
      </c>
      <c r="C1654" t="inlineStr">
        <is>
          <t>322</t>
        </is>
      </c>
      <c r="D1654" t="inlineStr">
        <is>
          <t>15</t>
        </is>
      </c>
      <c r="E1654" t="inlineStr">
        <is>
          <t>29</t>
        </is>
      </c>
      <c r="F1654" t="inlineStr">
        <is>
          <t>S</t>
        </is>
      </c>
      <c r="G1654" t="inlineStr">
        <is>
          <t>Good</t>
        </is>
      </c>
      <c r="H1654" t="n">
        <v>208</v>
      </c>
      <c r="I1654">
        <f>B1654&amp;"|"&amp;F1654&amp;"|"&amp;G1654</f>
        <v/>
      </c>
      <c r="J1654" t="inlineStr">
        <is>
          <t>MVS Sec.15 p.29</t>
        </is>
      </c>
    </row>
    <row r="1655">
      <c r="B1655" t="inlineStr">
        <is>
          <t>Fire Stations – Staffed</t>
        </is>
      </c>
      <c r="C1655" t="inlineStr">
        <is>
          <t>322</t>
        </is>
      </c>
      <c r="D1655" t="inlineStr">
        <is>
          <t>15</t>
        </is>
      </c>
      <c r="E1655" t="inlineStr">
        <is>
          <t>29</t>
        </is>
      </c>
      <c r="F1655" t="inlineStr">
        <is>
          <t>S</t>
        </is>
      </c>
      <c r="G1655" t="inlineStr">
        <is>
          <t>Average</t>
        </is>
      </c>
      <c r="H1655" t="n">
        <v>144</v>
      </c>
      <c r="I1655">
        <f>B1655&amp;"|"&amp;F1655&amp;"|"&amp;G1655</f>
        <v/>
      </c>
      <c r="J1655" t="inlineStr">
        <is>
          <t>MVS Sec.15 p.29</t>
        </is>
      </c>
    </row>
    <row r="1656">
      <c r="B1656" t="inlineStr">
        <is>
          <t>Fire Stations – Staffed</t>
        </is>
      </c>
      <c r="C1656" t="inlineStr">
        <is>
          <t>322</t>
        </is>
      </c>
      <c r="D1656" t="inlineStr">
        <is>
          <t>15</t>
        </is>
      </c>
      <c r="E1656" t="inlineStr">
        <is>
          <t>29</t>
        </is>
      </c>
      <c r="F1656" t="inlineStr">
        <is>
          <t>S</t>
        </is>
      </c>
      <c r="G1656" t="inlineStr">
        <is>
          <t>Low Cost</t>
        </is>
      </c>
      <c r="H1656" t="n">
        <v>95.5</v>
      </c>
      <c r="I1656">
        <f>B1656&amp;"|"&amp;F1656&amp;"|"&amp;G1656</f>
        <v/>
      </c>
      <c r="J1656" t="inlineStr">
        <is>
          <t>MVS Sec.15 p.29</t>
        </is>
      </c>
    </row>
    <row r="1657">
      <c r="B1657" t="inlineStr">
        <is>
          <t>Governmental Buildings</t>
        </is>
      </c>
      <c r="C1657" t="inlineStr">
        <is>
          <t>327</t>
        </is>
      </c>
      <c r="D1657" t="inlineStr">
        <is>
          <t>15</t>
        </is>
      </c>
      <c r="E1657" t="inlineStr">
        <is>
          <t>30</t>
        </is>
      </c>
      <c r="F1657" t="inlineStr">
        <is>
          <t>A</t>
        </is>
      </c>
      <c r="G1657" t="inlineStr">
        <is>
          <t>Excellent</t>
        </is>
      </c>
      <c r="H1657" t="n">
        <v>493</v>
      </c>
      <c r="I1657">
        <f>B1657&amp;"|"&amp;F1657&amp;"|"&amp;G1657</f>
        <v/>
      </c>
      <c r="J1657" t="inlineStr">
        <is>
          <t>MVS Sec.15 p.30</t>
        </is>
      </c>
    </row>
    <row r="1658">
      <c r="B1658" t="inlineStr">
        <is>
          <t>Governmental Buildings</t>
        </is>
      </c>
      <c r="C1658" t="inlineStr">
        <is>
          <t>327</t>
        </is>
      </c>
      <c r="D1658" t="inlineStr">
        <is>
          <t>15</t>
        </is>
      </c>
      <c r="E1658" t="inlineStr">
        <is>
          <t>30</t>
        </is>
      </c>
      <c r="F1658" t="inlineStr">
        <is>
          <t>A</t>
        </is>
      </c>
      <c r="G1658" t="inlineStr">
        <is>
          <t>Good</t>
        </is>
      </c>
      <c r="H1658" t="n">
        <v>377</v>
      </c>
      <c r="I1658">
        <f>B1658&amp;"|"&amp;F1658&amp;"|"&amp;G1658</f>
        <v/>
      </c>
      <c r="J1658" t="inlineStr">
        <is>
          <t>MVS Sec.15 p.30</t>
        </is>
      </c>
    </row>
    <row r="1659">
      <c r="B1659" t="inlineStr">
        <is>
          <t>Governmental Buildings</t>
        </is>
      </c>
      <c r="C1659" t="inlineStr">
        <is>
          <t>327</t>
        </is>
      </c>
      <c r="D1659" t="inlineStr">
        <is>
          <t>15</t>
        </is>
      </c>
      <c r="E1659" t="inlineStr">
        <is>
          <t>30</t>
        </is>
      </c>
      <c r="F1659" t="inlineStr">
        <is>
          <t>A</t>
        </is>
      </c>
      <c r="G1659" t="inlineStr">
        <is>
          <t>Average</t>
        </is>
      </c>
      <c r="H1659" t="n">
        <v>277</v>
      </c>
      <c r="I1659">
        <f>B1659&amp;"|"&amp;F1659&amp;"|"&amp;G1659</f>
        <v/>
      </c>
      <c r="J1659" t="inlineStr">
        <is>
          <t>MVS Sec.15 p.30</t>
        </is>
      </c>
    </row>
    <row r="1660">
      <c r="B1660" t="inlineStr">
        <is>
          <t>Governmental Buildings</t>
        </is>
      </c>
      <c r="C1660" t="inlineStr">
        <is>
          <t>327</t>
        </is>
      </c>
      <c r="D1660" t="inlineStr">
        <is>
          <t>15</t>
        </is>
      </c>
      <c r="E1660" t="inlineStr">
        <is>
          <t>30</t>
        </is>
      </c>
      <c r="F1660" t="inlineStr">
        <is>
          <t>B</t>
        </is>
      </c>
      <c r="G1660" t="inlineStr">
        <is>
          <t>Excellent</t>
        </is>
      </c>
      <c r="H1660" t="n">
        <v>447</v>
      </c>
      <c r="I1660">
        <f>B1660&amp;"|"&amp;F1660&amp;"|"&amp;G1660</f>
        <v/>
      </c>
      <c r="J1660" t="inlineStr">
        <is>
          <t>MVS Sec.15 p.30</t>
        </is>
      </c>
    </row>
    <row r="1661">
      <c r="B1661" t="inlineStr">
        <is>
          <t>Governmental Buildings</t>
        </is>
      </c>
      <c r="C1661" t="inlineStr">
        <is>
          <t>327</t>
        </is>
      </c>
      <c r="D1661" t="inlineStr">
        <is>
          <t>15</t>
        </is>
      </c>
      <c r="E1661" t="inlineStr">
        <is>
          <t>30</t>
        </is>
      </c>
      <c r="F1661" t="inlineStr">
        <is>
          <t>B</t>
        </is>
      </c>
      <c r="G1661" t="inlineStr">
        <is>
          <t>Good</t>
        </is>
      </c>
      <c r="H1661" t="n">
        <v>344</v>
      </c>
      <c r="I1661">
        <f>B1661&amp;"|"&amp;F1661&amp;"|"&amp;G1661</f>
        <v/>
      </c>
      <c r="J1661" t="inlineStr">
        <is>
          <t>MVS Sec.15 p.30</t>
        </is>
      </c>
    </row>
    <row r="1662">
      <c r="B1662" t="inlineStr">
        <is>
          <t>Governmental Buildings</t>
        </is>
      </c>
      <c r="C1662" t="inlineStr">
        <is>
          <t>327</t>
        </is>
      </c>
      <c r="D1662" t="inlineStr">
        <is>
          <t>15</t>
        </is>
      </c>
      <c r="E1662" t="inlineStr">
        <is>
          <t>30</t>
        </is>
      </c>
      <c r="F1662" t="inlineStr">
        <is>
          <t>B</t>
        </is>
      </c>
      <c r="G1662" t="inlineStr">
        <is>
          <t>Average</t>
        </is>
      </c>
      <c r="H1662" t="n">
        <v>254</v>
      </c>
      <c r="I1662">
        <f>B1662&amp;"|"&amp;F1662&amp;"|"&amp;G1662</f>
        <v/>
      </c>
      <c r="J1662" t="inlineStr">
        <is>
          <t>MVS Sec.15 p.30</t>
        </is>
      </c>
    </row>
    <row r="1663">
      <c r="B1663" t="inlineStr">
        <is>
          <t>Governmental Buildings</t>
        </is>
      </c>
      <c r="C1663" t="inlineStr">
        <is>
          <t>327</t>
        </is>
      </c>
      <c r="D1663" t="inlineStr">
        <is>
          <t>15</t>
        </is>
      </c>
      <c r="E1663" t="inlineStr">
        <is>
          <t>30</t>
        </is>
      </c>
      <c r="F1663" t="inlineStr">
        <is>
          <t>B</t>
        </is>
      </c>
      <c r="G1663" t="inlineStr">
        <is>
          <t>Low Cost</t>
        </is>
      </c>
      <c r="H1663" t="n">
        <v>192</v>
      </c>
      <c r="I1663">
        <f>B1663&amp;"|"&amp;F1663&amp;"|"&amp;G1663</f>
        <v/>
      </c>
      <c r="J1663" t="inlineStr">
        <is>
          <t>MVS Sec.15 p.30</t>
        </is>
      </c>
    </row>
    <row r="1664">
      <c r="B1664" t="inlineStr">
        <is>
          <t>Governmental Buildings</t>
        </is>
      </c>
      <c r="C1664" t="inlineStr">
        <is>
          <t>327</t>
        </is>
      </c>
      <c r="D1664" t="inlineStr">
        <is>
          <t>15</t>
        </is>
      </c>
      <c r="E1664" t="inlineStr">
        <is>
          <t>30</t>
        </is>
      </c>
      <c r="F1664" t="inlineStr">
        <is>
          <t>C</t>
        </is>
      </c>
      <c r="G1664" t="inlineStr">
        <is>
          <t>Excellent</t>
        </is>
      </c>
      <c r="H1664" t="n">
        <v>380</v>
      </c>
      <c r="I1664">
        <f>B1664&amp;"|"&amp;F1664&amp;"|"&amp;G1664</f>
        <v/>
      </c>
      <c r="J1664" t="inlineStr">
        <is>
          <t>MVS Sec.15 p.30</t>
        </is>
      </c>
    </row>
    <row r="1665">
      <c r="B1665" t="inlineStr">
        <is>
          <t>Governmental Buildings</t>
        </is>
      </c>
      <c r="C1665" t="inlineStr">
        <is>
          <t>327</t>
        </is>
      </c>
      <c r="D1665" t="inlineStr">
        <is>
          <t>15</t>
        </is>
      </c>
      <c r="E1665" t="inlineStr">
        <is>
          <t>30</t>
        </is>
      </c>
      <c r="F1665" t="inlineStr">
        <is>
          <t>C</t>
        </is>
      </c>
      <c r="G1665" t="inlineStr">
        <is>
          <t>Good</t>
        </is>
      </c>
      <c r="H1665" t="n">
        <v>273</v>
      </c>
      <c r="I1665">
        <f>B1665&amp;"|"&amp;F1665&amp;"|"&amp;G1665</f>
        <v/>
      </c>
      <c r="J1665" t="inlineStr">
        <is>
          <t>MVS Sec.15 p.30</t>
        </is>
      </c>
    </row>
    <row r="1666">
      <c r="B1666" t="inlineStr">
        <is>
          <t>Governmental Buildings</t>
        </is>
      </c>
      <c r="C1666" t="inlineStr">
        <is>
          <t>327</t>
        </is>
      </c>
      <c r="D1666" t="inlineStr">
        <is>
          <t>15</t>
        </is>
      </c>
      <c r="E1666" t="inlineStr">
        <is>
          <t>30</t>
        </is>
      </c>
      <c r="F1666" t="inlineStr">
        <is>
          <t>C</t>
        </is>
      </c>
      <c r="G1666" t="inlineStr">
        <is>
          <t>Average</t>
        </is>
      </c>
      <c r="H1666" t="n">
        <v>206</v>
      </c>
      <c r="I1666">
        <f>B1666&amp;"|"&amp;F1666&amp;"|"&amp;G1666</f>
        <v/>
      </c>
      <c r="J1666" t="inlineStr">
        <is>
          <t>MVS Sec.15 p.30</t>
        </is>
      </c>
    </row>
    <row r="1667">
      <c r="B1667" t="inlineStr">
        <is>
          <t>Governmental Buildings</t>
        </is>
      </c>
      <c r="C1667" t="inlineStr">
        <is>
          <t>327</t>
        </is>
      </c>
      <c r="D1667" t="inlineStr">
        <is>
          <t>15</t>
        </is>
      </c>
      <c r="E1667" t="inlineStr">
        <is>
          <t>30</t>
        </is>
      </c>
      <c r="F1667" t="inlineStr">
        <is>
          <t>C</t>
        </is>
      </c>
      <c r="G1667" t="inlineStr">
        <is>
          <t>Low Cost</t>
        </is>
      </c>
      <c r="H1667" t="n">
        <v>147</v>
      </c>
      <c r="I1667">
        <f>B1667&amp;"|"&amp;F1667&amp;"|"&amp;G1667</f>
        <v/>
      </c>
      <c r="J1667" t="inlineStr">
        <is>
          <t>MVS Sec.15 p.30</t>
        </is>
      </c>
    </row>
    <row r="1668">
      <c r="B1668" t="inlineStr">
        <is>
          <t>Governmental Buildings</t>
        </is>
      </c>
      <c r="C1668" t="inlineStr">
        <is>
          <t>327</t>
        </is>
      </c>
      <c r="D1668" t="inlineStr">
        <is>
          <t>15</t>
        </is>
      </c>
      <c r="E1668" t="inlineStr">
        <is>
          <t>30</t>
        </is>
      </c>
      <c r="F1668" t="inlineStr">
        <is>
          <t>D</t>
        </is>
      </c>
      <c r="G1668" t="inlineStr">
        <is>
          <t>Excellent</t>
        </is>
      </c>
      <c r="H1668" t="n">
        <v>367</v>
      </c>
      <c r="I1668">
        <f>B1668&amp;"|"&amp;F1668&amp;"|"&amp;G1668</f>
        <v/>
      </c>
      <c r="J1668" t="inlineStr">
        <is>
          <t>MVS Sec.15 p.30</t>
        </is>
      </c>
    </row>
    <row r="1669">
      <c r="B1669" t="inlineStr">
        <is>
          <t>Governmental Buildings</t>
        </is>
      </c>
      <c r="C1669" t="inlineStr">
        <is>
          <t>327</t>
        </is>
      </c>
      <c r="D1669" t="inlineStr">
        <is>
          <t>15</t>
        </is>
      </c>
      <c r="E1669" t="inlineStr">
        <is>
          <t>30</t>
        </is>
      </c>
      <c r="F1669" t="inlineStr">
        <is>
          <t>D</t>
        </is>
      </c>
      <c r="G1669" t="inlineStr">
        <is>
          <t>Good</t>
        </is>
      </c>
      <c r="H1669" t="n">
        <v>263</v>
      </c>
      <c r="I1669">
        <f>B1669&amp;"|"&amp;F1669&amp;"|"&amp;G1669</f>
        <v/>
      </c>
      <c r="J1669" t="inlineStr">
        <is>
          <t>MVS Sec.15 p.30</t>
        </is>
      </c>
    </row>
    <row r="1670">
      <c r="B1670" t="inlineStr">
        <is>
          <t>Governmental Buildings</t>
        </is>
      </c>
      <c r="C1670" t="inlineStr">
        <is>
          <t>327</t>
        </is>
      </c>
      <c r="D1670" t="inlineStr">
        <is>
          <t>15</t>
        </is>
      </c>
      <c r="E1670" t="inlineStr">
        <is>
          <t>30</t>
        </is>
      </c>
      <c r="F1670" t="inlineStr">
        <is>
          <t>D</t>
        </is>
      </c>
      <c r="G1670" t="inlineStr">
        <is>
          <t>Average</t>
        </is>
      </c>
      <c r="H1670" t="n">
        <v>187</v>
      </c>
      <c r="I1670">
        <f>B1670&amp;"|"&amp;F1670&amp;"|"&amp;G1670</f>
        <v/>
      </c>
      <c r="J1670" t="inlineStr">
        <is>
          <t>MVS Sec.15 p.30</t>
        </is>
      </c>
    </row>
    <row r="1671">
      <c r="B1671" t="inlineStr">
        <is>
          <t>Governmental Buildings</t>
        </is>
      </c>
      <c r="C1671" t="inlineStr">
        <is>
          <t>327</t>
        </is>
      </c>
      <c r="D1671" t="inlineStr">
        <is>
          <t>15</t>
        </is>
      </c>
      <c r="E1671" t="inlineStr">
        <is>
          <t>30</t>
        </is>
      </c>
      <c r="F1671" t="inlineStr">
        <is>
          <t>D</t>
        </is>
      </c>
      <c r="G1671" t="inlineStr">
        <is>
          <t>Low Cost</t>
        </is>
      </c>
      <c r="H1671" t="n">
        <v>135</v>
      </c>
      <c r="I1671">
        <f>B1671&amp;"|"&amp;F1671&amp;"|"&amp;G1671</f>
        <v/>
      </c>
      <c r="J1671" t="inlineStr">
        <is>
          <t>MVS Sec.15 p.30</t>
        </is>
      </c>
    </row>
    <row r="1672">
      <c r="B1672" t="inlineStr">
        <is>
          <t>Governmental Buildings</t>
        </is>
      </c>
      <c r="C1672" t="inlineStr">
        <is>
          <t>327</t>
        </is>
      </c>
      <c r="D1672" t="inlineStr">
        <is>
          <t>15</t>
        </is>
      </c>
      <c r="E1672" t="inlineStr">
        <is>
          <t>30</t>
        </is>
      </c>
      <c r="F1672" t="inlineStr">
        <is>
          <t>S</t>
        </is>
      </c>
      <c r="G1672" t="inlineStr">
        <is>
          <t>Average</t>
        </is>
      </c>
      <c r="H1672" t="n">
        <v>185</v>
      </c>
      <c r="I1672">
        <f>B1672&amp;"|"&amp;F1672&amp;"|"&amp;G1672</f>
        <v/>
      </c>
      <c r="J1672" t="inlineStr">
        <is>
          <t>MVS Sec.15 p.30</t>
        </is>
      </c>
    </row>
    <row r="1673">
      <c r="B1673" t="inlineStr">
        <is>
          <t>Governmental Buildings</t>
        </is>
      </c>
      <c r="C1673" t="inlineStr">
        <is>
          <t>327</t>
        </is>
      </c>
      <c r="D1673" t="inlineStr">
        <is>
          <t>15</t>
        </is>
      </c>
      <c r="E1673" t="inlineStr">
        <is>
          <t>30</t>
        </is>
      </c>
      <c r="F1673" t="inlineStr">
        <is>
          <t>S</t>
        </is>
      </c>
      <c r="G1673" t="inlineStr">
        <is>
          <t>Low Cost</t>
        </is>
      </c>
      <c r="H1673" t="n">
        <v>134</v>
      </c>
      <c r="I1673">
        <f>B1673&amp;"|"&amp;F1673&amp;"|"&amp;G1673</f>
        <v/>
      </c>
      <c r="J1673" t="inlineStr">
        <is>
          <t>MVS Sec.15 p.30</t>
        </is>
      </c>
    </row>
    <row r="1674">
      <c r="B1674" t="inlineStr">
        <is>
          <t>Governmental – Community Service Buildings</t>
        </is>
      </c>
      <c r="C1674" t="inlineStr">
        <is>
          <t>491</t>
        </is>
      </c>
      <c r="D1674" t="inlineStr">
        <is>
          <t>15</t>
        </is>
      </c>
      <c r="E1674" t="inlineStr">
        <is>
          <t>31</t>
        </is>
      </c>
      <c r="F1674" t="inlineStr">
        <is>
          <t>A-B</t>
        </is>
      </c>
      <c r="G1674" t="inlineStr">
        <is>
          <t>Average</t>
        </is>
      </c>
      <c r="H1674" t="n">
        <v>221</v>
      </c>
      <c r="I1674">
        <f>B1674&amp;"|"&amp;F1674&amp;"|"&amp;G1674</f>
        <v/>
      </c>
      <c r="J1674" t="inlineStr">
        <is>
          <t>MVS Sec.15 p.31</t>
        </is>
      </c>
    </row>
    <row r="1675">
      <c r="B1675" t="inlineStr">
        <is>
          <t>Governmental – Community Service Buildings</t>
        </is>
      </c>
      <c r="C1675" t="inlineStr">
        <is>
          <t>491</t>
        </is>
      </c>
      <c r="D1675" t="inlineStr">
        <is>
          <t>15</t>
        </is>
      </c>
      <c r="E1675" t="inlineStr">
        <is>
          <t>31</t>
        </is>
      </c>
      <c r="F1675" t="inlineStr">
        <is>
          <t>A-B</t>
        </is>
      </c>
      <c r="G1675" t="inlineStr">
        <is>
          <t>Low Cost</t>
        </is>
      </c>
      <c r="H1675" t="n">
        <v>168</v>
      </c>
      <c r="I1675">
        <f>B1675&amp;"|"&amp;F1675&amp;"|"&amp;G1675</f>
        <v/>
      </c>
      <c r="J1675" t="inlineStr">
        <is>
          <t>MVS Sec.15 p.31</t>
        </is>
      </c>
    </row>
    <row r="1676">
      <c r="B1676" t="inlineStr">
        <is>
          <t>Governmental – Community Service Buildings</t>
        </is>
      </c>
      <c r="C1676" t="inlineStr">
        <is>
          <t>491</t>
        </is>
      </c>
      <c r="D1676" t="inlineStr">
        <is>
          <t>15</t>
        </is>
      </c>
      <c r="E1676" t="inlineStr">
        <is>
          <t>31</t>
        </is>
      </c>
      <c r="F1676" t="inlineStr">
        <is>
          <t>C</t>
        </is>
      </c>
      <c r="G1676" t="inlineStr">
        <is>
          <t>Excellent</t>
        </is>
      </c>
      <c r="H1676" t="n">
        <v>311</v>
      </c>
      <c r="I1676">
        <f>B1676&amp;"|"&amp;F1676&amp;"|"&amp;G1676</f>
        <v/>
      </c>
      <c r="J1676" t="inlineStr">
        <is>
          <t>MVS Sec.15 p.31</t>
        </is>
      </c>
    </row>
    <row r="1677">
      <c r="B1677" t="inlineStr">
        <is>
          <t>Governmental – Community Service Buildings</t>
        </is>
      </c>
      <c r="C1677" t="inlineStr">
        <is>
          <t>491</t>
        </is>
      </c>
      <c r="D1677" t="inlineStr">
        <is>
          <t>15</t>
        </is>
      </c>
      <c r="E1677" t="inlineStr">
        <is>
          <t>31</t>
        </is>
      </c>
      <c r="F1677" t="inlineStr">
        <is>
          <t>C</t>
        </is>
      </c>
      <c r="G1677" t="inlineStr">
        <is>
          <t>Good</t>
        </is>
      </c>
      <c r="H1677" t="n">
        <v>230</v>
      </c>
      <c r="I1677">
        <f>B1677&amp;"|"&amp;F1677&amp;"|"&amp;G1677</f>
        <v/>
      </c>
      <c r="J1677" t="inlineStr">
        <is>
          <t>MVS Sec.15 p.31</t>
        </is>
      </c>
    </row>
    <row r="1678">
      <c r="B1678" t="inlineStr">
        <is>
          <t>Governmental – Community Service Buildings</t>
        </is>
      </c>
      <c r="C1678" t="inlineStr">
        <is>
          <t>491</t>
        </is>
      </c>
      <c r="D1678" t="inlineStr">
        <is>
          <t>15</t>
        </is>
      </c>
      <c r="E1678" t="inlineStr">
        <is>
          <t>31</t>
        </is>
      </c>
      <c r="F1678" t="inlineStr">
        <is>
          <t>C</t>
        </is>
      </c>
      <c r="G1678" t="inlineStr">
        <is>
          <t>Average</t>
        </is>
      </c>
      <c r="H1678" t="n">
        <v>169</v>
      </c>
      <c r="I1678">
        <f>B1678&amp;"|"&amp;F1678&amp;"|"&amp;G1678</f>
        <v/>
      </c>
      <c r="J1678" t="inlineStr">
        <is>
          <t>MVS Sec.15 p.31</t>
        </is>
      </c>
    </row>
    <row r="1679">
      <c r="B1679" t="inlineStr">
        <is>
          <t>Governmental – Community Service Buildings</t>
        </is>
      </c>
      <c r="C1679" t="inlineStr">
        <is>
          <t>491</t>
        </is>
      </c>
      <c r="D1679" t="inlineStr">
        <is>
          <t>15</t>
        </is>
      </c>
      <c r="E1679" t="inlineStr">
        <is>
          <t>31</t>
        </is>
      </c>
      <c r="F1679" t="inlineStr">
        <is>
          <t>C</t>
        </is>
      </c>
      <c r="G1679" t="inlineStr">
        <is>
          <t>Low Cost</t>
        </is>
      </c>
      <c r="H1679" t="n">
        <v>124</v>
      </c>
      <c r="I1679">
        <f>B1679&amp;"|"&amp;F1679&amp;"|"&amp;G1679</f>
        <v/>
      </c>
      <c r="J1679" t="inlineStr">
        <is>
          <t>MVS Sec.15 p.31</t>
        </is>
      </c>
    </row>
    <row r="1680">
      <c r="B1680" t="inlineStr">
        <is>
          <t>Governmental – Community Service Buildings</t>
        </is>
      </c>
      <c r="C1680" t="inlineStr">
        <is>
          <t>491</t>
        </is>
      </c>
      <c r="D1680" t="inlineStr">
        <is>
          <t>15</t>
        </is>
      </c>
      <c r="E1680" t="inlineStr">
        <is>
          <t>31</t>
        </is>
      </c>
      <c r="F1680" t="inlineStr">
        <is>
          <t>D</t>
        </is>
      </c>
      <c r="G1680" t="inlineStr">
        <is>
          <t>Excellent</t>
        </is>
      </c>
      <c r="H1680" t="n">
        <v>301</v>
      </c>
      <c r="I1680">
        <f>B1680&amp;"|"&amp;F1680&amp;"|"&amp;G1680</f>
        <v/>
      </c>
      <c r="J1680" t="inlineStr">
        <is>
          <t>MVS Sec.15 p.31</t>
        </is>
      </c>
    </row>
    <row r="1681">
      <c r="B1681" t="inlineStr">
        <is>
          <t>Governmental – Community Service Buildings</t>
        </is>
      </c>
      <c r="C1681" t="inlineStr">
        <is>
          <t>491</t>
        </is>
      </c>
      <c r="D1681" t="inlineStr">
        <is>
          <t>15</t>
        </is>
      </c>
      <c r="E1681" t="inlineStr">
        <is>
          <t>31</t>
        </is>
      </c>
      <c r="F1681" t="inlineStr">
        <is>
          <t>D</t>
        </is>
      </c>
      <c r="G1681" t="inlineStr">
        <is>
          <t>Good</t>
        </is>
      </c>
      <c r="H1681" t="n">
        <v>221</v>
      </c>
      <c r="I1681">
        <f>B1681&amp;"|"&amp;F1681&amp;"|"&amp;G1681</f>
        <v/>
      </c>
      <c r="J1681" t="inlineStr">
        <is>
          <t>MVS Sec.15 p.31</t>
        </is>
      </c>
    </row>
    <row r="1682">
      <c r="B1682" t="inlineStr">
        <is>
          <t>Governmental – Community Service Buildings</t>
        </is>
      </c>
      <c r="C1682" t="inlineStr">
        <is>
          <t>491</t>
        </is>
      </c>
      <c r="D1682" t="inlineStr">
        <is>
          <t>15</t>
        </is>
      </c>
      <c r="E1682" t="inlineStr">
        <is>
          <t>31</t>
        </is>
      </c>
      <c r="F1682" t="inlineStr">
        <is>
          <t>D</t>
        </is>
      </c>
      <c r="G1682" t="inlineStr">
        <is>
          <t>Average</t>
        </is>
      </c>
      <c r="H1682" t="n">
        <v>162</v>
      </c>
      <c r="I1682">
        <f>B1682&amp;"|"&amp;F1682&amp;"|"&amp;G1682</f>
        <v/>
      </c>
      <c r="J1682" t="inlineStr">
        <is>
          <t>MVS Sec.15 p.31</t>
        </is>
      </c>
    </row>
    <row r="1683">
      <c r="B1683" t="inlineStr">
        <is>
          <t>Governmental – Community Service Buildings</t>
        </is>
      </c>
      <c r="C1683" t="inlineStr">
        <is>
          <t>491</t>
        </is>
      </c>
      <c r="D1683" t="inlineStr">
        <is>
          <t>15</t>
        </is>
      </c>
      <c r="E1683" t="inlineStr">
        <is>
          <t>31</t>
        </is>
      </c>
      <c r="F1683" t="inlineStr">
        <is>
          <t>D</t>
        </is>
      </c>
      <c r="G1683" t="inlineStr">
        <is>
          <t>Low Cost</t>
        </is>
      </c>
      <c r="H1683" t="n">
        <v>118</v>
      </c>
      <c r="I1683">
        <f>B1683&amp;"|"&amp;F1683&amp;"|"&amp;G1683</f>
        <v/>
      </c>
      <c r="J1683" t="inlineStr">
        <is>
          <t>MVS Sec.15 p.31</t>
        </is>
      </c>
    </row>
    <row r="1684">
      <c r="B1684" t="inlineStr">
        <is>
          <t>Governmental – Community Service Buildings</t>
        </is>
      </c>
      <c r="C1684" t="inlineStr">
        <is>
          <t>491</t>
        </is>
      </c>
      <c r="D1684" t="inlineStr">
        <is>
          <t>15</t>
        </is>
      </c>
      <c r="E1684" t="inlineStr">
        <is>
          <t>31</t>
        </is>
      </c>
      <c r="F1684" t="inlineStr">
        <is>
          <t>DPOLE</t>
        </is>
      </c>
      <c r="G1684" t="inlineStr">
        <is>
          <t>Average</t>
        </is>
      </c>
      <c r="H1684" t="n">
        <v>154</v>
      </c>
      <c r="I1684">
        <f>B1684&amp;"|"&amp;F1684&amp;"|"&amp;G1684</f>
        <v/>
      </c>
      <c r="J1684" t="inlineStr">
        <is>
          <t>MVS Sec.15 p.31</t>
        </is>
      </c>
    </row>
    <row r="1685">
      <c r="B1685" t="inlineStr">
        <is>
          <t>Governmental – Community Service Buildings</t>
        </is>
      </c>
      <c r="C1685" t="inlineStr">
        <is>
          <t>491</t>
        </is>
      </c>
      <c r="D1685" t="inlineStr">
        <is>
          <t>15</t>
        </is>
      </c>
      <c r="E1685" t="inlineStr">
        <is>
          <t>31</t>
        </is>
      </c>
      <c r="F1685" t="inlineStr">
        <is>
          <t>DPOLE</t>
        </is>
      </c>
      <c r="G1685" t="inlineStr">
        <is>
          <t>Low Cost</t>
        </is>
      </c>
      <c r="H1685" t="n">
        <v>112</v>
      </c>
      <c r="I1685">
        <f>B1685&amp;"|"&amp;F1685&amp;"|"&amp;G1685</f>
        <v/>
      </c>
      <c r="J1685" t="inlineStr">
        <is>
          <t>MVS Sec.15 p.31</t>
        </is>
      </c>
    </row>
    <row r="1686">
      <c r="B1686" t="inlineStr">
        <is>
          <t>Governmental – Community Service Buildings</t>
        </is>
      </c>
      <c r="C1686" t="inlineStr">
        <is>
          <t>491</t>
        </is>
      </c>
      <c r="D1686" t="inlineStr">
        <is>
          <t>15</t>
        </is>
      </c>
      <c r="E1686" t="inlineStr">
        <is>
          <t>31</t>
        </is>
      </c>
      <c r="F1686" t="inlineStr">
        <is>
          <t>S</t>
        </is>
      </c>
      <c r="G1686" t="inlineStr">
        <is>
          <t>Good</t>
        </is>
      </c>
      <c r="H1686" t="n">
        <v>216</v>
      </c>
      <c r="I1686">
        <f>B1686&amp;"|"&amp;F1686&amp;"|"&amp;G1686</f>
        <v/>
      </c>
      <c r="J1686" t="inlineStr">
        <is>
          <t>MVS Sec.15 p.31</t>
        </is>
      </c>
    </row>
    <row r="1687">
      <c r="B1687" t="inlineStr">
        <is>
          <t>Governmental – Community Service Buildings</t>
        </is>
      </c>
      <c r="C1687" t="inlineStr">
        <is>
          <t>491</t>
        </is>
      </c>
      <c r="D1687" t="inlineStr">
        <is>
          <t>15</t>
        </is>
      </c>
      <c r="E1687" t="inlineStr">
        <is>
          <t>31</t>
        </is>
      </c>
      <c r="F1687" t="inlineStr">
        <is>
          <t>S</t>
        </is>
      </c>
      <c r="G1687" t="inlineStr">
        <is>
          <t>Average</t>
        </is>
      </c>
      <c r="H1687" t="n">
        <v>159</v>
      </c>
      <c r="I1687">
        <f>B1687&amp;"|"&amp;F1687&amp;"|"&amp;G1687</f>
        <v/>
      </c>
      <c r="J1687" t="inlineStr">
        <is>
          <t>MVS Sec.15 p.31</t>
        </is>
      </c>
    </row>
    <row r="1688">
      <c r="B1688" t="inlineStr">
        <is>
          <t>Governmental – Community Service Buildings</t>
        </is>
      </c>
      <c r="C1688" t="inlineStr">
        <is>
          <t>491</t>
        </is>
      </c>
      <c r="D1688" t="inlineStr">
        <is>
          <t>15</t>
        </is>
      </c>
      <c r="E1688" t="inlineStr">
        <is>
          <t>31</t>
        </is>
      </c>
      <c r="F1688" t="inlineStr">
        <is>
          <t>S</t>
        </is>
      </c>
      <c r="G1688" t="inlineStr">
        <is>
          <t>Low Cost</t>
        </is>
      </c>
      <c r="H1688" t="n">
        <v>116</v>
      </c>
      <c r="I1688">
        <f>B1688&amp;"|"&amp;F1688&amp;"|"&amp;G1688</f>
        <v/>
      </c>
      <c r="J1688" t="inlineStr">
        <is>
          <t>MVS Sec.15 p.31</t>
        </is>
      </c>
    </row>
    <row r="1689">
      <c r="B1689" t="inlineStr">
        <is>
          <t>Public Libraries</t>
        </is>
      </c>
      <c r="C1689" t="inlineStr">
        <is>
          <t>337</t>
        </is>
      </c>
      <c r="D1689" t="inlineStr">
        <is>
          <t>15</t>
        </is>
      </c>
      <c r="E1689" t="inlineStr">
        <is>
          <t>32</t>
        </is>
      </c>
      <c r="F1689" t="inlineStr">
        <is>
          <t>A</t>
        </is>
      </c>
      <c r="G1689" t="inlineStr">
        <is>
          <t>Good</t>
        </is>
      </c>
      <c r="H1689" t="n">
        <v>394</v>
      </c>
      <c r="I1689">
        <f>B1689&amp;"|"&amp;F1689&amp;"|"&amp;G1689</f>
        <v/>
      </c>
      <c r="J1689" t="inlineStr">
        <is>
          <t>MVS Sec.15 p.32</t>
        </is>
      </c>
    </row>
    <row r="1690">
      <c r="B1690" t="inlineStr">
        <is>
          <t>Public Libraries</t>
        </is>
      </c>
      <c r="C1690" t="inlineStr">
        <is>
          <t>337</t>
        </is>
      </c>
      <c r="D1690" t="inlineStr">
        <is>
          <t>15</t>
        </is>
      </c>
      <c r="E1690" t="inlineStr">
        <is>
          <t>32</t>
        </is>
      </c>
      <c r="F1690" t="inlineStr">
        <is>
          <t>A</t>
        </is>
      </c>
      <c r="G1690" t="inlineStr">
        <is>
          <t>Average</t>
        </is>
      </c>
      <c r="H1690" t="n">
        <v>290</v>
      </c>
      <c r="I1690">
        <f>B1690&amp;"|"&amp;F1690&amp;"|"&amp;G1690</f>
        <v/>
      </c>
      <c r="J1690" t="inlineStr">
        <is>
          <t>MVS Sec.15 p.32</t>
        </is>
      </c>
    </row>
    <row r="1691">
      <c r="B1691" t="inlineStr">
        <is>
          <t>Public Libraries</t>
        </is>
      </c>
      <c r="C1691" t="inlineStr">
        <is>
          <t>337</t>
        </is>
      </c>
      <c r="D1691" t="inlineStr">
        <is>
          <t>15</t>
        </is>
      </c>
      <c r="E1691" t="inlineStr">
        <is>
          <t>32</t>
        </is>
      </c>
      <c r="F1691" t="inlineStr">
        <is>
          <t>B</t>
        </is>
      </c>
      <c r="G1691" t="inlineStr">
        <is>
          <t>Good</t>
        </is>
      </c>
      <c r="H1691" t="n">
        <v>359</v>
      </c>
      <c r="I1691">
        <f>B1691&amp;"|"&amp;F1691&amp;"|"&amp;G1691</f>
        <v/>
      </c>
      <c r="J1691" t="inlineStr">
        <is>
          <t>MVS Sec.15 p.32</t>
        </is>
      </c>
    </row>
    <row r="1692">
      <c r="B1692" t="inlineStr">
        <is>
          <t>Public Libraries</t>
        </is>
      </c>
      <c r="C1692" t="inlineStr">
        <is>
          <t>337</t>
        </is>
      </c>
      <c r="D1692" t="inlineStr">
        <is>
          <t>15</t>
        </is>
      </c>
      <c r="E1692" t="inlineStr">
        <is>
          <t>32</t>
        </is>
      </c>
      <c r="F1692" t="inlineStr">
        <is>
          <t>B</t>
        </is>
      </c>
      <c r="G1692" t="inlineStr">
        <is>
          <t>Average</t>
        </is>
      </c>
      <c r="H1692" t="n">
        <v>264</v>
      </c>
      <c r="I1692">
        <f>B1692&amp;"|"&amp;F1692&amp;"|"&amp;G1692</f>
        <v/>
      </c>
      <c r="J1692" t="inlineStr">
        <is>
          <t>MVS Sec.15 p.32</t>
        </is>
      </c>
    </row>
    <row r="1693">
      <c r="B1693" t="inlineStr">
        <is>
          <t>Public Libraries</t>
        </is>
      </c>
      <c r="C1693" t="inlineStr">
        <is>
          <t>337</t>
        </is>
      </c>
      <c r="D1693" t="inlineStr">
        <is>
          <t>15</t>
        </is>
      </c>
      <c r="E1693" t="inlineStr">
        <is>
          <t>32</t>
        </is>
      </c>
      <c r="F1693" t="inlineStr">
        <is>
          <t>C</t>
        </is>
      </c>
      <c r="G1693" t="inlineStr">
        <is>
          <t>Excellent</t>
        </is>
      </c>
      <c r="H1693" t="n">
        <v>447</v>
      </c>
      <c r="I1693">
        <f>B1693&amp;"|"&amp;F1693&amp;"|"&amp;G1693</f>
        <v/>
      </c>
      <c r="J1693" t="inlineStr">
        <is>
          <t>MVS Sec.15 p.32</t>
        </is>
      </c>
    </row>
    <row r="1694">
      <c r="B1694" t="inlineStr">
        <is>
          <t>Public Libraries</t>
        </is>
      </c>
      <c r="C1694" t="inlineStr">
        <is>
          <t>337</t>
        </is>
      </c>
      <c r="D1694" t="inlineStr">
        <is>
          <t>15</t>
        </is>
      </c>
      <c r="E1694" t="inlineStr">
        <is>
          <t>32</t>
        </is>
      </c>
      <c r="F1694" t="inlineStr">
        <is>
          <t>C</t>
        </is>
      </c>
      <c r="G1694" t="inlineStr">
        <is>
          <t>Very Good</t>
        </is>
      </c>
      <c r="H1694" t="n">
        <v>350</v>
      </c>
      <c r="I1694">
        <f>B1694&amp;"|"&amp;F1694&amp;"|"&amp;G1694</f>
        <v/>
      </c>
      <c r="J1694" t="inlineStr">
        <is>
          <t>MVS Sec.15 p.32</t>
        </is>
      </c>
    </row>
    <row r="1695">
      <c r="B1695" t="inlineStr">
        <is>
          <t>Public Libraries</t>
        </is>
      </c>
      <c r="C1695" t="inlineStr">
        <is>
          <t>337</t>
        </is>
      </c>
      <c r="D1695" t="inlineStr">
        <is>
          <t>15</t>
        </is>
      </c>
      <c r="E1695" t="inlineStr">
        <is>
          <t>32</t>
        </is>
      </c>
      <c r="F1695" t="inlineStr">
        <is>
          <t>C</t>
        </is>
      </c>
      <c r="G1695" t="inlineStr">
        <is>
          <t>Good</t>
        </is>
      </c>
      <c r="H1695" t="n">
        <v>262</v>
      </c>
      <c r="I1695">
        <f>B1695&amp;"|"&amp;F1695&amp;"|"&amp;G1695</f>
        <v/>
      </c>
      <c r="J1695" t="inlineStr">
        <is>
          <t>MVS Sec.15 p.32</t>
        </is>
      </c>
    </row>
    <row r="1696">
      <c r="B1696" t="inlineStr">
        <is>
          <t>Public Libraries</t>
        </is>
      </c>
      <c r="C1696" t="inlineStr">
        <is>
          <t>337</t>
        </is>
      </c>
      <c r="D1696" t="inlineStr">
        <is>
          <t>15</t>
        </is>
      </c>
      <c r="E1696" t="inlineStr">
        <is>
          <t>32</t>
        </is>
      </c>
      <c r="F1696" t="inlineStr">
        <is>
          <t>C</t>
        </is>
      </c>
      <c r="G1696" t="inlineStr">
        <is>
          <t>Average</t>
        </is>
      </c>
      <c r="H1696" t="n">
        <v>195</v>
      </c>
      <c r="I1696">
        <f>B1696&amp;"|"&amp;F1696&amp;"|"&amp;G1696</f>
        <v/>
      </c>
      <c r="J1696" t="inlineStr">
        <is>
          <t>MVS Sec.15 p.32</t>
        </is>
      </c>
    </row>
    <row r="1697">
      <c r="B1697" t="inlineStr">
        <is>
          <t>Public Libraries</t>
        </is>
      </c>
      <c r="C1697" t="inlineStr">
        <is>
          <t>337</t>
        </is>
      </c>
      <c r="D1697" t="inlineStr">
        <is>
          <t>15</t>
        </is>
      </c>
      <c r="E1697" t="inlineStr">
        <is>
          <t>32</t>
        </is>
      </c>
      <c r="F1697" t="inlineStr">
        <is>
          <t>C</t>
        </is>
      </c>
      <c r="G1697" t="inlineStr">
        <is>
          <t>Low Cost</t>
        </is>
      </c>
      <c r="H1697" t="n">
        <v>148</v>
      </c>
      <c r="I1697">
        <f>B1697&amp;"|"&amp;F1697&amp;"|"&amp;G1697</f>
        <v/>
      </c>
      <c r="J1697" t="inlineStr">
        <is>
          <t>MVS Sec.15 p.32</t>
        </is>
      </c>
    </row>
    <row r="1698">
      <c r="B1698" t="inlineStr">
        <is>
          <t>Public Libraries</t>
        </is>
      </c>
      <c r="C1698" t="inlineStr">
        <is>
          <t>337</t>
        </is>
      </c>
      <c r="D1698" t="inlineStr">
        <is>
          <t>15</t>
        </is>
      </c>
      <c r="E1698" t="inlineStr">
        <is>
          <t>32</t>
        </is>
      </c>
      <c r="F1698" t="inlineStr">
        <is>
          <t>D</t>
        </is>
      </c>
      <c r="G1698" t="inlineStr">
        <is>
          <t>Excellent</t>
        </is>
      </c>
      <c r="H1698" t="n">
        <v>417</v>
      </c>
      <c r="I1698">
        <f>B1698&amp;"|"&amp;F1698&amp;"|"&amp;G1698</f>
        <v/>
      </c>
      <c r="J1698" t="inlineStr">
        <is>
          <t>MVS Sec.15 p.32</t>
        </is>
      </c>
    </row>
    <row r="1699">
      <c r="B1699" t="inlineStr">
        <is>
          <t>Public Libraries</t>
        </is>
      </c>
      <c r="C1699" t="inlineStr">
        <is>
          <t>337</t>
        </is>
      </c>
      <c r="D1699" t="inlineStr">
        <is>
          <t>15</t>
        </is>
      </c>
      <c r="E1699" t="inlineStr">
        <is>
          <t>32</t>
        </is>
      </c>
      <c r="F1699" t="inlineStr">
        <is>
          <t>D</t>
        </is>
      </c>
      <c r="G1699" t="inlineStr">
        <is>
          <t>Very Good</t>
        </is>
      </c>
      <c r="H1699" t="n">
        <v>323</v>
      </c>
      <c r="I1699">
        <f>B1699&amp;"|"&amp;F1699&amp;"|"&amp;G1699</f>
        <v/>
      </c>
      <c r="J1699" t="inlineStr">
        <is>
          <t>MVS Sec.15 p.32</t>
        </is>
      </c>
    </row>
    <row r="1700">
      <c r="B1700" t="inlineStr">
        <is>
          <t>Public Libraries</t>
        </is>
      </c>
      <c r="C1700" t="inlineStr">
        <is>
          <t>337</t>
        </is>
      </c>
      <c r="D1700" t="inlineStr">
        <is>
          <t>15</t>
        </is>
      </c>
      <c r="E1700" t="inlineStr">
        <is>
          <t>32</t>
        </is>
      </c>
      <c r="F1700" t="inlineStr">
        <is>
          <t>D</t>
        </is>
      </c>
      <c r="G1700" t="inlineStr">
        <is>
          <t>Good</t>
        </is>
      </c>
      <c r="H1700" t="n">
        <v>251</v>
      </c>
      <c r="I1700">
        <f>B1700&amp;"|"&amp;F1700&amp;"|"&amp;G1700</f>
        <v/>
      </c>
      <c r="J1700" t="inlineStr">
        <is>
          <t>MVS Sec.15 p.32</t>
        </is>
      </c>
    </row>
    <row r="1701">
      <c r="B1701" t="inlineStr">
        <is>
          <t>Public Libraries</t>
        </is>
      </c>
      <c r="C1701" t="inlineStr">
        <is>
          <t>337</t>
        </is>
      </c>
      <c r="D1701" t="inlineStr">
        <is>
          <t>15</t>
        </is>
      </c>
      <c r="E1701" t="inlineStr">
        <is>
          <t>32</t>
        </is>
      </c>
      <c r="F1701" t="inlineStr">
        <is>
          <t>D</t>
        </is>
      </c>
      <c r="G1701" t="inlineStr">
        <is>
          <t>Average</t>
        </is>
      </c>
      <c r="H1701" t="n">
        <v>186</v>
      </c>
      <c r="I1701">
        <f>B1701&amp;"|"&amp;F1701&amp;"|"&amp;G1701</f>
        <v/>
      </c>
      <c r="J1701" t="inlineStr">
        <is>
          <t>MVS Sec.15 p.32</t>
        </is>
      </c>
    </row>
    <row r="1702">
      <c r="B1702" t="inlineStr">
        <is>
          <t>Public Libraries</t>
        </is>
      </c>
      <c r="C1702" t="inlineStr">
        <is>
          <t>337</t>
        </is>
      </c>
      <c r="D1702" t="inlineStr">
        <is>
          <t>15</t>
        </is>
      </c>
      <c r="E1702" t="inlineStr">
        <is>
          <t>32</t>
        </is>
      </c>
      <c r="F1702" t="inlineStr">
        <is>
          <t>D</t>
        </is>
      </c>
      <c r="G1702" t="inlineStr">
        <is>
          <t>Low Cost</t>
        </is>
      </c>
      <c r="H1702" t="n">
        <v>140</v>
      </c>
      <c r="I1702">
        <f>B1702&amp;"|"&amp;F1702&amp;"|"&amp;G1702</f>
        <v/>
      </c>
      <c r="J1702" t="inlineStr">
        <is>
          <t>MVS Sec.15 p.32</t>
        </is>
      </c>
    </row>
    <row r="1703">
      <c r="B1703" t="inlineStr">
        <is>
          <t>Public Libraries</t>
        </is>
      </c>
      <c r="C1703" t="inlineStr">
        <is>
          <t>337</t>
        </is>
      </c>
      <c r="D1703" t="inlineStr">
        <is>
          <t>15</t>
        </is>
      </c>
      <c r="E1703" t="inlineStr">
        <is>
          <t>32</t>
        </is>
      </c>
      <c r="F1703" t="inlineStr">
        <is>
          <t>DPOLE</t>
        </is>
      </c>
      <c r="G1703" t="inlineStr">
        <is>
          <t>Low Cost</t>
        </is>
      </c>
      <c r="H1703" t="n">
        <v>129</v>
      </c>
      <c r="I1703">
        <f>B1703&amp;"|"&amp;F1703&amp;"|"&amp;G1703</f>
        <v/>
      </c>
      <c r="J1703" t="inlineStr">
        <is>
          <t>MVS Sec.15 p.32</t>
        </is>
      </c>
    </row>
    <row r="1704">
      <c r="B1704" t="inlineStr">
        <is>
          <t>Public Libraries</t>
        </is>
      </c>
      <c r="C1704" t="inlineStr">
        <is>
          <t>337</t>
        </is>
      </c>
      <c r="D1704" t="inlineStr">
        <is>
          <t>15</t>
        </is>
      </c>
      <c r="E1704" t="inlineStr">
        <is>
          <t>32</t>
        </is>
      </c>
      <c r="F1704" t="inlineStr">
        <is>
          <t>S</t>
        </is>
      </c>
      <c r="G1704" t="inlineStr">
        <is>
          <t>Good</t>
        </is>
      </c>
      <c r="H1704" t="n">
        <v>241</v>
      </c>
      <c r="I1704">
        <f>B1704&amp;"|"&amp;F1704&amp;"|"&amp;G1704</f>
        <v/>
      </c>
      <c r="J1704" t="inlineStr">
        <is>
          <t>MVS Sec.15 p.32</t>
        </is>
      </c>
    </row>
    <row r="1705">
      <c r="B1705" t="inlineStr">
        <is>
          <t>Public Libraries</t>
        </is>
      </c>
      <c r="C1705" t="inlineStr">
        <is>
          <t>337</t>
        </is>
      </c>
      <c r="D1705" t="inlineStr">
        <is>
          <t>15</t>
        </is>
      </c>
      <c r="E1705" t="inlineStr">
        <is>
          <t>32</t>
        </is>
      </c>
      <c r="F1705" t="inlineStr">
        <is>
          <t>S</t>
        </is>
      </c>
      <c r="G1705" t="inlineStr">
        <is>
          <t>Average</t>
        </is>
      </c>
      <c r="H1705" t="n">
        <v>178</v>
      </c>
      <c r="I1705">
        <f>B1705&amp;"|"&amp;F1705&amp;"|"&amp;G1705</f>
        <v/>
      </c>
      <c r="J1705" t="inlineStr">
        <is>
          <t>MVS Sec.15 p.32</t>
        </is>
      </c>
    </row>
    <row r="1706">
      <c r="B1706" t="inlineStr">
        <is>
          <t>Public Libraries</t>
        </is>
      </c>
      <c r="C1706" t="inlineStr">
        <is>
          <t>337</t>
        </is>
      </c>
      <c r="D1706" t="inlineStr">
        <is>
          <t>15</t>
        </is>
      </c>
      <c r="E1706" t="inlineStr">
        <is>
          <t>32</t>
        </is>
      </c>
      <c r="F1706" t="inlineStr">
        <is>
          <t>S</t>
        </is>
      </c>
      <c r="G1706" t="inlineStr">
        <is>
          <t>Low Cost</t>
        </is>
      </c>
      <c r="H1706" t="n">
        <v>134</v>
      </c>
      <c r="I1706">
        <f>B1706&amp;"|"&amp;F1706&amp;"|"&amp;G1706</f>
        <v/>
      </c>
      <c r="J1706" t="inlineStr">
        <is>
          <t>MVS Sec.15 p.32</t>
        </is>
      </c>
    </row>
    <row r="1707">
      <c r="B1707" t="inlineStr">
        <is>
          <t>Jails – Correctional Facilities</t>
        </is>
      </c>
      <c r="C1707" t="inlineStr">
        <is>
          <t>335</t>
        </is>
      </c>
      <c r="D1707" t="inlineStr">
        <is>
          <t>15</t>
        </is>
      </c>
      <c r="E1707" t="inlineStr">
        <is>
          <t>33</t>
        </is>
      </c>
      <c r="F1707" t="inlineStr">
        <is>
          <t>A-B</t>
        </is>
      </c>
      <c r="G1707" t="inlineStr">
        <is>
          <t>Excellent</t>
        </is>
      </c>
      <c r="H1707" t="n">
        <v>615</v>
      </c>
      <c r="I1707">
        <f>B1707&amp;"|"&amp;F1707&amp;"|"&amp;G1707</f>
        <v/>
      </c>
      <c r="J1707" t="inlineStr">
        <is>
          <t>MVS Sec.15 p.33</t>
        </is>
      </c>
    </row>
    <row r="1708">
      <c r="B1708" t="inlineStr">
        <is>
          <t>Jails – Correctional Facilities</t>
        </is>
      </c>
      <c r="C1708" t="inlineStr">
        <is>
          <t>335</t>
        </is>
      </c>
      <c r="D1708" t="inlineStr">
        <is>
          <t>15</t>
        </is>
      </c>
      <c r="E1708" t="inlineStr">
        <is>
          <t>33</t>
        </is>
      </c>
      <c r="F1708" t="inlineStr">
        <is>
          <t>A-B</t>
        </is>
      </c>
      <c r="G1708" t="inlineStr">
        <is>
          <t>Good</t>
        </is>
      </c>
      <c r="H1708" t="n">
        <v>450</v>
      </c>
      <c r="I1708">
        <f>B1708&amp;"|"&amp;F1708&amp;"|"&amp;G1708</f>
        <v/>
      </c>
      <c r="J1708" t="inlineStr">
        <is>
          <t>MVS Sec.15 p.33</t>
        </is>
      </c>
    </row>
    <row r="1709">
      <c r="B1709" t="inlineStr">
        <is>
          <t>Jails – Correctional Facilities</t>
        </is>
      </c>
      <c r="C1709" t="inlineStr">
        <is>
          <t>335</t>
        </is>
      </c>
      <c r="D1709" t="inlineStr">
        <is>
          <t>15</t>
        </is>
      </c>
      <c r="E1709" t="inlineStr">
        <is>
          <t>33</t>
        </is>
      </c>
      <c r="F1709" t="inlineStr">
        <is>
          <t>A-B</t>
        </is>
      </c>
      <c r="G1709" t="inlineStr">
        <is>
          <t>Average</t>
        </is>
      </c>
      <c r="H1709" t="n">
        <v>335</v>
      </c>
      <c r="I1709">
        <f>B1709&amp;"|"&amp;F1709&amp;"|"&amp;G1709</f>
        <v/>
      </c>
      <c r="J1709" t="inlineStr">
        <is>
          <t>MVS Sec.15 p.33</t>
        </is>
      </c>
    </row>
    <row r="1710">
      <c r="B1710" t="inlineStr">
        <is>
          <t>Jails – Correctional Facilities</t>
        </is>
      </c>
      <c r="C1710" t="inlineStr">
        <is>
          <t>335</t>
        </is>
      </c>
      <c r="D1710" t="inlineStr">
        <is>
          <t>15</t>
        </is>
      </c>
      <c r="E1710" t="inlineStr">
        <is>
          <t>33</t>
        </is>
      </c>
      <c r="F1710" t="inlineStr">
        <is>
          <t>C</t>
        </is>
      </c>
      <c r="G1710" t="inlineStr">
        <is>
          <t>Excellent</t>
        </is>
      </c>
      <c r="H1710" t="n">
        <v>499</v>
      </c>
      <c r="I1710">
        <f>B1710&amp;"|"&amp;F1710&amp;"|"&amp;G1710</f>
        <v/>
      </c>
      <c r="J1710" t="inlineStr">
        <is>
          <t>MVS Sec.15 p.33</t>
        </is>
      </c>
    </row>
    <row r="1711">
      <c r="B1711" t="inlineStr">
        <is>
          <t>Jails – Correctional Facilities</t>
        </is>
      </c>
      <c r="C1711" t="inlineStr">
        <is>
          <t>335</t>
        </is>
      </c>
      <c r="D1711" t="inlineStr">
        <is>
          <t>15</t>
        </is>
      </c>
      <c r="E1711" t="inlineStr">
        <is>
          <t>33</t>
        </is>
      </c>
      <c r="F1711" t="inlineStr">
        <is>
          <t>C</t>
        </is>
      </c>
      <c r="G1711" t="inlineStr">
        <is>
          <t>Good</t>
        </is>
      </c>
      <c r="H1711" t="n">
        <v>366</v>
      </c>
      <c r="I1711">
        <f>B1711&amp;"|"&amp;F1711&amp;"|"&amp;G1711</f>
        <v/>
      </c>
      <c r="J1711" t="inlineStr">
        <is>
          <t>MVS Sec.15 p.33</t>
        </is>
      </c>
    </row>
    <row r="1712">
      <c r="B1712" t="inlineStr">
        <is>
          <t>Jails – Correctional Facilities</t>
        </is>
      </c>
      <c r="C1712" t="inlineStr">
        <is>
          <t>335</t>
        </is>
      </c>
      <c r="D1712" t="inlineStr">
        <is>
          <t>15</t>
        </is>
      </c>
      <c r="E1712" t="inlineStr">
        <is>
          <t>33</t>
        </is>
      </c>
      <c r="F1712" t="inlineStr">
        <is>
          <t>C</t>
        </is>
      </c>
      <c r="G1712" t="inlineStr">
        <is>
          <t>Average</t>
        </is>
      </c>
      <c r="H1712" t="n">
        <v>273</v>
      </c>
      <c r="I1712">
        <f>B1712&amp;"|"&amp;F1712&amp;"|"&amp;G1712</f>
        <v/>
      </c>
      <c r="J1712" t="inlineStr">
        <is>
          <t>MVS Sec.15 p.33</t>
        </is>
      </c>
    </row>
    <row r="1713">
      <c r="B1713" t="inlineStr">
        <is>
          <t>Jails – Correctional Facilities</t>
        </is>
      </c>
      <c r="C1713" t="inlineStr">
        <is>
          <t>335</t>
        </is>
      </c>
      <c r="D1713" t="inlineStr">
        <is>
          <t>15</t>
        </is>
      </c>
      <c r="E1713" t="inlineStr">
        <is>
          <t>33</t>
        </is>
      </c>
      <c r="F1713" t="inlineStr">
        <is>
          <t>C</t>
        </is>
      </c>
      <c r="G1713" t="inlineStr">
        <is>
          <t>Low Cost</t>
        </is>
      </c>
      <c r="H1713" t="n">
        <v>204</v>
      </c>
      <c r="I1713">
        <f>B1713&amp;"|"&amp;F1713&amp;"|"&amp;G1713</f>
        <v/>
      </c>
      <c r="J1713" t="inlineStr">
        <is>
          <t>MVS Sec.15 p.33</t>
        </is>
      </c>
    </row>
    <row r="1714">
      <c r="B1714" t="inlineStr">
        <is>
          <t>Jails – Correctional Facilities</t>
        </is>
      </c>
      <c r="C1714" t="inlineStr">
        <is>
          <t>335</t>
        </is>
      </c>
      <c r="D1714" t="inlineStr">
        <is>
          <t>15</t>
        </is>
      </c>
      <c r="E1714" t="inlineStr">
        <is>
          <t>33</t>
        </is>
      </c>
      <c r="F1714" t="inlineStr">
        <is>
          <t>D</t>
        </is>
      </c>
      <c r="G1714" t="inlineStr">
        <is>
          <t>Excellent</t>
        </is>
      </c>
      <c r="H1714" t="n">
        <v>469</v>
      </c>
      <c r="I1714">
        <f>B1714&amp;"|"&amp;F1714&amp;"|"&amp;G1714</f>
        <v/>
      </c>
      <c r="J1714" t="inlineStr">
        <is>
          <t>MVS Sec.15 p.33</t>
        </is>
      </c>
    </row>
    <row r="1715">
      <c r="B1715" t="inlineStr">
        <is>
          <t>Jails – Correctional Facilities</t>
        </is>
      </c>
      <c r="C1715" t="inlineStr">
        <is>
          <t>335</t>
        </is>
      </c>
      <c r="D1715" t="inlineStr">
        <is>
          <t>15</t>
        </is>
      </c>
      <c r="E1715" t="inlineStr">
        <is>
          <t>33</t>
        </is>
      </c>
      <c r="F1715" t="inlineStr">
        <is>
          <t>D</t>
        </is>
      </c>
      <c r="G1715" t="inlineStr">
        <is>
          <t>Good</t>
        </is>
      </c>
      <c r="H1715" t="n">
        <v>349</v>
      </c>
      <c r="I1715">
        <f>B1715&amp;"|"&amp;F1715&amp;"|"&amp;G1715</f>
        <v/>
      </c>
      <c r="J1715" t="inlineStr">
        <is>
          <t>MVS Sec.15 p.33</t>
        </is>
      </c>
    </row>
    <row r="1716">
      <c r="B1716" t="inlineStr">
        <is>
          <t>Jails – Correctional Facilities</t>
        </is>
      </c>
      <c r="C1716" t="inlineStr">
        <is>
          <t>335</t>
        </is>
      </c>
      <c r="D1716" t="inlineStr">
        <is>
          <t>15</t>
        </is>
      </c>
      <c r="E1716" t="inlineStr">
        <is>
          <t>33</t>
        </is>
      </c>
      <c r="F1716" t="inlineStr">
        <is>
          <t>D</t>
        </is>
      </c>
      <c r="G1716" t="inlineStr">
        <is>
          <t>Average</t>
        </is>
      </c>
      <c r="H1716" t="n">
        <v>258</v>
      </c>
      <c r="I1716">
        <f>B1716&amp;"|"&amp;F1716&amp;"|"&amp;G1716</f>
        <v/>
      </c>
      <c r="J1716" t="inlineStr">
        <is>
          <t>MVS Sec.15 p.33</t>
        </is>
      </c>
    </row>
    <row r="1717">
      <c r="B1717" t="inlineStr">
        <is>
          <t>Jails – Correctional Facilities</t>
        </is>
      </c>
      <c r="C1717" t="inlineStr">
        <is>
          <t>335</t>
        </is>
      </c>
      <c r="D1717" t="inlineStr">
        <is>
          <t>15</t>
        </is>
      </c>
      <c r="E1717" t="inlineStr">
        <is>
          <t>33</t>
        </is>
      </c>
      <c r="F1717" t="inlineStr">
        <is>
          <t>S</t>
        </is>
      </c>
      <c r="G1717" t="inlineStr">
        <is>
          <t>Average</t>
        </is>
      </c>
      <c r="H1717" t="n">
        <v>256</v>
      </c>
      <c r="I1717">
        <f>B1717&amp;"|"&amp;F1717&amp;"|"&amp;G1717</f>
        <v/>
      </c>
      <c r="J1717" t="inlineStr">
        <is>
          <t>MVS Sec.15 p.33</t>
        </is>
      </c>
    </row>
    <row r="1718">
      <c r="B1718" t="inlineStr">
        <is>
          <t>Jails – Police Stations</t>
        </is>
      </c>
      <c r="C1718" t="inlineStr">
        <is>
          <t>489</t>
        </is>
      </c>
      <c r="D1718" t="inlineStr">
        <is>
          <t>15</t>
        </is>
      </c>
      <c r="E1718" t="inlineStr">
        <is>
          <t>33</t>
        </is>
      </c>
      <c r="F1718" t="inlineStr">
        <is>
          <t>A-B</t>
        </is>
      </c>
      <c r="G1718" t="inlineStr">
        <is>
          <t>Excellent</t>
        </is>
      </c>
      <c r="H1718" t="n">
        <v>405</v>
      </c>
      <c r="I1718">
        <f>B1718&amp;"|"&amp;F1718&amp;"|"&amp;G1718</f>
        <v/>
      </c>
      <c r="J1718" t="inlineStr">
        <is>
          <t>MVS Sec.15 p.33</t>
        </is>
      </c>
    </row>
    <row r="1719">
      <c r="B1719" t="inlineStr">
        <is>
          <t>Jails – Police Stations</t>
        </is>
      </c>
      <c r="C1719" t="inlineStr">
        <is>
          <t>489</t>
        </is>
      </c>
      <c r="D1719" t="inlineStr">
        <is>
          <t>15</t>
        </is>
      </c>
      <c r="E1719" t="inlineStr">
        <is>
          <t>33</t>
        </is>
      </c>
      <c r="F1719" t="inlineStr">
        <is>
          <t>A-B</t>
        </is>
      </c>
      <c r="G1719" t="inlineStr">
        <is>
          <t>Good</t>
        </is>
      </c>
      <c r="H1719" t="n">
        <v>305</v>
      </c>
      <c r="I1719">
        <f>B1719&amp;"|"&amp;F1719&amp;"|"&amp;G1719</f>
        <v/>
      </c>
      <c r="J1719" t="inlineStr">
        <is>
          <t>MVS Sec.15 p.33</t>
        </is>
      </c>
    </row>
    <row r="1720">
      <c r="B1720" t="inlineStr">
        <is>
          <t>Jails – Police Stations</t>
        </is>
      </c>
      <c r="C1720" t="inlineStr">
        <is>
          <t>489</t>
        </is>
      </c>
      <c r="D1720" t="inlineStr">
        <is>
          <t>15</t>
        </is>
      </c>
      <c r="E1720" t="inlineStr">
        <is>
          <t>33</t>
        </is>
      </c>
      <c r="F1720" t="inlineStr">
        <is>
          <t>A-B</t>
        </is>
      </c>
      <c r="G1720" t="inlineStr">
        <is>
          <t>Average</t>
        </is>
      </c>
      <c r="H1720" t="n">
        <v>240</v>
      </c>
      <c r="I1720">
        <f>B1720&amp;"|"&amp;F1720&amp;"|"&amp;G1720</f>
        <v/>
      </c>
      <c r="J1720" t="inlineStr">
        <is>
          <t>MVS Sec.15 p.33</t>
        </is>
      </c>
    </row>
    <row r="1721">
      <c r="B1721" t="inlineStr">
        <is>
          <t>Jails – Police Stations</t>
        </is>
      </c>
      <c r="C1721" t="inlineStr">
        <is>
          <t>489</t>
        </is>
      </c>
      <c r="D1721" t="inlineStr">
        <is>
          <t>15</t>
        </is>
      </c>
      <c r="E1721" t="inlineStr">
        <is>
          <t>33</t>
        </is>
      </c>
      <c r="F1721" t="inlineStr">
        <is>
          <t>A-B</t>
        </is>
      </c>
      <c r="G1721" t="inlineStr">
        <is>
          <t>Low Cost</t>
        </is>
      </c>
      <c r="H1721" t="n">
        <v>185</v>
      </c>
      <c r="I1721">
        <f>B1721&amp;"|"&amp;F1721&amp;"|"&amp;G1721</f>
        <v/>
      </c>
      <c r="J1721" t="inlineStr">
        <is>
          <t>MVS Sec.15 p.33</t>
        </is>
      </c>
    </row>
    <row r="1722">
      <c r="B1722" t="inlineStr">
        <is>
          <t>Jails – Police Stations</t>
        </is>
      </c>
      <c r="C1722" t="inlineStr">
        <is>
          <t>489</t>
        </is>
      </c>
      <c r="D1722" t="inlineStr">
        <is>
          <t>15</t>
        </is>
      </c>
      <c r="E1722" t="inlineStr">
        <is>
          <t>33</t>
        </is>
      </c>
      <c r="F1722" t="inlineStr">
        <is>
          <t>C</t>
        </is>
      </c>
      <c r="G1722" t="inlineStr">
        <is>
          <t>Excellent</t>
        </is>
      </c>
      <c r="H1722" t="n">
        <v>345</v>
      </c>
      <c r="I1722">
        <f>B1722&amp;"|"&amp;F1722&amp;"|"&amp;G1722</f>
        <v/>
      </c>
      <c r="J1722" t="inlineStr">
        <is>
          <t>MVS Sec.15 p.33</t>
        </is>
      </c>
    </row>
    <row r="1723">
      <c r="B1723" t="inlineStr">
        <is>
          <t>Jails – Police Stations</t>
        </is>
      </c>
      <c r="C1723" t="inlineStr">
        <is>
          <t>489</t>
        </is>
      </c>
      <c r="D1723" t="inlineStr">
        <is>
          <t>15</t>
        </is>
      </c>
      <c r="E1723" t="inlineStr">
        <is>
          <t>33</t>
        </is>
      </c>
      <c r="F1723" t="inlineStr">
        <is>
          <t>C</t>
        </is>
      </c>
      <c r="G1723" t="inlineStr">
        <is>
          <t>Good</t>
        </is>
      </c>
      <c r="H1723" t="n">
        <v>259</v>
      </c>
      <c r="I1723">
        <f>B1723&amp;"|"&amp;F1723&amp;"|"&amp;G1723</f>
        <v/>
      </c>
      <c r="J1723" t="inlineStr">
        <is>
          <t>MVS Sec.15 p.33</t>
        </is>
      </c>
    </row>
    <row r="1724">
      <c r="B1724" t="inlineStr">
        <is>
          <t>Jails – Police Stations</t>
        </is>
      </c>
      <c r="C1724" t="inlineStr">
        <is>
          <t>489</t>
        </is>
      </c>
      <c r="D1724" t="inlineStr">
        <is>
          <t>15</t>
        </is>
      </c>
      <c r="E1724" t="inlineStr">
        <is>
          <t>33</t>
        </is>
      </c>
      <c r="F1724" t="inlineStr">
        <is>
          <t>C</t>
        </is>
      </c>
      <c r="G1724" t="inlineStr">
        <is>
          <t>Average</t>
        </is>
      </c>
      <c r="H1724" t="n">
        <v>194</v>
      </c>
      <c r="I1724">
        <f>B1724&amp;"|"&amp;F1724&amp;"|"&amp;G1724</f>
        <v/>
      </c>
      <c r="J1724" t="inlineStr">
        <is>
          <t>MVS Sec.15 p.33</t>
        </is>
      </c>
    </row>
    <row r="1725">
      <c r="B1725" t="inlineStr">
        <is>
          <t>Jails – Police Stations</t>
        </is>
      </c>
      <c r="C1725" t="inlineStr">
        <is>
          <t>489</t>
        </is>
      </c>
      <c r="D1725" t="inlineStr">
        <is>
          <t>15</t>
        </is>
      </c>
      <c r="E1725" t="inlineStr">
        <is>
          <t>33</t>
        </is>
      </c>
      <c r="F1725" t="inlineStr">
        <is>
          <t>C</t>
        </is>
      </c>
      <c r="G1725" t="inlineStr">
        <is>
          <t>Low Cost</t>
        </is>
      </c>
      <c r="H1725" t="n">
        <v>146</v>
      </c>
      <c r="I1725">
        <f>B1725&amp;"|"&amp;F1725&amp;"|"&amp;G1725</f>
        <v/>
      </c>
      <c r="J1725" t="inlineStr">
        <is>
          <t>MVS Sec.15 p.33</t>
        </is>
      </c>
    </row>
    <row r="1726">
      <c r="B1726" t="inlineStr">
        <is>
          <t>Jails – Police Stations</t>
        </is>
      </c>
      <c r="C1726" t="inlineStr">
        <is>
          <t>489</t>
        </is>
      </c>
      <c r="D1726" t="inlineStr">
        <is>
          <t>15</t>
        </is>
      </c>
      <c r="E1726" t="inlineStr">
        <is>
          <t>33</t>
        </is>
      </c>
      <c r="F1726" t="inlineStr">
        <is>
          <t>D</t>
        </is>
      </c>
      <c r="G1726" t="inlineStr">
        <is>
          <t>Excellent</t>
        </is>
      </c>
      <c r="H1726" t="n">
        <v>331</v>
      </c>
      <c r="I1726">
        <f>B1726&amp;"|"&amp;F1726&amp;"|"&amp;G1726</f>
        <v/>
      </c>
      <c r="J1726" t="inlineStr">
        <is>
          <t>MVS Sec.15 p.33</t>
        </is>
      </c>
    </row>
    <row r="1727">
      <c r="B1727" t="inlineStr">
        <is>
          <t>Jails – Police Stations</t>
        </is>
      </c>
      <c r="C1727" t="inlineStr">
        <is>
          <t>489</t>
        </is>
      </c>
      <c r="D1727" t="inlineStr">
        <is>
          <t>15</t>
        </is>
      </c>
      <c r="E1727" t="inlineStr">
        <is>
          <t>33</t>
        </is>
      </c>
      <c r="F1727" t="inlineStr">
        <is>
          <t>D</t>
        </is>
      </c>
      <c r="G1727" t="inlineStr">
        <is>
          <t>Good</t>
        </is>
      </c>
      <c r="H1727" t="n">
        <v>248</v>
      </c>
      <c r="I1727">
        <f>B1727&amp;"|"&amp;F1727&amp;"|"&amp;G1727</f>
        <v/>
      </c>
      <c r="J1727" t="inlineStr">
        <is>
          <t>MVS Sec.15 p.33</t>
        </is>
      </c>
    </row>
    <row r="1728">
      <c r="B1728" t="inlineStr">
        <is>
          <t>Jails – Police Stations</t>
        </is>
      </c>
      <c r="C1728" t="inlineStr">
        <is>
          <t>489</t>
        </is>
      </c>
      <c r="D1728" t="inlineStr">
        <is>
          <t>15</t>
        </is>
      </c>
      <c r="E1728" t="inlineStr">
        <is>
          <t>33</t>
        </is>
      </c>
      <c r="F1728" t="inlineStr">
        <is>
          <t>D</t>
        </is>
      </c>
      <c r="G1728" t="inlineStr">
        <is>
          <t>Average</t>
        </is>
      </c>
      <c r="H1728" t="n">
        <v>186</v>
      </c>
      <c r="I1728">
        <f>B1728&amp;"|"&amp;F1728&amp;"|"&amp;G1728</f>
        <v/>
      </c>
      <c r="J1728" t="inlineStr">
        <is>
          <t>MVS Sec.15 p.33</t>
        </is>
      </c>
    </row>
    <row r="1729">
      <c r="B1729" t="inlineStr">
        <is>
          <t>Shell Office Buildings</t>
        </is>
      </c>
      <c r="C1729" t="inlineStr">
        <is>
          <t>492</t>
        </is>
      </c>
      <c r="D1729" t="inlineStr">
        <is>
          <t>15</t>
        </is>
      </c>
      <c r="E1729" t="inlineStr">
        <is>
          <t>34</t>
        </is>
      </c>
      <c r="F1729" t="inlineStr">
        <is>
          <t>A</t>
        </is>
      </c>
      <c r="G1729" t="inlineStr">
        <is>
          <t>Excellent</t>
        </is>
      </c>
      <c r="H1729" t="n">
        <v>248</v>
      </c>
      <c r="I1729">
        <f>B1729&amp;"|"&amp;F1729&amp;"|"&amp;G1729</f>
        <v/>
      </c>
      <c r="J1729" t="inlineStr">
        <is>
          <t>MVS Sec.15 p.34</t>
        </is>
      </c>
    </row>
    <row r="1730">
      <c r="B1730" t="inlineStr">
        <is>
          <t>Shell Office Buildings</t>
        </is>
      </c>
      <c r="C1730" t="inlineStr">
        <is>
          <t>492</t>
        </is>
      </c>
      <c r="D1730" t="inlineStr">
        <is>
          <t>15</t>
        </is>
      </c>
      <c r="E1730" t="inlineStr">
        <is>
          <t>34</t>
        </is>
      </c>
      <c r="F1730" t="inlineStr">
        <is>
          <t>A</t>
        </is>
      </c>
      <c r="G1730" t="inlineStr">
        <is>
          <t>Good</t>
        </is>
      </c>
      <c r="H1730" t="n">
        <v>193</v>
      </c>
      <c r="I1730">
        <f>B1730&amp;"|"&amp;F1730&amp;"|"&amp;G1730</f>
        <v/>
      </c>
      <c r="J1730" t="inlineStr">
        <is>
          <t>MVS Sec.15 p.34</t>
        </is>
      </c>
    </row>
    <row r="1731">
      <c r="B1731" t="inlineStr">
        <is>
          <t>Shell Office Buildings</t>
        </is>
      </c>
      <c r="C1731" t="inlineStr">
        <is>
          <t>492</t>
        </is>
      </c>
      <c r="D1731" t="inlineStr">
        <is>
          <t>15</t>
        </is>
      </c>
      <c r="E1731" t="inlineStr">
        <is>
          <t>34</t>
        </is>
      </c>
      <c r="F1731" t="inlineStr">
        <is>
          <t>A</t>
        </is>
      </c>
      <c r="G1731" t="inlineStr">
        <is>
          <t>Average</t>
        </is>
      </c>
      <c r="H1731" t="n">
        <v>151</v>
      </c>
      <c r="I1731">
        <f>B1731&amp;"|"&amp;F1731&amp;"|"&amp;G1731</f>
        <v/>
      </c>
      <c r="J1731" t="inlineStr">
        <is>
          <t>MVS Sec.15 p.34</t>
        </is>
      </c>
    </row>
    <row r="1732">
      <c r="B1732" t="inlineStr">
        <is>
          <t>Shell Office Buildings</t>
        </is>
      </c>
      <c r="C1732" t="inlineStr">
        <is>
          <t>492</t>
        </is>
      </c>
      <c r="D1732" t="inlineStr">
        <is>
          <t>15</t>
        </is>
      </c>
      <c r="E1732" t="inlineStr">
        <is>
          <t>34</t>
        </is>
      </c>
      <c r="F1732" t="inlineStr">
        <is>
          <t>A</t>
        </is>
      </c>
      <c r="G1732" t="inlineStr">
        <is>
          <t>Low Cost</t>
        </is>
      </c>
      <c r="H1732" t="n">
        <v>118</v>
      </c>
      <c r="I1732">
        <f>B1732&amp;"|"&amp;F1732&amp;"|"&amp;G1732</f>
        <v/>
      </c>
      <c r="J1732" t="inlineStr">
        <is>
          <t>MVS Sec.15 p.34</t>
        </is>
      </c>
    </row>
    <row r="1733">
      <c r="B1733" t="inlineStr">
        <is>
          <t>Shell Office Buildings</t>
        </is>
      </c>
      <c r="C1733" t="inlineStr">
        <is>
          <t>492</t>
        </is>
      </c>
      <c r="D1733" t="inlineStr">
        <is>
          <t>15</t>
        </is>
      </c>
      <c r="E1733" t="inlineStr">
        <is>
          <t>34</t>
        </is>
      </c>
      <c r="F1733" t="inlineStr">
        <is>
          <t>B</t>
        </is>
      </c>
      <c r="G1733" t="inlineStr">
        <is>
          <t>Excellent</t>
        </is>
      </c>
      <c r="H1733" t="n">
        <v>224</v>
      </c>
      <c r="I1733">
        <f>B1733&amp;"|"&amp;F1733&amp;"|"&amp;G1733</f>
        <v/>
      </c>
      <c r="J1733" t="inlineStr">
        <is>
          <t>MVS Sec.15 p.34</t>
        </is>
      </c>
    </row>
    <row r="1734">
      <c r="B1734" t="inlineStr">
        <is>
          <t>Shell Office Buildings</t>
        </is>
      </c>
      <c r="C1734" t="inlineStr">
        <is>
          <t>492</t>
        </is>
      </c>
      <c r="D1734" t="inlineStr">
        <is>
          <t>15</t>
        </is>
      </c>
      <c r="E1734" t="inlineStr">
        <is>
          <t>34</t>
        </is>
      </c>
      <c r="F1734" t="inlineStr">
        <is>
          <t>B</t>
        </is>
      </c>
      <c r="G1734" t="inlineStr">
        <is>
          <t>Good</t>
        </is>
      </c>
      <c r="H1734" t="n">
        <v>172</v>
      </c>
      <c r="I1734">
        <f>B1734&amp;"|"&amp;F1734&amp;"|"&amp;G1734</f>
        <v/>
      </c>
      <c r="J1734" t="inlineStr">
        <is>
          <t>MVS Sec.15 p.34</t>
        </is>
      </c>
    </row>
    <row r="1735">
      <c r="B1735" t="inlineStr">
        <is>
          <t>Shell Office Buildings</t>
        </is>
      </c>
      <c r="C1735" t="inlineStr">
        <is>
          <t>492</t>
        </is>
      </c>
      <c r="D1735" t="inlineStr">
        <is>
          <t>15</t>
        </is>
      </c>
      <c r="E1735" t="inlineStr">
        <is>
          <t>34</t>
        </is>
      </c>
      <c r="F1735" t="inlineStr">
        <is>
          <t>B</t>
        </is>
      </c>
      <c r="G1735" t="inlineStr">
        <is>
          <t>Average</t>
        </is>
      </c>
      <c r="H1735" t="n">
        <v>132</v>
      </c>
      <c r="I1735">
        <f>B1735&amp;"|"&amp;F1735&amp;"|"&amp;G1735</f>
        <v/>
      </c>
      <c r="J1735" t="inlineStr">
        <is>
          <t>MVS Sec.15 p.34</t>
        </is>
      </c>
    </row>
    <row r="1736">
      <c r="B1736" t="inlineStr">
        <is>
          <t>Shell Office Buildings</t>
        </is>
      </c>
      <c r="C1736" t="inlineStr">
        <is>
          <t>492</t>
        </is>
      </c>
      <c r="D1736" t="inlineStr">
        <is>
          <t>15</t>
        </is>
      </c>
      <c r="E1736" t="inlineStr">
        <is>
          <t>34</t>
        </is>
      </c>
      <c r="F1736" t="inlineStr">
        <is>
          <t>B</t>
        </is>
      </c>
      <c r="G1736" t="inlineStr">
        <is>
          <t>Low Cost</t>
        </is>
      </c>
      <c r="H1736" t="n">
        <v>102</v>
      </c>
      <c r="I1736">
        <f>B1736&amp;"|"&amp;F1736&amp;"|"&amp;G1736</f>
        <v/>
      </c>
      <c r="J1736" t="inlineStr">
        <is>
          <t>MVS Sec.15 p.34</t>
        </is>
      </c>
    </row>
    <row r="1737">
      <c r="B1737" t="inlineStr">
        <is>
          <t>Shell Office Buildings</t>
        </is>
      </c>
      <c r="C1737" t="inlineStr">
        <is>
          <t>492</t>
        </is>
      </c>
      <c r="D1737" t="inlineStr">
        <is>
          <t>15</t>
        </is>
      </c>
      <c r="E1737" t="inlineStr">
        <is>
          <t>35</t>
        </is>
      </c>
      <c r="F1737" t="inlineStr">
        <is>
          <t>C</t>
        </is>
      </c>
      <c r="G1737" t="inlineStr">
        <is>
          <t>Excellent</t>
        </is>
      </c>
      <c r="H1737" t="n">
        <v>192</v>
      </c>
      <c r="I1737">
        <f>B1737&amp;"|"&amp;F1737&amp;"|"&amp;G1737</f>
        <v/>
      </c>
      <c r="J1737" t="inlineStr">
        <is>
          <t>MVS Sec.15 p.35</t>
        </is>
      </c>
    </row>
    <row r="1738">
      <c r="B1738" t="inlineStr">
        <is>
          <t>Shell Office Buildings</t>
        </is>
      </c>
      <c r="C1738" t="inlineStr">
        <is>
          <t>492</t>
        </is>
      </c>
      <c r="D1738" t="inlineStr">
        <is>
          <t>15</t>
        </is>
      </c>
      <c r="E1738" t="inlineStr">
        <is>
          <t>35</t>
        </is>
      </c>
      <c r="F1738" t="inlineStr">
        <is>
          <t>C</t>
        </is>
      </c>
      <c r="G1738" t="inlineStr">
        <is>
          <t>Good</t>
        </is>
      </c>
      <c r="H1738" t="n">
        <v>128</v>
      </c>
      <c r="I1738">
        <f>B1738&amp;"|"&amp;F1738&amp;"|"&amp;G1738</f>
        <v/>
      </c>
      <c r="J1738" t="inlineStr">
        <is>
          <t>MVS Sec.15 p.35</t>
        </is>
      </c>
    </row>
    <row r="1739">
      <c r="B1739" t="inlineStr">
        <is>
          <t>Shell Office Buildings</t>
        </is>
      </c>
      <c r="C1739" t="inlineStr">
        <is>
          <t>492</t>
        </is>
      </c>
      <c r="D1739" t="inlineStr">
        <is>
          <t>15</t>
        </is>
      </c>
      <c r="E1739" t="inlineStr">
        <is>
          <t>35</t>
        </is>
      </c>
      <c r="F1739" t="inlineStr">
        <is>
          <t>C</t>
        </is>
      </c>
      <c r="G1739" t="inlineStr">
        <is>
          <t>Average</t>
        </is>
      </c>
      <c r="H1739" t="n">
        <v>85</v>
      </c>
      <c r="I1739">
        <f>B1739&amp;"|"&amp;F1739&amp;"|"&amp;G1739</f>
        <v/>
      </c>
      <c r="J1739" t="inlineStr">
        <is>
          <t>MVS Sec.15 p.35</t>
        </is>
      </c>
    </row>
    <row r="1740">
      <c r="B1740" t="inlineStr">
        <is>
          <t>Shell Office Buildings</t>
        </is>
      </c>
      <c r="C1740" t="inlineStr">
        <is>
          <t>492</t>
        </is>
      </c>
      <c r="D1740" t="inlineStr">
        <is>
          <t>15</t>
        </is>
      </c>
      <c r="E1740" t="inlineStr">
        <is>
          <t>35</t>
        </is>
      </c>
      <c r="F1740" t="inlineStr">
        <is>
          <t>C</t>
        </is>
      </c>
      <c r="G1740" t="inlineStr">
        <is>
          <t>Low Cost</t>
        </is>
      </c>
      <c r="H1740" t="n">
        <v>53.5</v>
      </c>
      <c r="I1740">
        <f>B1740&amp;"|"&amp;F1740&amp;"|"&amp;G1740</f>
        <v/>
      </c>
      <c r="J1740" t="inlineStr">
        <is>
          <t>MVS Sec.15 p.35</t>
        </is>
      </c>
    </row>
    <row r="1741">
      <c r="B1741" t="inlineStr">
        <is>
          <t>Shell Office Buildings</t>
        </is>
      </c>
      <c r="C1741" t="inlineStr">
        <is>
          <t>492</t>
        </is>
      </c>
      <c r="D1741" t="inlineStr">
        <is>
          <t>15</t>
        </is>
      </c>
      <c r="E1741" t="inlineStr">
        <is>
          <t>35</t>
        </is>
      </c>
      <c r="F1741" t="inlineStr">
        <is>
          <t>D</t>
        </is>
      </c>
      <c r="G1741" t="inlineStr">
        <is>
          <t>Excellent</t>
        </is>
      </c>
      <c r="H1741" t="n">
        <v>178</v>
      </c>
      <c r="I1741">
        <f>B1741&amp;"|"&amp;F1741&amp;"|"&amp;G1741</f>
        <v/>
      </c>
      <c r="J1741" t="inlineStr">
        <is>
          <t>MVS Sec.15 p.35</t>
        </is>
      </c>
    </row>
    <row r="1742">
      <c r="B1742" t="inlineStr">
        <is>
          <t>Shell Office Buildings</t>
        </is>
      </c>
      <c r="C1742" t="inlineStr">
        <is>
          <t>492</t>
        </is>
      </c>
      <c r="D1742" t="inlineStr">
        <is>
          <t>15</t>
        </is>
      </c>
      <c r="E1742" t="inlineStr">
        <is>
          <t>35</t>
        </is>
      </c>
      <c r="F1742" t="inlineStr">
        <is>
          <t>D</t>
        </is>
      </c>
      <c r="G1742" t="inlineStr">
        <is>
          <t>Good</t>
        </is>
      </c>
      <c r="H1742" t="n">
        <v>118</v>
      </c>
      <c r="I1742">
        <f>B1742&amp;"|"&amp;F1742&amp;"|"&amp;G1742</f>
        <v/>
      </c>
      <c r="J1742" t="inlineStr">
        <is>
          <t>MVS Sec.15 p.35</t>
        </is>
      </c>
    </row>
    <row r="1743">
      <c r="B1743" t="inlineStr">
        <is>
          <t>Shell Office Buildings</t>
        </is>
      </c>
      <c r="C1743" t="inlineStr">
        <is>
          <t>492</t>
        </is>
      </c>
      <c r="D1743" t="inlineStr">
        <is>
          <t>15</t>
        </is>
      </c>
      <c r="E1743" t="inlineStr">
        <is>
          <t>35</t>
        </is>
      </c>
      <c r="F1743" t="inlineStr">
        <is>
          <t>D</t>
        </is>
      </c>
      <c r="G1743" t="inlineStr">
        <is>
          <t>Average</t>
        </is>
      </c>
      <c r="H1743" t="n">
        <v>77</v>
      </c>
      <c r="I1743">
        <f>B1743&amp;"|"&amp;F1743&amp;"|"&amp;G1743</f>
        <v/>
      </c>
      <c r="J1743" t="inlineStr">
        <is>
          <t>MVS Sec.15 p.35</t>
        </is>
      </c>
    </row>
    <row r="1744">
      <c r="B1744" t="inlineStr">
        <is>
          <t>Shell Office Buildings</t>
        </is>
      </c>
      <c r="C1744" t="inlineStr">
        <is>
          <t>492</t>
        </is>
      </c>
      <c r="D1744" t="inlineStr">
        <is>
          <t>15</t>
        </is>
      </c>
      <c r="E1744" t="inlineStr">
        <is>
          <t>35</t>
        </is>
      </c>
      <c r="F1744" t="inlineStr">
        <is>
          <t>D</t>
        </is>
      </c>
      <c r="G1744" t="inlineStr">
        <is>
          <t>Low Cost</t>
        </is>
      </c>
      <c r="H1744" t="n">
        <v>48</v>
      </c>
      <c r="I1744">
        <f>B1744&amp;"|"&amp;F1744&amp;"|"&amp;G1744</f>
        <v/>
      </c>
      <c r="J1744" t="inlineStr">
        <is>
          <t>MVS Sec.15 p.35</t>
        </is>
      </c>
    </row>
    <row r="1745">
      <c r="B1745" t="inlineStr">
        <is>
          <t>Shell Office Buildings</t>
        </is>
      </c>
      <c r="C1745" t="inlineStr">
        <is>
          <t>492</t>
        </is>
      </c>
      <c r="D1745" t="inlineStr">
        <is>
          <t>15</t>
        </is>
      </c>
      <c r="E1745" t="inlineStr">
        <is>
          <t>35</t>
        </is>
      </c>
      <c r="F1745" t="inlineStr">
        <is>
          <t>DPOLE</t>
        </is>
      </c>
      <c r="G1745" t="inlineStr">
        <is>
          <t>Average</t>
        </is>
      </c>
      <c r="H1745" t="n">
        <v>62.5</v>
      </c>
      <c r="I1745">
        <f>B1745&amp;"|"&amp;F1745&amp;"|"&amp;G1745</f>
        <v/>
      </c>
      <c r="J1745" t="inlineStr">
        <is>
          <t>MVS Sec.15 p.35</t>
        </is>
      </c>
    </row>
    <row r="1746">
      <c r="B1746" t="inlineStr">
        <is>
          <t>Shell Office Buildings</t>
        </is>
      </c>
      <c r="C1746" t="inlineStr">
        <is>
          <t>492</t>
        </is>
      </c>
      <c r="D1746" t="inlineStr">
        <is>
          <t>15</t>
        </is>
      </c>
      <c r="E1746" t="inlineStr">
        <is>
          <t>35</t>
        </is>
      </c>
      <c r="F1746" t="inlineStr">
        <is>
          <t>DPOLE</t>
        </is>
      </c>
      <c r="G1746" t="inlineStr">
        <is>
          <t>Low Cost</t>
        </is>
      </c>
      <c r="H1746" t="n">
        <v>38.5</v>
      </c>
      <c r="I1746">
        <f>B1746&amp;"|"&amp;F1746&amp;"|"&amp;G1746</f>
        <v/>
      </c>
      <c r="J1746" t="inlineStr">
        <is>
          <t>MVS Sec.15 p.35</t>
        </is>
      </c>
    </row>
    <row r="1747">
      <c r="B1747" t="inlineStr">
        <is>
          <t>Shell Office Buildings</t>
        </is>
      </c>
      <c r="C1747" t="inlineStr">
        <is>
          <t>492</t>
        </is>
      </c>
      <c r="D1747" t="inlineStr">
        <is>
          <t>15</t>
        </is>
      </c>
      <c r="E1747" t="inlineStr">
        <is>
          <t>35</t>
        </is>
      </c>
      <c r="F1747" t="inlineStr">
        <is>
          <t>S</t>
        </is>
      </c>
      <c r="G1747" t="inlineStr">
        <is>
          <t>Good</t>
        </is>
      </c>
      <c r="H1747" t="n">
        <v>109</v>
      </c>
      <c r="I1747">
        <f>B1747&amp;"|"&amp;F1747&amp;"|"&amp;G1747</f>
        <v/>
      </c>
      <c r="J1747" t="inlineStr">
        <is>
          <t>MVS Sec.15 p.35</t>
        </is>
      </c>
    </row>
    <row r="1748">
      <c r="B1748" t="inlineStr">
        <is>
          <t>Shell Office Buildings</t>
        </is>
      </c>
      <c r="C1748" t="inlineStr">
        <is>
          <t>492</t>
        </is>
      </c>
      <c r="D1748" t="inlineStr">
        <is>
          <t>15</t>
        </is>
      </c>
      <c r="E1748" t="inlineStr">
        <is>
          <t>35</t>
        </is>
      </c>
      <c r="F1748" t="inlineStr">
        <is>
          <t>S</t>
        </is>
      </c>
      <c r="G1748" t="inlineStr">
        <is>
          <t>Average</t>
        </is>
      </c>
      <c r="H1748" t="n">
        <v>66.5</v>
      </c>
      <c r="I1748">
        <f>B1748&amp;"|"&amp;F1748&amp;"|"&amp;G1748</f>
        <v/>
      </c>
      <c r="J1748" t="inlineStr">
        <is>
          <t>MVS Sec.15 p.35</t>
        </is>
      </c>
    </row>
    <row r="1749">
      <c r="B1749" t="inlineStr">
        <is>
          <t>Shell Office Buildings</t>
        </is>
      </c>
      <c r="C1749" t="inlineStr">
        <is>
          <t>492</t>
        </is>
      </c>
      <c r="D1749" t="inlineStr">
        <is>
          <t>15</t>
        </is>
      </c>
      <c r="E1749" t="inlineStr">
        <is>
          <t>35</t>
        </is>
      </c>
      <c r="F1749" t="inlineStr">
        <is>
          <t>S</t>
        </is>
      </c>
      <c r="G1749" t="inlineStr">
        <is>
          <t>Low Cost</t>
        </is>
      </c>
      <c r="H1749" t="n">
        <v>41.75</v>
      </c>
      <c r="I1749">
        <f>B1749&amp;"|"&amp;F1749&amp;"|"&amp;G1749</f>
        <v/>
      </c>
      <c r="J1749" t="inlineStr">
        <is>
          <t>MVS Sec.15 p.35</t>
        </is>
      </c>
    </row>
    <row r="1750">
      <c r="B1750" t="inlineStr">
        <is>
          <t>Churches with Sunday Schools</t>
        </is>
      </c>
      <c r="C1750" t="inlineStr">
        <is>
          <t>308</t>
        </is>
      </c>
      <c r="D1750" t="inlineStr">
        <is>
          <t>16</t>
        </is>
      </c>
      <c r="E1750" t="inlineStr">
        <is>
          <t>8</t>
        </is>
      </c>
      <c r="F1750" t="inlineStr">
        <is>
          <t>A</t>
        </is>
      </c>
      <c r="G1750" t="inlineStr">
        <is>
          <t>Good</t>
        </is>
      </c>
      <c r="H1750" t="n">
        <v>358</v>
      </c>
      <c r="I1750">
        <f>B1750&amp;"|"&amp;F1750&amp;"|"&amp;G1750</f>
        <v/>
      </c>
      <c r="J1750" t="inlineStr">
        <is>
          <t>MVS Sec.16 p.8</t>
        </is>
      </c>
    </row>
    <row r="1751">
      <c r="B1751" t="inlineStr">
        <is>
          <t>Churches with Sunday Schools</t>
        </is>
      </c>
      <c r="C1751" t="inlineStr">
        <is>
          <t>308</t>
        </is>
      </c>
      <c r="D1751" t="inlineStr">
        <is>
          <t>16</t>
        </is>
      </c>
      <c r="E1751" t="inlineStr">
        <is>
          <t>8</t>
        </is>
      </c>
      <c r="F1751" t="inlineStr">
        <is>
          <t>A</t>
        </is>
      </c>
      <c r="G1751" t="inlineStr">
        <is>
          <t>Average</t>
        </is>
      </c>
      <c r="H1751" t="n">
        <v>263</v>
      </c>
      <c r="I1751">
        <f>B1751&amp;"|"&amp;F1751&amp;"|"&amp;G1751</f>
        <v/>
      </c>
      <c r="J1751" t="inlineStr">
        <is>
          <t>MVS Sec.16 p.8</t>
        </is>
      </c>
    </row>
    <row r="1752">
      <c r="B1752" t="inlineStr">
        <is>
          <t>Churches with Sunday Schools</t>
        </is>
      </c>
      <c r="C1752" t="inlineStr">
        <is>
          <t>308</t>
        </is>
      </c>
      <c r="D1752" t="inlineStr">
        <is>
          <t>16</t>
        </is>
      </c>
      <c r="E1752" t="inlineStr">
        <is>
          <t>8</t>
        </is>
      </c>
      <c r="F1752" t="inlineStr">
        <is>
          <t>B</t>
        </is>
      </c>
      <c r="G1752" t="inlineStr">
        <is>
          <t>Good</t>
        </is>
      </c>
      <c r="H1752" t="n">
        <v>323</v>
      </c>
      <c r="I1752">
        <f>B1752&amp;"|"&amp;F1752&amp;"|"&amp;G1752</f>
        <v/>
      </c>
      <c r="J1752" t="inlineStr">
        <is>
          <t>MVS Sec.16 p.8</t>
        </is>
      </c>
    </row>
    <row r="1753">
      <c r="B1753" t="inlineStr">
        <is>
          <t>Churches with Sunday Schools</t>
        </is>
      </c>
      <c r="C1753" t="inlineStr">
        <is>
          <t>308</t>
        </is>
      </c>
      <c r="D1753" t="inlineStr">
        <is>
          <t>16</t>
        </is>
      </c>
      <c r="E1753" t="inlineStr">
        <is>
          <t>8</t>
        </is>
      </c>
      <c r="F1753" t="inlineStr">
        <is>
          <t>B</t>
        </is>
      </c>
      <c r="G1753" t="inlineStr">
        <is>
          <t>Average</t>
        </is>
      </c>
      <c r="H1753" t="n">
        <v>238</v>
      </c>
      <c r="I1753">
        <f>B1753&amp;"|"&amp;F1753&amp;"|"&amp;G1753</f>
        <v/>
      </c>
      <c r="J1753" t="inlineStr">
        <is>
          <t>MVS Sec.16 p.8</t>
        </is>
      </c>
    </row>
    <row r="1754">
      <c r="B1754" t="inlineStr">
        <is>
          <t>Churches with Sunday Schools</t>
        </is>
      </c>
      <c r="C1754" t="inlineStr">
        <is>
          <t>308</t>
        </is>
      </c>
      <c r="D1754" t="inlineStr">
        <is>
          <t>16</t>
        </is>
      </c>
      <c r="E1754" t="inlineStr">
        <is>
          <t>8</t>
        </is>
      </c>
      <c r="F1754" t="inlineStr">
        <is>
          <t>C</t>
        </is>
      </c>
      <c r="G1754" t="inlineStr">
        <is>
          <t>Excellent</t>
        </is>
      </c>
      <c r="H1754" t="n">
        <v>340</v>
      </c>
      <c r="I1754">
        <f>B1754&amp;"|"&amp;F1754&amp;"|"&amp;G1754</f>
        <v/>
      </c>
      <c r="J1754" t="inlineStr">
        <is>
          <t>MVS Sec.16 p.8</t>
        </is>
      </c>
    </row>
    <row r="1755">
      <c r="B1755" t="inlineStr">
        <is>
          <t>Churches with Sunday Schools</t>
        </is>
      </c>
      <c r="C1755" t="inlineStr">
        <is>
          <t>308</t>
        </is>
      </c>
      <c r="D1755" t="inlineStr">
        <is>
          <t>16</t>
        </is>
      </c>
      <c r="E1755" t="inlineStr">
        <is>
          <t>8</t>
        </is>
      </c>
      <c r="F1755" t="inlineStr">
        <is>
          <t>C</t>
        </is>
      </c>
      <c r="G1755" t="inlineStr">
        <is>
          <t>Good</t>
        </is>
      </c>
      <c r="H1755" t="n">
        <v>254</v>
      </c>
      <c r="I1755">
        <f>B1755&amp;"|"&amp;F1755&amp;"|"&amp;G1755</f>
        <v/>
      </c>
      <c r="J1755" t="inlineStr">
        <is>
          <t>MVS Sec.16 p.8</t>
        </is>
      </c>
    </row>
    <row r="1756">
      <c r="B1756" t="inlineStr">
        <is>
          <t>Churches with Sunday Schools</t>
        </is>
      </c>
      <c r="C1756" t="inlineStr">
        <is>
          <t>308</t>
        </is>
      </c>
      <c r="D1756" t="inlineStr">
        <is>
          <t>16</t>
        </is>
      </c>
      <c r="E1756" t="inlineStr">
        <is>
          <t>8</t>
        </is>
      </c>
      <c r="F1756" t="inlineStr">
        <is>
          <t>C</t>
        </is>
      </c>
      <c r="G1756" t="inlineStr">
        <is>
          <t>Average</t>
        </is>
      </c>
      <c r="H1756" t="n">
        <v>182</v>
      </c>
      <c r="I1756">
        <f>B1756&amp;"|"&amp;F1756&amp;"|"&amp;G1756</f>
        <v/>
      </c>
      <c r="J1756" t="inlineStr">
        <is>
          <t>MVS Sec.16 p.8</t>
        </is>
      </c>
    </row>
    <row r="1757">
      <c r="B1757" t="inlineStr">
        <is>
          <t>Churches with Sunday Schools</t>
        </is>
      </c>
      <c r="C1757" t="inlineStr">
        <is>
          <t>308</t>
        </is>
      </c>
      <c r="D1757" t="inlineStr">
        <is>
          <t>16</t>
        </is>
      </c>
      <c r="E1757" t="inlineStr">
        <is>
          <t>8</t>
        </is>
      </c>
      <c r="F1757" t="inlineStr">
        <is>
          <t>D</t>
        </is>
      </c>
      <c r="G1757" t="inlineStr">
        <is>
          <t>Excellent</t>
        </is>
      </c>
      <c r="H1757" t="n">
        <v>321</v>
      </c>
      <c r="I1757">
        <f>B1757&amp;"|"&amp;F1757&amp;"|"&amp;G1757</f>
        <v/>
      </c>
      <c r="J1757" t="inlineStr">
        <is>
          <t>MVS Sec.16 p.8</t>
        </is>
      </c>
    </row>
    <row r="1758">
      <c r="B1758" t="inlineStr">
        <is>
          <t>Churches with Sunday Schools</t>
        </is>
      </c>
      <c r="C1758" t="inlineStr">
        <is>
          <t>308</t>
        </is>
      </c>
      <c r="D1758" t="inlineStr">
        <is>
          <t>16</t>
        </is>
      </c>
      <c r="E1758" t="inlineStr">
        <is>
          <t>8</t>
        </is>
      </c>
      <c r="F1758" t="inlineStr">
        <is>
          <t>D</t>
        </is>
      </c>
      <c r="G1758" t="inlineStr">
        <is>
          <t>Good</t>
        </is>
      </c>
      <c r="H1758" t="n">
        <v>241</v>
      </c>
      <c r="I1758">
        <f>B1758&amp;"|"&amp;F1758&amp;"|"&amp;G1758</f>
        <v/>
      </c>
      <c r="J1758" t="inlineStr">
        <is>
          <t>MVS Sec.16 p.8</t>
        </is>
      </c>
    </row>
    <row r="1759">
      <c r="B1759" t="inlineStr">
        <is>
          <t>Churches with Sunday Schools</t>
        </is>
      </c>
      <c r="C1759" t="inlineStr">
        <is>
          <t>308</t>
        </is>
      </c>
      <c r="D1759" t="inlineStr">
        <is>
          <t>16</t>
        </is>
      </c>
      <c r="E1759" t="inlineStr">
        <is>
          <t>8</t>
        </is>
      </c>
      <c r="F1759" t="inlineStr">
        <is>
          <t>D</t>
        </is>
      </c>
      <c r="G1759" t="inlineStr">
        <is>
          <t>Average</t>
        </is>
      </c>
      <c r="H1759" t="n">
        <v>174</v>
      </c>
      <c r="I1759">
        <f>B1759&amp;"|"&amp;F1759&amp;"|"&amp;G1759</f>
        <v/>
      </c>
      <c r="J1759" t="inlineStr">
        <is>
          <t>MVS Sec.16 p.8</t>
        </is>
      </c>
    </row>
    <row r="1760">
      <c r="B1760" t="inlineStr">
        <is>
          <t>Churches with Sunday Schools</t>
        </is>
      </c>
      <c r="C1760" t="inlineStr">
        <is>
          <t>308</t>
        </is>
      </c>
      <c r="D1760" t="inlineStr">
        <is>
          <t>16</t>
        </is>
      </c>
      <c r="E1760" t="inlineStr">
        <is>
          <t>8</t>
        </is>
      </c>
      <c r="F1760" t="inlineStr">
        <is>
          <t>DPOLE</t>
        </is>
      </c>
      <c r="G1760" t="inlineStr">
        <is>
          <t>Good</t>
        </is>
      </c>
      <c r="H1760" t="n">
        <v>230</v>
      </c>
      <c r="I1760">
        <f>B1760&amp;"|"&amp;F1760&amp;"|"&amp;G1760</f>
        <v/>
      </c>
      <c r="J1760" t="inlineStr">
        <is>
          <t>MVS Sec.16 p.8</t>
        </is>
      </c>
    </row>
    <row r="1761">
      <c r="B1761" t="inlineStr">
        <is>
          <t>Churches with Sunday Schools</t>
        </is>
      </c>
      <c r="C1761" t="inlineStr">
        <is>
          <t>308</t>
        </is>
      </c>
      <c r="D1761" t="inlineStr">
        <is>
          <t>16</t>
        </is>
      </c>
      <c r="E1761" t="inlineStr">
        <is>
          <t>8</t>
        </is>
      </c>
      <c r="F1761" t="inlineStr">
        <is>
          <t>S</t>
        </is>
      </c>
      <c r="G1761" t="inlineStr">
        <is>
          <t>Average</t>
        </is>
      </c>
      <c r="H1761" t="n">
        <v>168</v>
      </c>
      <c r="I1761">
        <f>B1761&amp;"|"&amp;F1761&amp;"|"&amp;G1761</f>
        <v/>
      </c>
      <c r="J1761" t="inlineStr">
        <is>
          <t>MVS Sec.16 p.8</t>
        </is>
      </c>
    </row>
    <row r="1762">
      <c r="B1762" t="inlineStr">
        <is>
          <t>Churches – Sanctuaries (Chapels)</t>
        </is>
      </c>
      <c r="C1762" t="inlineStr">
        <is>
          <t>309</t>
        </is>
      </c>
      <c r="D1762" t="inlineStr">
        <is>
          <t>16</t>
        </is>
      </c>
      <c r="E1762" t="inlineStr">
        <is>
          <t>9</t>
        </is>
      </c>
      <c r="F1762" t="inlineStr">
        <is>
          <t>A</t>
        </is>
      </c>
      <c r="G1762" t="inlineStr">
        <is>
          <t>Excellent</t>
        </is>
      </c>
      <c r="H1762" t="n">
        <v>520</v>
      </c>
      <c r="I1762">
        <f>B1762&amp;"|"&amp;F1762&amp;"|"&amp;G1762</f>
        <v/>
      </c>
      <c r="J1762" t="inlineStr">
        <is>
          <t>MVS Sec.16 p.9</t>
        </is>
      </c>
    </row>
    <row r="1763">
      <c r="B1763" t="inlineStr">
        <is>
          <t>Churches – Sanctuaries (Chapels)</t>
        </is>
      </c>
      <c r="C1763" t="inlineStr">
        <is>
          <t>309</t>
        </is>
      </c>
      <c r="D1763" t="inlineStr">
        <is>
          <t>16</t>
        </is>
      </c>
      <c r="E1763" t="inlineStr">
        <is>
          <t>9</t>
        </is>
      </c>
      <c r="F1763" t="inlineStr">
        <is>
          <t>A</t>
        </is>
      </c>
      <c r="G1763" t="inlineStr">
        <is>
          <t>Good</t>
        </is>
      </c>
      <c r="H1763" t="n">
        <v>383</v>
      </c>
      <c r="I1763">
        <f>B1763&amp;"|"&amp;F1763&amp;"|"&amp;G1763</f>
        <v/>
      </c>
      <c r="J1763" t="inlineStr">
        <is>
          <t>MVS Sec.16 p.9</t>
        </is>
      </c>
    </row>
    <row r="1764">
      <c r="B1764" t="inlineStr">
        <is>
          <t>Churches – Sanctuaries (Chapels)</t>
        </is>
      </c>
      <c r="C1764" t="inlineStr">
        <is>
          <t>309</t>
        </is>
      </c>
      <c r="D1764" t="inlineStr">
        <is>
          <t>16</t>
        </is>
      </c>
      <c r="E1764" t="inlineStr">
        <is>
          <t>9</t>
        </is>
      </c>
      <c r="F1764" t="inlineStr">
        <is>
          <t>A</t>
        </is>
      </c>
      <c r="G1764" t="inlineStr">
        <is>
          <t>Average</t>
        </is>
      </c>
      <c r="H1764" t="n">
        <v>275</v>
      </c>
      <c r="I1764">
        <f>B1764&amp;"|"&amp;F1764&amp;"|"&amp;G1764</f>
        <v/>
      </c>
      <c r="J1764" t="inlineStr">
        <is>
          <t>MVS Sec.16 p.9</t>
        </is>
      </c>
    </row>
    <row r="1765">
      <c r="B1765" t="inlineStr">
        <is>
          <t>Churches – Sanctuaries (Chapels)</t>
        </is>
      </c>
      <c r="C1765" t="inlineStr">
        <is>
          <t>309</t>
        </is>
      </c>
      <c r="D1765" t="inlineStr">
        <is>
          <t>16</t>
        </is>
      </c>
      <c r="E1765" t="inlineStr">
        <is>
          <t>9</t>
        </is>
      </c>
      <c r="F1765" t="inlineStr">
        <is>
          <t>B</t>
        </is>
      </c>
      <c r="G1765" t="inlineStr">
        <is>
          <t>Excellent</t>
        </is>
      </c>
      <c r="H1765" t="n">
        <v>469</v>
      </c>
      <c r="I1765">
        <f>B1765&amp;"|"&amp;F1765&amp;"|"&amp;G1765</f>
        <v/>
      </c>
      <c r="J1765" t="inlineStr">
        <is>
          <t>MVS Sec.16 p.9</t>
        </is>
      </c>
    </row>
    <row r="1766">
      <c r="B1766" t="inlineStr">
        <is>
          <t>Churches – Sanctuaries (Chapels)</t>
        </is>
      </c>
      <c r="C1766" t="inlineStr">
        <is>
          <t>309</t>
        </is>
      </c>
      <c r="D1766" t="inlineStr">
        <is>
          <t>16</t>
        </is>
      </c>
      <c r="E1766" t="inlineStr">
        <is>
          <t>9</t>
        </is>
      </c>
      <c r="F1766" t="inlineStr">
        <is>
          <t>B</t>
        </is>
      </c>
      <c r="G1766" t="inlineStr">
        <is>
          <t>Good</t>
        </is>
      </c>
      <c r="H1766" t="n">
        <v>346</v>
      </c>
      <c r="I1766">
        <f>B1766&amp;"|"&amp;F1766&amp;"|"&amp;G1766</f>
        <v/>
      </c>
      <c r="J1766" t="inlineStr">
        <is>
          <t>MVS Sec.16 p.9</t>
        </is>
      </c>
    </row>
    <row r="1767">
      <c r="B1767" t="inlineStr">
        <is>
          <t>Churches – Sanctuaries (Chapels)</t>
        </is>
      </c>
      <c r="C1767" t="inlineStr">
        <is>
          <t>309</t>
        </is>
      </c>
      <c r="D1767" t="inlineStr">
        <is>
          <t>16</t>
        </is>
      </c>
      <c r="E1767" t="inlineStr">
        <is>
          <t>9</t>
        </is>
      </c>
      <c r="F1767" t="inlineStr">
        <is>
          <t>B</t>
        </is>
      </c>
      <c r="G1767" t="inlineStr">
        <is>
          <t>Average</t>
        </is>
      </c>
      <c r="H1767" t="n">
        <v>249</v>
      </c>
      <c r="I1767">
        <f>B1767&amp;"|"&amp;F1767&amp;"|"&amp;G1767</f>
        <v/>
      </c>
      <c r="J1767" t="inlineStr">
        <is>
          <t>MVS Sec.16 p.9</t>
        </is>
      </c>
    </row>
    <row r="1768">
      <c r="B1768" t="inlineStr">
        <is>
          <t>Churches – Sanctuaries (Chapels)</t>
        </is>
      </c>
      <c r="C1768" t="inlineStr">
        <is>
          <t>309</t>
        </is>
      </c>
      <c r="D1768" t="inlineStr">
        <is>
          <t>16</t>
        </is>
      </c>
      <c r="E1768" t="inlineStr">
        <is>
          <t>9</t>
        </is>
      </c>
      <c r="F1768" t="inlineStr">
        <is>
          <t>C</t>
        </is>
      </c>
      <c r="G1768" t="inlineStr">
        <is>
          <t>Excellent</t>
        </is>
      </c>
      <c r="H1768" t="n">
        <v>359</v>
      </c>
      <c r="I1768">
        <f>B1768&amp;"|"&amp;F1768&amp;"|"&amp;G1768</f>
        <v/>
      </c>
      <c r="J1768" t="inlineStr">
        <is>
          <t>MVS Sec.16 p.9</t>
        </is>
      </c>
    </row>
    <row r="1769">
      <c r="B1769" t="inlineStr">
        <is>
          <t>Churches – Sanctuaries (Chapels)</t>
        </is>
      </c>
      <c r="C1769" t="inlineStr">
        <is>
          <t>309</t>
        </is>
      </c>
      <c r="D1769" t="inlineStr">
        <is>
          <t>16</t>
        </is>
      </c>
      <c r="E1769" t="inlineStr">
        <is>
          <t>9</t>
        </is>
      </c>
      <c r="F1769" t="inlineStr">
        <is>
          <t>C</t>
        </is>
      </c>
      <c r="G1769" t="inlineStr">
        <is>
          <t>Good</t>
        </is>
      </c>
      <c r="H1769" t="n">
        <v>264</v>
      </c>
      <c r="I1769">
        <f>B1769&amp;"|"&amp;F1769&amp;"|"&amp;G1769</f>
        <v/>
      </c>
      <c r="J1769" t="inlineStr">
        <is>
          <t>MVS Sec.16 p.9</t>
        </is>
      </c>
    </row>
    <row r="1770">
      <c r="B1770" t="inlineStr">
        <is>
          <t>Churches – Sanctuaries (Chapels)</t>
        </is>
      </c>
      <c r="C1770" t="inlineStr">
        <is>
          <t>309</t>
        </is>
      </c>
      <c r="D1770" t="inlineStr">
        <is>
          <t>16</t>
        </is>
      </c>
      <c r="E1770" t="inlineStr">
        <is>
          <t>9</t>
        </is>
      </c>
      <c r="F1770" t="inlineStr">
        <is>
          <t>C</t>
        </is>
      </c>
      <c r="G1770" t="inlineStr">
        <is>
          <t>Average</t>
        </is>
      </c>
      <c r="H1770" t="n">
        <v>188</v>
      </c>
      <c r="I1770">
        <f>B1770&amp;"|"&amp;F1770&amp;"|"&amp;G1770</f>
        <v/>
      </c>
      <c r="J1770" t="inlineStr">
        <is>
          <t>MVS Sec.16 p.9</t>
        </is>
      </c>
    </row>
    <row r="1771">
      <c r="B1771" t="inlineStr">
        <is>
          <t>Churches – Sanctuaries (Chapels)</t>
        </is>
      </c>
      <c r="C1771" t="inlineStr">
        <is>
          <t>309</t>
        </is>
      </c>
      <c r="D1771" t="inlineStr">
        <is>
          <t>16</t>
        </is>
      </c>
      <c r="E1771" t="inlineStr">
        <is>
          <t>9</t>
        </is>
      </c>
      <c r="F1771" t="inlineStr">
        <is>
          <t>D</t>
        </is>
      </c>
      <c r="G1771" t="inlineStr">
        <is>
          <t>Excellent</t>
        </is>
      </c>
      <c r="H1771" t="n">
        <v>345</v>
      </c>
      <c r="I1771">
        <f>B1771&amp;"|"&amp;F1771&amp;"|"&amp;G1771</f>
        <v/>
      </c>
      <c r="J1771" t="inlineStr">
        <is>
          <t>MVS Sec.16 p.9</t>
        </is>
      </c>
    </row>
    <row r="1772">
      <c r="B1772" t="inlineStr">
        <is>
          <t>Churches – Sanctuaries (Chapels)</t>
        </is>
      </c>
      <c r="C1772" t="inlineStr">
        <is>
          <t>309</t>
        </is>
      </c>
      <c r="D1772" t="inlineStr">
        <is>
          <t>16</t>
        </is>
      </c>
      <c r="E1772" t="inlineStr">
        <is>
          <t>9</t>
        </is>
      </c>
      <c r="F1772" t="inlineStr">
        <is>
          <t>D</t>
        </is>
      </c>
      <c r="G1772" t="inlineStr">
        <is>
          <t>Good</t>
        </is>
      </c>
      <c r="H1772" t="n">
        <v>254</v>
      </c>
      <c r="I1772">
        <f>B1772&amp;"|"&amp;F1772&amp;"|"&amp;G1772</f>
        <v/>
      </c>
      <c r="J1772" t="inlineStr">
        <is>
          <t>MVS Sec.16 p.9</t>
        </is>
      </c>
    </row>
    <row r="1773">
      <c r="B1773" t="inlineStr">
        <is>
          <t>Churches – Sanctuaries (Chapels)</t>
        </is>
      </c>
      <c r="C1773" t="inlineStr">
        <is>
          <t>309</t>
        </is>
      </c>
      <c r="D1773" t="inlineStr">
        <is>
          <t>16</t>
        </is>
      </c>
      <c r="E1773" t="inlineStr">
        <is>
          <t>9</t>
        </is>
      </c>
      <c r="F1773" t="inlineStr">
        <is>
          <t>D</t>
        </is>
      </c>
      <c r="G1773" t="inlineStr">
        <is>
          <t>Average</t>
        </is>
      </c>
      <c r="H1773" t="n">
        <v>181</v>
      </c>
      <c r="I1773">
        <f>B1773&amp;"|"&amp;F1773&amp;"|"&amp;G1773</f>
        <v/>
      </c>
      <c r="J1773" t="inlineStr">
        <is>
          <t>MVS Sec.16 p.9</t>
        </is>
      </c>
    </row>
    <row r="1774">
      <c r="B1774" t="inlineStr">
        <is>
          <t>Churches – Sanctuaries (Chapels)</t>
        </is>
      </c>
      <c r="C1774" t="inlineStr">
        <is>
          <t>309</t>
        </is>
      </c>
      <c r="D1774" t="inlineStr">
        <is>
          <t>16</t>
        </is>
      </c>
      <c r="E1774" t="inlineStr">
        <is>
          <t>9</t>
        </is>
      </c>
      <c r="F1774" t="inlineStr">
        <is>
          <t>DPOLE</t>
        </is>
      </c>
      <c r="G1774" t="inlineStr">
        <is>
          <t>Average</t>
        </is>
      </c>
      <c r="H1774" t="n">
        <v>164</v>
      </c>
      <c r="I1774">
        <f>B1774&amp;"|"&amp;F1774&amp;"|"&amp;G1774</f>
        <v/>
      </c>
      <c r="J1774" t="inlineStr">
        <is>
          <t>MVS Sec.16 p.9</t>
        </is>
      </c>
    </row>
    <row r="1775">
      <c r="B1775" t="inlineStr">
        <is>
          <t>Churches – Sanctuaries (Chapels)</t>
        </is>
      </c>
      <c r="C1775" t="inlineStr">
        <is>
          <t>309</t>
        </is>
      </c>
      <c r="D1775" t="inlineStr">
        <is>
          <t>16</t>
        </is>
      </c>
      <c r="E1775" t="inlineStr">
        <is>
          <t>9</t>
        </is>
      </c>
      <c r="F1775" t="inlineStr">
        <is>
          <t>S</t>
        </is>
      </c>
      <c r="G1775" t="inlineStr">
        <is>
          <t>Good</t>
        </is>
      </c>
      <c r="H1775" t="n">
        <v>238</v>
      </c>
      <c r="I1775">
        <f>B1775&amp;"|"&amp;F1775&amp;"|"&amp;G1775</f>
        <v/>
      </c>
      <c r="J1775" t="inlineStr">
        <is>
          <t>MVS Sec.16 p.9</t>
        </is>
      </c>
    </row>
    <row r="1776">
      <c r="B1776" t="inlineStr">
        <is>
          <t>Churches – Sanctuaries (Chapels)</t>
        </is>
      </c>
      <c r="C1776" t="inlineStr">
        <is>
          <t>309</t>
        </is>
      </c>
      <c r="D1776" t="inlineStr">
        <is>
          <t>16</t>
        </is>
      </c>
      <c r="E1776" t="inlineStr">
        <is>
          <t>9</t>
        </is>
      </c>
      <c r="F1776" t="inlineStr">
        <is>
          <t>S</t>
        </is>
      </c>
      <c r="G1776" t="inlineStr">
        <is>
          <t>Average</t>
        </is>
      </c>
      <c r="H1776" t="n">
        <v>172</v>
      </c>
      <c r="I1776">
        <f>B1776&amp;"|"&amp;F1776&amp;"|"&amp;G1776</f>
        <v/>
      </c>
      <c r="J1776" t="inlineStr">
        <is>
          <t>MVS Sec.16 p.9</t>
        </is>
      </c>
    </row>
    <row r="1777">
      <c r="B1777" t="inlineStr">
        <is>
          <t>Fellowship Halls</t>
        </is>
      </c>
      <c r="C1777" t="inlineStr">
        <is>
          <t>516</t>
        </is>
      </c>
      <c r="D1777" t="inlineStr">
        <is>
          <t>16</t>
        </is>
      </c>
      <c r="E1777" t="inlineStr">
        <is>
          <t>10</t>
        </is>
      </c>
      <c r="F1777" t="inlineStr">
        <is>
          <t>A-B</t>
        </is>
      </c>
      <c r="G1777" t="inlineStr">
        <is>
          <t>Good</t>
        </is>
      </c>
      <c r="H1777" t="n">
        <v>282</v>
      </c>
      <c r="I1777">
        <f>B1777&amp;"|"&amp;F1777&amp;"|"&amp;G1777</f>
        <v/>
      </c>
      <c r="J1777" t="inlineStr">
        <is>
          <t>MVS Sec.16 p.10</t>
        </is>
      </c>
    </row>
    <row r="1778">
      <c r="B1778" t="inlineStr">
        <is>
          <t>Fellowship Halls</t>
        </is>
      </c>
      <c r="C1778" t="inlineStr">
        <is>
          <t>516</t>
        </is>
      </c>
      <c r="D1778" t="inlineStr">
        <is>
          <t>16</t>
        </is>
      </c>
      <c r="E1778" t="inlineStr">
        <is>
          <t>10</t>
        </is>
      </c>
      <c r="F1778" t="inlineStr">
        <is>
          <t>A-B</t>
        </is>
      </c>
      <c r="G1778" t="inlineStr">
        <is>
          <t>Average</t>
        </is>
      </c>
      <c r="H1778" t="n">
        <v>206</v>
      </c>
      <c r="I1778">
        <f>B1778&amp;"|"&amp;F1778&amp;"|"&amp;G1778</f>
        <v/>
      </c>
      <c r="J1778" t="inlineStr">
        <is>
          <t>MVS Sec.16 p.10</t>
        </is>
      </c>
    </row>
    <row r="1779">
      <c r="B1779" t="inlineStr">
        <is>
          <t>Fellowship Halls</t>
        </is>
      </c>
      <c r="C1779" t="inlineStr">
        <is>
          <t>516</t>
        </is>
      </c>
      <c r="D1779" t="inlineStr">
        <is>
          <t>16</t>
        </is>
      </c>
      <c r="E1779" t="inlineStr">
        <is>
          <t>10</t>
        </is>
      </c>
      <c r="F1779" t="inlineStr">
        <is>
          <t>C</t>
        </is>
      </c>
      <c r="G1779" t="inlineStr">
        <is>
          <t>Excellent</t>
        </is>
      </c>
      <c r="H1779" t="n">
        <v>275</v>
      </c>
      <c r="I1779">
        <f>B1779&amp;"|"&amp;F1779&amp;"|"&amp;G1779</f>
        <v/>
      </c>
      <c r="J1779" t="inlineStr">
        <is>
          <t>MVS Sec.16 p.10</t>
        </is>
      </c>
    </row>
    <row r="1780">
      <c r="B1780" t="inlineStr">
        <is>
          <t>Fellowship Halls</t>
        </is>
      </c>
      <c r="C1780" t="inlineStr">
        <is>
          <t>516</t>
        </is>
      </c>
      <c r="D1780" t="inlineStr">
        <is>
          <t>16</t>
        </is>
      </c>
      <c r="E1780" t="inlineStr">
        <is>
          <t>10</t>
        </is>
      </c>
      <c r="F1780" t="inlineStr">
        <is>
          <t>C</t>
        </is>
      </c>
      <c r="G1780" t="inlineStr">
        <is>
          <t>Good</t>
        </is>
      </c>
      <c r="H1780" t="n">
        <v>199</v>
      </c>
      <c r="I1780">
        <f>B1780&amp;"|"&amp;F1780&amp;"|"&amp;G1780</f>
        <v/>
      </c>
      <c r="J1780" t="inlineStr">
        <is>
          <t>MVS Sec.16 p.10</t>
        </is>
      </c>
    </row>
    <row r="1781">
      <c r="B1781" t="inlineStr">
        <is>
          <t>Fellowship Halls</t>
        </is>
      </c>
      <c r="C1781" t="inlineStr">
        <is>
          <t>516</t>
        </is>
      </c>
      <c r="D1781" t="inlineStr">
        <is>
          <t>16</t>
        </is>
      </c>
      <c r="E1781" t="inlineStr">
        <is>
          <t>10</t>
        </is>
      </c>
      <c r="F1781" t="inlineStr">
        <is>
          <t>C</t>
        </is>
      </c>
      <c r="G1781" t="inlineStr">
        <is>
          <t>Average</t>
        </is>
      </c>
      <c r="H1781" t="n">
        <v>142</v>
      </c>
      <c r="I1781">
        <f>B1781&amp;"|"&amp;F1781&amp;"|"&amp;G1781</f>
        <v/>
      </c>
      <c r="J1781" t="inlineStr">
        <is>
          <t>MVS Sec.16 p.10</t>
        </is>
      </c>
    </row>
    <row r="1782">
      <c r="B1782" t="inlineStr">
        <is>
          <t>Fellowship Halls</t>
        </is>
      </c>
      <c r="C1782" t="inlineStr">
        <is>
          <t>516</t>
        </is>
      </c>
      <c r="D1782" t="inlineStr">
        <is>
          <t>16</t>
        </is>
      </c>
      <c r="E1782" t="inlineStr">
        <is>
          <t>10</t>
        </is>
      </c>
      <c r="F1782" t="inlineStr">
        <is>
          <t>D</t>
        </is>
      </c>
      <c r="G1782" t="inlineStr">
        <is>
          <t>Good</t>
        </is>
      </c>
      <c r="H1782" t="n">
        <v>189</v>
      </c>
      <c r="I1782">
        <f>B1782&amp;"|"&amp;F1782&amp;"|"&amp;G1782</f>
        <v/>
      </c>
      <c r="J1782" t="inlineStr">
        <is>
          <t>MVS Sec.16 p.10</t>
        </is>
      </c>
    </row>
    <row r="1783">
      <c r="B1783" t="inlineStr">
        <is>
          <t>Fellowship Halls</t>
        </is>
      </c>
      <c r="C1783" t="inlineStr">
        <is>
          <t>516</t>
        </is>
      </c>
      <c r="D1783" t="inlineStr">
        <is>
          <t>16</t>
        </is>
      </c>
      <c r="E1783" t="inlineStr">
        <is>
          <t>10</t>
        </is>
      </c>
      <c r="F1783" t="inlineStr">
        <is>
          <t>D</t>
        </is>
      </c>
      <c r="G1783" t="inlineStr">
        <is>
          <t>Average</t>
        </is>
      </c>
      <c r="H1783" t="n">
        <v>135</v>
      </c>
      <c r="I1783">
        <f>B1783&amp;"|"&amp;F1783&amp;"|"&amp;G1783</f>
        <v/>
      </c>
      <c r="J1783" t="inlineStr">
        <is>
          <t>MVS Sec.16 p.10</t>
        </is>
      </c>
    </row>
    <row r="1784">
      <c r="B1784" t="inlineStr">
        <is>
          <t>Fellowship Halls</t>
        </is>
      </c>
      <c r="C1784" t="inlineStr">
        <is>
          <t>516</t>
        </is>
      </c>
      <c r="D1784" t="inlineStr">
        <is>
          <t>16</t>
        </is>
      </c>
      <c r="E1784" t="inlineStr">
        <is>
          <t>10</t>
        </is>
      </c>
      <c r="F1784" t="inlineStr">
        <is>
          <t>D</t>
        </is>
      </c>
      <c r="G1784" t="inlineStr">
        <is>
          <t>Cheap</t>
        </is>
      </c>
      <c r="H1784" t="n">
        <v>72.5</v>
      </c>
      <c r="I1784">
        <f>B1784&amp;"|"&amp;F1784&amp;"|"&amp;G1784</f>
        <v/>
      </c>
      <c r="J1784" t="inlineStr">
        <is>
          <t>MVS Sec.16 p.10</t>
        </is>
      </c>
    </row>
    <row r="1785">
      <c r="B1785" t="inlineStr">
        <is>
          <t>Fellowship Halls</t>
        </is>
      </c>
      <c r="C1785" t="inlineStr">
        <is>
          <t>516</t>
        </is>
      </c>
      <c r="D1785" t="inlineStr">
        <is>
          <t>16</t>
        </is>
      </c>
      <c r="E1785" t="inlineStr">
        <is>
          <t>10</t>
        </is>
      </c>
      <c r="F1785" t="inlineStr">
        <is>
          <t>DPOLE</t>
        </is>
      </c>
      <c r="G1785" t="inlineStr">
        <is>
          <t>Average</t>
        </is>
      </c>
      <c r="H1785" t="n">
        <v>122</v>
      </c>
      <c r="I1785">
        <f>B1785&amp;"|"&amp;F1785&amp;"|"&amp;G1785</f>
        <v/>
      </c>
      <c r="J1785" t="inlineStr">
        <is>
          <t>MVS Sec.16 p.10</t>
        </is>
      </c>
    </row>
    <row r="1786">
      <c r="B1786" t="inlineStr">
        <is>
          <t>Fellowship Halls</t>
        </is>
      </c>
      <c r="C1786" t="inlineStr">
        <is>
          <t>516</t>
        </is>
      </c>
      <c r="D1786" t="inlineStr">
        <is>
          <t>16</t>
        </is>
      </c>
      <c r="E1786" t="inlineStr">
        <is>
          <t>10</t>
        </is>
      </c>
      <c r="F1786" t="inlineStr">
        <is>
          <t>DPOLE</t>
        </is>
      </c>
      <c r="G1786" t="inlineStr">
        <is>
          <t>Cheap</t>
        </is>
      </c>
      <c r="H1786" t="n">
        <v>68.5</v>
      </c>
      <c r="I1786">
        <f>B1786&amp;"|"&amp;F1786&amp;"|"&amp;G1786</f>
        <v/>
      </c>
      <c r="J1786" t="inlineStr">
        <is>
          <t>MVS Sec.16 p.10</t>
        </is>
      </c>
    </row>
    <row r="1787">
      <c r="B1787" t="inlineStr">
        <is>
          <t>Fellowship Halls</t>
        </is>
      </c>
      <c r="C1787" t="inlineStr">
        <is>
          <t>516</t>
        </is>
      </c>
      <c r="D1787" t="inlineStr">
        <is>
          <t>16</t>
        </is>
      </c>
      <c r="E1787" t="inlineStr">
        <is>
          <t>10</t>
        </is>
      </c>
      <c r="F1787" t="inlineStr">
        <is>
          <t>S</t>
        </is>
      </c>
      <c r="G1787" t="inlineStr">
        <is>
          <t>Good</t>
        </is>
      </c>
      <c r="H1787" t="n">
        <v>182</v>
      </c>
      <c r="I1787">
        <f>B1787&amp;"|"&amp;F1787&amp;"|"&amp;G1787</f>
        <v/>
      </c>
      <c r="J1787" t="inlineStr">
        <is>
          <t>MVS Sec.16 p.10</t>
        </is>
      </c>
    </row>
    <row r="1788">
      <c r="B1788" t="inlineStr">
        <is>
          <t>Fellowship Halls</t>
        </is>
      </c>
      <c r="C1788" t="inlineStr">
        <is>
          <t>516</t>
        </is>
      </c>
      <c r="D1788" t="inlineStr">
        <is>
          <t>16</t>
        </is>
      </c>
      <c r="E1788" t="inlineStr">
        <is>
          <t>10</t>
        </is>
      </c>
      <c r="F1788" t="inlineStr">
        <is>
          <t>S</t>
        </is>
      </c>
      <c r="G1788" t="inlineStr">
        <is>
          <t>Average</t>
        </is>
      </c>
      <c r="H1788" t="n">
        <v>130</v>
      </c>
      <c r="I1788">
        <f>B1788&amp;"|"&amp;F1788&amp;"|"&amp;G1788</f>
        <v/>
      </c>
      <c r="J1788" t="inlineStr">
        <is>
          <t>MVS Sec.16 p.10</t>
        </is>
      </c>
    </row>
    <row r="1789">
      <c r="B1789" t="inlineStr">
        <is>
          <t>Fellowship Halls</t>
        </is>
      </c>
      <c r="C1789" t="inlineStr">
        <is>
          <t>516</t>
        </is>
      </c>
      <c r="D1789" t="inlineStr">
        <is>
          <t>16</t>
        </is>
      </c>
      <c r="E1789" t="inlineStr">
        <is>
          <t>10</t>
        </is>
      </c>
      <c r="F1789" t="inlineStr">
        <is>
          <t>S</t>
        </is>
      </c>
      <c r="G1789" t="inlineStr">
        <is>
          <t>Cheap</t>
        </is>
      </c>
      <c r="H1789" t="n">
        <v>70</v>
      </c>
      <c r="I1789">
        <f>B1789&amp;"|"&amp;F1789&amp;"|"&amp;G1789</f>
        <v/>
      </c>
      <c r="J1789" t="inlineStr">
        <is>
          <t>MVS Sec.16 p.10</t>
        </is>
      </c>
    </row>
    <row r="1790">
      <c r="B1790" t="inlineStr">
        <is>
          <t>Foyers / Narthexes</t>
        </is>
      </c>
      <c r="C1790" t="inlineStr">
        <is>
          <t>517</t>
        </is>
      </c>
      <c r="D1790" t="inlineStr">
        <is>
          <t>16</t>
        </is>
      </c>
      <c r="E1790" t="inlineStr">
        <is>
          <t>10</t>
        </is>
      </c>
      <c r="F1790" t="inlineStr">
        <is>
          <t>A-B</t>
        </is>
      </c>
      <c r="G1790" t="inlineStr">
        <is>
          <t>Excellent</t>
        </is>
      </c>
      <c r="H1790" t="n">
        <v>396</v>
      </c>
      <c r="I1790">
        <f>B1790&amp;"|"&amp;F1790&amp;"|"&amp;G1790</f>
        <v/>
      </c>
      <c r="J1790" t="inlineStr">
        <is>
          <t>MVS Sec.16 p.10</t>
        </is>
      </c>
    </row>
    <row r="1791">
      <c r="B1791" t="inlineStr">
        <is>
          <t>Foyers / Narthexes</t>
        </is>
      </c>
      <c r="C1791" t="inlineStr">
        <is>
          <t>517</t>
        </is>
      </c>
      <c r="D1791" t="inlineStr">
        <is>
          <t>16</t>
        </is>
      </c>
      <c r="E1791" t="inlineStr">
        <is>
          <t>10</t>
        </is>
      </c>
      <c r="F1791" t="inlineStr">
        <is>
          <t>A-B</t>
        </is>
      </c>
      <c r="G1791" t="inlineStr">
        <is>
          <t>Good</t>
        </is>
      </c>
      <c r="H1791" t="n">
        <v>303</v>
      </c>
      <c r="I1791">
        <f>B1791&amp;"|"&amp;F1791&amp;"|"&amp;G1791</f>
        <v/>
      </c>
      <c r="J1791" t="inlineStr">
        <is>
          <t>MVS Sec.16 p.10</t>
        </is>
      </c>
    </row>
    <row r="1792">
      <c r="B1792" t="inlineStr">
        <is>
          <t>Foyers / Narthexes</t>
        </is>
      </c>
      <c r="C1792" t="inlineStr">
        <is>
          <t>517</t>
        </is>
      </c>
      <c r="D1792" t="inlineStr">
        <is>
          <t>16</t>
        </is>
      </c>
      <c r="E1792" t="inlineStr">
        <is>
          <t>10</t>
        </is>
      </c>
      <c r="F1792" t="inlineStr">
        <is>
          <t>A-B</t>
        </is>
      </c>
      <c r="G1792" t="inlineStr">
        <is>
          <t>Average</t>
        </is>
      </c>
      <c r="H1792" t="n">
        <v>225</v>
      </c>
      <c r="I1792">
        <f>B1792&amp;"|"&amp;F1792&amp;"|"&amp;G1792</f>
        <v/>
      </c>
      <c r="J1792" t="inlineStr">
        <is>
          <t>MVS Sec.16 p.10</t>
        </is>
      </c>
    </row>
    <row r="1793">
      <c r="B1793" t="inlineStr">
        <is>
          <t>Foyers / Narthexes</t>
        </is>
      </c>
      <c r="C1793" t="inlineStr">
        <is>
          <t>517</t>
        </is>
      </c>
      <c r="D1793" t="inlineStr">
        <is>
          <t>16</t>
        </is>
      </c>
      <c r="E1793" t="inlineStr">
        <is>
          <t>10</t>
        </is>
      </c>
      <c r="F1793" t="inlineStr">
        <is>
          <t>CDS</t>
        </is>
      </c>
      <c r="G1793" t="inlineStr">
        <is>
          <t>Excellent</t>
        </is>
      </c>
      <c r="H1793" t="n">
        <v>314</v>
      </c>
      <c r="I1793">
        <f>B1793&amp;"|"&amp;F1793&amp;"|"&amp;G1793</f>
        <v/>
      </c>
      <c r="J1793" t="inlineStr">
        <is>
          <t>MVS Sec.16 p.10</t>
        </is>
      </c>
    </row>
    <row r="1794">
      <c r="B1794" t="inlineStr">
        <is>
          <t>Foyers / Narthexes</t>
        </is>
      </c>
      <c r="C1794" t="inlineStr">
        <is>
          <t>517</t>
        </is>
      </c>
      <c r="D1794" t="inlineStr">
        <is>
          <t>16</t>
        </is>
      </c>
      <c r="E1794" t="inlineStr">
        <is>
          <t>10</t>
        </is>
      </c>
      <c r="F1794" t="inlineStr">
        <is>
          <t>CDS</t>
        </is>
      </c>
      <c r="G1794" t="inlineStr">
        <is>
          <t>Good</t>
        </is>
      </c>
      <c r="H1794" t="n">
        <v>236</v>
      </c>
      <c r="I1794">
        <f>B1794&amp;"|"&amp;F1794&amp;"|"&amp;G1794</f>
        <v/>
      </c>
      <c r="J1794" t="inlineStr">
        <is>
          <t>MVS Sec.16 p.10</t>
        </is>
      </c>
    </row>
    <row r="1795">
      <c r="B1795" t="inlineStr">
        <is>
          <t>Foyers / Narthexes</t>
        </is>
      </c>
      <c r="C1795" t="inlineStr">
        <is>
          <t>517</t>
        </is>
      </c>
      <c r="D1795" t="inlineStr">
        <is>
          <t>16</t>
        </is>
      </c>
      <c r="E1795" t="inlineStr">
        <is>
          <t>10</t>
        </is>
      </c>
      <c r="F1795" t="inlineStr">
        <is>
          <t>CDS</t>
        </is>
      </c>
      <c r="G1795" t="inlineStr">
        <is>
          <t>Average</t>
        </is>
      </c>
      <c r="H1795" t="n">
        <v>171</v>
      </c>
      <c r="I1795">
        <f>B1795&amp;"|"&amp;F1795&amp;"|"&amp;G1795</f>
        <v/>
      </c>
      <c r="J1795" t="inlineStr">
        <is>
          <t>MVS Sec.16 p.10</t>
        </is>
      </c>
    </row>
    <row r="1796">
      <c r="B1796" t="inlineStr">
        <is>
          <t>Church Educational Wings</t>
        </is>
      </c>
      <c r="C1796" t="inlineStr">
        <is>
          <t>173</t>
        </is>
      </c>
      <c r="D1796" t="inlineStr">
        <is>
          <t>16</t>
        </is>
      </c>
      <c r="E1796" t="inlineStr">
        <is>
          <t>11</t>
        </is>
      </c>
      <c r="F1796" t="inlineStr">
        <is>
          <t>A</t>
        </is>
      </c>
      <c r="G1796" t="inlineStr">
        <is>
          <t>Good</t>
        </is>
      </c>
      <c r="H1796" t="n">
        <v>238</v>
      </c>
      <c r="I1796">
        <f>B1796&amp;"|"&amp;F1796&amp;"|"&amp;G1796</f>
        <v/>
      </c>
      <c r="J1796" t="inlineStr">
        <is>
          <t>MVS Sec.16 p.11</t>
        </is>
      </c>
    </row>
    <row r="1797">
      <c r="B1797" t="inlineStr">
        <is>
          <t>Church Educational Wings</t>
        </is>
      </c>
      <c r="C1797" t="inlineStr">
        <is>
          <t>173</t>
        </is>
      </c>
      <c r="D1797" t="inlineStr">
        <is>
          <t>16</t>
        </is>
      </c>
      <c r="E1797" t="inlineStr">
        <is>
          <t>11</t>
        </is>
      </c>
      <c r="F1797" t="inlineStr">
        <is>
          <t>A</t>
        </is>
      </c>
      <c r="G1797" t="inlineStr">
        <is>
          <t>Average</t>
        </is>
      </c>
      <c r="H1797" t="n">
        <v>185</v>
      </c>
      <c r="I1797">
        <f>B1797&amp;"|"&amp;F1797&amp;"|"&amp;G1797</f>
        <v/>
      </c>
      <c r="J1797" t="inlineStr">
        <is>
          <t>MVS Sec.16 p.11</t>
        </is>
      </c>
    </row>
    <row r="1798">
      <c r="B1798" t="inlineStr">
        <is>
          <t>Church Educational Wings</t>
        </is>
      </c>
      <c r="C1798" t="inlineStr">
        <is>
          <t>173</t>
        </is>
      </c>
      <c r="D1798" t="inlineStr">
        <is>
          <t>16</t>
        </is>
      </c>
      <c r="E1798" t="inlineStr">
        <is>
          <t>11</t>
        </is>
      </c>
      <c r="F1798" t="inlineStr">
        <is>
          <t>B</t>
        </is>
      </c>
      <c r="G1798" t="inlineStr">
        <is>
          <t>Good</t>
        </is>
      </c>
      <c r="H1798" t="n">
        <v>218</v>
      </c>
      <c r="I1798">
        <f>B1798&amp;"|"&amp;F1798&amp;"|"&amp;G1798</f>
        <v/>
      </c>
      <c r="J1798" t="inlineStr">
        <is>
          <t>MVS Sec.16 p.11</t>
        </is>
      </c>
    </row>
    <row r="1799">
      <c r="B1799" t="inlineStr">
        <is>
          <t>Church Educational Wings</t>
        </is>
      </c>
      <c r="C1799" t="inlineStr">
        <is>
          <t>173</t>
        </is>
      </c>
      <c r="D1799" t="inlineStr">
        <is>
          <t>16</t>
        </is>
      </c>
      <c r="E1799" t="inlineStr">
        <is>
          <t>11</t>
        </is>
      </c>
      <c r="F1799" t="inlineStr">
        <is>
          <t>B</t>
        </is>
      </c>
      <c r="G1799" t="inlineStr">
        <is>
          <t>Average</t>
        </is>
      </c>
      <c r="H1799" t="n">
        <v>169</v>
      </c>
      <c r="I1799">
        <f>B1799&amp;"|"&amp;F1799&amp;"|"&amp;G1799</f>
        <v/>
      </c>
      <c r="J1799" t="inlineStr">
        <is>
          <t>MVS Sec.16 p.11</t>
        </is>
      </c>
    </row>
    <row r="1800">
      <c r="B1800" t="inlineStr">
        <is>
          <t>Church Educational Wings</t>
        </is>
      </c>
      <c r="C1800" t="inlineStr">
        <is>
          <t>173</t>
        </is>
      </c>
      <c r="D1800" t="inlineStr">
        <is>
          <t>16</t>
        </is>
      </c>
      <c r="E1800" t="inlineStr">
        <is>
          <t>11</t>
        </is>
      </c>
      <c r="F1800" t="inlineStr">
        <is>
          <t>C</t>
        </is>
      </c>
      <c r="G1800" t="inlineStr">
        <is>
          <t>Excellent</t>
        </is>
      </c>
      <c r="H1800" t="n">
        <v>223</v>
      </c>
      <c r="I1800">
        <f>B1800&amp;"|"&amp;F1800&amp;"|"&amp;G1800</f>
        <v/>
      </c>
      <c r="J1800" t="inlineStr">
        <is>
          <t>MVS Sec.16 p.11</t>
        </is>
      </c>
    </row>
    <row r="1801">
      <c r="B1801" t="inlineStr">
        <is>
          <t>Church Educational Wings</t>
        </is>
      </c>
      <c r="C1801" t="inlineStr">
        <is>
          <t>173</t>
        </is>
      </c>
      <c r="D1801" t="inlineStr">
        <is>
          <t>16</t>
        </is>
      </c>
      <c r="E1801" t="inlineStr">
        <is>
          <t>11</t>
        </is>
      </c>
      <c r="F1801" t="inlineStr">
        <is>
          <t>C</t>
        </is>
      </c>
      <c r="G1801" t="inlineStr">
        <is>
          <t>Good</t>
        </is>
      </c>
      <c r="H1801" t="n">
        <v>173</v>
      </c>
      <c r="I1801">
        <f>B1801&amp;"|"&amp;F1801&amp;"|"&amp;G1801</f>
        <v/>
      </c>
      <c r="J1801" t="inlineStr">
        <is>
          <t>MVS Sec.16 p.11</t>
        </is>
      </c>
    </row>
    <row r="1802">
      <c r="B1802" t="inlineStr">
        <is>
          <t>Church Educational Wings</t>
        </is>
      </c>
      <c r="C1802" t="inlineStr">
        <is>
          <t>173</t>
        </is>
      </c>
      <c r="D1802" t="inlineStr">
        <is>
          <t>16</t>
        </is>
      </c>
      <c r="E1802" t="inlineStr">
        <is>
          <t>11</t>
        </is>
      </c>
      <c r="F1802" t="inlineStr">
        <is>
          <t>C</t>
        </is>
      </c>
      <c r="G1802" t="inlineStr">
        <is>
          <t>Average</t>
        </is>
      </c>
      <c r="H1802" t="n">
        <v>133</v>
      </c>
      <c r="I1802">
        <f>B1802&amp;"|"&amp;F1802&amp;"|"&amp;G1802</f>
        <v/>
      </c>
      <c r="J1802" t="inlineStr">
        <is>
          <t>MVS Sec.16 p.11</t>
        </is>
      </c>
    </row>
    <row r="1803">
      <c r="B1803" t="inlineStr">
        <is>
          <t>Church Educational Wings</t>
        </is>
      </c>
      <c r="C1803" t="inlineStr">
        <is>
          <t>173</t>
        </is>
      </c>
      <c r="D1803" t="inlineStr">
        <is>
          <t>16</t>
        </is>
      </c>
      <c r="E1803" t="inlineStr">
        <is>
          <t>11</t>
        </is>
      </c>
      <c r="F1803" t="inlineStr">
        <is>
          <t>D</t>
        </is>
      </c>
      <c r="G1803" t="inlineStr">
        <is>
          <t>Excellent</t>
        </is>
      </c>
      <c r="H1803" t="n">
        <v>215</v>
      </c>
      <c r="I1803">
        <f>B1803&amp;"|"&amp;F1803&amp;"|"&amp;G1803</f>
        <v/>
      </c>
      <c r="J1803" t="inlineStr">
        <is>
          <t>MVS Sec.16 p.11</t>
        </is>
      </c>
    </row>
    <row r="1804">
      <c r="B1804" t="inlineStr">
        <is>
          <t>Church Educational Wings</t>
        </is>
      </c>
      <c r="C1804" t="inlineStr">
        <is>
          <t>173</t>
        </is>
      </c>
      <c r="D1804" t="inlineStr">
        <is>
          <t>16</t>
        </is>
      </c>
      <c r="E1804" t="inlineStr">
        <is>
          <t>11</t>
        </is>
      </c>
      <c r="F1804" t="inlineStr">
        <is>
          <t>D</t>
        </is>
      </c>
      <c r="G1804" t="inlineStr">
        <is>
          <t>Good</t>
        </is>
      </c>
      <c r="H1804" t="n">
        <v>165</v>
      </c>
      <c r="I1804">
        <f>B1804&amp;"|"&amp;F1804&amp;"|"&amp;G1804</f>
        <v/>
      </c>
      <c r="J1804" t="inlineStr">
        <is>
          <t>MVS Sec.16 p.11</t>
        </is>
      </c>
    </row>
    <row r="1805">
      <c r="B1805" t="inlineStr">
        <is>
          <t>Church Educational Wings</t>
        </is>
      </c>
      <c r="C1805" t="inlineStr">
        <is>
          <t>173</t>
        </is>
      </c>
      <c r="D1805" t="inlineStr">
        <is>
          <t>16</t>
        </is>
      </c>
      <c r="E1805" t="inlineStr">
        <is>
          <t>11</t>
        </is>
      </c>
      <c r="F1805" t="inlineStr">
        <is>
          <t>D</t>
        </is>
      </c>
      <c r="G1805" t="inlineStr">
        <is>
          <t>Average</t>
        </is>
      </c>
      <c r="H1805" t="n">
        <v>126</v>
      </c>
      <c r="I1805">
        <f>B1805&amp;"|"&amp;F1805&amp;"|"&amp;G1805</f>
        <v/>
      </c>
      <c r="J1805" t="inlineStr">
        <is>
          <t>MVS Sec.16 p.11</t>
        </is>
      </c>
    </row>
    <row r="1806">
      <c r="B1806" t="inlineStr">
        <is>
          <t>Church Educational Wings</t>
        </is>
      </c>
      <c r="C1806" t="inlineStr">
        <is>
          <t>173</t>
        </is>
      </c>
      <c r="D1806" t="inlineStr">
        <is>
          <t>16</t>
        </is>
      </c>
      <c r="E1806" t="inlineStr">
        <is>
          <t>11</t>
        </is>
      </c>
      <c r="F1806" t="inlineStr">
        <is>
          <t>DPOLE</t>
        </is>
      </c>
      <c r="G1806" t="inlineStr">
        <is>
          <t>Average</t>
        </is>
      </c>
      <c r="H1806" t="n">
        <v>118</v>
      </c>
      <c r="I1806">
        <f>B1806&amp;"|"&amp;F1806&amp;"|"&amp;G1806</f>
        <v/>
      </c>
      <c r="J1806" t="inlineStr">
        <is>
          <t>MVS Sec.16 p.11</t>
        </is>
      </c>
    </row>
    <row r="1807">
      <c r="B1807" t="inlineStr">
        <is>
          <t>Church Educational Wings</t>
        </is>
      </c>
      <c r="C1807" t="inlineStr">
        <is>
          <t>173</t>
        </is>
      </c>
      <c r="D1807" t="inlineStr">
        <is>
          <t>16</t>
        </is>
      </c>
      <c r="E1807" t="inlineStr">
        <is>
          <t>11</t>
        </is>
      </c>
      <c r="F1807" t="inlineStr">
        <is>
          <t>S</t>
        </is>
      </c>
      <c r="G1807" t="inlineStr">
        <is>
          <t>Good</t>
        </is>
      </c>
      <c r="H1807" t="n">
        <v>163</v>
      </c>
      <c r="I1807">
        <f>B1807&amp;"|"&amp;F1807&amp;"|"&amp;G1807</f>
        <v/>
      </c>
      <c r="J1807" t="inlineStr">
        <is>
          <t>MVS Sec.16 p.11</t>
        </is>
      </c>
    </row>
    <row r="1808">
      <c r="B1808" t="inlineStr">
        <is>
          <t>Church Educational Wings</t>
        </is>
      </c>
      <c r="C1808" t="inlineStr">
        <is>
          <t>173</t>
        </is>
      </c>
      <c r="D1808" t="inlineStr">
        <is>
          <t>16</t>
        </is>
      </c>
      <c r="E1808" t="inlineStr">
        <is>
          <t>11</t>
        </is>
      </c>
      <c r="F1808" t="inlineStr">
        <is>
          <t>S</t>
        </is>
      </c>
      <c r="G1808" t="inlineStr">
        <is>
          <t>Average</t>
        </is>
      </c>
      <c r="H1808" t="n">
        <v>124</v>
      </c>
      <c r="I1808">
        <f>B1808&amp;"|"&amp;F1808&amp;"|"&amp;G1808</f>
        <v/>
      </c>
      <c r="J1808" t="inlineStr">
        <is>
          <t>MVS Sec.16 p.11</t>
        </is>
      </c>
    </row>
    <row r="1809">
      <c r="B1809" t="inlineStr">
        <is>
          <t>Theaters: Live-Stage</t>
        </is>
      </c>
      <c r="C1809" t="inlineStr">
        <is>
          <t>379</t>
        </is>
      </c>
      <c r="D1809" t="inlineStr">
        <is>
          <t>16</t>
        </is>
      </c>
      <c r="E1809" t="inlineStr">
        <is>
          <t>12</t>
        </is>
      </c>
      <c r="F1809" t="inlineStr">
        <is>
          <t>A</t>
        </is>
      </c>
      <c r="G1809" t="inlineStr">
        <is>
          <t>Excellent</t>
        </is>
      </c>
      <c r="H1809" t="n">
        <v>540</v>
      </c>
      <c r="I1809">
        <f>B1809&amp;"|"&amp;F1809&amp;"|"&amp;G1809</f>
        <v/>
      </c>
      <c r="J1809" t="inlineStr">
        <is>
          <t>MVS Sec.16 p.12</t>
        </is>
      </c>
    </row>
    <row r="1810">
      <c r="B1810" t="inlineStr">
        <is>
          <t>Theaters: Live-Stage</t>
        </is>
      </c>
      <c r="C1810" t="inlineStr">
        <is>
          <t>379</t>
        </is>
      </c>
      <c r="D1810" t="inlineStr">
        <is>
          <t>16</t>
        </is>
      </c>
      <c r="E1810" t="inlineStr">
        <is>
          <t>12</t>
        </is>
      </c>
      <c r="F1810" t="inlineStr">
        <is>
          <t>A</t>
        </is>
      </c>
      <c r="G1810" t="inlineStr">
        <is>
          <t>Good</t>
        </is>
      </c>
      <c r="H1810" t="n">
        <v>391</v>
      </c>
      <c r="I1810">
        <f>B1810&amp;"|"&amp;F1810&amp;"|"&amp;G1810</f>
        <v/>
      </c>
      <c r="J1810" t="inlineStr">
        <is>
          <t>MVS Sec.16 p.12</t>
        </is>
      </c>
    </row>
    <row r="1811">
      <c r="B1811" t="inlineStr">
        <is>
          <t>Theaters: Live-Stage</t>
        </is>
      </c>
      <c r="C1811" t="inlineStr">
        <is>
          <t>379</t>
        </is>
      </c>
      <c r="D1811" t="inlineStr">
        <is>
          <t>16</t>
        </is>
      </c>
      <c r="E1811" t="inlineStr">
        <is>
          <t>12</t>
        </is>
      </c>
      <c r="F1811" t="inlineStr">
        <is>
          <t>A</t>
        </is>
      </c>
      <c r="G1811" t="inlineStr">
        <is>
          <t>Average</t>
        </is>
      </c>
      <c r="H1811" t="n">
        <v>292</v>
      </c>
      <c r="I1811">
        <f>B1811&amp;"|"&amp;F1811&amp;"|"&amp;G1811</f>
        <v/>
      </c>
      <c r="J1811" t="inlineStr">
        <is>
          <t>MVS Sec.16 p.12</t>
        </is>
      </c>
    </row>
    <row r="1812">
      <c r="B1812" t="inlineStr">
        <is>
          <t>Theaters: Live-Stage</t>
        </is>
      </c>
      <c r="C1812" t="inlineStr">
        <is>
          <t>379</t>
        </is>
      </c>
      <c r="D1812" t="inlineStr">
        <is>
          <t>16</t>
        </is>
      </c>
      <c r="E1812" t="inlineStr">
        <is>
          <t>12</t>
        </is>
      </c>
      <c r="F1812" t="inlineStr">
        <is>
          <t>B</t>
        </is>
      </c>
      <c r="G1812" t="inlineStr">
        <is>
          <t>Excellent</t>
        </is>
      </c>
      <c r="H1812" t="n">
        <v>483</v>
      </c>
      <c r="I1812">
        <f>B1812&amp;"|"&amp;F1812&amp;"|"&amp;G1812</f>
        <v/>
      </c>
      <c r="J1812" t="inlineStr">
        <is>
          <t>MVS Sec.16 p.12</t>
        </is>
      </c>
    </row>
    <row r="1813">
      <c r="B1813" t="inlineStr">
        <is>
          <t>Theaters: Live-Stage</t>
        </is>
      </c>
      <c r="C1813" t="inlineStr">
        <is>
          <t>379</t>
        </is>
      </c>
      <c r="D1813" t="inlineStr">
        <is>
          <t>16</t>
        </is>
      </c>
      <c r="E1813" t="inlineStr">
        <is>
          <t>12</t>
        </is>
      </c>
      <c r="F1813" t="inlineStr">
        <is>
          <t>B</t>
        </is>
      </c>
      <c r="G1813" t="inlineStr">
        <is>
          <t>Good</t>
        </is>
      </c>
      <c r="H1813" t="n">
        <v>353</v>
      </c>
      <c r="I1813">
        <f>B1813&amp;"|"&amp;F1813&amp;"|"&amp;G1813</f>
        <v/>
      </c>
      <c r="J1813" t="inlineStr">
        <is>
          <t>MVS Sec.16 p.12</t>
        </is>
      </c>
    </row>
    <row r="1814">
      <c r="B1814" t="inlineStr">
        <is>
          <t>Theaters: Live-Stage</t>
        </is>
      </c>
      <c r="C1814" t="inlineStr">
        <is>
          <t>379</t>
        </is>
      </c>
      <c r="D1814" t="inlineStr">
        <is>
          <t>16</t>
        </is>
      </c>
      <c r="E1814" t="inlineStr">
        <is>
          <t>12</t>
        </is>
      </c>
      <c r="F1814" t="inlineStr">
        <is>
          <t>B</t>
        </is>
      </c>
      <c r="G1814" t="inlineStr">
        <is>
          <t>Average</t>
        </is>
      </c>
      <c r="H1814" t="n">
        <v>266</v>
      </c>
      <c r="I1814">
        <f>B1814&amp;"|"&amp;F1814&amp;"|"&amp;G1814</f>
        <v/>
      </c>
      <c r="J1814" t="inlineStr">
        <is>
          <t>MVS Sec.16 p.12</t>
        </is>
      </c>
    </row>
    <row r="1815">
      <c r="B1815" t="inlineStr">
        <is>
          <t>Theaters: Live-Stage</t>
        </is>
      </c>
      <c r="C1815" t="inlineStr">
        <is>
          <t>379</t>
        </is>
      </c>
      <c r="D1815" t="inlineStr">
        <is>
          <t>16</t>
        </is>
      </c>
      <c r="E1815" t="inlineStr">
        <is>
          <t>12</t>
        </is>
      </c>
      <c r="F1815" t="inlineStr">
        <is>
          <t>C</t>
        </is>
      </c>
      <c r="G1815" t="inlineStr">
        <is>
          <t>Excellent</t>
        </is>
      </c>
      <c r="H1815" t="n">
        <v>377</v>
      </c>
      <c r="I1815">
        <f>B1815&amp;"|"&amp;F1815&amp;"|"&amp;G1815</f>
        <v/>
      </c>
      <c r="J1815" t="inlineStr">
        <is>
          <t>MVS Sec.16 p.12</t>
        </is>
      </c>
    </row>
    <row r="1816">
      <c r="B1816" t="inlineStr">
        <is>
          <t>Theaters: Live-Stage</t>
        </is>
      </c>
      <c r="C1816" t="inlineStr">
        <is>
          <t>379</t>
        </is>
      </c>
      <c r="D1816" t="inlineStr">
        <is>
          <t>16</t>
        </is>
      </c>
      <c r="E1816" t="inlineStr">
        <is>
          <t>12</t>
        </is>
      </c>
      <c r="F1816" t="inlineStr">
        <is>
          <t>C</t>
        </is>
      </c>
      <c r="G1816" t="inlineStr">
        <is>
          <t>Good</t>
        </is>
      </c>
      <c r="H1816" t="n">
        <v>261</v>
      </c>
      <c r="I1816">
        <f>B1816&amp;"|"&amp;F1816&amp;"|"&amp;G1816</f>
        <v/>
      </c>
      <c r="J1816" t="inlineStr">
        <is>
          <t>MVS Sec.16 p.12</t>
        </is>
      </c>
    </row>
    <row r="1817">
      <c r="B1817" t="inlineStr">
        <is>
          <t>Theaters: Live-Stage</t>
        </is>
      </c>
      <c r="C1817" t="inlineStr">
        <is>
          <t>379</t>
        </is>
      </c>
      <c r="D1817" t="inlineStr">
        <is>
          <t>16</t>
        </is>
      </c>
      <c r="E1817" t="inlineStr">
        <is>
          <t>12</t>
        </is>
      </c>
      <c r="F1817" t="inlineStr">
        <is>
          <t>C</t>
        </is>
      </c>
      <c r="G1817" t="inlineStr">
        <is>
          <t>Average</t>
        </is>
      </c>
      <c r="H1817" t="n">
        <v>174</v>
      </c>
      <c r="I1817">
        <f>B1817&amp;"|"&amp;F1817&amp;"|"&amp;G1817</f>
        <v/>
      </c>
      <c r="J1817" t="inlineStr">
        <is>
          <t>MVS Sec.16 p.12</t>
        </is>
      </c>
    </row>
    <row r="1818">
      <c r="B1818" t="inlineStr">
        <is>
          <t>Theaters: Live-Stage</t>
        </is>
      </c>
      <c r="C1818" t="inlineStr">
        <is>
          <t>379</t>
        </is>
      </c>
      <c r="D1818" t="inlineStr">
        <is>
          <t>16</t>
        </is>
      </c>
      <c r="E1818" t="inlineStr">
        <is>
          <t>12</t>
        </is>
      </c>
      <c r="F1818" t="inlineStr">
        <is>
          <t>D</t>
        </is>
      </c>
      <c r="G1818" t="inlineStr">
        <is>
          <t>Good</t>
        </is>
      </c>
      <c r="H1818" t="n">
        <v>250</v>
      </c>
      <c r="I1818">
        <f>B1818&amp;"|"&amp;F1818&amp;"|"&amp;G1818</f>
        <v/>
      </c>
      <c r="J1818" t="inlineStr">
        <is>
          <t>MVS Sec.16 p.12</t>
        </is>
      </c>
    </row>
    <row r="1819">
      <c r="B1819" t="inlineStr">
        <is>
          <t>Theaters: Live-Stage</t>
        </is>
      </c>
      <c r="C1819" t="inlineStr">
        <is>
          <t>379</t>
        </is>
      </c>
      <c r="D1819" t="inlineStr">
        <is>
          <t>16</t>
        </is>
      </c>
      <c r="E1819" t="inlineStr">
        <is>
          <t>12</t>
        </is>
      </c>
      <c r="F1819" t="inlineStr">
        <is>
          <t>DPOLE</t>
        </is>
      </c>
      <c r="G1819" t="inlineStr">
        <is>
          <t>Average</t>
        </is>
      </c>
      <c r="H1819" t="n">
        <v>166</v>
      </c>
      <c r="I1819">
        <f>B1819&amp;"|"&amp;F1819&amp;"|"&amp;G1819</f>
        <v/>
      </c>
      <c r="J1819" t="inlineStr">
        <is>
          <t>MVS Sec.16 p.12</t>
        </is>
      </c>
    </row>
    <row r="1820">
      <c r="B1820" t="inlineStr">
        <is>
          <t>Theaters: Live-Stage</t>
        </is>
      </c>
      <c r="C1820" t="inlineStr">
        <is>
          <t>379</t>
        </is>
      </c>
      <c r="D1820" t="inlineStr">
        <is>
          <t>16</t>
        </is>
      </c>
      <c r="E1820" t="inlineStr">
        <is>
          <t>12</t>
        </is>
      </c>
      <c r="F1820" t="inlineStr">
        <is>
          <t>S</t>
        </is>
      </c>
      <c r="G1820" t="inlineStr">
        <is>
          <t>Average</t>
        </is>
      </c>
      <c r="H1820" t="n">
        <v>162</v>
      </c>
      <c r="I1820">
        <f>B1820&amp;"|"&amp;F1820&amp;"|"&amp;G1820</f>
        <v/>
      </c>
      <c r="J1820" t="inlineStr">
        <is>
          <t>MVS Sec.16 p.12</t>
        </is>
      </c>
    </row>
    <row r="1821">
      <c r="B1821" t="inlineStr">
        <is>
          <t>Theaters: Cinema</t>
        </is>
      </c>
      <c r="C1821" t="inlineStr">
        <is>
          <t>380</t>
        </is>
      </c>
      <c r="D1821" t="inlineStr">
        <is>
          <t>16</t>
        </is>
      </c>
      <c r="E1821" t="inlineStr">
        <is>
          <t>13</t>
        </is>
      </c>
      <c r="F1821" t="inlineStr">
        <is>
          <t>A</t>
        </is>
      </c>
      <c r="G1821" t="inlineStr">
        <is>
          <t>Good</t>
        </is>
      </c>
      <c r="H1821" t="n">
        <v>340</v>
      </c>
      <c r="I1821">
        <f>B1821&amp;"|"&amp;F1821&amp;"|"&amp;G1821</f>
        <v/>
      </c>
      <c r="J1821" t="inlineStr">
        <is>
          <t>MVS Sec.16 p.13</t>
        </is>
      </c>
    </row>
    <row r="1822">
      <c r="B1822" t="inlineStr">
        <is>
          <t>Theaters: Cinema</t>
        </is>
      </c>
      <c r="C1822" t="inlineStr">
        <is>
          <t>380</t>
        </is>
      </c>
      <c r="D1822" t="inlineStr">
        <is>
          <t>16</t>
        </is>
      </c>
      <c r="E1822" t="inlineStr">
        <is>
          <t>13</t>
        </is>
      </c>
      <c r="F1822" t="inlineStr">
        <is>
          <t>A</t>
        </is>
      </c>
      <c r="G1822" t="inlineStr">
        <is>
          <t>Average</t>
        </is>
      </c>
      <c r="H1822" t="n">
        <v>255</v>
      </c>
      <c r="I1822">
        <f>B1822&amp;"|"&amp;F1822&amp;"|"&amp;G1822</f>
        <v/>
      </c>
      <c r="J1822" t="inlineStr">
        <is>
          <t>MVS Sec.16 p.13</t>
        </is>
      </c>
    </row>
    <row r="1823">
      <c r="B1823" t="inlineStr">
        <is>
          <t>Theaters: Cinema</t>
        </is>
      </c>
      <c r="C1823" t="inlineStr">
        <is>
          <t>380</t>
        </is>
      </c>
      <c r="D1823" t="inlineStr">
        <is>
          <t>16</t>
        </is>
      </c>
      <c r="E1823" t="inlineStr">
        <is>
          <t>13</t>
        </is>
      </c>
      <c r="F1823" t="inlineStr">
        <is>
          <t>B</t>
        </is>
      </c>
      <c r="G1823" t="inlineStr">
        <is>
          <t>Good</t>
        </is>
      </c>
      <c r="H1823" t="n">
        <v>306</v>
      </c>
      <c r="I1823">
        <f>B1823&amp;"|"&amp;F1823&amp;"|"&amp;G1823</f>
        <v/>
      </c>
      <c r="J1823" t="inlineStr">
        <is>
          <t>MVS Sec.16 p.13</t>
        </is>
      </c>
    </row>
    <row r="1824">
      <c r="B1824" t="inlineStr">
        <is>
          <t>Theaters: Cinema</t>
        </is>
      </c>
      <c r="C1824" t="inlineStr">
        <is>
          <t>380</t>
        </is>
      </c>
      <c r="D1824" t="inlineStr">
        <is>
          <t>16</t>
        </is>
      </c>
      <c r="E1824" t="inlineStr">
        <is>
          <t>13</t>
        </is>
      </c>
      <c r="F1824" t="inlineStr">
        <is>
          <t>B</t>
        </is>
      </c>
      <c r="G1824" t="inlineStr">
        <is>
          <t>Average</t>
        </is>
      </c>
      <c r="H1824" t="n">
        <v>233</v>
      </c>
      <c r="I1824">
        <f>B1824&amp;"|"&amp;F1824&amp;"|"&amp;G1824</f>
        <v/>
      </c>
      <c r="J1824" t="inlineStr">
        <is>
          <t>MVS Sec.16 p.13</t>
        </is>
      </c>
    </row>
    <row r="1825">
      <c r="B1825" t="inlineStr">
        <is>
          <t>Theaters: Cinema</t>
        </is>
      </c>
      <c r="C1825" t="inlineStr">
        <is>
          <t>380</t>
        </is>
      </c>
      <c r="D1825" t="inlineStr">
        <is>
          <t>16</t>
        </is>
      </c>
      <c r="E1825" t="inlineStr">
        <is>
          <t>13</t>
        </is>
      </c>
      <c r="F1825" t="inlineStr">
        <is>
          <t>B</t>
        </is>
      </c>
      <c r="G1825" t="inlineStr">
        <is>
          <t>Excellent</t>
        </is>
      </c>
      <c r="H1825" t="n">
        <v>306</v>
      </c>
      <c r="I1825">
        <f>B1825&amp;"|"&amp;F1825&amp;"|"&amp;G1825</f>
        <v/>
      </c>
      <c r="J1825" t="inlineStr">
        <is>
          <t>MVS Sec.16 p.13</t>
        </is>
      </c>
    </row>
    <row r="1826">
      <c r="B1826" t="inlineStr">
        <is>
          <t>Theaters: Cinema</t>
        </is>
      </c>
      <c r="C1826" t="inlineStr">
        <is>
          <t>380</t>
        </is>
      </c>
      <c r="D1826" t="inlineStr">
        <is>
          <t>16</t>
        </is>
      </c>
      <c r="E1826" t="inlineStr">
        <is>
          <t>13</t>
        </is>
      </c>
      <c r="F1826" t="inlineStr">
        <is>
          <t>C</t>
        </is>
      </c>
      <c r="G1826" t="inlineStr">
        <is>
          <t>Very Good</t>
        </is>
      </c>
      <c r="H1826" t="n">
        <v>256</v>
      </c>
      <c r="I1826">
        <f>B1826&amp;"|"&amp;F1826&amp;"|"&amp;G1826</f>
        <v/>
      </c>
      <c r="J1826" t="inlineStr">
        <is>
          <t>MVS Sec.16 p.13</t>
        </is>
      </c>
    </row>
    <row r="1827">
      <c r="B1827" t="inlineStr">
        <is>
          <t>Theaters: Cinema</t>
        </is>
      </c>
      <c r="C1827" t="inlineStr">
        <is>
          <t>380</t>
        </is>
      </c>
      <c r="D1827" t="inlineStr">
        <is>
          <t>16</t>
        </is>
      </c>
      <c r="E1827" t="inlineStr">
        <is>
          <t>13</t>
        </is>
      </c>
      <c r="F1827" t="inlineStr">
        <is>
          <t>C</t>
        </is>
      </c>
      <c r="G1827" t="inlineStr">
        <is>
          <t>Good</t>
        </is>
      </c>
      <c r="H1827" t="n">
        <v>207</v>
      </c>
      <c r="I1827">
        <f>B1827&amp;"|"&amp;F1827&amp;"|"&amp;G1827</f>
        <v/>
      </c>
      <c r="J1827" t="inlineStr">
        <is>
          <t>MVS Sec.16 p.13</t>
        </is>
      </c>
    </row>
    <row r="1828">
      <c r="B1828" t="inlineStr">
        <is>
          <t>Theaters: Cinema</t>
        </is>
      </c>
      <c r="C1828" t="inlineStr">
        <is>
          <t>380</t>
        </is>
      </c>
      <c r="D1828" t="inlineStr">
        <is>
          <t>16</t>
        </is>
      </c>
      <c r="E1828" t="inlineStr">
        <is>
          <t>13</t>
        </is>
      </c>
      <c r="F1828" t="inlineStr">
        <is>
          <t>C</t>
        </is>
      </c>
      <c r="G1828" t="inlineStr">
        <is>
          <t>Average</t>
        </is>
      </c>
      <c r="H1828" t="n">
        <v>146</v>
      </c>
      <c r="I1828">
        <f>B1828&amp;"|"&amp;F1828&amp;"|"&amp;G1828</f>
        <v/>
      </c>
      <c r="J1828" t="inlineStr">
        <is>
          <t>MVS Sec.16 p.13</t>
        </is>
      </c>
    </row>
    <row r="1829">
      <c r="B1829" t="inlineStr">
        <is>
          <t>Theaters: Cinema</t>
        </is>
      </c>
      <c r="C1829" t="inlineStr">
        <is>
          <t>380</t>
        </is>
      </c>
      <c r="D1829" t="inlineStr">
        <is>
          <t>16</t>
        </is>
      </c>
      <c r="E1829" t="inlineStr">
        <is>
          <t>13</t>
        </is>
      </c>
      <c r="F1829" t="inlineStr">
        <is>
          <t>C</t>
        </is>
      </c>
      <c r="G1829" t="inlineStr">
        <is>
          <t>Fair</t>
        </is>
      </c>
      <c r="H1829" t="n">
        <v>123</v>
      </c>
      <c r="I1829">
        <f>B1829&amp;"|"&amp;F1829&amp;"|"&amp;G1829</f>
        <v/>
      </c>
      <c r="J1829" t="inlineStr">
        <is>
          <t>MVS Sec.16 p.13</t>
        </is>
      </c>
    </row>
    <row r="1830">
      <c r="B1830" t="inlineStr">
        <is>
          <t>Theaters: Cinema</t>
        </is>
      </c>
      <c r="C1830" t="inlineStr">
        <is>
          <t>380</t>
        </is>
      </c>
      <c r="D1830" t="inlineStr">
        <is>
          <t>16</t>
        </is>
      </c>
      <c r="E1830" t="inlineStr">
        <is>
          <t>13</t>
        </is>
      </c>
      <c r="F1830" t="inlineStr">
        <is>
          <t>D</t>
        </is>
      </c>
      <c r="G1830" t="inlineStr">
        <is>
          <t>Very Good</t>
        </is>
      </c>
      <c r="H1830" t="n">
        <v>245</v>
      </c>
      <c r="I1830">
        <f>B1830&amp;"|"&amp;F1830&amp;"|"&amp;G1830</f>
        <v/>
      </c>
      <c r="J1830" t="inlineStr">
        <is>
          <t>MVS Sec.16 p.13</t>
        </is>
      </c>
    </row>
    <row r="1831">
      <c r="B1831" t="inlineStr">
        <is>
          <t>Theaters: Cinema</t>
        </is>
      </c>
      <c r="C1831" t="inlineStr">
        <is>
          <t>380</t>
        </is>
      </c>
      <c r="D1831" t="inlineStr">
        <is>
          <t>16</t>
        </is>
      </c>
      <c r="E1831" t="inlineStr">
        <is>
          <t>13</t>
        </is>
      </c>
      <c r="F1831" t="inlineStr">
        <is>
          <t>D</t>
        </is>
      </c>
      <c r="G1831" t="inlineStr">
        <is>
          <t>Good</t>
        </is>
      </c>
      <c r="H1831" t="n">
        <v>197</v>
      </c>
      <c r="I1831">
        <f>B1831&amp;"|"&amp;F1831&amp;"|"&amp;G1831</f>
        <v/>
      </c>
      <c r="J1831" t="inlineStr">
        <is>
          <t>MVS Sec.16 p.13</t>
        </is>
      </c>
    </row>
    <row r="1832">
      <c r="B1832" t="inlineStr">
        <is>
          <t>Theaters: Cinema</t>
        </is>
      </c>
      <c r="C1832" t="inlineStr">
        <is>
          <t>380</t>
        </is>
      </c>
      <c r="D1832" t="inlineStr">
        <is>
          <t>16</t>
        </is>
      </c>
      <c r="E1832" t="inlineStr">
        <is>
          <t>13</t>
        </is>
      </c>
      <c r="F1832" t="inlineStr">
        <is>
          <t>D</t>
        </is>
      </c>
      <c r="G1832" t="inlineStr">
        <is>
          <t>Average</t>
        </is>
      </c>
      <c r="H1832" t="n">
        <v>138</v>
      </c>
      <c r="I1832">
        <f>B1832&amp;"|"&amp;F1832&amp;"|"&amp;G1832</f>
        <v/>
      </c>
      <c r="J1832" t="inlineStr">
        <is>
          <t>MVS Sec.16 p.13</t>
        </is>
      </c>
    </row>
    <row r="1833">
      <c r="B1833" t="inlineStr">
        <is>
          <t>Theaters: Cinema</t>
        </is>
      </c>
      <c r="C1833" t="inlineStr">
        <is>
          <t>380</t>
        </is>
      </c>
      <c r="D1833" t="inlineStr">
        <is>
          <t>16</t>
        </is>
      </c>
      <c r="E1833" t="inlineStr">
        <is>
          <t>13</t>
        </is>
      </c>
      <c r="F1833" t="inlineStr">
        <is>
          <t>D</t>
        </is>
      </c>
      <c r="G1833" t="inlineStr">
        <is>
          <t>Fair</t>
        </is>
      </c>
      <c r="H1833" t="n">
        <v>117</v>
      </c>
      <c r="I1833">
        <f>B1833&amp;"|"&amp;F1833&amp;"|"&amp;G1833</f>
        <v/>
      </c>
      <c r="J1833" t="inlineStr">
        <is>
          <t>MVS Sec.16 p.13</t>
        </is>
      </c>
    </row>
    <row r="1834">
      <c r="B1834" t="inlineStr">
        <is>
          <t>Theaters: Cinema</t>
        </is>
      </c>
      <c r="C1834" t="inlineStr">
        <is>
          <t>380</t>
        </is>
      </c>
      <c r="D1834" t="inlineStr">
        <is>
          <t>16</t>
        </is>
      </c>
      <c r="E1834" t="inlineStr">
        <is>
          <t>13</t>
        </is>
      </c>
      <c r="F1834" t="inlineStr">
        <is>
          <t>DPOLE</t>
        </is>
      </c>
      <c r="G1834" t="inlineStr">
        <is>
          <t>Good</t>
        </is>
      </c>
      <c r="H1834" t="n">
        <v>196</v>
      </c>
      <c r="I1834">
        <f>B1834&amp;"|"&amp;F1834&amp;"|"&amp;G1834</f>
        <v/>
      </c>
      <c r="J1834" t="inlineStr">
        <is>
          <t>MVS Sec.16 p.13</t>
        </is>
      </c>
    </row>
    <row r="1835">
      <c r="B1835" t="inlineStr">
        <is>
          <t>Theaters: Cinema</t>
        </is>
      </c>
      <c r="C1835" t="inlineStr">
        <is>
          <t>380</t>
        </is>
      </c>
      <c r="D1835" t="inlineStr">
        <is>
          <t>16</t>
        </is>
      </c>
      <c r="E1835" t="inlineStr">
        <is>
          <t>13</t>
        </is>
      </c>
      <c r="F1835" t="inlineStr">
        <is>
          <t>S</t>
        </is>
      </c>
      <c r="G1835" t="inlineStr">
        <is>
          <t>Average</t>
        </is>
      </c>
      <c r="H1835" t="n">
        <v>137</v>
      </c>
      <c r="I1835">
        <f>B1835&amp;"|"&amp;F1835&amp;"|"&amp;G1835</f>
        <v/>
      </c>
      <c r="J1835" t="inlineStr">
        <is>
          <t>MVS Sec.16 p.13</t>
        </is>
      </c>
    </row>
    <row r="1836">
      <c r="B1836" t="inlineStr">
        <is>
          <t>Theaters: Cinema</t>
        </is>
      </c>
      <c r="C1836" t="inlineStr">
        <is>
          <t>380</t>
        </is>
      </c>
      <c r="D1836" t="inlineStr">
        <is>
          <t>16</t>
        </is>
      </c>
      <c r="E1836" t="inlineStr">
        <is>
          <t>13</t>
        </is>
      </c>
      <c r="F1836" t="inlineStr">
        <is>
          <t>S</t>
        </is>
      </c>
      <c r="G1836" t="inlineStr">
        <is>
          <t>Fair</t>
        </is>
      </c>
      <c r="H1836" t="n">
        <v>115</v>
      </c>
      <c r="I1836">
        <f>B1836&amp;"|"&amp;F1836&amp;"|"&amp;G1836</f>
        <v/>
      </c>
      <c r="J1836" t="inlineStr">
        <is>
          <t>MVS Sec.16 p.13</t>
        </is>
      </c>
    </row>
    <row r="1837">
      <c r="B1837" t="inlineStr">
        <is>
          <t>Auditoriums</t>
        </is>
      </c>
      <c r="C1837" t="inlineStr">
        <is>
          <t>302</t>
        </is>
      </c>
      <c r="D1837" t="inlineStr">
        <is>
          <t>16</t>
        </is>
      </c>
      <c r="E1837" t="inlineStr">
        <is>
          <t>14</t>
        </is>
      </c>
      <c r="F1837" t="inlineStr">
        <is>
          <t>A</t>
        </is>
      </c>
      <c r="G1837" t="inlineStr">
        <is>
          <t>Excellent</t>
        </is>
      </c>
      <c r="H1837" t="n">
        <v>525</v>
      </c>
      <c r="I1837">
        <f>B1837&amp;"|"&amp;F1837&amp;"|"&amp;G1837</f>
        <v/>
      </c>
      <c r="J1837" t="inlineStr">
        <is>
          <t>MVS Sec.16 p.14</t>
        </is>
      </c>
    </row>
    <row r="1838">
      <c r="B1838" t="inlineStr">
        <is>
          <t>Auditoriums</t>
        </is>
      </c>
      <c r="C1838" t="inlineStr">
        <is>
          <t>302</t>
        </is>
      </c>
      <c r="D1838" t="inlineStr">
        <is>
          <t>16</t>
        </is>
      </c>
      <c r="E1838" t="inlineStr">
        <is>
          <t>14</t>
        </is>
      </c>
      <c r="F1838" t="inlineStr">
        <is>
          <t>A</t>
        </is>
      </c>
      <c r="G1838" t="inlineStr">
        <is>
          <t>Good</t>
        </is>
      </c>
      <c r="H1838" t="n">
        <v>369</v>
      </c>
      <c r="I1838">
        <f>B1838&amp;"|"&amp;F1838&amp;"|"&amp;G1838</f>
        <v/>
      </c>
      <c r="J1838" t="inlineStr">
        <is>
          <t>MVS Sec.16 p.14</t>
        </is>
      </c>
    </row>
    <row r="1839">
      <c r="B1839" t="inlineStr">
        <is>
          <t>Auditoriums</t>
        </is>
      </c>
      <c r="C1839" t="inlineStr">
        <is>
          <t>302</t>
        </is>
      </c>
      <c r="D1839" t="inlineStr">
        <is>
          <t>16</t>
        </is>
      </c>
      <c r="E1839" t="inlineStr">
        <is>
          <t>14</t>
        </is>
      </c>
      <c r="F1839" t="inlineStr">
        <is>
          <t>A</t>
        </is>
      </c>
      <c r="G1839" t="inlineStr">
        <is>
          <t>Average</t>
        </is>
      </c>
      <c r="H1839" t="n">
        <v>267</v>
      </c>
      <c r="I1839">
        <f>B1839&amp;"|"&amp;F1839&amp;"|"&amp;G1839</f>
        <v/>
      </c>
      <c r="J1839" t="inlineStr">
        <is>
          <t>MVS Sec.16 p.14</t>
        </is>
      </c>
    </row>
    <row r="1840">
      <c r="B1840" t="inlineStr">
        <is>
          <t>Auditoriums</t>
        </is>
      </c>
      <c r="C1840" t="inlineStr">
        <is>
          <t>302</t>
        </is>
      </c>
      <c r="D1840" t="inlineStr">
        <is>
          <t>16</t>
        </is>
      </c>
      <c r="E1840" t="inlineStr">
        <is>
          <t>14</t>
        </is>
      </c>
      <c r="F1840" t="inlineStr">
        <is>
          <t>B</t>
        </is>
      </c>
      <c r="G1840" t="inlineStr">
        <is>
          <t>Excellent</t>
        </is>
      </c>
      <c r="H1840" t="n">
        <v>472</v>
      </c>
      <c r="I1840">
        <f>B1840&amp;"|"&amp;F1840&amp;"|"&amp;G1840</f>
        <v/>
      </c>
      <c r="J1840" t="inlineStr">
        <is>
          <t>MVS Sec.16 p.14</t>
        </is>
      </c>
    </row>
    <row r="1841">
      <c r="B1841" t="inlineStr">
        <is>
          <t>Auditoriums</t>
        </is>
      </c>
      <c r="C1841" t="inlineStr">
        <is>
          <t>302</t>
        </is>
      </c>
      <c r="D1841" t="inlineStr">
        <is>
          <t>16</t>
        </is>
      </c>
      <c r="E1841" t="inlineStr">
        <is>
          <t>14</t>
        </is>
      </c>
      <c r="F1841" t="inlineStr">
        <is>
          <t>B</t>
        </is>
      </c>
      <c r="G1841" t="inlineStr">
        <is>
          <t>Good</t>
        </is>
      </c>
      <c r="H1841" t="n">
        <v>332</v>
      </c>
      <c r="I1841">
        <f>B1841&amp;"|"&amp;F1841&amp;"|"&amp;G1841</f>
        <v/>
      </c>
      <c r="J1841" t="inlineStr">
        <is>
          <t>MVS Sec.16 p.14</t>
        </is>
      </c>
    </row>
    <row r="1842">
      <c r="B1842" t="inlineStr">
        <is>
          <t>Auditoriums</t>
        </is>
      </c>
      <c r="C1842" t="inlineStr">
        <is>
          <t>302</t>
        </is>
      </c>
      <c r="D1842" t="inlineStr">
        <is>
          <t>16</t>
        </is>
      </c>
      <c r="E1842" t="inlineStr">
        <is>
          <t>14</t>
        </is>
      </c>
      <c r="F1842" t="inlineStr">
        <is>
          <t>B</t>
        </is>
      </c>
      <c r="G1842" t="inlineStr">
        <is>
          <t>Average</t>
        </is>
      </c>
      <c r="H1842" t="n">
        <v>242</v>
      </c>
      <c r="I1842">
        <f>B1842&amp;"|"&amp;F1842&amp;"|"&amp;G1842</f>
        <v/>
      </c>
      <c r="J1842" t="inlineStr">
        <is>
          <t>MVS Sec.16 p.14</t>
        </is>
      </c>
    </row>
    <row r="1843">
      <c r="B1843" t="inlineStr">
        <is>
          <t>Auditoriums</t>
        </is>
      </c>
      <c r="C1843" t="inlineStr">
        <is>
          <t>302</t>
        </is>
      </c>
      <c r="D1843" t="inlineStr">
        <is>
          <t>16</t>
        </is>
      </c>
      <c r="E1843" t="inlineStr">
        <is>
          <t>14</t>
        </is>
      </c>
      <c r="F1843" t="inlineStr">
        <is>
          <t>C</t>
        </is>
      </c>
      <c r="G1843" t="inlineStr">
        <is>
          <t>Excellent</t>
        </is>
      </c>
      <c r="H1843" t="n">
        <v>344</v>
      </c>
      <c r="I1843">
        <f>B1843&amp;"|"&amp;F1843&amp;"|"&amp;G1843</f>
        <v/>
      </c>
      <c r="J1843" t="inlineStr">
        <is>
          <t>MVS Sec.16 p.14</t>
        </is>
      </c>
    </row>
    <row r="1844">
      <c r="B1844" t="inlineStr">
        <is>
          <t>Auditoriums</t>
        </is>
      </c>
      <c r="C1844" t="inlineStr">
        <is>
          <t>302</t>
        </is>
      </c>
      <c r="D1844" t="inlineStr">
        <is>
          <t>16</t>
        </is>
      </c>
      <c r="E1844" t="inlineStr">
        <is>
          <t>14</t>
        </is>
      </c>
      <c r="F1844" t="inlineStr">
        <is>
          <t>C</t>
        </is>
      </c>
      <c r="G1844" t="inlineStr">
        <is>
          <t>Good</t>
        </is>
      </c>
      <c r="H1844" t="n">
        <v>249</v>
      </c>
      <c r="I1844">
        <f>B1844&amp;"|"&amp;F1844&amp;"|"&amp;G1844</f>
        <v/>
      </c>
      <c r="J1844" t="inlineStr">
        <is>
          <t>MVS Sec.16 p.14</t>
        </is>
      </c>
    </row>
    <row r="1845">
      <c r="B1845" t="inlineStr">
        <is>
          <t>Auditoriums</t>
        </is>
      </c>
      <c r="C1845" t="inlineStr">
        <is>
          <t>302</t>
        </is>
      </c>
      <c r="D1845" t="inlineStr">
        <is>
          <t>16</t>
        </is>
      </c>
      <c r="E1845" t="inlineStr">
        <is>
          <t>14</t>
        </is>
      </c>
      <c r="F1845" t="inlineStr">
        <is>
          <t>C</t>
        </is>
      </c>
      <c r="G1845" t="inlineStr">
        <is>
          <t>Average</t>
        </is>
      </c>
      <c r="H1845" t="n">
        <v>174</v>
      </c>
      <c r="I1845">
        <f>B1845&amp;"|"&amp;F1845&amp;"|"&amp;G1845</f>
        <v/>
      </c>
      <c r="J1845" t="inlineStr">
        <is>
          <t>MVS Sec.16 p.14</t>
        </is>
      </c>
    </row>
    <row r="1846">
      <c r="B1846" t="inlineStr">
        <is>
          <t>Auditoriums</t>
        </is>
      </c>
      <c r="C1846" t="inlineStr">
        <is>
          <t>302</t>
        </is>
      </c>
      <c r="D1846" t="inlineStr">
        <is>
          <t>16</t>
        </is>
      </c>
      <c r="E1846" t="inlineStr">
        <is>
          <t>14</t>
        </is>
      </c>
      <c r="F1846" t="inlineStr">
        <is>
          <t>D</t>
        </is>
      </c>
      <c r="G1846" t="inlineStr">
        <is>
          <t>Good</t>
        </is>
      </c>
      <c r="H1846" t="n">
        <v>238</v>
      </c>
      <c r="I1846">
        <f>B1846&amp;"|"&amp;F1846&amp;"|"&amp;G1846</f>
        <v/>
      </c>
      <c r="J1846" t="inlineStr">
        <is>
          <t>MVS Sec.16 p.14</t>
        </is>
      </c>
    </row>
    <row r="1847">
      <c r="B1847" t="inlineStr">
        <is>
          <t>Auditoriums</t>
        </is>
      </c>
      <c r="C1847" t="inlineStr">
        <is>
          <t>302</t>
        </is>
      </c>
      <c r="D1847" t="inlineStr">
        <is>
          <t>16</t>
        </is>
      </c>
      <c r="E1847" t="inlineStr">
        <is>
          <t>14</t>
        </is>
      </c>
      <c r="F1847" t="inlineStr">
        <is>
          <t>DPOLE</t>
        </is>
      </c>
      <c r="G1847" t="inlineStr">
        <is>
          <t>Average</t>
        </is>
      </c>
      <c r="H1847" t="n">
        <v>165</v>
      </c>
      <c r="I1847">
        <f>B1847&amp;"|"&amp;F1847&amp;"|"&amp;G1847</f>
        <v/>
      </c>
      <c r="J1847" t="inlineStr">
        <is>
          <t>MVS Sec.16 p.14</t>
        </is>
      </c>
    </row>
    <row r="1848">
      <c r="B1848" t="inlineStr">
        <is>
          <t>Auditoriums</t>
        </is>
      </c>
      <c r="C1848" t="inlineStr">
        <is>
          <t>302</t>
        </is>
      </c>
      <c r="D1848" t="inlineStr">
        <is>
          <t>16</t>
        </is>
      </c>
      <c r="E1848" t="inlineStr">
        <is>
          <t>14</t>
        </is>
      </c>
      <c r="F1848" t="inlineStr">
        <is>
          <t>S</t>
        </is>
      </c>
      <c r="G1848" t="inlineStr">
        <is>
          <t>Average</t>
        </is>
      </c>
      <c r="H1848" t="n">
        <v>162</v>
      </c>
      <c r="I1848">
        <f>B1848&amp;"|"&amp;F1848&amp;"|"&amp;G1848</f>
        <v/>
      </c>
      <c r="J1848" t="inlineStr">
        <is>
          <t>MVS Sec.16 p.14</t>
        </is>
      </c>
    </row>
    <row r="1849">
      <c r="B1849" t="inlineStr">
        <is>
          <t>Fraternal Buildings</t>
        </is>
      </c>
      <c r="C1849" t="inlineStr">
        <is>
          <t>323</t>
        </is>
      </c>
      <c r="D1849" t="inlineStr">
        <is>
          <t>16</t>
        </is>
      </c>
      <c r="E1849" t="inlineStr">
        <is>
          <t>15</t>
        </is>
      </c>
      <c r="F1849" t="inlineStr">
        <is>
          <t>A</t>
        </is>
      </c>
      <c r="G1849" t="inlineStr">
        <is>
          <t>Average</t>
        </is>
      </c>
      <c r="H1849" t="n">
        <v>261</v>
      </c>
      <c r="I1849">
        <f>B1849&amp;"|"&amp;F1849&amp;"|"&amp;G1849</f>
        <v/>
      </c>
      <c r="J1849" t="inlineStr">
        <is>
          <t>MVS Sec.16 p.15</t>
        </is>
      </c>
    </row>
    <row r="1850">
      <c r="B1850" t="inlineStr">
        <is>
          <t>Fraternal Buildings</t>
        </is>
      </c>
      <c r="C1850" t="inlineStr">
        <is>
          <t>323</t>
        </is>
      </c>
      <c r="D1850" t="inlineStr">
        <is>
          <t>16</t>
        </is>
      </c>
      <c r="E1850" t="inlineStr">
        <is>
          <t>15</t>
        </is>
      </c>
      <c r="F1850" t="inlineStr">
        <is>
          <t>B</t>
        </is>
      </c>
      <c r="G1850" t="inlineStr">
        <is>
          <t>Average</t>
        </is>
      </c>
      <c r="H1850" t="n">
        <v>236</v>
      </c>
      <c r="I1850">
        <f>B1850&amp;"|"&amp;F1850&amp;"|"&amp;G1850</f>
        <v/>
      </c>
      <c r="J1850" t="inlineStr">
        <is>
          <t>MVS Sec.16 p.15</t>
        </is>
      </c>
    </row>
    <row r="1851">
      <c r="B1851" t="inlineStr">
        <is>
          <t>Fraternal Buildings</t>
        </is>
      </c>
      <c r="C1851" t="inlineStr">
        <is>
          <t>323</t>
        </is>
      </c>
      <c r="D1851" t="inlineStr">
        <is>
          <t>16</t>
        </is>
      </c>
      <c r="E1851" t="inlineStr">
        <is>
          <t>15</t>
        </is>
      </c>
      <c r="F1851" t="inlineStr">
        <is>
          <t>C</t>
        </is>
      </c>
      <c r="G1851" t="inlineStr">
        <is>
          <t>Excellent</t>
        </is>
      </c>
      <c r="H1851" t="n">
        <v>315</v>
      </c>
      <c r="I1851">
        <f>B1851&amp;"|"&amp;F1851&amp;"|"&amp;G1851</f>
        <v/>
      </c>
      <c r="J1851" t="inlineStr">
        <is>
          <t>MVS Sec.16 p.15</t>
        </is>
      </c>
    </row>
    <row r="1852">
      <c r="B1852" t="inlineStr">
        <is>
          <t>Fraternal Buildings</t>
        </is>
      </c>
      <c r="C1852" t="inlineStr">
        <is>
          <t>323</t>
        </is>
      </c>
      <c r="D1852" t="inlineStr">
        <is>
          <t>16</t>
        </is>
      </c>
      <c r="E1852" t="inlineStr">
        <is>
          <t>15</t>
        </is>
      </c>
      <c r="F1852" t="inlineStr">
        <is>
          <t>C</t>
        </is>
      </c>
      <c r="G1852" t="inlineStr">
        <is>
          <t>Good</t>
        </is>
      </c>
      <c r="H1852" t="n">
        <v>237</v>
      </c>
      <c r="I1852">
        <f>B1852&amp;"|"&amp;F1852&amp;"|"&amp;G1852</f>
        <v/>
      </c>
      <c r="J1852" t="inlineStr">
        <is>
          <t>MVS Sec.16 p.15</t>
        </is>
      </c>
    </row>
    <row r="1853">
      <c r="B1853" t="inlineStr">
        <is>
          <t>Fraternal Buildings</t>
        </is>
      </c>
      <c r="C1853" t="inlineStr">
        <is>
          <t>323</t>
        </is>
      </c>
      <c r="D1853" t="inlineStr">
        <is>
          <t>16</t>
        </is>
      </c>
      <c r="E1853" t="inlineStr">
        <is>
          <t>15</t>
        </is>
      </c>
      <c r="F1853" t="inlineStr">
        <is>
          <t>C</t>
        </is>
      </c>
      <c r="G1853" t="inlineStr">
        <is>
          <t>Average</t>
        </is>
      </c>
      <c r="H1853" t="n">
        <v>171</v>
      </c>
      <c r="I1853">
        <f>B1853&amp;"|"&amp;F1853&amp;"|"&amp;G1853</f>
        <v/>
      </c>
      <c r="J1853" t="inlineStr">
        <is>
          <t>MVS Sec.16 p.15</t>
        </is>
      </c>
    </row>
    <row r="1854">
      <c r="B1854" t="inlineStr">
        <is>
          <t>Fraternal Buildings</t>
        </is>
      </c>
      <c r="C1854" t="inlineStr">
        <is>
          <t>323</t>
        </is>
      </c>
      <c r="D1854" t="inlineStr">
        <is>
          <t>16</t>
        </is>
      </c>
      <c r="E1854" t="inlineStr">
        <is>
          <t>15</t>
        </is>
      </c>
      <c r="F1854" t="inlineStr">
        <is>
          <t>D</t>
        </is>
      </c>
      <c r="G1854" t="inlineStr">
        <is>
          <t>Good</t>
        </is>
      </c>
      <c r="H1854" t="n">
        <v>228</v>
      </c>
      <c r="I1854">
        <f>B1854&amp;"|"&amp;F1854&amp;"|"&amp;G1854</f>
        <v/>
      </c>
      <c r="J1854" t="inlineStr">
        <is>
          <t>MVS Sec.16 p.15</t>
        </is>
      </c>
    </row>
    <row r="1855">
      <c r="B1855" t="inlineStr">
        <is>
          <t>Fraternal Buildings</t>
        </is>
      </c>
      <c r="C1855" t="inlineStr">
        <is>
          <t>323</t>
        </is>
      </c>
      <c r="D1855" t="inlineStr">
        <is>
          <t>16</t>
        </is>
      </c>
      <c r="E1855" t="inlineStr">
        <is>
          <t>15</t>
        </is>
      </c>
      <c r="F1855" t="inlineStr">
        <is>
          <t>DPOLE</t>
        </is>
      </c>
      <c r="G1855" t="inlineStr">
        <is>
          <t>Average</t>
        </is>
      </c>
      <c r="H1855" t="n">
        <v>163</v>
      </c>
      <c r="I1855">
        <f>B1855&amp;"|"&amp;F1855&amp;"|"&amp;G1855</f>
        <v/>
      </c>
      <c r="J1855" t="inlineStr">
        <is>
          <t>MVS Sec.16 p.15</t>
        </is>
      </c>
    </row>
    <row r="1856">
      <c r="B1856" t="inlineStr">
        <is>
          <t>Fraternal Buildings</t>
        </is>
      </c>
      <c r="C1856" t="inlineStr">
        <is>
          <t>323</t>
        </is>
      </c>
      <c r="D1856" t="inlineStr">
        <is>
          <t>16</t>
        </is>
      </c>
      <c r="E1856" t="inlineStr">
        <is>
          <t>15</t>
        </is>
      </c>
      <c r="F1856" t="inlineStr">
        <is>
          <t>S</t>
        </is>
      </c>
      <c r="G1856" t="inlineStr">
        <is>
          <t>Average</t>
        </is>
      </c>
      <c r="H1856" t="n">
        <v>159</v>
      </c>
      <c r="I1856">
        <f>B1856&amp;"|"&amp;F1856&amp;"|"&amp;G1856</f>
        <v/>
      </c>
      <c r="J1856" t="inlineStr">
        <is>
          <t>MVS Sec.16 p.15</t>
        </is>
      </c>
    </row>
    <row r="1857">
      <c r="B1857" t="inlineStr">
        <is>
          <t>Visitor Centers</t>
        </is>
      </c>
      <c r="C1857" t="inlineStr">
        <is>
          <t>574</t>
        </is>
      </c>
      <c r="D1857" t="inlineStr">
        <is>
          <t>16</t>
        </is>
      </c>
      <c r="E1857" t="inlineStr">
        <is>
          <t>15</t>
        </is>
      </c>
      <c r="F1857" t="inlineStr">
        <is>
          <t>A-B</t>
        </is>
      </c>
      <c r="G1857" t="inlineStr">
        <is>
          <t>Good</t>
        </is>
      </c>
      <c r="H1857" t="n">
        <v>334</v>
      </c>
      <c r="I1857">
        <f>B1857&amp;"|"&amp;F1857&amp;"|"&amp;G1857</f>
        <v/>
      </c>
      <c r="J1857" t="inlineStr">
        <is>
          <t>MVS Sec.16 p.15</t>
        </is>
      </c>
    </row>
    <row r="1858">
      <c r="B1858" t="inlineStr">
        <is>
          <t>Visitor Centers</t>
        </is>
      </c>
      <c r="C1858" t="inlineStr">
        <is>
          <t>574</t>
        </is>
      </c>
      <c r="D1858" t="inlineStr">
        <is>
          <t>16</t>
        </is>
      </c>
      <c r="E1858" t="inlineStr">
        <is>
          <t>15</t>
        </is>
      </c>
      <c r="F1858" t="inlineStr">
        <is>
          <t>A-B</t>
        </is>
      </c>
      <c r="G1858" t="inlineStr">
        <is>
          <t>Average</t>
        </is>
      </c>
      <c r="H1858" t="n">
        <v>241</v>
      </c>
      <c r="I1858">
        <f>B1858&amp;"|"&amp;F1858&amp;"|"&amp;G1858</f>
        <v/>
      </c>
      <c r="J1858" t="inlineStr">
        <is>
          <t>MVS Sec.16 p.15</t>
        </is>
      </c>
    </row>
    <row r="1859">
      <c r="B1859" t="inlineStr">
        <is>
          <t>Visitor Centers</t>
        </is>
      </c>
      <c r="C1859" t="inlineStr">
        <is>
          <t>574</t>
        </is>
      </c>
      <c r="D1859" t="inlineStr">
        <is>
          <t>16</t>
        </is>
      </c>
      <c r="E1859" t="inlineStr">
        <is>
          <t>15</t>
        </is>
      </c>
      <c r="F1859" t="inlineStr">
        <is>
          <t>C</t>
        </is>
      </c>
      <c r="G1859" t="inlineStr">
        <is>
          <t>Excellent</t>
        </is>
      </c>
      <c r="H1859" t="n">
        <v>309</v>
      </c>
      <c r="I1859">
        <f>B1859&amp;"|"&amp;F1859&amp;"|"&amp;G1859</f>
        <v/>
      </c>
      <c r="J1859" t="inlineStr">
        <is>
          <t>MVS Sec.16 p.15</t>
        </is>
      </c>
    </row>
    <row r="1860">
      <c r="B1860" t="inlineStr">
        <is>
          <t>Visitor Centers</t>
        </is>
      </c>
      <c r="C1860" t="inlineStr">
        <is>
          <t>574</t>
        </is>
      </c>
      <c r="D1860" t="inlineStr">
        <is>
          <t>16</t>
        </is>
      </c>
      <c r="E1860" t="inlineStr">
        <is>
          <t>15</t>
        </is>
      </c>
      <c r="F1860" t="inlineStr">
        <is>
          <t>C</t>
        </is>
      </c>
      <c r="G1860" t="inlineStr">
        <is>
          <t>Good</t>
        </is>
      </c>
      <c r="H1860" t="n">
        <v>230</v>
      </c>
      <c r="I1860">
        <f>B1860&amp;"|"&amp;F1860&amp;"|"&amp;G1860</f>
        <v/>
      </c>
      <c r="J1860" t="inlineStr">
        <is>
          <t>MVS Sec.16 p.15</t>
        </is>
      </c>
    </row>
    <row r="1861">
      <c r="B1861" t="inlineStr">
        <is>
          <t>Visitor Centers</t>
        </is>
      </c>
      <c r="C1861" t="inlineStr">
        <is>
          <t>574</t>
        </is>
      </c>
      <c r="D1861" t="inlineStr">
        <is>
          <t>16</t>
        </is>
      </c>
      <c r="E1861" t="inlineStr">
        <is>
          <t>15</t>
        </is>
      </c>
      <c r="F1861" t="inlineStr">
        <is>
          <t>C</t>
        </is>
      </c>
      <c r="G1861" t="inlineStr">
        <is>
          <t>Average</t>
        </is>
      </c>
      <c r="H1861" t="n">
        <v>166</v>
      </c>
      <c r="I1861">
        <f>B1861&amp;"|"&amp;F1861&amp;"|"&amp;G1861</f>
        <v/>
      </c>
      <c r="J1861" t="inlineStr">
        <is>
          <t>MVS Sec.16 p.15</t>
        </is>
      </c>
    </row>
    <row r="1862">
      <c r="B1862" t="inlineStr">
        <is>
          <t>Visitor Centers</t>
        </is>
      </c>
      <c r="C1862" t="inlineStr">
        <is>
          <t>574</t>
        </is>
      </c>
      <c r="D1862" t="inlineStr">
        <is>
          <t>16</t>
        </is>
      </c>
      <c r="E1862" t="inlineStr">
        <is>
          <t>15</t>
        </is>
      </c>
      <c r="F1862" t="inlineStr">
        <is>
          <t>D</t>
        </is>
      </c>
      <c r="G1862" t="inlineStr">
        <is>
          <t>Excellent</t>
        </is>
      </c>
      <c r="H1862" t="n">
        <v>297</v>
      </c>
      <c r="I1862">
        <f>B1862&amp;"|"&amp;F1862&amp;"|"&amp;G1862</f>
        <v/>
      </c>
      <c r="J1862" t="inlineStr">
        <is>
          <t>MVS Sec.16 p.15</t>
        </is>
      </c>
    </row>
    <row r="1863">
      <c r="B1863" t="inlineStr">
        <is>
          <t>Visitor Centers</t>
        </is>
      </c>
      <c r="C1863" t="inlineStr">
        <is>
          <t>574</t>
        </is>
      </c>
      <c r="D1863" t="inlineStr">
        <is>
          <t>16</t>
        </is>
      </c>
      <c r="E1863" t="inlineStr">
        <is>
          <t>15</t>
        </is>
      </c>
      <c r="F1863" t="inlineStr">
        <is>
          <t>D</t>
        </is>
      </c>
      <c r="G1863" t="inlineStr">
        <is>
          <t>Good</t>
        </is>
      </c>
      <c r="H1863" t="n">
        <v>220</v>
      </c>
      <c r="I1863">
        <f>B1863&amp;"|"&amp;F1863&amp;"|"&amp;G1863</f>
        <v/>
      </c>
      <c r="J1863" t="inlineStr">
        <is>
          <t>MVS Sec.16 p.15</t>
        </is>
      </c>
    </row>
    <row r="1864">
      <c r="B1864" t="inlineStr">
        <is>
          <t>Visitor Centers</t>
        </is>
      </c>
      <c r="C1864" t="inlineStr">
        <is>
          <t>574</t>
        </is>
      </c>
      <c r="D1864" t="inlineStr">
        <is>
          <t>16</t>
        </is>
      </c>
      <c r="E1864" t="inlineStr">
        <is>
          <t>15</t>
        </is>
      </c>
      <c r="F1864" t="inlineStr">
        <is>
          <t>D</t>
        </is>
      </c>
      <c r="G1864" t="inlineStr">
        <is>
          <t>Average</t>
        </is>
      </c>
      <c r="H1864" t="n">
        <v>159</v>
      </c>
      <c r="I1864">
        <f>B1864&amp;"|"&amp;F1864&amp;"|"&amp;G1864</f>
        <v/>
      </c>
      <c r="J1864" t="inlineStr">
        <is>
          <t>MVS Sec.16 p.15</t>
        </is>
      </c>
    </row>
    <row r="1865">
      <c r="B1865" t="inlineStr">
        <is>
          <t>Visitor Centers</t>
        </is>
      </c>
      <c r="C1865" t="inlineStr">
        <is>
          <t>574</t>
        </is>
      </c>
      <c r="D1865" t="inlineStr">
        <is>
          <t>16</t>
        </is>
      </c>
      <c r="E1865" t="inlineStr">
        <is>
          <t>15</t>
        </is>
      </c>
      <c r="F1865" t="inlineStr">
        <is>
          <t>DPOLE</t>
        </is>
      </c>
      <c r="G1865" t="inlineStr">
        <is>
          <t>Average</t>
        </is>
      </c>
      <c r="H1865" t="n">
        <v>150</v>
      </c>
      <c r="I1865">
        <f>B1865&amp;"|"&amp;F1865&amp;"|"&amp;G1865</f>
        <v/>
      </c>
      <c r="J1865" t="inlineStr">
        <is>
          <t>MVS Sec.16 p.15</t>
        </is>
      </c>
    </row>
    <row r="1866">
      <c r="B1866" t="inlineStr">
        <is>
          <t>Convention Centers</t>
        </is>
      </c>
      <c r="C1866" t="inlineStr">
        <is>
          <t>482</t>
        </is>
      </c>
      <c r="D1866" t="inlineStr">
        <is>
          <t>16</t>
        </is>
      </c>
      <c r="E1866" t="inlineStr">
        <is>
          <t>16</t>
        </is>
      </c>
      <c r="F1866" t="inlineStr">
        <is>
          <t>A</t>
        </is>
      </c>
      <c r="G1866" t="inlineStr">
        <is>
          <t>Good</t>
        </is>
      </c>
      <c r="H1866" t="n">
        <v>369</v>
      </c>
      <c r="I1866">
        <f>B1866&amp;"|"&amp;F1866&amp;"|"&amp;G1866</f>
        <v/>
      </c>
      <c r="J1866" t="inlineStr">
        <is>
          <t>MVS Sec.16 p.16</t>
        </is>
      </c>
    </row>
    <row r="1867">
      <c r="B1867" t="inlineStr">
        <is>
          <t>Convention Centers</t>
        </is>
      </c>
      <c r="C1867" t="inlineStr">
        <is>
          <t>482</t>
        </is>
      </c>
      <c r="D1867" t="inlineStr">
        <is>
          <t>16</t>
        </is>
      </c>
      <c r="E1867" t="inlineStr">
        <is>
          <t>16</t>
        </is>
      </c>
      <c r="F1867" t="inlineStr">
        <is>
          <t>A</t>
        </is>
      </c>
      <c r="G1867" t="inlineStr">
        <is>
          <t>Average</t>
        </is>
      </c>
      <c r="H1867" t="n">
        <v>265</v>
      </c>
      <c r="I1867">
        <f>B1867&amp;"|"&amp;F1867&amp;"|"&amp;G1867</f>
        <v/>
      </c>
      <c r="J1867" t="inlineStr">
        <is>
          <t>MVS Sec.16 p.16</t>
        </is>
      </c>
    </row>
    <row r="1868">
      <c r="B1868" t="inlineStr">
        <is>
          <t>Convention Centers</t>
        </is>
      </c>
      <c r="C1868" t="inlineStr">
        <is>
          <t>482</t>
        </is>
      </c>
      <c r="D1868" t="inlineStr">
        <is>
          <t>16</t>
        </is>
      </c>
      <c r="E1868" t="inlineStr">
        <is>
          <t>16</t>
        </is>
      </c>
      <c r="F1868" t="inlineStr">
        <is>
          <t>B</t>
        </is>
      </c>
      <c r="G1868" t="inlineStr">
        <is>
          <t>Good</t>
        </is>
      </c>
      <c r="H1868" t="n">
        <v>333</v>
      </c>
      <c r="I1868">
        <f>B1868&amp;"|"&amp;F1868&amp;"|"&amp;G1868</f>
        <v/>
      </c>
      <c r="J1868" t="inlineStr">
        <is>
          <t>MVS Sec.16 p.16</t>
        </is>
      </c>
    </row>
    <row r="1869">
      <c r="B1869" t="inlineStr">
        <is>
          <t>Convention Centers</t>
        </is>
      </c>
      <c r="C1869" t="inlineStr">
        <is>
          <t>482</t>
        </is>
      </c>
      <c r="D1869" t="inlineStr">
        <is>
          <t>16</t>
        </is>
      </c>
      <c r="E1869" t="inlineStr">
        <is>
          <t>16</t>
        </is>
      </c>
      <c r="F1869" t="inlineStr">
        <is>
          <t>B</t>
        </is>
      </c>
      <c r="G1869" t="inlineStr">
        <is>
          <t>Average</t>
        </is>
      </c>
      <c r="H1869" t="n">
        <v>241</v>
      </c>
      <c r="I1869">
        <f>B1869&amp;"|"&amp;F1869&amp;"|"&amp;G1869</f>
        <v/>
      </c>
      <c r="J1869" t="inlineStr">
        <is>
          <t>MVS Sec.16 p.16</t>
        </is>
      </c>
    </row>
    <row r="1870">
      <c r="B1870" t="inlineStr">
        <is>
          <t>Convention Centers</t>
        </is>
      </c>
      <c r="C1870" t="inlineStr">
        <is>
          <t>482</t>
        </is>
      </c>
      <c r="D1870" t="inlineStr">
        <is>
          <t>16</t>
        </is>
      </c>
      <c r="E1870" t="inlineStr">
        <is>
          <t>16</t>
        </is>
      </c>
      <c r="F1870" t="inlineStr">
        <is>
          <t>C</t>
        </is>
      </c>
      <c r="G1870" t="inlineStr">
        <is>
          <t>Excellent</t>
        </is>
      </c>
      <c r="H1870" t="n">
        <v>298</v>
      </c>
      <c r="I1870">
        <f>B1870&amp;"|"&amp;F1870&amp;"|"&amp;G1870</f>
        <v/>
      </c>
      <c r="J1870" t="inlineStr">
        <is>
          <t>MVS Sec.16 p.16</t>
        </is>
      </c>
    </row>
    <row r="1871">
      <c r="B1871" t="inlineStr">
        <is>
          <t>Convention Centers</t>
        </is>
      </c>
      <c r="C1871" t="inlineStr">
        <is>
          <t>482</t>
        </is>
      </c>
      <c r="D1871" t="inlineStr">
        <is>
          <t>16</t>
        </is>
      </c>
      <c r="E1871" t="inlineStr">
        <is>
          <t>16</t>
        </is>
      </c>
      <c r="F1871" t="inlineStr">
        <is>
          <t>C</t>
        </is>
      </c>
      <c r="G1871" t="inlineStr">
        <is>
          <t>Good</t>
        </is>
      </c>
      <c r="H1871" t="n">
        <v>236</v>
      </c>
      <c r="I1871">
        <f>B1871&amp;"|"&amp;F1871&amp;"|"&amp;G1871</f>
        <v/>
      </c>
      <c r="J1871" t="inlineStr">
        <is>
          <t>MVS Sec.16 p.16</t>
        </is>
      </c>
    </row>
    <row r="1872">
      <c r="B1872" t="inlineStr">
        <is>
          <t>Convention Centers</t>
        </is>
      </c>
      <c r="C1872" t="inlineStr">
        <is>
          <t>482</t>
        </is>
      </c>
      <c r="D1872" t="inlineStr">
        <is>
          <t>16</t>
        </is>
      </c>
      <c r="E1872" t="inlineStr">
        <is>
          <t>16</t>
        </is>
      </c>
      <c r="F1872" t="inlineStr">
        <is>
          <t>C</t>
        </is>
      </c>
      <c r="G1872" t="inlineStr">
        <is>
          <t>Average</t>
        </is>
      </c>
      <c r="H1872" t="n">
        <v>179</v>
      </c>
      <c r="I1872">
        <f>B1872&amp;"|"&amp;F1872&amp;"|"&amp;G1872</f>
        <v/>
      </c>
      <c r="J1872" t="inlineStr">
        <is>
          <t>MVS Sec.16 p.16</t>
        </is>
      </c>
    </row>
    <row r="1873">
      <c r="B1873" t="inlineStr">
        <is>
          <t>Convention Centers</t>
        </is>
      </c>
      <c r="C1873" t="inlineStr">
        <is>
          <t>482</t>
        </is>
      </c>
      <c r="D1873" t="inlineStr">
        <is>
          <t>16</t>
        </is>
      </c>
      <c r="E1873" t="inlineStr">
        <is>
          <t>16</t>
        </is>
      </c>
      <c r="F1873" t="inlineStr">
        <is>
          <t>D</t>
        </is>
      </c>
      <c r="G1873" t="inlineStr">
        <is>
          <t>Excellent</t>
        </is>
      </c>
      <c r="H1873" t="n">
        <v>285</v>
      </c>
      <c r="I1873">
        <f>B1873&amp;"|"&amp;F1873&amp;"|"&amp;G1873</f>
        <v/>
      </c>
      <c r="J1873" t="inlineStr">
        <is>
          <t>MVS Sec.16 p.16</t>
        </is>
      </c>
    </row>
    <row r="1874">
      <c r="B1874" t="inlineStr">
        <is>
          <t>Convention Centers</t>
        </is>
      </c>
      <c r="C1874" t="inlineStr">
        <is>
          <t>482</t>
        </is>
      </c>
      <c r="D1874" t="inlineStr">
        <is>
          <t>16</t>
        </is>
      </c>
      <c r="E1874" t="inlineStr">
        <is>
          <t>16</t>
        </is>
      </c>
      <c r="F1874" t="inlineStr">
        <is>
          <t>D</t>
        </is>
      </c>
      <c r="G1874" t="inlineStr">
        <is>
          <t>Good</t>
        </is>
      </c>
      <c r="H1874" t="n">
        <v>226</v>
      </c>
      <c r="I1874">
        <f>B1874&amp;"|"&amp;F1874&amp;"|"&amp;G1874</f>
        <v/>
      </c>
      <c r="J1874" t="inlineStr">
        <is>
          <t>MVS Sec.16 p.16</t>
        </is>
      </c>
    </row>
    <row r="1875">
      <c r="B1875" t="inlineStr">
        <is>
          <t>Convention Centers</t>
        </is>
      </c>
      <c r="C1875" t="inlineStr">
        <is>
          <t>482</t>
        </is>
      </c>
      <c r="D1875" t="inlineStr">
        <is>
          <t>16</t>
        </is>
      </c>
      <c r="E1875" t="inlineStr">
        <is>
          <t>16</t>
        </is>
      </c>
      <c r="F1875" t="inlineStr">
        <is>
          <t>D</t>
        </is>
      </c>
      <c r="G1875" t="inlineStr">
        <is>
          <t>Average</t>
        </is>
      </c>
      <c r="H1875" t="n">
        <v>172</v>
      </c>
      <c r="I1875">
        <f>B1875&amp;"|"&amp;F1875&amp;"|"&amp;G1875</f>
        <v/>
      </c>
      <c r="J1875" t="inlineStr">
        <is>
          <t>MVS Sec.16 p.16</t>
        </is>
      </c>
    </row>
    <row r="1876">
      <c r="B1876" t="inlineStr">
        <is>
          <t>Casinos</t>
        </is>
      </c>
      <c r="C1876" t="inlineStr">
        <is>
          <t>515</t>
        </is>
      </c>
      <c r="D1876" t="inlineStr">
        <is>
          <t>16</t>
        </is>
      </c>
      <c r="E1876" t="inlineStr">
        <is>
          <t>17</t>
        </is>
      </c>
      <c r="F1876" t="inlineStr">
        <is>
          <t>C</t>
        </is>
      </c>
      <c r="G1876" t="inlineStr">
        <is>
          <t>Excellent</t>
        </is>
      </c>
      <c r="H1876" t="n">
        <v>361</v>
      </c>
      <c r="I1876">
        <f>B1876&amp;"|"&amp;F1876&amp;"|"&amp;G1876</f>
        <v/>
      </c>
      <c r="J1876" t="inlineStr">
        <is>
          <t>MVS Sec.16 p.17</t>
        </is>
      </c>
    </row>
    <row r="1877">
      <c r="B1877" t="inlineStr">
        <is>
          <t>Casinos</t>
        </is>
      </c>
      <c r="C1877" t="inlineStr">
        <is>
          <t>515</t>
        </is>
      </c>
      <c r="D1877" t="inlineStr">
        <is>
          <t>16</t>
        </is>
      </c>
      <c r="E1877" t="inlineStr">
        <is>
          <t>17</t>
        </is>
      </c>
      <c r="F1877" t="inlineStr">
        <is>
          <t>C</t>
        </is>
      </c>
      <c r="G1877" t="inlineStr">
        <is>
          <t>Very Good</t>
        </is>
      </c>
      <c r="H1877" t="n">
        <v>310</v>
      </c>
      <c r="I1877">
        <f>B1877&amp;"|"&amp;F1877&amp;"|"&amp;G1877</f>
        <v/>
      </c>
      <c r="J1877" t="inlineStr">
        <is>
          <t>MVS Sec.16 p.17</t>
        </is>
      </c>
    </row>
    <row r="1878">
      <c r="B1878" t="inlineStr">
        <is>
          <t>Casinos</t>
        </is>
      </c>
      <c r="C1878" t="inlineStr">
        <is>
          <t>515</t>
        </is>
      </c>
      <c r="D1878" t="inlineStr">
        <is>
          <t>16</t>
        </is>
      </c>
      <c r="E1878" t="inlineStr">
        <is>
          <t>17</t>
        </is>
      </c>
      <c r="F1878" t="inlineStr">
        <is>
          <t>C</t>
        </is>
      </c>
      <c r="G1878" t="inlineStr">
        <is>
          <t>Good</t>
        </is>
      </c>
      <c r="H1878" t="n">
        <v>254</v>
      </c>
      <c r="I1878">
        <f>B1878&amp;"|"&amp;F1878&amp;"|"&amp;G1878</f>
        <v/>
      </c>
      <c r="J1878" t="inlineStr">
        <is>
          <t>MVS Sec.16 p.17</t>
        </is>
      </c>
    </row>
    <row r="1879">
      <c r="B1879" t="inlineStr">
        <is>
          <t>Casinos</t>
        </is>
      </c>
      <c r="C1879" t="inlineStr">
        <is>
          <t>515</t>
        </is>
      </c>
      <c r="D1879" t="inlineStr">
        <is>
          <t>16</t>
        </is>
      </c>
      <c r="E1879" t="inlineStr">
        <is>
          <t>17</t>
        </is>
      </c>
      <c r="F1879" t="inlineStr">
        <is>
          <t>C</t>
        </is>
      </c>
      <c r="G1879" t="inlineStr">
        <is>
          <t>Average</t>
        </is>
      </c>
      <c r="H1879" t="n">
        <v>188</v>
      </c>
      <c r="I1879">
        <f>B1879&amp;"|"&amp;F1879&amp;"|"&amp;G1879</f>
        <v/>
      </c>
      <c r="J1879" t="inlineStr">
        <is>
          <t>MVS Sec.16 p.17</t>
        </is>
      </c>
    </row>
    <row r="1880">
      <c r="B1880" t="inlineStr">
        <is>
          <t>Casinos</t>
        </is>
      </c>
      <c r="C1880" t="inlineStr">
        <is>
          <t>515</t>
        </is>
      </c>
      <c r="D1880" t="inlineStr">
        <is>
          <t>16</t>
        </is>
      </c>
      <c r="E1880" t="inlineStr">
        <is>
          <t>17</t>
        </is>
      </c>
      <c r="F1880" t="inlineStr">
        <is>
          <t>D</t>
        </is>
      </c>
      <c r="G1880" t="inlineStr">
        <is>
          <t>Excellent</t>
        </is>
      </c>
      <c r="H1880" t="n">
        <v>350</v>
      </c>
      <c r="I1880">
        <f>B1880&amp;"|"&amp;F1880&amp;"|"&amp;G1880</f>
        <v/>
      </c>
      <c r="J1880" t="inlineStr">
        <is>
          <t>MVS Sec.16 p.17</t>
        </is>
      </c>
    </row>
    <row r="1881">
      <c r="B1881" t="inlineStr">
        <is>
          <t>Casinos</t>
        </is>
      </c>
      <c r="C1881" t="inlineStr">
        <is>
          <t>515</t>
        </is>
      </c>
      <c r="D1881" t="inlineStr">
        <is>
          <t>16</t>
        </is>
      </c>
      <c r="E1881" t="inlineStr">
        <is>
          <t>17</t>
        </is>
      </c>
      <c r="F1881" t="inlineStr">
        <is>
          <t>D</t>
        </is>
      </c>
      <c r="G1881" t="inlineStr">
        <is>
          <t>Very Good</t>
        </is>
      </c>
      <c r="H1881" t="n">
        <v>300</v>
      </c>
      <c r="I1881">
        <f>B1881&amp;"|"&amp;F1881&amp;"|"&amp;G1881</f>
        <v/>
      </c>
      <c r="J1881" t="inlineStr">
        <is>
          <t>MVS Sec.16 p.17</t>
        </is>
      </c>
    </row>
    <row r="1882">
      <c r="B1882" t="inlineStr">
        <is>
          <t>Casinos</t>
        </is>
      </c>
      <c r="C1882" t="inlineStr">
        <is>
          <t>515</t>
        </is>
      </c>
      <c r="D1882" t="inlineStr">
        <is>
          <t>16</t>
        </is>
      </c>
      <c r="E1882" t="inlineStr">
        <is>
          <t>17</t>
        </is>
      </c>
      <c r="F1882" t="inlineStr">
        <is>
          <t>D</t>
        </is>
      </c>
      <c r="G1882" t="inlineStr">
        <is>
          <t>Good</t>
        </is>
      </c>
      <c r="H1882" t="n">
        <v>245</v>
      </c>
      <c r="I1882">
        <f>B1882&amp;"|"&amp;F1882&amp;"|"&amp;G1882</f>
        <v/>
      </c>
      <c r="J1882" t="inlineStr">
        <is>
          <t>MVS Sec.16 p.17</t>
        </is>
      </c>
    </row>
    <row r="1883">
      <c r="B1883" t="inlineStr">
        <is>
          <t>Casinos</t>
        </is>
      </c>
      <c r="C1883" t="inlineStr">
        <is>
          <t>515</t>
        </is>
      </c>
      <c r="D1883" t="inlineStr">
        <is>
          <t>16</t>
        </is>
      </c>
      <c r="E1883" t="inlineStr">
        <is>
          <t>17</t>
        </is>
      </c>
      <c r="F1883" t="inlineStr">
        <is>
          <t>D</t>
        </is>
      </c>
      <c r="G1883" t="inlineStr">
        <is>
          <t>Average</t>
        </is>
      </c>
      <c r="H1883" t="n">
        <v>180</v>
      </c>
      <c r="I1883">
        <f>B1883&amp;"|"&amp;F1883&amp;"|"&amp;G1883</f>
        <v/>
      </c>
      <c r="J1883" t="inlineStr">
        <is>
          <t>MVS Sec.16 p.17</t>
        </is>
      </c>
    </row>
    <row r="1884">
      <c r="B1884" t="inlineStr">
        <is>
          <t>Casinos</t>
        </is>
      </c>
      <c r="C1884" t="inlineStr">
        <is>
          <t>515</t>
        </is>
      </c>
      <c r="D1884" t="inlineStr">
        <is>
          <t>16</t>
        </is>
      </c>
      <c r="E1884" t="inlineStr">
        <is>
          <t>17</t>
        </is>
      </c>
      <c r="F1884" t="inlineStr">
        <is>
          <t>S</t>
        </is>
      </c>
      <c r="G1884" t="inlineStr">
        <is>
          <t>Average</t>
        </is>
      </c>
      <c r="H1884" t="n">
        <v>178</v>
      </c>
      <c r="I1884">
        <f>B1884&amp;"|"&amp;F1884&amp;"|"&amp;G1884</f>
        <v/>
      </c>
      <c r="J1884" t="inlineStr">
        <is>
          <t>MVS Sec.16 p.17</t>
        </is>
      </c>
    </row>
    <row r="1885">
      <c r="B1885" t="inlineStr">
        <is>
          <t>Community Recreation Centers</t>
        </is>
      </c>
      <c r="C1885" t="inlineStr">
        <is>
          <t>514</t>
        </is>
      </c>
      <c r="D1885" t="inlineStr">
        <is>
          <t>16</t>
        </is>
      </c>
      <c r="E1885" t="inlineStr">
        <is>
          <t>18</t>
        </is>
      </c>
      <c r="F1885" t="inlineStr">
        <is>
          <t>A-B</t>
        </is>
      </c>
      <c r="G1885" t="inlineStr">
        <is>
          <t>Good</t>
        </is>
      </c>
      <c r="H1885" t="n">
        <v>314</v>
      </c>
      <c r="I1885">
        <f>B1885&amp;"|"&amp;F1885&amp;"|"&amp;G1885</f>
        <v/>
      </c>
      <c r="J1885" t="inlineStr">
        <is>
          <t>MVS Sec.16 p.18</t>
        </is>
      </c>
    </row>
    <row r="1886">
      <c r="B1886" t="inlineStr">
        <is>
          <t>Community Recreation Centers</t>
        </is>
      </c>
      <c r="C1886" t="inlineStr">
        <is>
          <t>514</t>
        </is>
      </c>
      <c r="D1886" t="inlineStr">
        <is>
          <t>16</t>
        </is>
      </c>
      <c r="E1886" t="inlineStr">
        <is>
          <t>18</t>
        </is>
      </c>
      <c r="F1886" t="inlineStr">
        <is>
          <t>A-B</t>
        </is>
      </c>
      <c r="G1886" t="inlineStr">
        <is>
          <t>Average</t>
        </is>
      </c>
      <c r="H1886" t="n">
        <v>242</v>
      </c>
      <c r="I1886">
        <f>B1886&amp;"|"&amp;F1886&amp;"|"&amp;G1886</f>
        <v/>
      </c>
      <c r="J1886" t="inlineStr">
        <is>
          <t>MVS Sec.16 p.18</t>
        </is>
      </c>
    </row>
    <row r="1887">
      <c r="B1887" t="inlineStr">
        <is>
          <t>Community Recreation Centers</t>
        </is>
      </c>
      <c r="C1887" t="inlineStr">
        <is>
          <t>514</t>
        </is>
      </c>
      <c r="D1887" t="inlineStr">
        <is>
          <t>16</t>
        </is>
      </c>
      <c r="E1887" t="inlineStr">
        <is>
          <t>18</t>
        </is>
      </c>
      <c r="F1887" t="inlineStr">
        <is>
          <t>C</t>
        </is>
      </c>
      <c r="G1887" t="inlineStr">
        <is>
          <t>Excellent</t>
        </is>
      </c>
      <c r="H1887" t="n">
        <v>312</v>
      </c>
      <c r="I1887">
        <f>B1887&amp;"|"&amp;F1887&amp;"|"&amp;G1887</f>
        <v/>
      </c>
      <c r="J1887" t="inlineStr">
        <is>
          <t>MVS Sec.16 p.18</t>
        </is>
      </c>
    </row>
    <row r="1888">
      <c r="B1888" t="inlineStr">
        <is>
          <t>Community Recreation Centers</t>
        </is>
      </c>
      <c r="C1888" t="inlineStr">
        <is>
          <t>514</t>
        </is>
      </c>
      <c r="D1888" t="inlineStr">
        <is>
          <t>16</t>
        </is>
      </c>
      <c r="E1888" t="inlineStr">
        <is>
          <t>18</t>
        </is>
      </c>
      <c r="F1888" t="inlineStr">
        <is>
          <t>C</t>
        </is>
      </c>
      <c r="G1888" t="inlineStr">
        <is>
          <t>Good</t>
        </is>
      </c>
      <c r="H1888" t="n">
        <v>236</v>
      </c>
      <c r="I1888">
        <f>B1888&amp;"|"&amp;F1888&amp;"|"&amp;G1888</f>
        <v/>
      </c>
      <c r="J1888" t="inlineStr">
        <is>
          <t>MVS Sec.16 p.18</t>
        </is>
      </c>
    </row>
    <row r="1889">
      <c r="B1889" t="inlineStr">
        <is>
          <t>Community Recreation Centers</t>
        </is>
      </c>
      <c r="C1889" t="inlineStr">
        <is>
          <t>514</t>
        </is>
      </c>
      <c r="D1889" t="inlineStr">
        <is>
          <t>16</t>
        </is>
      </c>
      <c r="E1889" t="inlineStr">
        <is>
          <t>18</t>
        </is>
      </c>
      <c r="F1889" t="inlineStr">
        <is>
          <t>C</t>
        </is>
      </c>
      <c r="G1889" t="inlineStr">
        <is>
          <t>Average</t>
        </is>
      </c>
      <c r="H1889" t="n">
        <v>180</v>
      </c>
      <c r="I1889">
        <f>B1889&amp;"|"&amp;F1889&amp;"|"&amp;G1889</f>
        <v/>
      </c>
      <c r="J1889" t="inlineStr">
        <is>
          <t>MVS Sec.16 p.18</t>
        </is>
      </c>
    </row>
    <row r="1890">
      <c r="B1890" t="inlineStr">
        <is>
          <t>Community Recreation Centers</t>
        </is>
      </c>
      <c r="C1890" t="inlineStr">
        <is>
          <t>514</t>
        </is>
      </c>
      <c r="D1890" t="inlineStr">
        <is>
          <t>16</t>
        </is>
      </c>
      <c r="E1890" t="inlineStr">
        <is>
          <t>18</t>
        </is>
      </c>
      <c r="F1890" t="inlineStr">
        <is>
          <t>D</t>
        </is>
      </c>
      <c r="G1890" t="inlineStr">
        <is>
          <t>Excellent</t>
        </is>
      </c>
      <c r="H1890" t="n">
        <v>303</v>
      </c>
      <c r="I1890">
        <f>B1890&amp;"|"&amp;F1890&amp;"|"&amp;G1890</f>
        <v/>
      </c>
      <c r="J1890" t="inlineStr">
        <is>
          <t>MVS Sec.16 p.18</t>
        </is>
      </c>
    </row>
    <row r="1891">
      <c r="B1891" t="inlineStr">
        <is>
          <t>Community Recreation Centers</t>
        </is>
      </c>
      <c r="C1891" t="inlineStr">
        <is>
          <t>514</t>
        </is>
      </c>
      <c r="D1891" t="inlineStr">
        <is>
          <t>16</t>
        </is>
      </c>
      <c r="E1891" t="inlineStr">
        <is>
          <t>18</t>
        </is>
      </c>
      <c r="F1891" t="inlineStr">
        <is>
          <t>D</t>
        </is>
      </c>
      <c r="G1891" t="inlineStr">
        <is>
          <t>Good</t>
        </is>
      </c>
      <c r="H1891" t="n">
        <v>229</v>
      </c>
      <c r="I1891">
        <f>B1891&amp;"|"&amp;F1891&amp;"|"&amp;G1891</f>
        <v/>
      </c>
      <c r="J1891" t="inlineStr">
        <is>
          <t>MVS Sec.16 p.18</t>
        </is>
      </c>
    </row>
    <row r="1892">
      <c r="B1892" t="inlineStr">
        <is>
          <t>Community Recreation Centers</t>
        </is>
      </c>
      <c r="C1892" t="inlineStr">
        <is>
          <t>514</t>
        </is>
      </c>
      <c r="D1892" t="inlineStr">
        <is>
          <t>16</t>
        </is>
      </c>
      <c r="E1892" t="inlineStr">
        <is>
          <t>18</t>
        </is>
      </c>
      <c r="F1892" t="inlineStr">
        <is>
          <t>D</t>
        </is>
      </c>
      <c r="G1892" t="inlineStr">
        <is>
          <t>Average</t>
        </is>
      </c>
      <c r="H1892" t="n">
        <v>174</v>
      </c>
      <c r="I1892">
        <f>B1892&amp;"|"&amp;F1892&amp;"|"&amp;G1892</f>
        <v/>
      </c>
      <c r="J1892" t="inlineStr">
        <is>
          <t>MVS Sec.16 p.18</t>
        </is>
      </c>
    </row>
    <row r="1893">
      <c r="B1893" t="inlineStr">
        <is>
          <t>Community Recreation Centers</t>
        </is>
      </c>
      <c r="C1893" t="inlineStr">
        <is>
          <t>514</t>
        </is>
      </c>
      <c r="D1893" t="inlineStr">
        <is>
          <t>16</t>
        </is>
      </c>
      <c r="E1893" t="inlineStr">
        <is>
          <t>18</t>
        </is>
      </c>
      <c r="F1893" t="inlineStr">
        <is>
          <t>S</t>
        </is>
      </c>
      <c r="G1893" t="inlineStr">
        <is>
          <t>Good</t>
        </is>
      </c>
      <c r="H1893" t="n">
        <v>227</v>
      </c>
      <c r="I1893">
        <f>B1893&amp;"|"&amp;F1893&amp;"|"&amp;G1893</f>
        <v/>
      </c>
      <c r="J1893" t="inlineStr">
        <is>
          <t>MVS Sec.16 p.18</t>
        </is>
      </c>
    </row>
    <row r="1894">
      <c r="B1894" t="inlineStr">
        <is>
          <t>Community Recreation Centers</t>
        </is>
      </c>
      <c r="C1894" t="inlineStr">
        <is>
          <t>514</t>
        </is>
      </c>
      <c r="D1894" t="inlineStr">
        <is>
          <t>16</t>
        </is>
      </c>
      <c r="E1894" t="inlineStr">
        <is>
          <t>18</t>
        </is>
      </c>
      <c r="F1894" t="inlineStr">
        <is>
          <t>S</t>
        </is>
      </c>
      <c r="G1894" t="inlineStr">
        <is>
          <t>Average</t>
        </is>
      </c>
      <c r="H1894" t="n">
        <v>172</v>
      </c>
      <c r="I1894">
        <f>B1894&amp;"|"&amp;F1894&amp;"|"&amp;G1894</f>
        <v/>
      </c>
      <c r="J1894" t="inlineStr">
        <is>
          <t>MVS Sec.16 p.18</t>
        </is>
      </c>
    </row>
    <row r="1895">
      <c r="B1895" t="inlineStr">
        <is>
          <t>Arcade Buildings</t>
        </is>
      </c>
      <c r="C1895" t="inlineStr">
        <is>
          <t>573</t>
        </is>
      </c>
      <c r="D1895" t="inlineStr">
        <is>
          <t>16</t>
        </is>
      </c>
      <c r="E1895" t="inlineStr">
        <is>
          <t>18</t>
        </is>
      </c>
      <c r="F1895" t="inlineStr">
        <is>
          <t>C</t>
        </is>
      </c>
      <c r="G1895" t="inlineStr">
        <is>
          <t>Excellent</t>
        </is>
      </c>
      <c r="H1895" t="n">
        <v>208</v>
      </c>
      <c r="I1895">
        <f>B1895&amp;"|"&amp;F1895&amp;"|"&amp;G1895</f>
        <v/>
      </c>
      <c r="J1895" t="inlineStr">
        <is>
          <t>MVS Sec.16 p.18</t>
        </is>
      </c>
    </row>
    <row r="1896">
      <c r="B1896" t="inlineStr">
        <is>
          <t>Arcade Buildings</t>
        </is>
      </c>
      <c r="C1896" t="inlineStr">
        <is>
          <t>573</t>
        </is>
      </c>
      <c r="D1896" t="inlineStr">
        <is>
          <t>16</t>
        </is>
      </c>
      <c r="E1896" t="inlineStr">
        <is>
          <t>18</t>
        </is>
      </c>
      <c r="F1896" t="inlineStr">
        <is>
          <t>C</t>
        </is>
      </c>
      <c r="G1896" t="inlineStr">
        <is>
          <t>Good</t>
        </is>
      </c>
      <c r="H1896" t="n">
        <v>153</v>
      </c>
      <c r="I1896">
        <f>B1896&amp;"|"&amp;F1896&amp;"|"&amp;G1896</f>
        <v/>
      </c>
      <c r="J1896" t="inlineStr">
        <is>
          <t>MVS Sec.16 p.18</t>
        </is>
      </c>
    </row>
    <row r="1897">
      <c r="B1897" t="inlineStr">
        <is>
          <t>Arcade Buildings</t>
        </is>
      </c>
      <c r="C1897" t="inlineStr">
        <is>
          <t>573</t>
        </is>
      </c>
      <c r="D1897" t="inlineStr">
        <is>
          <t>16</t>
        </is>
      </c>
      <c r="E1897" t="inlineStr">
        <is>
          <t>18</t>
        </is>
      </c>
      <c r="F1897" t="inlineStr">
        <is>
          <t>C</t>
        </is>
      </c>
      <c r="G1897" t="inlineStr">
        <is>
          <t>Average</t>
        </is>
      </c>
      <c r="H1897" t="n">
        <v>113</v>
      </c>
      <c r="I1897">
        <f>B1897&amp;"|"&amp;F1897&amp;"|"&amp;G1897</f>
        <v/>
      </c>
      <c r="J1897" t="inlineStr">
        <is>
          <t>MVS Sec.16 p.18</t>
        </is>
      </c>
    </row>
    <row r="1898">
      <c r="B1898" t="inlineStr">
        <is>
          <t>Arcade Buildings</t>
        </is>
      </c>
      <c r="C1898" t="inlineStr">
        <is>
          <t>573</t>
        </is>
      </c>
      <c r="D1898" t="inlineStr">
        <is>
          <t>16</t>
        </is>
      </c>
      <c r="E1898" t="inlineStr">
        <is>
          <t>18</t>
        </is>
      </c>
      <c r="F1898" t="inlineStr">
        <is>
          <t>D</t>
        </is>
      </c>
      <c r="G1898" t="inlineStr">
        <is>
          <t>Good</t>
        </is>
      </c>
      <c r="H1898" t="n">
        <v>146</v>
      </c>
      <c r="I1898">
        <f>B1898&amp;"|"&amp;F1898&amp;"|"&amp;G1898</f>
        <v/>
      </c>
      <c r="J1898" t="inlineStr">
        <is>
          <t>MVS Sec.16 p.18</t>
        </is>
      </c>
    </row>
    <row r="1899">
      <c r="B1899" t="inlineStr">
        <is>
          <t>Arcade Buildings</t>
        </is>
      </c>
      <c r="C1899" t="inlineStr">
        <is>
          <t>573</t>
        </is>
      </c>
      <c r="D1899" t="inlineStr">
        <is>
          <t>16</t>
        </is>
      </c>
      <c r="E1899" t="inlineStr">
        <is>
          <t>18</t>
        </is>
      </c>
      <c r="F1899" t="inlineStr">
        <is>
          <t>D</t>
        </is>
      </c>
      <c r="G1899" t="inlineStr">
        <is>
          <t>Average</t>
        </is>
      </c>
      <c r="H1899" t="n">
        <v>108</v>
      </c>
      <c r="I1899">
        <f>B1899&amp;"|"&amp;F1899&amp;"|"&amp;G1899</f>
        <v/>
      </c>
      <c r="J1899" t="inlineStr">
        <is>
          <t>MVS Sec.16 p.18</t>
        </is>
      </c>
    </row>
    <row r="1900">
      <c r="B1900" t="inlineStr">
        <is>
          <t>Arcade Buildings</t>
        </is>
      </c>
      <c r="C1900" t="inlineStr">
        <is>
          <t>573</t>
        </is>
      </c>
      <c r="D1900" t="inlineStr">
        <is>
          <t>16</t>
        </is>
      </c>
      <c r="E1900" t="inlineStr">
        <is>
          <t>18</t>
        </is>
      </c>
      <c r="F1900" t="inlineStr">
        <is>
          <t>DPOLE</t>
        </is>
      </c>
      <c r="G1900" t="inlineStr">
        <is>
          <t>Average</t>
        </is>
      </c>
      <c r="H1900" t="n">
        <v>100</v>
      </c>
      <c r="I1900">
        <f>B1900&amp;"|"&amp;F1900&amp;"|"&amp;G1900</f>
        <v/>
      </c>
      <c r="J1900" t="inlineStr">
        <is>
          <t>MVS Sec.16 p.18</t>
        </is>
      </c>
    </row>
    <row r="1901">
      <c r="B1901" t="inlineStr">
        <is>
          <t>Arcade Buildings</t>
        </is>
      </c>
      <c r="C1901" t="inlineStr">
        <is>
          <t>573</t>
        </is>
      </c>
      <c r="D1901" t="inlineStr">
        <is>
          <t>16</t>
        </is>
      </c>
      <c r="E1901" t="inlineStr">
        <is>
          <t>18</t>
        </is>
      </c>
      <c r="F1901" t="inlineStr">
        <is>
          <t>S</t>
        </is>
      </c>
      <c r="G1901" t="inlineStr">
        <is>
          <t>Average</t>
        </is>
      </c>
      <c r="H1901" t="n">
        <v>106</v>
      </c>
      <c r="I1901">
        <f>B1901&amp;"|"&amp;F1901&amp;"|"&amp;G1901</f>
        <v/>
      </c>
      <c r="J1901" t="inlineStr">
        <is>
          <t>MVS Sec.16 p.18</t>
        </is>
      </c>
    </row>
    <row r="1902">
      <c r="B1902" t="inlineStr">
        <is>
          <t>Museums</t>
        </is>
      </c>
      <c r="C1902" t="inlineStr">
        <is>
          <t>481</t>
        </is>
      </c>
      <c r="D1902" t="inlineStr">
        <is>
          <t>16</t>
        </is>
      </c>
      <c r="E1902" t="inlineStr">
        <is>
          <t>19</t>
        </is>
      </c>
      <c r="F1902" t="inlineStr">
        <is>
          <t>A-B</t>
        </is>
      </c>
      <c r="G1902" t="inlineStr">
        <is>
          <t>Good</t>
        </is>
      </c>
      <c r="H1902" t="n">
        <v>394</v>
      </c>
      <c r="I1902">
        <f>B1902&amp;"|"&amp;F1902&amp;"|"&amp;G1902</f>
        <v/>
      </c>
      <c r="J1902" t="inlineStr">
        <is>
          <t>MVS Sec.16 p.19</t>
        </is>
      </c>
    </row>
    <row r="1903">
      <c r="B1903" t="inlineStr">
        <is>
          <t>Museums</t>
        </is>
      </c>
      <c r="C1903" t="inlineStr">
        <is>
          <t>481</t>
        </is>
      </c>
      <c r="D1903" t="inlineStr">
        <is>
          <t>16</t>
        </is>
      </c>
      <c r="E1903" t="inlineStr">
        <is>
          <t>19</t>
        </is>
      </c>
      <c r="F1903" t="inlineStr">
        <is>
          <t>A-B</t>
        </is>
      </c>
      <c r="G1903" t="inlineStr">
        <is>
          <t>Average</t>
        </is>
      </c>
      <c r="H1903" t="n">
        <v>278</v>
      </c>
      <c r="I1903">
        <f>B1903&amp;"|"&amp;F1903&amp;"|"&amp;G1903</f>
        <v/>
      </c>
      <c r="J1903" t="inlineStr">
        <is>
          <t>MVS Sec.16 p.19</t>
        </is>
      </c>
    </row>
    <row r="1904">
      <c r="B1904" t="inlineStr">
        <is>
          <t>Museums</t>
        </is>
      </c>
      <c r="C1904" t="inlineStr">
        <is>
          <t>481</t>
        </is>
      </c>
      <c r="D1904" t="inlineStr">
        <is>
          <t>16</t>
        </is>
      </c>
      <c r="E1904" t="inlineStr">
        <is>
          <t>19</t>
        </is>
      </c>
      <c r="F1904" t="inlineStr">
        <is>
          <t>C</t>
        </is>
      </c>
      <c r="G1904" t="inlineStr">
        <is>
          <t>Excellent</t>
        </is>
      </c>
      <c r="H1904" t="n">
        <v>369</v>
      </c>
      <c r="I1904">
        <f>B1904&amp;"|"&amp;F1904&amp;"|"&amp;G1904</f>
        <v/>
      </c>
      <c r="J1904" t="inlineStr">
        <is>
          <t>MVS Sec.16 p.19</t>
        </is>
      </c>
    </row>
    <row r="1905">
      <c r="B1905" t="inlineStr">
        <is>
          <t>Museums</t>
        </is>
      </c>
      <c r="C1905" t="inlineStr">
        <is>
          <t>481</t>
        </is>
      </c>
      <c r="D1905" t="inlineStr">
        <is>
          <t>16</t>
        </is>
      </c>
      <c r="E1905" t="inlineStr">
        <is>
          <t>19</t>
        </is>
      </c>
      <c r="F1905" t="inlineStr">
        <is>
          <t>C</t>
        </is>
      </c>
      <c r="G1905" t="inlineStr">
        <is>
          <t>Good</t>
        </is>
      </c>
      <c r="H1905" t="n">
        <v>270</v>
      </c>
      <c r="I1905">
        <f>B1905&amp;"|"&amp;F1905&amp;"|"&amp;G1905</f>
        <v/>
      </c>
      <c r="J1905" t="inlineStr">
        <is>
          <t>MVS Sec.16 p.19</t>
        </is>
      </c>
    </row>
    <row r="1906">
      <c r="B1906" t="inlineStr">
        <is>
          <t>Museums</t>
        </is>
      </c>
      <c r="C1906" t="inlineStr">
        <is>
          <t>481</t>
        </is>
      </c>
      <c r="D1906" t="inlineStr">
        <is>
          <t>16</t>
        </is>
      </c>
      <c r="E1906" t="inlineStr">
        <is>
          <t>19</t>
        </is>
      </c>
      <c r="F1906" t="inlineStr">
        <is>
          <t>C</t>
        </is>
      </c>
      <c r="G1906" t="inlineStr">
        <is>
          <t>Average</t>
        </is>
      </c>
      <c r="H1906" t="n">
        <v>197</v>
      </c>
      <c r="I1906">
        <f>B1906&amp;"|"&amp;F1906&amp;"|"&amp;G1906</f>
        <v/>
      </c>
      <c r="J1906" t="inlineStr">
        <is>
          <t>MVS Sec.16 p.19</t>
        </is>
      </c>
    </row>
    <row r="1907">
      <c r="B1907" t="inlineStr">
        <is>
          <t>Museums</t>
        </is>
      </c>
      <c r="C1907" t="inlineStr">
        <is>
          <t>481</t>
        </is>
      </c>
      <c r="D1907" t="inlineStr">
        <is>
          <t>16</t>
        </is>
      </c>
      <c r="E1907" t="inlineStr">
        <is>
          <t>19</t>
        </is>
      </c>
      <c r="F1907" t="inlineStr">
        <is>
          <t>D</t>
        </is>
      </c>
      <c r="G1907" t="inlineStr">
        <is>
          <t>Excellent</t>
        </is>
      </c>
      <c r="H1907" t="n">
        <v>341</v>
      </c>
      <c r="I1907">
        <f>B1907&amp;"|"&amp;F1907&amp;"|"&amp;G1907</f>
        <v/>
      </c>
      <c r="J1907" t="inlineStr">
        <is>
          <t>MVS Sec.16 p.19</t>
        </is>
      </c>
    </row>
    <row r="1908">
      <c r="B1908" t="inlineStr">
        <is>
          <t>Museums</t>
        </is>
      </c>
      <c r="C1908" t="inlineStr">
        <is>
          <t>481</t>
        </is>
      </c>
      <c r="D1908" t="inlineStr">
        <is>
          <t>16</t>
        </is>
      </c>
      <c r="E1908" t="inlineStr">
        <is>
          <t>19</t>
        </is>
      </c>
      <c r="F1908" t="inlineStr">
        <is>
          <t>D</t>
        </is>
      </c>
      <c r="G1908" t="inlineStr">
        <is>
          <t>Good</t>
        </is>
      </c>
      <c r="H1908" t="n">
        <v>250</v>
      </c>
      <c r="I1908">
        <f>B1908&amp;"|"&amp;F1908&amp;"|"&amp;G1908</f>
        <v/>
      </c>
      <c r="J1908" t="inlineStr">
        <is>
          <t>MVS Sec.16 p.19</t>
        </is>
      </c>
    </row>
    <row r="1909">
      <c r="B1909" t="inlineStr">
        <is>
          <t>Museums</t>
        </is>
      </c>
      <c r="C1909" t="inlineStr">
        <is>
          <t>481</t>
        </is>
      </c>
      <c r="D1909" t="inlineStr">
        <is>
          <t>16</t>
        </is>
      </c>
      <c r="E1909" t="inlineStr">
        <is>
          <t>19</t>
        </is>
      </c>
      <c r="F1909" t="inlineStr">
        <is>
          <t>D</t>
        </is>
      </c>
      <c r="G1909" t="inlineStr">
        <is>
          <t>Average</t>
        </is>
      </c>
      <c r="H1909" t="n">
        <v>189</v>
      </c>
      <c r="I1909">
        <f>B1909&amp;"|"&amp;F1909&amp;"|"&amp;G1909</f>
        <v/>
      </c>
      <c r="J1909" t="inlineStr">
        <is>
          <t>MVS Sec.16 p.19</t>
        </is>
      </c>
    </row>
    <row r="1910">
      <c r="B1910" t="inlineStr">
        <is>
          <t>Ice Skating Rinks</t>
        </is>
      </c>
      <c r="C1910" t="inlineStr">
        <is>
          <t>175</t>
        </is>
      </c>
      <c r="D1910" t="inlineStr">
        <is>
          <t>16</t>
        </is>
      </c>
      <c r="E1910" t="inlineStr">
        <is>
          <t>20</t>
        </is>
      </c>
      <c r="F1910" t="inlineStr">
        <is>
          <t>A-B</t>
        </is>
      </c>
      <c r="G1910" t="inlineStr">
        <is>
          <t>Good</t>
        </is>
      </c>
      <c r="H1910" t="n">
        <v>277</v>
      </c>
      <c r="I1910">
        <f>B1910&amp;"|"&amp;F1910&amp;"|"&amp;G1910</f>
        <v/>
      </c>
      <c r="J1910" t="inlineStr">
        <is>
          <t>MVS Sec.16 p.20</t>
        </is>
      </c>
    </row>
    <row r="1911">
      <c r="B1911" t="inlineStr">
        <is>
          <t>Ice Skating Rinks</t>
        </is>
      </c>
      <c r="C1911" t="inlineStr">
        <is>
          <t>175</t>
        </is>
      </c>
      <c r="D1911" t="inlineStr">
        <is>
          <t>16</t>
        </is>
      </c>
      <c r="E1911" t="inlineStr">
        <is>
          <t>20</t>
        </is>
      </c>
      <c r="F1911" t="inlineStr">
        <is>
          <t>A-B</t>
        </is>
      </c>
      <c r="G1911" t="inlineStr">
        <is>
          <t>Average</t>
        </is>
      </c>
      <c r="H1911" t="n">
        <v>195</v>
      </c>
      <c r="I1911">
        <f>B1911&amp;"|"&amp;F1911&amp;"|"&amp;G1911</f>
        <v/>
      </c>
      <c r="J1911" t="inlineStr">
        <is>
          <t>MVS Sec.16 p.20</t>
        </is>
      </c>
    </row>
    <row r="1912">
      <c r="B1912" t="inlineStr">
        <is>
          <t>Ice Skating Rinks</t>
        </is>
      </c>
      <c r="C1912" t="inlineStr">
        <is>
          <t>175</t>
        </is>
      </c>
      <c r="D1912" t="inlineStr">
        <is>
          <t>16</t>
        </is>
      </c>
      <c r="E1912" t="inlineStr">
        <is>
          <t>20</t>
        </is>
      </c>
      <c r="F1912" t="inlineStr">
        <is>
          <t>C</t>
        </is>
      </c>
      <c r="G1912" t="inlineStr">
        <is>
          <t>Excellent</t>
        </is>
      </c>
      <c r="H1912" t="n">
        <v>264</v>
      </c>
      <c r="I1912">
        <f>B1912&amp;"|"&amp;F1912&amp;"|"&amp;G1912</f>
        <v/>
      </c>
      <c r="J1912" t="inlineStr">
        <is>
          <t>MVS Sec.16 p.20</t>
        </is>
      </c>
    </row>
    <row r="1913">
      <c r="B1913" t="inlineStr">
        <is>
          <t>Ice Skating Rinks</t>
        </is>
      </c>
      <c r="C1913" t="inlineStr">
        <is>
          <t>175</t>
        </is>
      </c>
      <c r="D1913" t="inlineStr">
        <is>
          <t>16</t>
        </is>
      </c>
      <c r="E1913" t="inlineStr">
        <is>
          <t>20</t>
        </is>
      </c>
      <c r="F1913" t="inlineStr">
        <is>
          <t>C</t>
        </is>
      </c>
      <c r="G1913" t="inlineStr">
        <is>
          <t>Good</t>
        </is>
      </c>
      <c r="H1913" t="n">
        <v>183</v>
      </c>
      <c r="I1913">
        <f>B1913&amp;"|"&amp;F1913&amp;"|"&amp;G1913</f>
        <v/>
      </c>
      <c r="J1913" t="inlineStr">
        <is>
          <t>MVS Sec.16 p.20</t>
        </is>
      </c>
    </row>
    <row r="1914">
      <c r="B1914" t="inlineStr">
        <is>
          <t>Ice Skating Rinks</t>
        </is>
      </c>
      <c r="C1914" t="inlineStr">
        <is>
          <t>175</t>
        </is>
      </c>
      <c r="D1914" t="inlineStr">
        <is>
          <t>16</t>
        </is>
      </c>
      <c r="E1914" t="inlineStr">
        <is>
          <t>20</t>
        </is>
      </c>
      <c r="F1914" t="inlineStr">
        <is>
          <t>C</t>
        </is>
      </c>
      <c r="G1914" t="inlineStr">
        <is>
          <t>Average</t>
        </is>
      </c>
      <c r="H1914" t="n">
        <v>133</v>
      </c>
      <c r="I1914">
        <f>B1914&amp;"|"&amp;F1914&amp;"|"&amp;G1914</f>
        <v/>
      </c>
      <c r="J1914" t="inlineStr">
        <is>
          <t>MVS Sec.16 p.20</t>
        </is>
      </c>
    </row>
    <row r="1915">
      <c r="B1915" t="inlineStr">
        <is>
          <t>Ice Skating Rinks</t>
        </is>
      </c>
      <c r="C1915" t="inlineStr">
        <is>
          <t>175</t>
        </is>
      </c>
      <c r="D1915" t="inlineStr">
        <is>
          <t>16</t>
        </is>
      </c>
      <c r="E1915" t="inlineStr">
        <is>
          <t>20</t>
        </is>
      </c>
      <c r="F1915" t="inlineStr">
        <is>
          <t>D</t>
        </is>
      </c>
      <c r="G1915" t="inlineStr">
        <is>
          <t>Excellent</t>
        </is>
      </c>
      <c r="H1915" t="n">
        <v>257</v>
      </c>
      <c r="I1915">
        <f>B1915&amp;"|"&amp;F1915&amp;"|"&amp;G1915</f>
        <v/>
      </c>
      <c r="J1915" t="inlineStr">
        <is>
          <t>MVS Sec.16 p.20</t>
        </is>
      </c>
    </row>
    <row r="1916">
      <c r="B1916" t="inlineStr">
        <is>
          <t>Ice Skating Rinks</t>
        </is>
      </c>
      <c r="C1916" t="inlineStr">
        <is>
          <t>175</t>
        </is>
      </c>
      <c r="D1916" t="inlineStr">
        <is>
          <t>16</t>
        </is>
      </c>
      <c r="E1916" t="inlineStr">
        <is>
          <t>20</t>
        </is>
      </c>
      <c r="F1916" t="inlineStr">
        <is>
          <t>D</t>
        </is>
      </c>
      <c r="G1916" t="inlineStr">
        <is>
          <t>Good</t>
        </is>
      </c>
      <c r="H1916" t="n">
        <v>176</v>
      </c>
      <c r="I1916">
        <f>B1916&amp;"|"&amp;F1916&amp;"|"&amp;G1916</f>
        <v/>
      </c>
      <c r="J1916" t="inlineStr">
        <is>
          <t>MVS Sec.16 p.20</t>
        </is>
      </c>
    </row>
    <row r="1917">
      <c r="B1917" t="inlineStr">
        <is>
          <t>Ice Skating Rinks</t>
        </is>
      </c>
      <c r="C1917" t="inlineStr">
        <is>
          <t>175</t>
        </is>
      </c>
      <c r="D1917" t="inlineStr">
        <is>
          <t>16</t>
        </is>
      </c>
      <c r="E1917" t="inlineStr">
        <is>
          <t>20</t>
        </is>
      </c>
      <c r="F1917" t="inlineStr">
        <is>
          <t>D</t>
        </is>
      </c>
      <c r="G1917" t="inlineStr">
        <is>
          <t>Average</t>
        </is>
      </c>
      <c r="H1917" t="n">
        <v>126</v>
      </c>
      <c r="I1917">
        <f>B1917&amp;"|"&amp;F1917&amp;"|"&amp;G1917</f>
        <v/>
      </c>
      <c r="J1917" t="inlineStr">
        <is>
          <t>MVS Sec.16 p.20</t>
        </is>
      </c>
    </row>
    <row r="1918">
      <c r="B1918" t="inlineStr">
        <is>
          <t>Ice Skating Rinks</t>
        </is>
      </c>
      <c r="C1918" t="inlineStr">
        <is>
          <t>175</t>
        </is>
      </c>
      <c r="D1918" t="inlineStr">
        <is>
          <t>16</t>
        </is>
      </c>
      <c r="E1918" t="inlineStr">
        <is>
          <t>20</t>
        </is>
      </c>
      <c r="F1918" t="inlineStr">
        <is>
          <t>DPOLE</t>
        </is>
      </c>
      <c r="G1918" t="inlineStr">
        <is>
          <t>Excellent</t>
        </is>
      </c>
      <c r="H1918" t="n">
        <v>258</v>
      </c>
      <c r="I1918">
        <f>B1918&amp;"|"&amp;F1918&amp;"|"&amp;G1918</f>
        <v/>
      </c>
      <c r="J1918" t="inlineStr">
        <is>
          <t>MVS Sec.16 p.20</t>
        </is>
      </c>
    </row>
    <row r="1919">
      <c r="B1919" t="inlineStr">
        <is>
          <t>Ice Skating Rinks</t>
        </is>
      </c>
      <c r="C1919" t="inlineStr">
        <is>
          <t>175</t>
        </is>
      </c>
      <c r="D1919" t="inlineStr">
        <is>
          <t>16</t>
        </is>
      </c>
      <c r="E1919" t="inlineStr">
        <is>
          <t>20</t>
        </is>
      </c>
      <c r="F1919" t="inlineStr">
        <is>
          <t>S</t>
        </is>
      </c>
      <c r="G1919" t="inlineStr">
        <is>
          <t>Good</t>
        </is>
      </c>
      <c r="H1919" t="n">
        <v>174</v>
      </c>
      <c r="I1919">
        <f>B1919&amp;"|"&amp;F1919&amp;"|"&amp;G1919</f>
        <v/>
      </c>
      <c r="J1919" t="inlineStr">
        <is>
          <t>MVS Sec.16 p.20</t>
        </is>
      </c>
    </row>
    <row r="1920">
      <c r="B1920" t="inlineStr">
        <is>
          <t>Ice Skating Rinks</t>
        </is>
      </c>
      <c r="C1920" t="inlineStr">
        <is>
          <t>175</t>
        </is>
      </c>
      <c r="D1920" t="inlineStr">
        <is>
          <t>16</t>
        </is>
      </c>
      <c r="E1920" t="inlineStr">
        <is>
          <t>20</t>
        </is>
      </c>
      <c r="F1920" t="inlineStr">
        <is>
          <t>S</t>
        </is>
      </c>
      <c r="G1920" t="inlineStr">
        <is>
          <t>Average</t>
        </is>
      </c>
      <c r="H1920" t="n">
        <v>124</v>
      </c>
      <c r="I1920">
        <f>B1920&amp;"|"&amp;F1920&amp;"|"&amp;G1920</f>
        <v/>
      </c>
      <c r="J1920" t="inlineStr">
        <is>
          <t>MVS Sec.16 p.20</t>
        </is>
      </c>
    </row>
    <row r="1921">
      <c r="B1921" t="inlineStr">
        <is>
          <t>Roller Skating Rinks</t>
        </is>
      </c>
      <c r="C1921" t="inlineStr">
        <is>
          <t>176</t>
        </is>
      </c>
      <c r="D1921" t="inlineStr">
        <is>
          <t>16</t>
        </is>
      </c>
      <c r="E1921" t="inlineStr">
        <is>
          <t>21</t>
        </is>
      </c>
      <c r="F1921" t="inlineStr">
        <is>
          <t>C</t>
        </is>
      </c>
      <c r="G1921" t="inlineStr">
        <is>
          <t>Good</t>
        </is>
      </c>
      <c r="H1921" t="n">
        <v>169</v>
      </c>
      <c r="I1921">
        <f>B1921&amp;"|"&amp;F1921&amp;"|"&amp;G1921</f>
        <v/>
      </c>
      <c r="J1921" t="inlineStr">
        <is>
          <t>MVS Sec.16 p.21</t>
        </is>
      </c>
    </row>
    <row r="1922">
      <c r="B1922" t="inlineStr">
        <is>
          <t>Roller Skating Rinks</t>
        </is>
      </c>
      <c r="C1922" t="inlineStr">
        <is>
          <t>176</t>
        </is>
      </c>
      <c r="D1922" t="inlineStr">
        <is>
          <t>16</t>
        </is>
      </c>
      <c r="E1922" t="inlineStr">
        <is>
          <t>21</t>
        </is>
      </c>
      <c r="F1922" t="inlineStr">
        <is>
          <t>C</t>
        </is>
      </c>
      <c r="G1922" t="inlineStr">
        <is>
          <t>Average</t>
        </is>
      </c>
      <c r="H1922" t="n">
        <v>125</v>
      </c>
      <c r="I1922">
        <f>B1922&amp;"|"&amp;F1922&amp;"|"&amp;G1922</f>
        <v/>
      </c>
      <c r="J1922" t="inlineStr">
        <is>
          <t>MVS Sec.16 p.21</t>
        </is>
      </c>
    </row>
    <row r="1923">
      <c r="B1923" t="inlineStr">
        <is>
          <t>Roller Skating Rinks</t>
        </is>
      </c>
      <c r="C1923" t="inlineStr">
        <is>
          <t>176</t>
        </is>
      </c>
      <c r="D1923" t="inlineStr">
        <is>
          <t>16</t>
        </is>
      </c>
      <c r="E1923" t="inlineStr">
        <is>
          <t>21</t>
        </is>
      </c>
      <c r="F1923" t="inlineStr">
        <is>
          <t>D</t>
        </is>
      </c>
      <c r="G1923" t="inlineStr">
        <is>
          <t>Good</t>
        </is>
      </c>
      <c r="H1923" t="n">
        <v>162</v>
      </c>
      <c r="I1923">
        <f>B1923&amp;"|"&amp;F1923&amp;"|"&amp;G1923</f>
        <v/>
      </c>
      <c r="J1923" t="inlineStr">
        <is>
          <t>MVS Sec.16 p.21</t>
        </is>
      </c>
    </row>
    <row r="1924">
      <c r="B1924" t="inlineStr">
        <is>
          <t>Roller Skating Rinks</t>
        </is>
      </c>
      <c r="C1924" t="inlineStr">
        <is>
          <t>176</t>
        </is>
      </c>
      <c r="D1924" t="inlineStr">
        <is>
          <t>16</t>
        </is>
      </c>
      <c r="E1924" t="inlineStr">
        <is>
          <t>21</t>
        </is>
      </c>
      <c r="F1924" t="inlineStr">
        <is>
          <t>D</t>
        </is>
      </c>
      <c r="G1924" t="inlineStr">
        <is>
          <t>Average</t>
        </is>
      </c>
      <c r="H1924" t="n">
        <v>118</v>
      </c>
      <c r="I1924">
        <f>B1924&amp;"|"&amp;F1924&amp;"|"&amp;G1924</f>
        <v/>
      </c>
      <c r="J1924" t="inlineStr">
        <is>
          <t>MVS Sec.16 p.21</t>
        </is>
      </c>
    </row>
    <row r="1925">
      <c r="B1925" t="inlineStr">
        <is>
          <t>Roller Skating Rinks</t>
        </is>
      </c>
      <c r="C1925" t="inlineStr">
        <is>
          <t>176</t>
        </is>
      </c>
      <c r="D1925" t="inlineStr">
        <is>
          <t>16</t>
        </is>
      </c>
      <c r="E1925" t="inlineStr">
        <is>
          <t>21</t>
        </is>
      </c>
      <c r="F1925" t="inlineStr">
        <is>
          <t>DPOLE</t>
        </is>
      </c>
      <c r="G1925" t="inlineStr">
        <is>
          <t>Good</t>
        </is>
      </c>
      <c r="H1925" t="n">
        <v>160</v>
      </c>
      <c r="I1925">
        <f>B1925&amp;"|"&amp;F1925&amp;"|"&amp;G1925</f>
        <v/>
      </c>
      <c r="J1925" t="inlineStr">
        <is>
          <t>MVS Sec.16 p.21</t>
        </is>
      </c>
    </row>
    <row r="1926">
      <c r="B1926" t="inlineStr">
        <is>
          <t>Roller Skating Rinks</t>
        </is>
      </c>
      <c r="C1926" t="inlineStr">
        <is>
          <t>176</t>
        </is>
      </c>
      <c r="D1926" t="inlineStr">
        <is>
          <t>16</t>
        </is>
      </c>
      <c r="E1926" t="inlineStr">
        <is>
          <t>21</t>
        </is>
      </c>
      <c r="F1926" t="inlineStr">
        <is>
          <t>S</t>
        </is>
      </c>
      <c r="G1926" t="inlineStr">
        <is>
          <t>Average</t>
        </is>
      </c>
      <c r="H1926" t="n">
        <v>115</v>
      </c>
      <c r="I1926">
        <f>B1926&amp;"|"&amp;F1926&amp;"|"&amp;G1926</f>
        <v/>
      </c>
      <c r="J1926" t="inlineStr">
        <is>
          <t>MVS Sec.16 p.21</t>
        </is>
      </c>
    </row>
    <row r="1927">
      <c r="B1927" t="inlineStr">
        <is>
          <t>Handball/Racquetball Clubs</t>
        </is>
      </c>
      <c r="C1927" t="inlineStr">
        <is>
          <t>417</t>
        </is>
      </c>
      <c r="D1927" t="inlineStr">
        <is>
          <t>16</t>
        </is>
      </c>
      <c r="E1927" t="inlineStr">
        <is>
          <t>21</t>
        </is>
      </c>
      <c r="F1927" t="inlineStr">
        <is>
          <t>C</t>
        </is>
      </c>
      <c r="G1927" t="inlineStr">
        <is>
          <t>Good</t>
        </is>
      </c>
      <c r="H1927" t="n">
        <v>200</v>
      </c>
      <c r="I1927">
        <f>B1927&amp;"|"&amp;F1927&amp;"|"&amp;G1927</f>
        <v/>
      </c>
      <c r="J1927" t="inlineStr">
        <is>
          <t>MVS Sec.16 p.21</t>
        </is>
      </c>
    </row>
    <row r="1928">
      <c r="B1928" t="inlineStr">
        <is>
          <t>Handball/Racquetball Clubs</t>
        </is>
      </c>
      <c r="C1928" t="inlineStr">
        <is>
          <t>417</t>
        </is>
      </c>
      <c r="D1928" t="inlineStr">
        <is>
          <t>16</t>
        </is>
      </c>
      <c r="E1928" t="inlineStr">
        <is>
          <t>21</t>
        </is>
      </c>
      <c r="F1928" t="inlineStr">
        <is>
          <t>C</t>
        </is>
      </c>
      <c r="G1928" t="inlineStr">
        <is>
          <t>Average</t>
        </is>
      </c>
      <c r="H1928" t="n">
        <v>136</v>
      </c>
      <c r="I1928">
        <f>B1928&amp;"|"&amp;F1928&amp;"|"&amp;G1928</f>
        <v/>
      </c>
      <c r="J1928" t="inlineStr">
        <is>
          <t>MVS Sec.16 p.21</t>
        </is>
      </c>
    </row>
    <row r="1929">
      <c r="B1929" t="inlineStr">
        <is>
          <t>Handball/Racquetball Clubs</t>
        </is>
      </c>
      <c r="C1929" t="inlineStr">
        <is>
          <t>417</t>
        </is>
      </c>
      <c r="D1929" t="inlineStr">
        <is>
          <t>16</t>
        </is>
      </c>
      <c r="E1929" t="inlineStr">
        <is>
          <t>21</t>
        </is>
      </c>
      <c r="F1929" t="inlineStr">
        <is>
          <t>D</t>
        </is>
      </c>
      <c r="G1929" t="inlineStr">
        <is>
          <t>Good</t>
        </is>
      </c>
      <c r="H1929" t="n">
        <v>190</v>
      </c>
      <c r="I1929">
        <f>B1929&amp;"|"&amp;F1929&amp;"|"&amp;G1929</f>
        <v/>
      </c>
      <c r="J1929" t="inlineStr">
        <is>
          <t>MVS Sec.16 p.21</t>
        </is>
      </c>
    </row>
    <row r="1930">
      <c r="B1930" t="inlineStr">
        <is>
          <t>Handball/Racquetball Clubs</t>
        </is>
      </c>
      <c r="C1930" t="inlineStr">
        <is>
          <t>417</t>
        </is>
      </c>
      <c r="D1930" t="inlineStr">
        <is>
          <t>16</t>
        </is>
      </c>
      <c r="E1930" t="inlineStr">
        <is>
          <t>21</t>
        </is>
      </c>
      <c r="F1930" t="inlineStr">
        <is>
          <t>D</t>
        </is>
      </c>
      <c r="G1930" t="inlineStr">
        <is>
          <t>Average</t>
        </is>
      </c>
      <c r="H1930" t="n">
        <v>128</v>
      </c>
      <c r="I1930">
        <f>B1930&amp;"|"&amp;F1930&amp;"|"&amp;G1930</f>
        <v/>
      </c>
      <c r="J1930" t="inlineStr">
        <is>
          <t>MVS Sec.16 p.21</t>
        </is>
      </c>
    </row>
    <row r="1931">
      <c r="B1931" t="inlineStr">
        <is>
          <t>Handball/Racquetball Clubs</t>
        </is>
      </c>
      <c r="C1931" t="inlineStr">
        <is>
          <t>417</t>
        </is>
      </c>
      <c r="D1931" t="inlineStr">
        <is>
          <t>16</t>
        </is>
      </c>
      <c r="E1931" t="inlineStr">
        <is>
          <t>21</t>
        </is>
      </c>
      <c r="F1931" t="inlineStr">
        <is>
          <t>S</t>
        </is>
      </c>
      <c r="G1931" t="inlineStr">
        <is>
          <t>Good</t>
        </is>
      </c>
      <c r="H1931" t="n">
        <v>191</v>
      </c>
      <c r="I1931">
        <f>B1931&amp;"|"&amp;F1931&amp;"|"&amp;G1931</f>
        <v/>
      </c>
      <c r="J1931" t="inlineStr">
        <is>
          <t>MVS Sec.16 p.21</t>
        </is>
      </c>
    </row>
    <row r="1932">
      <c r="B1932" t="inlineStr">
        <is>
          <t>Handball/Racquetball Clubs</t>
        </is>
      </c>
      <c r="C1932" t="inlineStr">
        <is>
          <t>417</t>
        </is>
      </c>
      <c r="D1932" t="inlineStr">
        <is>
          <t>16</t>
        </is>
      </c>
      <c r="E1932" t="inlineStr">
        <is>
          <t>21</t>
        </is>
      </c>
      <c r="F1932" t="inlineStr">
        <is>
          <t>S</t>
        </is>
      </c>
      <c r="G1932" t="inlineStr">
        <is>
          <t>Average</t>
        </is>
      </c>
      <c r="H1932" t="n">
        <v>126</v>
      </c>
      <c r="I1932">
        <f>B1932&amp;"|"&amp;F1932&amp;"|"&amp;G1932</f>
        <v/>
      </c>
      <c r="J1932" t="inlineStr">
        <is>
          <t>MVS Sec.16 p.21</t>
        </is>
      </c>
    </row>
    <row r="1933">
      <c r="B1933" t="inlineStr">
        <is>
          <t>Fitness Centers</t>
        </is>
      </c>
      <c r="C1933" t="inlineStr">
        <is>
          <t>483</t>
        </is>
      </c>
      <c r="D1933" t="inlineStr">
        <is>
          <t>16</t>
        </is>
      </c>
      <c r="E1933" t="inlineStr">
        <is>
          <t>21</t>
        </is>
      </c>
      <c r="F1933" t="inlineStr">
        <is>
          <t>A-B</t>
        </is>
      </c>
      <c r="G1933" t="inlineStr">
        <is>
          <t>Good</t>
        </is>
      </c>
      <c r="H1933" t="n">
        <v>289</v>
      </c>
      <c r="I1933">
        <f>B1933&amp;"|"&amp;F1933&amp;"|"&amp;G1933</f>
        <v/>
      </c>
      <c r="J1933" t="inlineStr">
        <is>
          <t>MVS Sec.16 p.21</t>
        </is>
      </c>
    </row>
    <row r="1934">
      <c r="B1934" t="inlineStr">
        <is>
          <t>Fitness Centers</t>
        </is>
      </c>
      <c r="C1934" t="inlineStr">
        <is>
          <t>483</t>
        </is>
      </c>
      <c r="D1934" t="inlineStr">
        <is>
          <t>16</t>
        </is>
      </c>
      <c r="E1934" t="inlineStr">
        <is>
          <t>21</t>
        </is>
      </c>
      <c r="F1934" t="inlineStr">
        <is>
          <t>A-B</t>
        </is>
      </c>
      <c r="G1934" t="inlineStr">
        <is>
          <t>Average</t>
        </is>
      </c>
      <c r="H1934" t="n">
        <v>209</v>
      </c>
      <c r="I1934">
        <f>B1934&amp;"|"&amp;F1934&amp;"|"&amp;G1934</f>
        <v/>
      </c>
      <c r="J1934" t="inlineStr">
        <is>
          <t>MVS Sec.16 p.21</t>
        </is>
      </c>
    </row>
    <row r="1935">
      <c r="B1935" t="inlineStr">
        <is>
          <t>Fitness Centers</t>
        </is>
      </c>
      <c r="C1935" t="inlineStr">
        <is>
          <t>483</t>
        </is>
      </c>
      <c r="D1935" t="inlineStr">
        <is>
          <t>16</t>
        </is>
      </c>
      <c r="E1935" t="inlineStr">
        <is>
          <t>21</t>
        </is>
      </c>
      <c r="F1935" t="inlineStr">
        <is>
          <t>C</t>
        </is>
      </c>
      <c r="G1935" t="inlineStr">
        <is>
          <t>Excellent</t>
        </is>
      </c>
      <c r="H1935" t="n">
        <v>280</v>
      </c>
      <c r="I1935">
        <f>B1935&amp;"|"&amp;F1935&amp;"|"&amp;G1935</f>
        <v/>
      </c>
      <c r="J1935" t="inlineStr">
        <is>
          <t>MVS Sec.16 p.21</t>
        </is>
      </c>
    </row>
    <row r="1936">
      <c r="B1936" t="inlineStr">
        <is>
          <t>Fitness Centers</t>
        </is>
      </c>
      <c r="C1936" t="inlineStr">
        <is>
          <t>483</t>
        </is>
      </c>
      <c r="D1936" t="inlineStr">
        <is>
          <t>16</t>
        </is>
      </c>
      <c r="E1936" t="inlineStr">
        <is>
          <t>21</t>
        </is>
      </c>
      <c r="F1936" t="inlineStr">
        <is>
          <t>C</t>
        </is>
      </c>
      <c r="G1936" t="inlineStr">
        <is>
          <t>Good</t>
        </is>
      </c>
      <c r="H1936" t="n">
        <v>199</v>
      </c>
      <c r="I1936">
        <f>B1936&amp;"|"&amp;F1936&amp;"|"&amp;G1936</f>
        <v/>
      </c>
      <c r="J1936" t="inlineStr">
        <is>
          <t>MVS Sec.16 p.21</t>
        </is>
      </c>
    </row>
    <row r="1937">
      <c r="B1937" t="inlineStr">
        <is>
          <t>Fitness Centers</t>
        </is>
      </c>
      <c r="C1937" t="inlineStr">
        <is>
          <t>483</t>
        </is>
      </c>
      <c r="D1937" t="inlineStr">
        <is>
          <t>16</t>
        </is>
      </c>
      <c r="E1937" t="inlineStr">
        <is>
          <t>21</t>
        </is>
      </c>
      <c r="F1937" t="inlineStr">
        <is>
          <t>C</t>
        </is>
      </c>
      <c r="G1937" t="inlineStr">
        <is>
          <t>Average</t>
        </is>
      </c>
      <c r="H1937" t="n">
        <v>141</v>
      </c>
      <c r="I1937">
        <f>B1937&amp;"|"&amp;F1937&amp;"|"&amp;G1937</f>
        <v/>
      </c>
      <c r="J1937" t="inlineStr">
        <is>
          <t>MVS Sec.16 p.21</t>
        </is>
      </c>
    </row>
    <row r="1938">
      <c r="B1938" t="inlineStr">
        <is>
          <t>Fitness Centers</t>
        </is>
      </c>
      <c r="C1938" t="inlineStr">
        <is>
          <t>483</t>
        </is>
      </c>
      <c r="D1938" t="inlineStr">
        <is>
          <t>16</t>
        </is>
      </c>
      <c r="E1938" t="inlineStr">
        <is>
          <t>21</t>
        </is>
      </c>
      <c r="F1938" t="inlineStr">
        <is>
          <t>D</t>
        </is>
      </c>
      <c r="G1938" t="inlineStr">
        <is>
          <t>Good</t>
        </is>
      </c>
      <c r="H1938" t="n">
        <v>191</v>
      </c>
      <c r="I1938">
        <f>B1938&amp;"|"&amp;F1938&amp;"|"&amp;G1938</f>
        <v/>
      </c>
      <c r="J1938" t="inlineStr">
        <is>
          <t>MVS Sec.16 p.21</t>
        </is>
      </c>
    </row>
    <row r="1939">
      <c r="B1939" t="inlineStr">
        <is>
          <t>Fitness Centers</t>
        </is>
      </c>
      <c r="C1939" t="inlineStr">
        <is>
          <t>483</t>
        </is>
      </c>
      <c r="D1939" t="inlineStr">
        <is>
          <t>16</t>
        </is>
      </c>
      <c r="E1939" t="inlineStr">
        <is>
          <t>21</t>
        </is>
      </c>
      <c r="F1939" t="inlineStr">
        <is>
          <t>D</t>
        </is>
      </c>
      <c r="G1939" t="inlineStr">
        <is>
          <t>Average</t>
        </is>
      </c>
      <c r="H1939" t="n">
        <v>135</v>
      </c>
      <c r="I1939">
        <f>B1939&amp;"|"&amp;F1939&amp;"|"&amp;G1939</f>
        <v/>
      </c>
      <c r="J1939" t="inlineStr">
        <is>
          <t>MVS Sec.16 p.21</t>
        </is>
      </c>
    </row>
    <row r="1940">
      <c r="B1940" t="inlineStr">
        <is>
          <t>Fitness Centers</t>
        </is>
      </c>
      <c r="C1940" t="inlineStr">
        <is>
          <t>483</t>
        </is>
      </c>
      <c r="D1940" t="inlineStr">
        <is>
          <t>16</t>
        </is>
      </c>
      <c r="E1940" t="inlineStr">
        <is>
          <t>21</t>
        </is>
      </c>
      <c r="F1940" t="inlineStr">
        <is>
          <t>S</t>
        </is>
      </c>
      <c r="G1940" t="inlineStr">
        <is>
          <t>Good</t>
        </is>
      </c>
      <c r="H1940" t="n">
        <v>192</v>
      </c>
      <c r="I1940">
        <f>B1940&amp;"|"&amp;F1940&amp;"|"&amp;G1940</f>
        <v/>
      </c>
      <c r="J1940" t="inlineStr">
        <is>
          <t>MVS Sec.16 p.21</t>
        </is>
      </c>
    </row>
    <row r="1941">
      <c r="B1941" t="inlineStr">
        <is>
          <t>Fitness Centers</t>
        </is>
      </c>
      <c r="C1941" t="inlineStr">
        <is>
          <t>483</t>
        </is>
      </c>
      <c r="D1941" t="inlineStr">
        <is>
          <t>16</t>
        </is>
      </c>
      <c r="E1941" t="inlineStr">
        <is>
          <t>21</t>
        </is>
      </c>
      <c r="F1941" t="inlineStr">
        <is>
          <t>S</t>
        </is>
      </c>
      <c r="G1941" t="inlineStr">
        <is>
          <t>Average</t>
        </is>
      </c>
      <c r="H1941" t="n">
        <v>133</v>
      </c>
      <c r="I1941">
        <f>B1941&amp;"|"&amp;F1941&amp;"|"&amp;G1941</f>
        <v/>
      </c>
      <c r="J1941" t="inlineStr">
        <is>
          <t>MVS Sec.16 p.21</t>
        </is>
      </c>
    </row>
    <row r="1942">
      <c r="B1942" t="inlineStr">
        <is>
          <t>Bowling Centers</t>
        </is>
      </c>
      <c r="C1942" t="inlineStr">
        <is>
          <t>306</t>
        </is>
      </c>
      <c r="D1942" t="inlineStr">
        <is>
          <t>16</t>
        </is>
      </c>
      <c r="E1942" t="inlineStr">
        <is>
          <t>22</t>
        </is>
      </c>
      <c r="F1942" t="inlineStr">
        <is>
          <t>C</t>
        </is>
      </c>
      <c r="G1942" t="inlineStr">
        <is>
          <t>Excellent</t>
        </is>
      </c>
      <c r="H1942" t="n">
        <v>176</v>
      </c>
      <c r="I1942">
        <f>B1942&amp;"|"&amp;F1942&amp;"|"&amp;G1942</f>
        <v/>
      </c>
      <c r="J1942" t="inlineStr">
        <is>
          <t>MVS Sec.16 p.22</t>
        </is>
      </c>
    </row>
    <row r="1943">
      <c r="B1943" t="inlineStr">
        <is>
          <t>Bowling Centers</t>
        </is>
      </c>
      <c r="C1943" t="inlineStr">
        <is>
          <t>306</t>
        </is>
      </c>
      <c r="D1943" t="inlineStr">
        <is>
          <t>16</t>
        </is>
      </c>
      <c r="E1943" t="inlineStr">
        <is>
          <t>22</t>
        </is>
      </c>
      <c r="F1943" t="inlineStr">
        <is>
          <t>C</t>
        </is>
      </c>
      <c r="G1943" t="inlineStr">
        <is>
          <t>Good</t>
        </is>
      </c>
      <c r="H1943" t="n">
        <v>144</v>
      </c>
      <c r="I1943">
        <f>B1943&amp;"|"&amp;F1943&amp;"|"&amp;G1943</f>
        <v/>
      </c>
      <c r="J1943" t="inlineStr">
        <is>
          <t>MVS Sec.16 p.22</t>
        </is>
      </c>
    </row>
    <row r="1944">
      <c r="B1944" t="inlineStr">
        <is>
          <t>Bowling Centers</t>
        </is>
      </c>
      <c r="C1944" t="inlineStr">
        <is>
          <t>306</t>
        </is>
      </c>
      <c r="D1944" t="inlineStr">
        <is>
          <t>16</t>
        </is>
      </c>
      <c r="E1944" t="inlineStr">
        <is>
          <t>22</t>
        </is>
      </c>
      <c r="F1944" t="inlineStr">
        <is>
          <t>C</t>
        </is>
      </c>
      <c r="G1944" t="inlineStr">
        <is>
          <t>Average</t>
        </is>
      </c>
      <c r="H1944" t="n">
        <v>111</v>
      </c>
      <c r="I1944">
        <f>B1944&amp;"|"&amp;F1944&amp;"|"&amp;G1944</f>
        <v/>
      </c>
      <c r="J1944" t="inlineStr">
        <is>
          <t>MVS Sec.16 p.22</t>
        </is>
      </c>
    </row>
    <row r="1945">
      <c r="B1945" t="inlineStr">
        <is>
          <t>Bowling Centers</t>
        </is>
      </c>
      <c r="C1945" t="inlineStr">
        <is>
          <t>306</t>
        </is>
      </c>
      <c r="D1945" t="inlineStr">
        <is>
          <t>16</t>
        </is>
      </c>
      <c r="E1945" t="inlineStr">
        <is>
          <t>22</t>
        </is>
      </c>
      <c r="F1945" t="inlineStr">
        <is>
          <t>D</t>
        </is>
      </c>
      <c r="G1945" t="inlineStr">
        <is>
          <t>Excellent</t>
        </is>
      </c>
      <c r="H1945" t="n">
        <v>167</v>
      </c>
      <c r="I1945">
        <f>B1945&amp;"|"&amp;F1945&amp;"|"&amp;G1945</f>
        <v/>
      </c>
      <c r="J1945" t="inlineStr">
        <is>
          <t>MVS Sec.16 p.22</t>
        </is>
      </c>
    </row>
    <row r="1946">
      <c r="B1946" t="inlineStr">
        <is>
          <t>Bowling Centers</t>
        </is>
      </c>
      <c r="C1946" t="inlineStr">
        <is>
          <t>306</t>
        </is>
      </c>
      <c r="D1946" t="inlineStr">
        <is>
          <t>16</t>
        </is>
      </c>
      <c r="E1946" t="inlineStr">
        <is>
          <t>22</t>
        </is>
      </c>
      <c r="F1946" t="inlineStr">
        <is>
          <t>D</t>
        </is>
      </c>
      <c r="G1946" t="inlineStr">
        <is>
          <t>Good</t>
        </is>
      </c>
      <c r="H1946" t="n">
        <v>136</v>
      </c>
      <c r="I1946">
        <f>B1946&amp;"|"&amp;F1946&amp;"|"&amp;G1946</f>
        <v/>
      </c>
      <c r="J1946" t="inlineStr">
        <is>
          <t>MVS Sec.16 p.22</t>
        </is>
      </c>
    </row>
    <row r="1947">
      <c r="B1947" t="inlineStr">
        <is>
          <t>Bowling Centers</t>
        </is>
      </c>
      <c r="C1947" t="inlineStr">
        <is>
          <t>306</t>
        </is>
      </c>
      <c r="D1947" t="inlineStr">
        <is>
          <t>16</t>
        </is>
      </c>
      <c r="E1947" t="inlineStr">
        <is>
          <t>22</t>
        </is>
      </c>
      <c r="F1947" t="inlineStr">
        <is>
          <t>D</t>
        </is>
      </c>
      <c r="G1947" t="inlineStr">
        <is>
          <t>Average</t>
        </is>
      </c>
      <c r="H1947" t="n">
        <v>103</v>
      </c>
      <c r="I1947">
        <f>B1947&amp;"|"&amp;F1947&amp;"|"&amp;G1947</f>
        <v/>
      </c>
      <c r="J1947" t="inlineStr">
        <is>
          <t>MVS Sec.16 p.22</t>
        </is>
      </c>
    </row>
    <row r="1948">
      <c r="B1948" t="inlineStr">
        <is>
          <t>Bowling Centers</t>
        </is>
      </c>
      <c r="C1948" t="inlineStr">
        <is>
          <t>306</t>
        </is>
      </c>
      <c r="D1948" t="inlineStr">
        <is>
          <t>16</t>
        </is>
      </c>
      <c r="E1948" t="inlineStr">
        <is>
          <t>22</t>
        </is>
      </c>
      <c r="F1948" t="inlineStr">
        <is>
          <t>DPOLE</t>
        </is>
      </c>
      <c r="G1948" t="inlineStr">
        <is>
          <t>Good</t>
        </is>
      </c>
      <c r="H1948" t="n">
        <v>131</v>
      </c>
      <c r="I1948">
        <f>B1948&amp;"|"&amp;F1948&amp;"|"&amp;G1948</f>
        <v/>
      </c>
      <c r="J1948" t="inlineStr">
        <is>
          <t>MVS Sec.16 p.22</t>
        </is>
      </c>
    </row>
    <row r="1949">
      <c r="B1949" t="inlineStr">
        <is>
          <t>Bowling Centers</t>
        </is>
      </c>
      <c r="C1949" t="inlineStr">
        <is>
          <t>306</t>
        </is>
      </c>
      <c r="D1949" t="inlineStr">
        <is>
          <t>16</t>
        </is>
      </c>
      <c r="E1949" t="inlineStr">
        <is>
          <t>22</t>
        </is>
      </c>
      <c r="F1949" t="inlineStr">
        <is>
          <t>S</t>
        </is>
      </c>
      <c r="G1949" t="inlineStr">
        <is>
          <t>Average</t>
        </is>
      </c>
      <c r="H1949" t="n">
        <v>99.5</v>
      </c>
      <c r="I1949">
        <f>B1949&amp;"|"&amp;F1949&amp;"|"&amp;G1949</f>
        <v/>
      </c>
      <c r="J1949" t="inlineStr">
        <is>
          <t>MVS Sec.16 p.22</t>
        </is>
      </c>
    </row>
    <row r="1950">
      <c r="B1950" t="inlineStr">
        <is>
          <t>Indoor Tennis Clubs</t>
        </is>
      </c>
      <c r="C1950" t="inlineStr">
        <is>
          <t>416</t>
        </is>
      </c>
      <c r="D1950" t="inlineStr">
        <is>
          <t>16</t>
        </is>
      </c>
      <c r="E1950" t="inlineStr">
        <is>
          <t>22</t>
        </is>
      </c>
      <c r="F1950" t="inlineStr">
        <is>
          <t>C</t>
        </is>
      </c>
      <c r="G1950" t="inlineStr">
        <is>
          <t>Good</t>
        </is>
      </c>
      <c r="H1950" t="n">
        <v>125</v>
      </c>
      <c r="I1950">
        <f>B1950&amp;"|"&amp;F1950&amp;"|"&amp;G1950</f>
        <v/>
      </c>
      <c r="J1950" t="inlineStr">
        <is>
          <t>MVS Sec.16 p.22</t>
        </is>
      </c>
    </row>
    <row r="1951">
      <c r="B1951" t="inlineStr">
        <is>
          <t>Indoor Tennis Clubs</t>
        </is>
      </c>
      <c r="C1951" t="inlineStr">
        <is>
          <t>416</t>
        </is>
      </c>
      <c r="D1951" t="inlineStr">
        <is>
          <t>16</t>
        </is>
      </c>
      <c r="E1951" t="inlineStr">
        <is>
          <t>22</t>
        </is>
      </c>
      <c r="F1951" t="inlineStr">
        <is>
          <t>C</t>
        </is>
      </c>
      <c r="G1951" t="inlineStr">
        <is>
          <t>Average</t>
        </is>
      </c>
      <c r="H1951" t="n">
        <v>92.5</v>
      </c>
      <c r="I1951">
        <f>B1951&amp;"|"&amp;F1951&amp;"|"&amp;G1951</f>
        <v/>
      </c>
      <c r="J1951" t="inlineStr">
        <is>
          <t>MVS Sec.16 p.22</t>
        </is>
      </c>
    </row>
    <row r="1952">
      <c r="B1952" t="inlineStr">
        <is>
          <t>Indoor Tennis Clubs</t>
        </is>
      </c>
      <c r="C1952" t="inlineStr">
        <is>
          <t>416</t>
        </is>
      </c>
      <c r="D1952" t="inlineStr">
        <is>
          <t>16</t>
        </is>
      </c>
      <c r="E1952" t="inlineStr">
        <is>
          <t>22</t>
        </is>
      </c>
      <c r="F1952" t="inlineStr">
        <is>
          <t>D</t>
        </is>
      </c>
      <c r="G1952" t="inlineStr">
        <is>
          <t>Good</t>
        </is>
      </c>
      <c r="H1952" t="n">
        <v>115</v>
      </c>
      <c r="I1952">
        <f>B1952&amp;"|"&amp;F1952&amp;"|"&amp;G1952</f>
        <v/>
      </c>
      <c r="J1952" t="inlineStr">
        <is>
          <t>MVS Sec.16 p.22</t>
        </is>
      </c>
    </row>
    <row r="1953">
      <c r="B1953" t="inlineStr">
        <is>
          <t>Indoor Tennis Clubs</t>
        </is>
      </c>
      <c r="C1953" t="inlineStr">
        <is>
          <t>416</t>
        </is>
      </c>
      <c r="D1953" t="inlineStr">
        <is>
          <t>16</t>
        </is>
      </c>
      <c r="E1953" t="inlineStr">
        <is>
          <t>22</t>
        </is>
      </c>
      <c r="F1953" t="inlineStr">
        <is>
          <t>D</t>
        </is>
      </c>
      <c r="G1953" t="inlineStr">
        <is>
          <t>Average</t>
        </is>
      </c>
      <c r="H1953" t="n">
        <v>84</v>
      </c>
      <c r="I1953">
        <f>B1953&amp;"|"&amp;F1953&amp;"|"&amp;G1953</f>
        <v/>
      </c>
      <c r="J1953" t="inlineStr">
        <is>
          <t>MVS Sec.16 p.22</t>
        </is>
      </c>
    </row>
    <row r="1954">
      <c r="B1954" t="inlineStr">
        <is>
          <t>Indoor Tennis Clubs</t>
        </is>
      </c>
      <c r="C1954" t="inlineStr">
        <is>
          <t>416</t>
        </is>
      </c>
      <c r="D1954" t="inlineStr">
        <is>
          <t>16</t>
        </is>
      </c>
      <c r="E1954" t="inlineStr">
        <is>
          <t>22</t>
        </is>
      </c>
      <c r="F1954" t="inlineStr">
        <is>
          <t>DPOLE</t>
        </is>
      </c>
      <c r="G1954" t="inlineStr">
        <is>
          <t>Good</t>
        </is>
      </c>
      <c r="H1954" t="n">
        <v>114</v>
      </c>
      <c r="I1954">
        <f>B1954&amp;"|"&amp;F1954&amp;"|"&amp;G1954</f>
        <v/>
      </c>
      <c r="J1954" t="inlineStr">
        <is>
          <t>MVS Sec.16 p.22</t>
        </is>
      </c>
    </row>
    <row r="1955">
      <c r="B1955" t="inlineStr">
        <is>
          <t>Indoor Tennis Clubs</t>
        </is>
      </c>
      <c r="C1955" t="inlineStr">
        <is>
          <t>416</t>
        </is>
      </c>
      <c r="D1955" t="inlineStr">
        <is>
          <t>16</t>
        </is>
      </c>
      <c r="E1955" t="inlineStr">
        <is>
          <t>22</t>
        </is>
      </c>
      <c r="F1955" t="inlineStr">
        <is>
          <t>S</t>
        </is>
      </c>
      <c r="G1955" t="inlineStr">
        <is>
          <t>Average</t>
        </is>
      </c>
      <c r="H1955" t="n">
        <v>82</v>
      </c>
      <c r="I1955">
        <f>B1955&amp;"|"&amp;F1955&amp;"|"&amp;G1955</f>
        <v/>
      </c>
      <c r="J1955" t="inlineStr">
        <is>
          <t>MVS Sec.16 p.22</t>
        </is>
      </c>
    </row>
    <row r="1956">
      <c r="B1956" t="inlineStr">
        <is>
          <t>Pavilions</t>
        </is>
      </c>
      <c r="C1956" t="inlineStr">
        <is>
          <t>174</t>
        </is>
      </c>
      <c r="D1956" t="inlineStr">
        <is>
          <t>16</t>
        </is>
      </c>
      <c r="E1956" t="inlineStr">
        <is>
          <t>23</t>
        </is>
      </c>
      <c r="F1956" t="inlineStr">
        <is>
          <t>C</t>
        </is>
      </c>
      <c r="G1956" t="inlineStr">
        <is>
          <t>Excellent</t>
        </is>
      </c>
      <c r="H1956" t="n">
        <v>342</v>
      </c>
      <c r="I1956">
        <f>B1956&amp;"|"&amp;F1956&amp;"|"&amp;G1956</f>
        <v/>
      </c>
      <c r="J1956" t="inlineStr">
        <is>
          <t>MVS Sec.16 p.23</t>
        </is>
      </c>
    </row>
    <row r="1957">
      <c r="B1957" t="inlineStr">
        <is>
          <t>Pavilions</t>
        </is>
      </c>
      <c r="C1957" t="inlineStr">
        <is>
          <t>174</t>
        </is>
      </c>
      <c r="D1957" t="inlineStr">
        <is>
          <t>16</t>
        </is>
      </c>
      <c r="E1957" t="inlineStr">
        <is>
          <t>23</t>
        </is>
      </c>
      <c r="F1957" t="inlineStr">
        <is>
          <t>C</t>
        </is>
      </c>
      <c r="G1957" t="inlineStr">
        <is>
          <t>Very Good</t>
        </is>
      </c>
      <c r="H1957" t="n">
        <v>265</v>
      </c>
      <c r="I1957">
        <f>B1957&amp;"|"&amp;F1957&amp;"|"&amp;G1957</f>
        <v/>
      </c>
      <c r="J1957" t="inlineStr">
        <is>
          <t>MVS Sec.16 p.23</t>
        </is>
      </c>
    </row>
    <row r="1958">
      <c r="B1958" t="inlineStr">
        <is>
          <t>Pavilions</t>
        </is>
      </c>
      <c r="C1958" t="inlineStr">
        <is>
          <t>174</t>
        </is>
      </c>
      <c r="D1958" t="inlineStr">
        <is>
          <t>16</t>
        </is>
      </c>
      <c r="E1958" t="inlineStr">
        <is>
          <t>23</t>
        </is>
      </c>
      <c r="F1958" t="inlineStr">
        <is>
          <t>C</t>
        </is>
      </c>
      <c r="G1958" t="inlineStr">
        <is>
          <t>Good</t>
        </is>
      </c>
      <c r="H1958" t="n">
        <v>205</v>
      </c>
      <c r="I1958">
        <f>B1958&amp;"|"&amp;F1958&amp;"|"&amp;G1958</f>
        <v/>
      </c>
      <c r="J1958" t="inlineStr">
        <is>
          <t>MVS Sec.16 p.23</t>
        </is>
      </c>
    </row>
    <row r="1959">
      <c r="B1959" t="inlineStr">
        <is>
          <t>Pavilions</t>
        </is>
      </c>
      <c r="C1959" t="inlineStr">
        <is>
          <t>174</t>
        </is>
      </c>
      <c r="D1959" t="inlineStr">
        <is>
          <t>16</t>
        </is>
      </c>
      <c r="E1959" t="inlineStr">
        <is>
          <t>23</t>
        </is>
      </c>
      <c r="F1959" t="inlineStr">
        <is>
          <t>C</t>
        </is>
      </c>
      <c r="G1959" t="inlineStr">
        <is>
          <t>Average</t>
        </is>
      </c>
      <c r="H1959" t="n">
        <v>124</v>
      </c>
      <c r="I1959">
        <f>B1959&amp;"|"&amp;F1959&amp;"|"&amp;G1959</f>
        <v/>
      </c>
      <c r="J1959" t="inlineStr">
        <is>
          <t>MVS Sec.16 p.23</t>
        </is>
      </c>
    </row>
    <row r="1960">
      <c r="B1960" t="inlineStr">
        <is>
          <t>Pavilions</t>
        </is>
      </c>
      <c r="C1960" t="inlineStr">
        <is>
          <t>174</t>
        </is>
      </c>
      <c r="D1960" t="inlineStr">
        <is>
          <t>16</t>
        </is>
      </c>
      <c r="E1960" t="inlineStr">
        <is>
          <t>23</t>
        </is>
      </c>
      <c r="F1960" t="inlineStr">
        <is>
          <t>C</t>
        </is>
      </c>
      <c r="G1960" t="inlineStr">
        <is>
          <t>Fair</t>
        </is>
      </c>
      <c r="H1960" t="n">
        <v>96.5</v>
      </c>
      <c r="I1960">
        <f>B1960&amp;"|"&amp;F1960&amp;"|"&amp;G1960</f>
        <v/>
      </c>
      <c r="J1960" t="inlineStr">
        <is>
          <t>MVS Sec.16 p.23</t>
        </is>
      </c>
    </row>
    <row r="1961">
      <c r="B1961" t="inlineStr">
        <is>
          <t>Pavilions</t>
        </is>
      </c>
      <c r="C1961" t="inlineStr">
        <is>
          <t>174</t>
        </is>
      </c>
      <c r="D1961" t="inlineStr">
        <is>
          <t>16</t>
        </is>
      </c>
      <c r="E1961" t="inlineStr">
        <is>
          <t>23</t>
        </is>
      </c>
      <c r="F1961" t="inlineStr">
        <is>
          <t>C</t>
        </is>
      </c>
      <c r="G1961" t="inlineStr">
        <is>
          <t>Cheap</t>
        </is>
      </c>
      <c r="H1961" t="n">
        <v>58</v>
      </c>
      <c r="I1961">
        <f>B1961&amp;"|"&amp;F1961&amp;"|"&amp;G1961</f>
        <v/>
      </c>
      <c r="J1961" t="inlineStr">
        <is>
          <t>MVS Sec.16 p.23</t>
        </is>
      </c>
    </row>
    <row r="1962">
      <c r="B1962" t="inlineStr">
        <is>
          <t>Pavilions</t>
        </is>
      </c>
      <c r="C1962" t="inlineStr">
        <is>
          <t>174</t>
        </is>
      </c>
      <c r="D1962" t="inlineStr">
        <is>
          <t>16</t>
        </is>
      </c>
      <c r="E1962" t="inlineStr">
        <is>
          <t>23</t>
        </is>
      </c>
      <c r="F1962" t="inlineStr">
        <is>
          <t>D</t>
        </is>
      </c>
      <c r="G1962" t="inlineStr">
        <is>
          <t>Excellent</t>
        </is>
      </c>
      <c r="H1962" t="n">
        <v>329</v>
      </c>
      <c r="I1962">
        <f>B1962&amp;"|"&amp;F1962&amp;"|"&amp;G1962</f>
        <v/>
      </c>
      <c r="J1962" t="inlineStr">
        <is>
          <t>MVS Sec.16 p.23</t>
        </is>
      </c>
    </row>
    <row r="1963">
      <c r="B1963" t="inlineStr">
        <is>
          <t>Pavilions</t>
        </is>
      </c>
      <c r="C1963" t="inlineStr">
        <is>
          <t>174</t>
        </is>
      </c>
      <c r="D1963" t="inlineStr">
        <is>
          <t>16</t>
        </is>
      </c>
      <c r="E1963" t="inlineStr">
        <is>
          <t>23</t>
        </is>
      </c>
      <c r="F1963" t="inlineStr">
        <is>
          <t>D</t>
        </is>
      </c>
      <c r="G1963" t="inlineStr">
        <is>
          <t>Very Good</t>
        </is>
      </c>
      <c r="H1963" t="n">
        <v>254</v>
      </c>
      <c r="I1963">
        <f>B1963&amp;"|"&amp;F1963&amp;"|"&amp;G1963</f>
        <v/>
      </c>
      <c r="J1963" t="inlineStr">
        <is>
          <t>MVS Sec.16 p.23</t>
        </is>
      </c>
    </row>
    <row r="1964">
      <c r="B1964" t="inlineStr">
        <is>
          <t>Pavilions</t>
        </is>
      </c>
      <c r="C1964" t="inlineStr">
        <is>
          <t>174</t>
        </is>
      </c>
      <c r="D1964" t="inlineStr">
        <is>
          <t>16</t>
        </is>
      </c>
      <c r="E1964" t="inlineStr">
        <is>
          <t>23</t>
        </is>
      </c>
      <c r="F1964" t="inlineStr">
        <is>
          <t>D</t>
        </is>
      </c>
      <c r="G1964" t="inlineStr">
        <is>
          <t>Good</t>
        </is>
      </c>
      <c r="H1964" t="n">
        <v>195</v>
      </c>
      <c r="I1964">
        <f>B1964&amp;"|"&amp;F1964&amp;"|"&amp;G1964</f>
        <v/>
      </c>
      <c r="J1964" t="inlineStr">
        <is>
          <t>MVS Sec.16 p.23</t>
        </is>
      </c>
    </row>
    <row r="1965">
      <c r="B1965" t="inlineStr">
        <is>
          <t>Pavilions</t>
        </is>
      </c>
      <c r="C1965" t="inlineStr">
        <is>
          <t>174</t>
        </is>
      </c>
      <c r="D1965" t="inlineStr">
        <is>
          <t>16</t>
        </is>
      </c>
      <c r="E1965" t="inlineStr">
        <is>
          <t>23</t>
        </is>
      </c>
      <c r="F1965" t="inlineStr">
        <is>
          <t>D</t>
        </is>
      </c>
      <c r="G1965" t="inlineStr">
        <is>
          <t>Average</t>
        </is>
      </c>
      <c r="H1965" t="n">
        <v>116</v>
      </c>
      <c r="I1965">
        <f>B1965&amp;"|"&amp;F1965&amp;"|"&amp;G1965</f>
        <v/>
      </c>
      <c r="J1965" t="inlineStr">
        <is>
          <t>MVS Sec.16 p.23</t>
        </is>
      </c>
    </row>
    <row r="1966">
      <c r="B1966" t="inlineStr">
        <is>
          <t>Pavilions</t>
        </is>
      </c>
      <c r="C1966" t="inlineStr">
        <is>
          <t>174</t>
        </is>
      </c>
      <c r="D1966" t="inlineStr">
        <is>
          <t>16</t>
        </is>
      </c>
      <c r="E1966" t="inlineStr">
        <is>
          <t>23</t>
        </is>
      </c>
      <c r="F1966" t="inlineStr">
        <is>
          <t>D</t>
        </is>
      </c>
      <c r="G1966" t="inlineStr">
        <is>
          <t>Fair</t>
        </is>
      </c>
      <c r="H1966" t="n">
        <v>90</v>
      </c>
      <c r="I1966">
        <f>B1966&amp;"|"&amp;F1966&amp;"|"&amp;G1966</f>
        <v/>
      </c>
      <c r="J1966" t="inlineStr">
        <is>
          <t>MVS Sec.16 p.23</t>
        </is>
      </c>
    </row>
    <row r="1967">
      <c r="B1967" t="inlineStr">
        <is>
          <t>Pavilions</t>
        </is>
      </c>
      <c r="C1967" t="inlineStr">
        <is>
          <t>174</t>
        </is>
      </c>
      <c r="D1967" t="inlineStr">
        <is>
          <t>16</t>
        </is>
      </c>
      <c r="E1967" t="inlineStr">
        <is>
          <t>23</t>
        </is>
      </c>
      <c r="F1967" t="inlineStr">
        <is>
          <t>D</t>
        </is>
      </c>
      <c r="G1967" t="inlineStr">
        <is>
          <t>Cheap</t>
        </is>
      </c>
      <c r="H1967" t="n">
        <v>53.5</v>
      </c>
      <c r="I1967">
        <f>B1967&amp;"|"&amp;F1967&amp;"|"&amp;G1967</f>
        <v/>
      </c>
      <c r="J1967" t="inlineStr">
        <is>
          <t>MVS Sec.16 p.23</t>
        </is>
      </c>
    </row>
    <row r="1968">
      <c r="B1968" t="inlineStr">
        <is>
          <t>Pavilions</t>
        </is>
      </c>
      <c r="C1968" t="inlineStr">
        <is>
          <t>174</t>
        </is>
      </c>
      <c r="D1968" t="inlineStr">
        <is>
          <t>16</t>
        </is>
      </c>
      <c r="E1968" t="inlineStr">
        <is>
          <t>23</t>
        </is>
      </c>
      <c r="F1968" t="inlineStr">
        <is>
          <t>DPOLE</t>
        </is>
      </c>
      <c r="G1968" t="inlineStr">
        <is>
          <t>Fair</t>
        </is>
      </c>
      <c r="H1968" t="n">
        <v>83</v>
      </c>
      <c r="I1968">
        <f>B1968&amp;"|"&amp;F1968&amp;"|"&amp;G1968</f>
        <v/>
      </c>
      <c r="J1968" t="inlineStr">
        <is>
          <t>MVS Sec.16 p.23</t>
        </is>
      </c>
    </row>
    <row r="1969">
      <c r="B1969" t="inlineStr">
        <is>
          <t>Pavilions</t>
        </is>
      </c>
      <c r="C1969" t="inlineStr">
        <is>
          <t>174</t>
        </is>
      </c>
      <c r="D1969" t="inlineStr">
        <is>
          <t>16</t>
        </is>
      </c>
      <c r="E1969" t="inlineStr">
        <is>
          <t>23</t>
        </is>
      </c>
      <c r="F1969" t="inlineStr">
        <is>
          <t>S</t>
        </is>
      </c>
      <c r="G1969" t="inlineStr">
        <is>
          <t>Average</t>
        </is>
      </c>
      <c r="H1969" t="n">
        <v>114</v>
      </c>
      <c r="I1969">
        <f>B1969&amp;"|"&amp;F1969&amp;"|"&amp;G1969</f>
        <v/>
      </c>
      <c r="J1969" t="inlineStr">
        <is>
          <t>MVS Sec.16 p.23</t>
        </is>
      </c>
    </row>
    <row r="1970">
      <c r="B1970" t="inlineStr">
        <is>
          <t>Pavilions</t>
        </is>
      </c>
      <c r="C1970" t="inlineStr">
        <is>
          <t>174</t>
        </is>
      </c>
      <c r="D1970" t="inlineStr">
        <is>
          <t>16</t>
        </is>
      </c>
      <c r="E1970" t="inlineStr">
        <is>
          <t>23</t>
        </is>
      </c>
      <c r="F1970" t="inlineStr">
        <is>
          <t>S</t>
        </is>
      </c>
      <c r="G1970" t="inlineStr">
        <is>
          <t>Cheap</t>
        </is>
      </c>
      <c r="H1970" t="n">
        <v>53</v>
      </c>
      <c r="I1970">
        <f>B1970&amp;"|"&amp;F1970&amp;"|"&amp;G1970</f>
        <v/>
      </c>
      <c r="J1970" t="inlineStr">
        <is>
          <t>MVS Sec.16 p.23</t>
        </is>
      </c>
    </row>
    <row r="1971">
      <c r="B1971" t="inlineStr">
        <is>
          <t>Light Commercial – Commodity Warehouse</t>
        </is>
      </c>
      <c r="C1971" t="inlineStr">
        <is>
          <t>104</t>
        </is>
      </c>
      <c r="D1971" t="inlineStr">
        <is>
          <t>17</t>
        </is>
      </c>
      <c r="E1971" t="inlineStr">
        <is>
          <t>11</t>
        </is>
      </c>
      <c r="F1971" t="inlineStr">
        <is>
          <t>C</t>
        </is>
      </c>
      <c r="G1971" t="inlineStr">
        <is>
          <t>Good</t>
        </is>
      </c>
      <c r="H1971" t="n">
        <v>52.5</v>
      </c>
      <c r="I1971">
        <f>B1971&amp;"|"&amp;F1971&amp;"|"&amp;G1971</f>
        <v/>
      </c>
      <c r="J1971" t="inlineStr">
        <is>
          <t>MVS Sec.17 p.11</t>
        </is>
      </c>
    </row>
    <row r="1972">
      <c r="B1972" t="inlineStr">
        <is>
          <t>Light Commercial – Commodity Warehouse</t>
        </is>
      </c>
      <c r="C1972" t="inlineStr">
        <is>
          <t>104</t>
        </is>
      </c>
      <c r="D1972" t="inlineStr">
        <is>
          <t>17</t>
        </is>
      </c>
      <c r="E1972" t="inlineStr">
        <is>
          <t>11</t>
        </is>
      </c>
      <c r="F1972" t="inlineStr">
        <is>
          <t>C</t>
        </is>
      </c>
      <c r="G1972" t="inlineStr">
        <is>
          <t>Average</t>
        </is>
      </c>
      <c r="H1972" t="n">
        <v>39.5</v>
      </c>
      <c r="I1972">
        <f>B1972&amp;"|"&amp;F1972&amp;"|"&amp;G1972</f>
        <v/>
      </c>
      <c r="J1972" t="inlineStr">
        <is>
          <t>MVS Sec.17 p.11</t>
        </is>
      </c>
    </row>
    <row r="1973">
      <c r="B1973" t="inlineStr">
        <is>
          <t>Light Commercial – Commodity Warehouse</t>
        </is>
      </c>
      <c r="C1973" t="inlineStr">
        <is>
          <t>104</t>
        </is>
      </c>
      <c r="D1973" t="inlineStr">
        <is>
          <t>17</t>
        </is>
      </c>
      <c r="E1973" t="inlineStr">
        <is>
          <t>11</t>
        </is>
      </c>
      <c r="F1973" t="inlineStr">
        <is>
          <t>D</t>
        </is>
      </c>
      <c r="G1973" t="inlineStr">
        <is>
          <t>Good</t>
        </is>
      </c>
      <c r="H1973" t="n">
        <v>43.25</v>
      </c>
      <c r="I1973">
        <f>B1973&amp;"|"&amp;F1973&amp;"|"&amp;G1973</f>
        <v/>
      </c>
      <c r="J1973" t="inlineStr">
        <is>
          <t>MVS Sec.17 p.11</t>
        </is>
      </c>
    </row>
    <row r="1974">
      <c r="B1974" t="inlineStr">
        <is>
          <t>Light Commercial – Commodity Warehouse</t>
        </is>
      </c>
      <c r="C1974" t="inlineStr">
        <is>
          <t>104</t>
        </is>
      </c>
      <c r="D1974" t="inlineStr">
        <is>
          <t>17</t>
        </is>
      </c>
      <c r="E1974" t="inlineStr">
        <is>
          <t>11</t>
        </is>
      </c>
      <c r="F1974" t="inlineStr">
        <is>
          <t>D</t>
        </is>
      </c>
      <c r="G1974" t="inlineStr">
        <is>
          <t>Average</t>
        </is>
      </c>
      <c r="H1974" t="n">
        <v>31</v>
      </c>
      <c r="I1974">
        <f>B1974&amp;"|"&amp;F1974&amp;"|"&amp;G1974</f>
        <v/>
      </c>
      <c r="J1974" t="inlineStr">
        <is>
          <t>MVS Sec.17 p.11</t>
        </is>
      </c>
    </row>
    <row r="1975">
      <c r="B1975" t="inlineStr">
        <is>
          <t>Light Commercial – Commodity Warehouse</t>
        </is>
      </c>
      <c r="C1975" t="inlineStr">
        <is>
          <t>104</t>
        </is>
      </c>
      <c r="D1975" t="inlineStr">
        <is>
          <t>17</t>
        </is>
      </c>
      <c r="E1975" t="inlineStr">
        <is>
          <t>11</t>
        </is>
      </c>
      <c r="F1975" t="inlineStr">
        <is>
          <t>D</t>
        </is>
      </c>
      <c r="G1975" t="inlineStr">
        <is>
          <t>Low Cost</t>
        </is>
      </c>
      <c r="H1975" t="n">
        <v>20.35</v>
      </c>
      <c r="I1975">
        <f>B1975&amp;"|"&amp;F1975&amp;"|"&amp;G1975</f>
        <v/>
      </c>
      <c r="J1975" t="inlineStr">
        <is>
          <t>MVS Sec.17 p.11</t>
        </is>
      </c>
    </row>
    <row r="1976">
      <c r="B1976" t="inlineStr">
        <is>
          <t>Light Commercial – Commodity Warehouse</t>
        </is>
      </c>
      <c r="C1976" t="inlineStr">
        <is>
          <t>104</t>
        </is>
      </c>
      <c r="D1976" t="inlineStr">
        <is>
          <t>17</t>
        </is>
      </c>
      <c r="E1976" t="inlineStr">
        <is>
          <t>11</t>
        </is>
      </c>
      <c r="F1976" t="inlineStr">
        <is>
          <t>DPOLE</t>
        </is>
      </c>
      <c r="G1976" t="inlineStr">
        <is>
          <t>Good</t>
        </is>
      </c>
      <c r="H1976" t="n">
        <v>37.5</v>
      </c>
      <c r="I1976">
        <f>B1976&amp;"|"&amp;F1976&amp;"|"&amp;G1976</f>
        <v/>
      </c>
      <c r="J1976" t="inlineStr">
        <is>
          <t>MVS Sec.17 p.11</t>
        </is>
      </c>
    </row>
    <row r="1977">
      <c r="B1977" t="inlineStr">
        <is>
          <t>Light Commercial – Commodity Warehouse</t>
        </is>
      </c>
      <c r="C1977" t="inlineStr">
        <is>
          <t>104</t>
        </is>
      </c>
      <c r="D1977" t="inlineStr">
        <is>
          <t>17</t>
        </is>
      </c>
      <c r="E1977" t="inlineStr">
        <is>
          <t>11</t>
        </is>
      </c>
      <c r="F1977" t="inlineStr">
        <is>
          <t>DPOLE</t>
        </is>
      </c>
      <c r="G1977" t="inlineStr">
        <is>
          <t>Average</t>
        </is>
      </c>
      <c r="H1977" t="n">
        <v>27</v>
      </c>
      <c r="I1977">
        <f>B1977&amp;"|"&amp;F1977&amp;"|"&amp;G1977</f>
        <v/>
      </c>
      <c r="J1977" t="inlineStr">
        <is>
          <t>MVS Sec.17 p.11</t>
        </is>
      </c>
    </row>
    <row r="1978">
      <c r="B1978" t="inlineStr">
        <is>
          <t>Light Commercial – Commodity Warehouse</t>
        </is>
      </c>
      <c r="C1978" t="inlineStr">
        <is>
          <t>104</t>
        </is>
      </c>
      <c r="D1978" t="inlineStr">
        <is>
          <t>17</t>
        </is>
      </c>
      <c r="E1978" t="inlineStr">
        <is>
          <t>11</t>
        </is>
      </c>
      <c r="F1978" t="inlineStr">
        <is>
          <t>DPOLE</t>
        </is>
      </c>
      <c r="G1978" t="inlineStr">
        <is>
          <t>Low Cost</t>
        </is>
      </c>
      <c r="H1978" t="n">
        <v>17.55</v>
      </c>
      <c r="I1978">
        <f>B1978&amp;"|"&amp;F1978&amp;"|"&amp;G1978</f>
        <v/>
      </c>
      <c r="J1978" t="inlineStr">
        <is>
          <t>MVS Sec.17 p.11</t>
        </is>
      </c>
    </row>
    <row r="1979">
      <c r="B1979" t="inlineStr">
        <is>
          <t>Light Commercial – Commodity Warehouse</t>
        </is>
      </c>
      <c r="C1979" t="inlineStr">
        <is>
          <t>104</t>
        </is>
      </c>
      <c r="D1979" t="inlineStr">
        <is>
          <t>17</t>
        </is>
      </c>
      <c r="E1979" t="inlineStr">
        <is>
          <t>11</t>
        </is>
      </c>
      <c r="F1979" t="inlineStr">
        <is>
          <t>S</t>
        </is>
      </c>
      <c r="G1979" t="inlineStr">
        <is>
          <t>Good</t>
        </is>
      </c>
      <c r="H1979" t="n">
        <v>41.75</v>
      </c>
      <c r="I1979">
        <f>B1979&amp;"|"&amp;F1979&amp;"|"&amp;G1979</f>
        <v/>
      </c>
      <c r="J1979" t="inlineStr">
        <is>
          <t>MVS Sec.17 p.11</t>
        </is>
      </c>
    </row>
    <row r="1980">
      <c r="B1980" t="inlineStr">
        <is>
          <t>Light Commercial – Commodity Warehouse</t>
        </is>
      </c>
      <c r="C1980" t="inlineStr">
        <is>
          <t>104</t>
        </is>
      </c>
      <c r="D1980" t="inlineStr">
        <is>
          <t>17</t>
        </is>
      </c>
      <c r="E1980" t="inlineStr">
        <is>
          <t>11</t>
        </is>
      </c>
      <c r="F1980" t="inlineStr">
        <is>
          <t>S</t>
        </is>
      </c>
      <c r="G1980" t="inlineStr">
        <is>
          <t>Average</t>
        </is>
      </c>
      <c r="H1980" t="n">
        <v>30.5</v>
      </c>
      <c r="I1980">
        <f>B1980&amp;"|"&amp;F1980&amp;"|"&amp;G1980</f>
        <v/>
      </c>
      <c r="J1980" t="inlineStr">
        <is>
          <t>MVS Sec.17 p.11</t>
        </is>
      </c>
    </row>
    <row r="1981">
      <c r="B1981" t="inlineStr">
        <is>
          <t>Light Commercial – Commodity Warehouse</t>
        </is>
      </c>
      <c r="C1981" t="inlineStr">
        <is>
          <t>104</t>
        </is>
      </c>
      <c r="D1981" t="inlineStr">
        <is>
          <t>17</t>
        </is>
      </c>
      <c r="E1981" t="inlineStr">
        <is>
          <t>11</t>
        </is>
      </c>
      <c r="F1981" t="inlineStr">
        <is>
          <t>S</t>
        </is>
      </c>
      <c r="G1981" t="inlineStr">
        <is>
          <t>Low Cost</t>
        </is>
      </c>
      <c r="H1981" t="n">
        <v>20.35</v>
      </c>
      <c r="I1981">
        <f>B1981&amp;"|"&amp;F1981&amp;"|"&amp;G1981</f>
        <v/>
      </c>
      <c r="J1981" t="inlineStr">
        <is>
          <t>MVS Sec.17 p.11</t>
        </is>
      </c>
    </row>
    <row r="1982">
      <c r="B1982" t="inlineStr">
        <is>
          <t>Light Commercial – Commodity Warehouse</t>
        </is>
      </c>
      <c r="C1982" t="inlineStr">
        <is>
          <t>104</t>
        </is>
      </c>
      <c r="D1982" t="inlineStr">
        <is>
          <t>17</t>
        </is>
      </c>
      <c r="E1982" t="inlineStr">
        <is>
          <t>11</t>
        </is>
      </c>
      <c r="F1982" t="inlineStr">
        <is>
          <t>SSLANT</t>
        </is>
      </c>
      <c r="G1982" t="inlineStr">
        <is>
          <t>Good</t>
        </is>
      </c>
      <c r="H1982" t="n">
        <v>38.5</v>
      </c>
      <c r="I1982">
        <f>B1982&amp;"|"&amp;F1982&amp;"|"&amp;G1982</f>
        <v/>
      </c>
      <c r="J1982" t="inlineStr">
        <is>
          <t>MVS Sec.17 p.11</t>
        </is>
      </c>
    </row>
    <row r="1983">
      <c r="B1983" t="inlineStr">
        <is>
          <t>Light Commercial – Commodity Warehouse</t>
        </is>
      </c>
      <c r="C1983" t="inlineStr">
        <is>
          <t>104</t>
        </is>
      </c>
      <c r="D1983" t="inlineStr">
        <is>
          <t>17</t>
        </is>
      </c>
      <c r="E1983" t="inlineStr">
        <is>
          <t>11</t>
        </is>
      </c>
      <c r="F1983" t="inlineStr">
        <is>
          <t>SSLANT</t>
        </is>
      </c>
      <c r="G1983" t="inlineStr">
        <is>
          <t>Average</t>
        </is>
      </c>
      <c r="H1983" t="n">
        <v>28.25</v>
      </c>
      <c r="I1983">
        <f>B1983&amp;"|"&amp;F1983&amp;"|"&amp;G1983</f>
        <v/>
      </c>
      <c r="J1983" t="inlineStr">
        <is>
          <t>MVS Sec.17 p.11</t>
        </is>
      </c>
    </row>
    <row r="1984">
      <c r="B1984" t="inlineStr">
        <is>
          <t>Light Commercial – Commodity Warehouse</t>
        </is>
      </c>
      <c r="C1984" t="inlineStr">
        <is>
          <t>104</t>
        </is>
      </c>
      <c r="D1984" t="inlineStr">
        <is>
          <t>17</t>
        </is>
      </c>
      <c r="E1984" t="inlineStr">
        <is>
          <t>11</t>
        </is>
      </c>
      <c r="F1984" t="inlineStr">
        <is>
          <t>SSLANT</t>
        </is>
      </c>
      <c r="G1984" t="inlineStr">
        <is>
          <t>Low Cost</t>
        </is>
      </c>
      <c r="H1984" t="n">
        <v>18.8</v>
      </c>
      <c r="I1984">
        <f>B1984&amp;"|"&amp;F1984&amp;"|"&amp;G1984</f>
        <v/>
      </c>
      <c r="J1984" t="inlineStr">
        <is>
          <t>MVS Sec.17 p.11</t>
        </is>
      </c>
    </row>
    <row r="1985">
      <c r="B1985" t="inlineStr">
        <is>
          <t>Light Commercial – Manufacturing Utility Buildings</t>
        </is>
      </c>
      <c r="C1985" t="inlineStr">
        <is>
          <t>186</t>
        </is>
      </c>
      <c r="D1985" t="inlineStr">
        <is>
          <t>17</t>
        </is>
      </c>
      <c r="E1985" t="inlineStr">
        <is>
          <t>11</t>
        </is>
      </c>
      <c r="F1985" t="inlineStr">
        <is>
          <t>DPOLE</t>
        </is>
      </c>
      <c r="G1985" t="inlineStr">
        <is>
          <t>Good</t>
        </is>
      </c>
      <c r="H1985" t="n">
        <v>43.25</v>
      </c>
      <c r="I1985">
        <f>B1985&amp;"|"&amp;F1985&amp;"|"&amp;G1985</f>
        <v/>
      </c>
      <c r="J1985" t="inlineStr">
        <is>
          <t>MVS Sec.17 p.11</t>
        </is>
      </c>
    </row>
    <row r="1986">
      <c r="B1986" t="inlineStr">
        <is>
          <t>Light Commercial – Manufacturing Utility Buildings</t>
        </is>
      </c>
      <c r="C1986" t="inlineStr">
        <is>
          <t>186</t>
        </is>
      </c>
      <c r="D1986" t="inlineStr">
        <is>
          <t>17</t>
        </is>
      </c>
      <c r="E1986" t="inlineStr">
        <is>
          <t>11</t>
        </is>
      </c>
      <c r="F1986" t="inlineStr">
        <is>
          <t>DPOLE</t>
        </is>
      </c>
      <c r="G1986" t="inlineStr">
        <is>
          <t>Average</t>
        </is>
      </c>
      <c r="H1986" t="n">
        <v>33.25</v>
      </c>
      <c r="I1986">
        <f>B1986&amp;"|"&amp;F1986&amp;"|"&amp;G1986</f>
        <v/>
      </c>
      <c r="J1986" t="inlineStr">
        <is>
          <t>MVS Sec.17 p.11</t>
        </is>
      </c>
    </row>
    <row r="1987">
      <c r="B1987" t="inlineStr">
        <is>
          <t>Light Commercial – Manufacturing Utility Buildings</t>
        </is>
      </c>
      <c r="C1987" t="inlineStr">
        <is>
          <t>186</t>
        </is>
      </c>
      <c r="D1987" t="inlineStr">
        <is>
          <t>17</t>
        </is>
      </c>
      <c r="E1987" t="inlineStr">
        <is>
          <t>11</t>
        </is>
      </c>
      <c r="F1987" t="inlineStr">
        <is>
          <t>DPOLE</t>
        </is>
      </c>
      <c r="G1987" t="inlineStr">
        <is>
          <t>Low Cost</t>
        </is>
      </c>
      <c r="H1987" t="n">
        <v>25.75</v>
      </c>
      <c r="I1987">
        <f>B1987&amp;"|"&amp;F1987&amp;"|"&amp;G1987</f>
        <v/>
      </c>
      <c r="J1987" t="inlineStr">
        <is>
          <t>MVS Sec.17 p.11</t>
        </is>
      </c>
    </row>
    <row r="1988">
      <c r="B1988" t="inlineStr">
        <is>
          <t>Light Commercial – Manufacturing Utility Buildings</t>
        </is>
      </c>
      <c r="C1988" t="inlineStr">
        <is>
          <t>186</t>
        </is>
      </c>
      <c r="D1988" t="inlineStr">
        <is>
          <t>17</t>
        </is>
      </c>
      <c r="E1988" t="inlineStr">
        <is>
          <t>11</t>
        </is>
      </c>
      <c r="F1988" t="inlineStr">
        <is>
          <t>S</t>
        </is>
      </c>
      <c r="G1988" t="inlineStr">
        <is>
          <t>Good</t>
        </is>
      </c>
      <c r="H1988" t="n">
        <v>47.75</v>
      </c>
      <c r="I1988">
        <f>B1988&amp;"|"&amp;F1988&amp;"|"&amp;G1988</f>
        <v/>
      </c>
      <c r="J1988" t="inlineStr">
        <is>
          <t>MVS Sec.17 p.11</t>
        </is>
      </c>
    </row>
    <row r="1989">
      <c r="B1989" t="inlineStr">
        <is>
          <t>Light Commercial – Manufacturing Utility Buildings</t>
        </is>
      </c>
      <c r="C1989" t="inlineStr">
        <is>
          <t>186</t>
        </is>
      </c>
      <c r="D1989" t="inlineStr">
        <is>
          <t>17</t>
        </is>
      </c>
      <c r="E1989" t="inlineStr">
        <is>
          <t>11</t>
        </is>
      </c>
      <c r="F1989" t="inlineStr">
        <is>
          <t>S</t>
        </is>
      </c>
      <c r="G1989" t="inlineStr">
        <is>
          <t>Average</t>
        </is>
      </c>
      <c r="H1989" t="n">
        <v>37</v>
      </c>
      <c r="I1989">
        <f>B1989&amp;"|"&amp;F1989&amp;"|"&amp;G1989</f>
        <v/>
      </c>
      <c r="J1989" t="inlineStr">
        <is>
          <t>MVS Sec.17 p.11</t>
        </is>
      </c>
    </row>
    <row r="1990">
      <c r="B1990" t="inlineStr">
        <is>
          <t>Light Commercial – Manufacturing Utility Buildings</t>
        </is>
      </c>
      <c r="C1990" t="inlineStr">
        <is>
          <t>186</t>
        </is>
      </c>
      <c r="D1990" t="inlineStr">
        <is>
          <t>17</t>
        </is>
      </c>
      <c r="E1990" t="inlineStr">
        <is>
          <t>11</t>
        </is>
      </c>
      <c r="F1990" t="inlineStr">
        <is>
          <t>S</t>
        </is>
      </c>
      <c r="G1990" t="inlineStr">
        <is>
          <t>Low Cost</t>
        </is>
      </c>
      <c r="H1990" t="n">
        <v>29</v>
      </c>
      <c r="I1990">
        <f>B1990&amp;"|"&amp;F1990&amp;"|"&amp;G1990</f>
        <v/>
      </c>
      <c r="J1990" t="inlineStr">
        <is>
          <t>MVS Sec.17 p.11</t>
        </is>
      </c>
    </row>
    <row r="1991">
      <c r="B1991" t="inlineStr">
        <is>
          <t>Material – Commodity Shelters</t>
        </is>
      </c>
      <c r="C1991" t="inlineStr">
        <is>
          <t>473</t>
        </is>
      </c>
      <c r="D1991" t="inlineStr">
        <is>
          <t>17</t>
        </is>
      </c>
      <c r="E1991" t="inlineStr">
        <is>
          <t>11</t>
        </is>
      </c>
      <c r="F1991" t="inlineStr">
        <is>
          <t>D</t>
        </is>
      </c>
      <c r="G1991" t="inlineStr">
        <is>
          <t>Good</t>
        </is>
      </c>
      <c r="H1991" t="n">
        <v>18.52</v>
      </c>
      <c r="I1991">
        <f>B1991&amp;"|"&amp;F1991&amp;"|"&amp;G1991</f>
        <v/>
      </c>
      <c r="J1991" t="inlineStr">
        <is>
          <t>MVS Sec.17 p.11 (midpoint of 15.45-21.6 range)</t>
        </is>
      </c>
    </row>
    <row r="1992">
      <c r="B1992" t="inlineStr">
        <is>
          <t>Material – Commodity Shelters</t>
        </is>
      </c>
      <c r="C1992" t="inlineStr">
        <is>
          <t>473</t>
        </is>
      </c>
      <c r="D1992" t="inlineStr">
        <is>
          <t>17</t>
        </is>
      </c>
      <c r="E1992" t="inlineStr">
        <is>
          <t>11</t>
        </is>
      </c>
      <c r="F1992" t="inlineStr">
        <is>
          <t>D</t>
        </is>
      </c>
      <c r="G1992" t="inlineStr">
        <is>
          <t>Low Cost</t>
        </is>
      </c>
      <c r="H1992" t="n">
        <v>9.31</v>
      </c>
      <c r="I1992">
        <f>B1992&amp;"|"&amp;F1992&amp;"|"&amp;G1992</f>
        <v/>
      </c>
      <c r="J1992" t="inlineStr">
        <is>
          <t>MVS Sec.17 p.11 (midpoint of 7.77-10.85 range)</t>
        </is>
      </c>
    </row>
    <row r="1993">
      <c r="B1993" t="inlineStr">
        <is>
          <t>Material – Commodity Shelters</t>
        </is>
      </c>
      <c r="C1993" t="inlineStr">
        <is>
          <t>473</t>
        </is>
      </c>
      <c r="D1993" t="inlineStr">
        <is>
          <t>17</t>
        </is>
      </c>
      <c r="E1993" t="inlineStr">
        <is>
          <t>11</t>
        </is>
      </c>
      <c r="F1993" t="inlineStr">
        <is>
          <t>S</t>
        </is>
      </c>
      <c r="G1993" t="inlineStr">
        <is>
          <t>Very Good</t>
        </is>
      </c>
      <c r="H1993" t="n">
        <v>23.4</v>
      </c>
      <c r="I1993">
        <f>B1993&amp;"|"&amp;F1993&amp;"|"&amp;G1993</f>
        <v/>
      </c>
      <c r="J1993" t="inlineStr">
        <is>
          <t>MVS Sec.17 p.11 (midpoint of 19.55-27.25 range)</t>
        </is>
      </c>
    </row>
    <row r="1994">
      <c r="B1994" t="inlineStr">
        <is>
          <t>Material – Commodity Shelters</t>
        </is>
      </c>
      <c r="C1994" t="inlineStr">
        <is>
          <t>473</t>
        </is>
      </c>
      <c r="D1994" t="inlineStr">
        <is>
          <t>17</t>
        </is>
      </c>
      <c r="E1994" t="inlineStr">
        <is>
          <t>11</t>
        </is>
      </c>
      <c r="F1994" t="inlineStr">
        <is>
          <t>S</t>
        </is>
      </c>
      <c r="G1994" t="inlineStr">
        <is>
          <t>Good</t>
        </is>
      </c>
      <c r="H1994" t="n">
        <v>19.73</v>
      </c>
      <c r="I1994">
        <f>B1994&amp;"|"&amp;F1994&amp;"|"&amp;G1994</f>
        <v/>
      </c>
      <c r="J1994" t="inlineStr">
        <is>
          <t>MVS Sec.17 p.11 (midpoint of 16.45-23.0 range)</t>
        </is>
      </c>
    </row>
    <row r="1995">
      <c r="B1995" t="inlineStr">
        <is>
          <t>Material – Commodity Shelters</t>
        </is>
      </c>
      <c r="C1995" t="inlineStr">
        <is>
          <t>473</t>
        </is>
      </c>
      <c r="D1995" t="inlineStr">
        <is>
          <t>17</t>
        </is>
      </c>
      <c r="E1995" t="inlineStr">
        <is>
          <t>11</t>
        </is>
      </c>
      <c r="F1995" t="inlineStr">
        <is>
          <t>S</t>
        </is>
      </c>
      <c r="G1995" t="inlineStr">
        <is>
          <t>Average</t>
        </is>
      </c>
      <c r="H1995" t="n">
        <v>13.98</v>
      </c>
      <c r="I1995">
        <f>B1995&amp;"|"&amp;F1995&amp;"|"&amp;G1995</f>
        <v/>
      </c>
      <c r="J1995" t="inlineStr">
        <is>
          <t>MVS Sec.17 p.11 (midpoint of 11.65-16.3 range)</t>
        </is>
      </c>
    </row>
    <row r="1996">
      <c r="B1996" t="inlineStr">
        <is>
          <t>Material – Commodity Shelters</t>
        </is>
      </c>
      <c r="C1996" t="inlineStr">
        <is>
          <t>473</t>
        </is>
      </c>
      <c r="D1996" t="inlineStr">
        <is>
          <t>17</t>
        </is>
      </c>
      <c r="E1996" t="inlineStr">
        <is>
          <t>11</t>
        </is>
      </c>
      <c r="F1996" t="inlineStr">
        <is>
          <t>S</t>
        </is>
      </c>
      <c r="G1996" t="inlineStr">
        <is>
          <t>Low Cost</t>
        </is>
      </c>
      <c r="H1996" t="n">
        <v>9.91</v>
      </c>
      <c r="I1996">
        <f>B1996&amp;"|"&amp;F1996&amp;"|"&amp;G1996</f>
        <v/>
      </c>
      <c r="J1996" t="inlineStr">
        <is>
          <t>MVS Sec.17 p.11 (midpoint of 8.27-11.55 range)</t>
        </is>
      </c>
    </row>
    <row r="1997">
      <c r="B1997" t="inlineStr">
        <is>
          <t>Light Commercial Utility Buildings</t>
        </is>
      </c>
      <c r="C1997" t="inlineStr">
        <is>
          <t>471</t>
        </is>
      </c>
      <c r="D1997" t="inlineStr">
        <is>
          <t>17</t>
        </is>
      </c>
      <c r="E1997" t="inlineStr">
        <is>
          <t>12</t>
        </is>
      </c>
      <c r="F1997" t="inlineStr">
        <is>
          <t>C</t>
        </is>
      </c>
      <c r="G1997" t="inlineStr">
        <is>
          <t>Good</t>
        </is>
      </c>
      <c r="H1997" t="n">
        <v>51</v>
      </c>
      <c r="I1997">
        <f>B1997&amp;"|"&amp;F1997&amp;"|"&amp;G1997</f>
        <v/>
      </c>
      <c r="J1997" t="inlineStr">
        <is>
          <t>MVS Sec.17 p.12</t>
        </is>
      </c>
    </row>
    <row r="1998">
      <c r="B1998" t="inlineStr">
        <is>
          <t>Light Commercial Utility Buildings</t>
        </is>
      </c>
      <c r="C1998" t="inlineStr">
        <is>
          <t>471</t>
        </is>
      </c>
      <c r="D1998" t="inlineStr">
        <is>
          <t>17</t>
        </is>
      </c>
      <c r="E1998" t="inlineStr">
        <is>
          <t>12</t>
        </is>
      </c>
      <c r="F1998" t="inlineStr">
        <is>
          <t>C</t>
        </is>
      </c>
      <c r="G1998" t="inlineStr">
        <is>
          <t>Average</t>
        </is>
      </c>
      <c r="H1998" t="n">
        <v>36.5</v>
      </c>
      <c r="I1998">
        <f>B1998&amp;"|"&amp;F1998&amp;"|"&amp;G1998</f>
        <v/>
      </c>
      <c r="J1998" t="inlineStr">
        <is>
          <t>MVS Sec.17 p.12</t>
        </is>
      </c>
    </row>
    <row r="1999">
      <c r="B1999" t="inlineStr">
        <is>
          <t>Light Commercial Utility Buildings</t>
        </is>
      </c>
      <c r="C1999" t="inlineStr">
        <is>
          <t>471</t>
        </is>
      </c>
      <c r="D1999" t="inlineStr">
        <is>
          <t>17</t>
        </is>
      </c>
      <c r="E1999" t="inlineStr">
        <is>
          <t>12</t>
        </is>
      </c>
      <c r="F1999" t="inlineStr">
        <is>
          <t>D</t>
        </is>
      </c>
      <c r="G1999" t="inlineStr">
        <is>
          <t>Good</t>
        </is>
      </c>
      <c r="H1999" t="n">
        <v>42</v>
      </c>
      <c r="I1999">
        <f>B1999&amp;"|"&amp;F1999&amp;"|"&amp;G1999</f>
        <v/>
      </c>
      <c r="J1999" t="inlineStr">
        <is>
          <t>MVS Sec.17 p.12</t>
        </is>
      </c>
    </row>
    <row r="2000">
      <c r="B2000" t="inlineStr">
        <is>
          <t>Light Commercial Utility Buildings</t>
        </is>
      </c>
      <c r="C2000" t="inlineStr">
        <is>
          <t>471</t>
        </is>
      </c>
      <c r="D2000" t="inlineStr">
        <is>
          <t>17</t>
        </is>
      </c>
      <c r="E2000" t="inlineStr">
        <is>
          <t>12</t>
        </is>
      </c>
      <c r="F2000" t="inlineStr">
        <is>
          <t>D</t>
        </is>
      </c>
      <c r="G2000" t="inlineStr">
        <is>
          <t>Average</t>
        </is>
      </c>
      <c r="H2000" t="n">
        <v>28</v>
      </c>
      <c r="I2000">
        <f>B2000&amp;"|"&amp;F2000&amp;"|"&amp;G2000</f>
        <v/>
      </c>
      <c r="J2000" t="inlineStr">
        <is>
          <t>MVS Sec.17 p.12</t>
        </is>
      </c>
    </row>
    <row r="2001">
      <c r="B2001" t="inlineStr">
        <is>
          <t>Light Commercial Utility Buildings</t>
        </is>
      </c>
      <c r="C2001" t="inlineStr">
        <is>
          <t>471</t>
        </is>
      </c>
      <c r="D2001" t="inlineStr">
        <is>
          <t>17</t>
        </is>
      </c>
      <c r="E2001" t="inlineStr">
        <is>
          <t>12</t>
        </is>
      </c>
      <c r="F2001" t="inlineStr">
        <is>
          <t>D</t>
        </is>
      </c>
      <c r="G2001" t="inlineStr">
        <is>
          <t>Low Cost</t>
        </is>
      </c>
      <c r="H2001" t="n">
        <v>19.9</v>
      </c>
      <c r="I2001">
        <f>B2001&amp;"|"&amp;F2001&amp;"|"&amp;G2001</f>
        <v/>
      </c>
      <c r="J2001" t="inlineStr">
        <is>
          <t>MVS Sec.17 p.12</t>
        </is>
      </c>
    </row>
    <row r="2002">
      <c r="B2002" t="inlineStr">
        <is>
          <t>Light Commercial Utility Buildings</t>
        </is>
      </c>
      <c r="C2002" t="inlineStr">
        <is>
          <t>471</t>
        </is>
      </c>
      <c r="D2002" t="inlineStr">
        <is>
          <t>17</t>
        </is>
      </c>
      <c r="E2002" t="inlineStr">
        <is>
          <t>12</t>
        </is>
      </c>
      <c r="F2002" t="inlineStr">
        <is>
          <t>DPOLE</t>
        </is>
      </c>
      <c r="G2002" t="inlineStr">
        <is>
          <t>Good</t>
        </is>
      </c>
      <c r="H2002" t="n">
        <v>36.5</v>
      </c>
      <c r="I2002">
        <f>B2002&amp;"|"&amp;F2002&amp;"|"&amp;G2002</f>
        <v/>
      </c>
      <c r="J2002" t="inlineStr">
        <is>
          <t>MVS Sec.17 p.12</t>
        </is>
      </c>
    </row>
    <row r="2003">
      <c r="B2003" t="inlineStr">
        <is>
          <t>Light Commercial Utility Buildings</t>
        </is>
      </c>
      <c r="C2003" t="inlineStr">
        <is>
          <t>471</t>
        </is>
      </c>
      <c r="D2003" t="inlineStr">
        <is>
          <t>17</t>
        </is>
      </c>
      <c r="E2003" t="inlineStr">
        <is>
          <t>12</t>
        </is>
      </c>
      <c r="F2003" t="inlineStr">
        <is>
          <t>DPOLE</t>
        </is>
      </c>
      <c r="G2003" t="inlineStr">
        <is>
          <t>Average</t>
        </is>
      </c>
      <c r="H2003" t="n">
        <v>24.25</v>
      </c>
      <c r="I2003">
        <f>B2003&amp;"|"&amp;F2003&amp;"|"&amp;G2003</f>
        <v/>
      </c>
      <c r="J2003" t="inlineStr">
        <is>
          <t>MVS Sec.17 p.12</t>
        </is>
      </c>
    </row>
    <row r="2004">
      <c r="B2004" t="inlineStr">
        <is>
          <t>Light Commercial Utility Buildings</t>
        </is>
      </c>
      <c r="C2004" t="inlineStr">
        <is>
          <t>471</t>
        </is>
      </c>
      <c r="D2004" t="inlineStr">
        <is>
          <t>17</t>
        </is>
      </c>
      <c r="E2004" t="inlineStr">
        <is>
          <t>12</t>
        </is>
      </c>
      <c r="F2004" t="inlineStr">
        <is>
          <t>DPOLE</t>
        </is>
      </c>
      <c r="G2004" t="inlineStr">
        <is>
          <t>Low Cost</t>
        </is>
      </c>
      <c r="H2004" t="n">
        <v>17.15</v>
      </c>
      <c r="I2004">
        <f>B2004&amp;"|"&amp;F2004&amp;"|"&amp;G2004</f>
        <v/>
      </c>
      <c r="J2004" t="inlineStr">
        <is>
          <t>MVS Sec.17 p.12</t>
        </is>
      </c>
    </row>
    <row r="2005">
      <c r="B2005" t="inlineStr">
        <is>
          <t>Light Commercial Utility Buildings</t>
        </is>
      </c>
      <c r="C2005" t="inlineStr">
        <is>
          <t>471</t>
        </is>
      </c>
      <c r="D2005" t="inlineStr">
        <is>
          <t>17</t>
        </is>
      </c>
      <c r="E2005" t="inlineStr">
        <is>
          <t>12</t>
        </is>
      </c>
      <c r="F2005" t="inlineStr">
        <is>
          <t>S</t>
        </is>
      </c>
      <c r="G2005" t="inlineStr">
        <is>
          <t>Good</t>
        </is>
      </c>
      <c r="H2005" t="n">
        <v>40.5</v>
      </c>
      <c r="I2005">
        <f>B2005&amp;"|"&amp;F2005&amp;"|"&amp;G2005</f>
        <v/>
      </c>
      <c r="J2005" t="inlineStr">
        <is>
          <t>MVS Sec.17 p.12</t>
        </is>
      </c>
    </row>
    <row r="2006">
      <c r="B2006" t="inlineStr">
        <is>
          <t>Light Commercial Utility Buildings</t>
        </is>
      </c>
      <c r="C2006" t="inlineStr">
        <is>
          <t>471</t>
        </is>
      </c>
      <c r="D2006" t="inlineStr">
        <is>
          <t>17</t>
        </is>
      </c>
      <c r="E2006" t="inlineStr">
        <is>
          <t>12</t>
        </is>
      </c>
      <c r="F2006" t="inlineStr">
        <is>
          <t>S</t>
        </is>
      </c>
      <c r="G2006" t="inlineStr">
        <is>
          <t>Average</t>
        </is>
      </c>
      <c r="H2006" t="n">
        <v>27.5</v>
      </c>
      <c r="I2006">
        <f>B2006&amp;"|"&amp;F2006&amp;"|"&amp;G2006</f>
        <v/>
      </c>
      <c r="J2006" t="inlineStr">
        <is>
          <t>MVS Sec.17 p.12</t>
        </is>
      </c>
    </row>
    <row r="2007">
      <c r="B2007" t="inlineStr">
        <is>
          <t>Light Commercial Utility Buildings</t>
        </is>
      </c>
      <c r="C2007" t="inlineStr">
        <is>
          <t>471</t>
        </is>
      </c>
      <c r="D2007" t="inlineStr">
        <is>
          <t>17</t>
        </is>
      </c>
      <c r="E2007" t="inlineStr">
        <is>
          <t>12</t>
        </is>
      </c>
      <c r="F2007" t="inlineStr">
        <is>
          <t>S</t>
        </is>
      </c>
      <c r="G2007" t="inlineStr">
        <is>
          <t>Low Cost</t>
        </is>
      </c>
      <c r="H2007" t="n">
        <v>19.9</v>
      </c>
      <c r="I2007">
        <f>B2007&amp;"|"&amp;F2007&amp;"|"&amp;G2007</f>
        <v/>
      </c>
      <c r="J2007" t="inlineStr">
        <is>
          <t>MVS Sec.17 p.12</t>
        </is>
      </c>
    </row>
    <row r="2008">
      <c r="B2008" t="inlineStr">
        <is>
          <t>Light Commercial Utility Buildings</t>
        </is>
      </c>
      <c r="C2008" t="inlineStr">
        <is>
          <t>471</t>
        </is>
      </c>
      <c r="D2008" t="inlineStr">
        <is>
          <t>17</t>
        </is>
      </c>
      <c r="E2008" t="inlineStr">
        <is>
          <t>12</t>
        </is>
      </c>
      <c r="F2008" t="inlineStr">
        <is>
          <t>SSLANT</t>
        </is>
      </c>
      <c r="G2008" t="inlineStr">
        <is>
          <t>Good</t>
        </is>
      </c>
      <c r="H2008" t="n">
        <v>37.5</v>
      </c>
      <c r="I2008">
        <f>B2008&amp;"|"&amp;F2008&amp;"|"&amp;G2008</f>
        <v/>
      </c>
      <c r="J2008" t="inlineStr">
        <is>
          <t>MVS Sec.17 p.12</t>
        </is>
      </c>
    </row>
    <row r="2009">
      <c r="B2009" t="inlineStr">
        <is>
          <t>Light Commercial Utility Buildings</t>
        </is>
      </c>
      <c r="C2009" t="inlineStr">
        <is>
          <t>471</t>
        </is>
      </c>
      <c r="D2009" t="inlineStr">
        <is>
          <t>17</t>
        </is>
      </c>
      <c r="E2009" t="inlineStr">
        <is>
          <t>12</t>
        </is>
      </c>
      <c r="F2009" t="inlineStr">
        <is>
          <t>SSLANT</t>
        </is>
      </c>
      <c r="G2009" t="inlineStr">
        <is>
          <t>Average</t>
        </is>
      </c>
      <c r="H2009" t="n">
        <v>25.5</v>
      </c>
      <c r="I2009">
        <f>B2009&amp;"|"&amp;F2009&amp;"|"&amp;G2009</f>
        <v/>
      </c>
      <c r="J2009" t="inlineStr">
        <is>
          <t>MVS Sec.17 p.12</t>
        </is>
      </c>
    </row>
    <row r="2010">
      <c r="B2010" t="inlineStr">
        <is>
          <t>Light Commercial Utility Buildings</t>
        </is>
      </c>
      <c r="C2010" t="inlineStr">
        <is>
          <t>471</t>
        </is>
      </c>
      <c r="D2010" t="inlineStr">
        <is>
          <t>17</t>
        </is>
      </c>
      <c r="E2010" t="inlineStr">
        <is>
          <t>12</t>
        </is>
      </c>
      <c r="F2010" t="inlineStr">
        <is>
          <t>SSLANT</t>
        </is>
      </c>
      <c r="G2010" t="inlineStr">
        <is>
          <t>Low Cost</t>
        </is>
      </c>
      <c r="H2010" t="n">
        <v>18.4</v>
      </c>
      <c r="I2010">
        <f>B2010&amp;"|"&amp;F2010&amp;"|"&amp;G2010</f>
        <v/>
      </c>
      <c r="J2010" t="inlineStr">
        <is>
          <t>MVS Sec.17 p.12</t>
        </is>
      </c>
    </row>
    <row r="2011">
      <c r="B2011" t="inlineStr">
        <is>
          <t>Toolshed Buildings</t>
        </is>
      </c>
      <c r="C2011" t="inlineStr">
        <is>
          <t>456</t>
        </is>
      </c>
      <c r="D2011" t="inlineStr">
        <is>
          <t>17</t>
        </is>
      </c>
      <c r="E2011" t="inlineStr">
        <is>
          <t>12</t>
        </is>
      </c>
      <c r="F2011" t="inlineStr">
        <is>
          <t>C</t>
        </is>
      </c>
      <c r="G2011" t="inlineStr">
        <is>
          <t>Good</t>
        </is>
      </c>
      <c r="H2011" t="n">
        <v>35.5</v>
      </c>
      <c r="I2011">
        <f>B2011&amp;"|"&amp;F2011&amp;"|"&amp;G2011</f>
        <v/>
      </c>
      <c r="J2011" t="inlineStr">
        <is>
          <t>MVS Sec.17 p.12</t>
        </is>
      </c>
    </row>
    <row r="2012">
      <c r="B2012" t="inlineStr">
        <is>
          <t>Toolshed Buildings</t>
        </is>
      </c>
      <c r="C2012" t="inlineStr">
        <is>
          <t>456</t>
        </is>
      </c>
      <c r="D2012" t="inlineStr">
        <is>
          <t>17</t>
        </is>
      </c>
      <c r="E2012" t="inlineStr">
        <is>
          <t>12</t>
        </is>
      </c>
      <c r="F2012" t="inlineStr">
        <is>
          <t>D</t>
        </is>
      </c>
      <c r="G2012" t="inlineStr">
        <is>
          <t>Good</t>
        </is>
      </c>
      <c r="H2012" t="n">
        <v>29.75</v>
      </c>
      <c r="I2012">
        <f>B2012&amp;"|"&amp;F2012&amp;"|"&amp;G2012</f>
        <v/>
      </c>
      <c r="J2012" t="inlineStr">
        <is>
          <t>MVS Sec.17 p.12</t>
        </is>
      </c>
    </row>
    <row r="2013">
      <c r="B2013" t="inlineStr">
        <is>
          <t>Toolshed Buildings</t>
        </is>
      </c>
      <c r="C2013" t="inlineStr">
        <is>
          <t>456</t>
        </is>
      </c>
      <c r="D2013" t="inlineStr">
        <is>
          <t>17</t>
        </is>
      </c>
      <c r="E2013" t="inlineStr">
        <is>
          <t>12</t>
        </is>
      </c>
      <c r="F2013" t="inlineStr">
        <is>
          <t>D</t>
        </is>
      </c>
      <c r="G2013" t="inlineStr">
        <is>
          <t>Average</t>
        </is>
      </c>
      <c r="H2013" t="n">
        <v>18.35</v>
      </c>
      <c r="I2013">
        <f>B2013&amp;"|"&amp;F2013&amp;"|"&amp;G2013</f>
        <v/>
      </c>
      <c r="J2013" t="inlineStr">
        <is>
          <t>MVS Sec.17 p.12</t>
        </is>
      </c>
    </row>
    <row r="2014">
      <c r="B2014" t="inlineStr">
        <is>
          <t>Toolshed Buildings</t>
        </is>
      </c>
      <c r="C2014" t="inlineStr">
        <is>
          <t>456</t>
        </is>
      </c>
      <c r="D2014" t="inlineStr">
        <is>
          <t>17</t>
        </is>
      </c>
      <c r="E2014" t="inlineStr">
        <is>
          <t>12</t>
        </is>
      </c>
      <c r="F2014" t="inlineStr">
        <is>
          <t>D</t>
        </is>
      </c>
      <c r="G2014" t="inlineStr">
        <is>
          <t>Low Cost</t>
        </is>
      </c>
      <c r="H2014" t="n">
        <v>11.3</v>
      </c>
      <c r="I2014">
        <f>B2014&amp;"|"&amp;F2014&amp;"|"&amp;G2014</f>
        <v/>
      </c>
      <c r="J2014" t="inlineStr">
        <is>
          <t>MVS Sec.17 p.12</t>
        </is>
      </c>
    </row>
    <row r="2015">
      <c r="B2015" t="inlineStr">
        <is>
          <t>Light Commercial Arch-Rib (Quonset) Buildings</t>
        </is>
      </c>
      <c r="C2015" t="inlineStr">
        <is>
          <t>555</t>
        </is>
      </c>
      <c r="D2015" t="inlineStr">
        <is>
          <t>17</t>
        </is>
      </c>
      <c r="E2015" t="inlineStr">
        <is>
          <t>13</t>
        </is>
      </c>
      <c r="F2015" t="inlineStr">
        <is>
          <t>D</t>
        </is>
      </c>
      <c r="G2015" t="inlineStr">
        <is>
          <t>Good</t>
        </is>
      </c>
      <c r="H2015" t="n">
        <v>44</v>
      </c>
      <c r="I2015">
        <f>B2015&amp;"|"&amp;F2015&amp;"|"&amp;G2015</f>
        <v/>
      </c>
      <c r="J2015" t="inlineStr">
        <is>
          <t>MVS Sec.17 p.13</t>
        </is>
      </c>
    </row>
    <row r="2016">
      <c r="B2016" t="inlineStr">
        <is>
          <t>Light Commercial Arch-Rib (Quonset) Buildings</t>
        </is>
      </c>
      <c r="C2016" t="inlineStr">
        <is>
          <t>555</t>
        </is>
      </c>
      <c r="D2016" t="inlineStr">
        <is>
          <t>17</t>
        </is>
      </c>
      <c r="E2016" t="inlineStr">
        <is>
          <t>13</t>
        </is>
      </c>
      <c r="F2016" t="inlineStr">
        <is>
          <t>D</t>
        </is>
      </c>
      <c r="G2016" t="inlineStr">
        <is>
          <t>Average</t>
        </is>
      </c>
      <c r="H2016" t="n">
        <v>31</v>
      </c>
      <c r="I2016">
        <f>B2016&amp;"|"&amp;F2016&amp;"|"&amp;G2016</f>
        <v/>
      </c>
      <c r="J2016" t="inlineStr">
        <is>
          <t>MVS Sec.17 p.13</t>
        </is>
      </c>
    </row>
    <row r="2017">
      <c r="B2017" t="inlineStr">
        <is>
          <t>Light Commercial Arch-Rib (Quonset) Buildings</t>
        </is>
      </c>
      <c r="C2017" t="inlineStr">
        <is>
          <t>555</t>
        </is>
      </c>
      <c r="D2017" t="inlineStr">
        <is>
          <t>17</t>
        </is>
      </c>
      <c r="E2017" t="inlineStr">
        <is>
          <t>13</t>
        </is>
      </c>
      <c r="F2017" t="inlineStr">
        <is>
          <t>D</t>
        </is>
      </c>
      <c r="G2017" t="inlineStr">
        <is>
          <t>Low Cost</t>
        </is>
      </c>
      <c r="H2017" t="n">
        <v>23.2</v>
      </c>
      <c r="I2017">
        <f>B2017&amp;"|"&amp;F2017&amp;"|"&amp;G2017</f>
        <v/>
      </c>
      <c r="J2017" t="inlineStr">
        <is>
          <t>MVS Sec.17 p.13</t>
        </is>
      </c>
    </row>
    <row r="2018">
      <c r="B2018" t="inlineStr">
        <is>
          <t>Light Commercial Arch-Rib (Quonset) Buildings</t>
        </is>
      </c>
      <c r="C2018" t="inlineStr">
        <is>
          <t>555</t>
        </is>
      </c>
      <c r="D2018" t="inlineStr">
        <is>
          <t>17</t>
        </is>
      </c>
      <c r="E2018" t="inlineStr">
        <is>
          <t>13</t>
        </is>
      </c>
      <c r="F2018" t="inlineStr">
        <is>
          <t>DPOLE</t>
        </is>
      </c>
      <c r="G2018" t="inlineStr">
        <is>
          <t>Good</t>
        </is>
      </c>
      <c r="H2018" t="n">
        <v>42.25</v>
      </c>
      <c r="I2018">
        <f>B2018&amp;"|"&amp;F2018&amp;"|"&amp;G2018</f>
        <v/>
      </c>
      <c r="J2018" t="inlineStr">
        <is>
          <t>MVS Sec.17 p.13</t>
        </is>
      </c>
    </row>
    <row r="2019">
      <c r="B2019" t="inlineStr">
        <is>
          <t>Light Commercial Arch-Rib (Quonset) Buildings</t>
        </is>
      </c>
      <c r="C2019" t="inlineStr">
        <is>
          <t>555</t>
        </is>
      </c>
      <c r="D2019" t="inlineStr">
        <is>
          <t>17</t>
        </is>
      </c>
      <c r="E2019" t="inlineStr">
        <is>
          <t>13</t>
        </is>
      </c>
      <c r="F2019" t="inlineStr">
        <is>
          <t>DPOLE</t>
        </is>
      </c>
      <c r="G2019" t="inlineStr">
        <is>
          <t>Average</t>
        </is>
      </c>
      <c r="H2019" t="n">
        <v>29.75</v>
      </c>
      <c r="I2019">
        <f>B2019&amp;"|"&amp;F2019&amp;"|"&amp;G2019</f>
        <v/>
      </c>
      <c r="J2019" t="inlineStr">
        <is>
          <t>MVS Sec.17 p.13</t>
        </is>
      </c>
    </row>
    <row r="2020">
      <c r="B2020" t="inlineStr">
        <is>
          <t>Light Commercial Arch-Rib (Quonset) Buildings</t>
        </is>
      </c>
      <c r="C2020" t="inlineStr">
        <is>
          <t>555</t>
        </is>
      </c>
      <c r="D2020" t="inlineStr">
        <is>
          <t>17</t>
        </is>
      </c>
      <c r="E2020" t="inlineStr">
        <is>
          <t>13</t>
        </is>
      </c>
      <c r="F2020" t="inlineStr">
        <is>
          <t>DPOLE</t>
        </is>
      </c>
      <c r="G2020" t="inlineStr">
        <is>
          <t>Low Cost</t>
        </is>
      </c>
      <c r="H2020" t="n">
        <v>22.1</v>
      </c>
      <c r="I2020">
        <f>B2020&amp;"|"&amp;F2020&amp;"|"&amp;G2020</f>
        <v/>
      </c>
      <c r="J2020" t="inlineStr">
        <is>
          <t>MVS Sec.17 p.13</t>
        </is>
      </c>
    </row>
    <row r="2021">
      <c r="B2021" t="inlineStr">
        <is>
          <t>Light Commercial Arch-Rib (Quonset) Buildings</t>
        </is>
      </c>
      <c r="C2021" t="inlineStr">
        <is>
          <t>555</t>
        </is>
      </c>
      <c r="D2021" t="inlineStr">
        <is>
          <t>17</t>
        </is>
      </c>
      <c r="E2021" t="inlineStr">
        <is>
          <t>13</t>
        </is>
      </c>
      <c r="F2021" t="inlineStr">
        <is>
          <t>S</t>
        </is>
      </c>
      <c r="G2021" t="inlineStr">
        <is>
          <t>Good</t>
        </is>
      </c>
      <c r="H2021" t="n">
        <v>42.75</v>
      </c>
      <c r="I2021">
        <f>B2021&amp;"|"&amp;F2021&amp;"|"&amp;G2021</f>
        <v/>
      </c>
      <c r="J2021" t="inlineStr">
        <is>
          <t>MVS Sec.17 p.13</t>
        </is>
      </c>
    </row>
    <row r="2022">
      <c r="B2022" t="inlineStr">
        <is>
          <t>Light Commercial Arch-Rib (Quonset) Buildings</t>
        </is>
      </c>
      <c r="C2022" t="inlineStr">
        <is>
          <t>555</t>
        </is>
      </c>
      <c r="D2022" t="inlineStr">
        <is>
          <t>17</t>
        </is>
      </c>
      <c r="E2022" t="inlineStr">
        <is>
          <t>13</t>
        </is>
      </c>
      <c r="F2022" t="inlineStr">
        <is>
          <t>WALL</t>
        </is>
      </c>
      <c r="G2022" t="inlineStr">
        <is>
          <t>Low Cost</t>
        </is>
      </c>
      <c r="H2022" t="n">
        <v>22.85</v>
      </c>
      <c r="I2022">
        <f>B2022&amp;"|"&amp;F2022&amp;"|"&amp;G2022</f>
        <v/>
      </c>
      <c r="J2022" t="inlineStr">
        <is>
          <t>MVS Sec.17 p.13</t>
        </is>
      </c>
    </row>
    <row r="2023">
      <c r="B2023" t="inlineStr">
        <is>
          <t>Light Commercial Equipment (Shop) Buildings</t>
        </is>
      </c>
      <c r="C2023" t="inlineStr">
        <is>
          <t>470</t>
        </is>
      </c>
      <c r="D2023" t="inlineStr">
        <is>
          <t>17</t>
        </is>
      </c>
      <c r="E2023" t="inlineStr">
        <is>
          <t>13</t>
        </is>
      </c>
      <c r="F2023" t="inlineStr">
        <is>
          <t>C</t>
        </is>
      </c>
      <c r="G2023" t="inlineStr">
        <is>
          <t>Good</t>
        </is>
      </c>
      <c r="H2023" t="n">
        <v>57</v>
      </c>
      <c r="I2023">
        <f>B2023&amp;"|"&amp;F2023&amp;"|"&amp;G2023</f>
        <v/>
      </c>
      <c r="J2023" t="inlineStr">
        <is>
          <t>MVS Sec.17 p.13</t>
        </is>
      </c>
    </row>
    <row r="2024">
      <c r="B2024" t="inlineStr">
        <is>
          <t>Light Commercial Equipment (Shop) Buildings</t>
        </is>
      </c>
      <c r="C2024" t="inlineStr">
        <is>
          <t>470</t>
        </is>
      </c>
      <c r="D2024" t="inlineStr">
        <is>
          <t>17</t>
        </is>
      </c>
      <c r="E2024" t="inlineStr">
        <is>
          <t>13</t>
        </is>
      </c>
      <c r="F2024" t="inlineStr">
        <is>
          <t>C</t>
        </is>
      </c>
      <c r="G2024" t="inlineStr">
        <is>
          <t>Average</t>
        </is>
      </c>
      <c r="H2024" t="n">
        <v>42.75</v>
      </c>
      <c r="I2024">
        <f>B2024&amp;"|"&amp;F2024&amp;"|"&amp;G2024</f>
        <v/>
      </c>
      <c r="J2024" t="inlineStr">
        <is>
          <t>MVS Sec.17 p.13</t>
        </is>
      </c>
    </row>
    <row r="2025">
      <c r="B2025" t="inlineStr">
        <is>
          <t>Light Commercial Equipment (Shop) Buildings</t>
        </is>
      </c>
      <c r="C2025" t="inlineStr">
        <is>
          <t>470</t>
        </is>
      </c>
      <c r="D2025" t="inlineStr">
        <is>
          <t>17</t>
        </is>
      </c>
      <c r="E2025" t="inlineStr">
        <is>
          <t>13</t>
        </is>
      </c>
      <c r="F2025" t="inlineStr">
        <is>
          <t>D</t>
        </is>
      </c>
      <c r="G2025" t="inlineStr">
        <is>
          <t>Good</t>
        </is>
      </c>
      <c r="H2025" t="n">
        <v>47.75</v>
      </c>
      <c r="I2025">
        <f>B2025&amp;"|"&amp;F2025&amp;"|"&amp;G2025</f>
        <v/>
      </c>
      <c r="J2025" t="inlineStr">
        <is>
          <t>MVS Sec.17 p.13</t>
        </is>
      </c>
    </row>
    <row r="2026">
      <c r="B2026" t="inlineStr">
        <is>
          <t>Light Commercial Equipment (Shop) Buildings</t>
        </is>
      </c>
      <c r="C2026" t="inlineStr">
        <is>
          <t>470</t>
        </is>
      </c>
      <c r="D2026" t="inlineStr">
        <is>
          <t>17</t>
        </is>
      </c>
      <c r="E2026" t="inlineStr">
        <is>
          <t>13</t>
        </is>
      </c>
      <c r="F2026" t="inlineStr">
        <is>
          <t>D</t>
        </is>
      </c>
      <c r="G2026" t="inlineStr">
        <is>
          <t>Average</t>
        </is>
      </c>
      <c r="H2026" t="n">
        <v>33.5</v>
      </c>
      <c r="I2026">
        <f>B2026&amp;"|"&amp;F2026&amp;"|"&amp;G2026</f>
        <v/>
      </c>
      <c r="J2026" t="inlineStr">
        <is>
          <t>MVS Sec.17 p.13</t>
        </is>
      </c>
    </row>
    <row r="2027">
      <c r="B2027" t="inlineStr">
        <is>
          <t>Light Commercial Equipment (Shop) Buildings</t>
        </is>
      </c>
      <c r="C2027" t="inlineStr">
        <is>
          <t>470</t>
        </is>
      </c>
      <c r="D2027" t="inlineStr">
        <is>
          <t>17</t>
        </is>
      </c>
      <c r="E2027" t="inlineStr">
        <is>
          <t>13</t>
        </is>
      </c>
      <c r="F2027" t="inlineStr">
        <is>
          <t>DPOLE</t>
        </is>
      </c>
      <c r="G2027" t="inlineStr">
        <is>
          <t>Good</t>
        </is>
      </c>
      <c r="H2027" t="n">
        <v>41.75</v>
      </c>
      <c r="I2027">
        <f>B2027&amp;"|"&amp;F2027&amp;"|"&amp;G2027</f>
        <v/>
      </c>
      <c r="J2027" t="inlineStr">
        <is>
          <t>MVS Sec.17 p.13</t>
        </is>
      </c>
    </row>
    <row r="2028">
      <c r="B2028" t="inlineStr">
        <is>
          <t>Light Commercial Equipment (Shop) Buildings</t>
        </is>
      </c>
      <c r="C2028" t="inlineStr">
        <is>
          <t>470</t>
        </is>
      </c>
      <c r="D2028" t="inlineStr">
        <is>
          <t>17</t>
        </is>
      </c>
      <c r="E2028" t="inlineStr">
        <is>
          <t>13</t>
        </is>
      </c>
      <c r="F2028" t="inlineStr">
        <is>
          <t>DPOLE</t>
        </is>
      </c>
      <c r="G2028" t="inlineStr">
        <is>
          <t>Average</t>
        </is>
      </c>
      <c r="H2028" t="n">
        <v>29.75</v>
      </c>
      <c r="I2028">
        <f>B2028&amp;"|"&amp;F2028&amp;"|"&amp;G2028</f>
        <v/>
      </c>
      <c r="J2028" t="inlineStr">
        <is>
          <t>MVS Sec.17 p.13</t>
        </is>
      </c>
    </row>
    <row r="2029">
      <c r="B2029" t="inlineStr">
        <is>
          <t>Light Commercial Equipment (Shop) Buildings</t>
        </is>
      </c>
      <c r="C2029" t="inlineStr">
        <is>
          <t>470</t>
        </is>
      </c>
      <c r="D2029" t="inlineStr">
        <is>
          <t>17</t>
        </is>
      </c>
      <c r="E2029" t="inlineStr">
        <is>
          <t>13</t>
        </is>
      </c>
      <c r="F2029" t="inlineStr">
        <is>
          <t>S</t>
        </is>
      </c>
      <c r="G2029" t="inlineStr">
        <is>
          <t>Good</t>
        </is>
      </c>
      <c r="H2029" t="n">
        <v>45.75</v>
      </c>
      <c r="I2029">
        <f>B2029&amp;"|"&amp;F2029&amp;"|"&amp;G2029</f>
        <v/>
      </c>
      <c r="J2029" t="inlineStr">
        <is>
          <t>MVS Sec.17 p.13</t>
        </is>
      </c>
    </row>
    <row r="2030">
      <c r="B2030" t="inlineStr">
        <is>
          <t>Light Commercial Equipment (Shop) Buildings</t>
        </is>
      </c>
      <c r="C2030" t="inlineStr">
        <is>
          <t>470</t>
        </is>
      </c>
      <c r="D2030" t="inlineStr">
        <is>
          <t>17</t>
        </is>
      </c>
      <c r="E2030" t="inlineStr">
        <is>
          <t>13</t>
        </is>
      </c>
      <c r="F2030" t="inlineStr">
        <is>
          <t>S</t>
        </is>
      </c>
      <c r="G2030" t="inlineStr">
        <is>
          <t>Average</t>
        </is>
      </c>
      <c r="H2030" t="n">
        <v>33.25</v>
      </c>
      <c r="I2030">
        <f>B2030&amp;"|"&amp;F2030&amp;"|"&amp;G2030</f>
        <v/>
      </c>
      <c r="J2030" t="inlineStr">
        <is>
          <t>MVS Sec.17 p.13</t>
        </is>
      </c>
    </row>
    <row r="2031">
      <c r="B2031" t="inlineStr">
        <is>
          <t>Light Commercial Equipment (Shop) Buildings</t>
        </is>
      </c>
      <c r="C2031" t="inlineStr">
        <is>
          <t>470</t>
        </is>
      </c>
      <c r="D2031" t="inlineStr">
        <is>
          <t>17</t>
        </is>
      </c>
      <c r="E2031" t="inlineStr">
        <is>
          <t>13</t>
        </is>
      </c>
      <c r="F2031" t="inlineStr">
        <is>
          <t>SSLANT</t>
        </is>
      </c>
      <c r="G2031" t="inlineStr">
        <is>
          <t>Good</t>
        </is>
      </c>
      <c r="H2031" t="n">
        <v>42.5</v>
      </c>
      <c r="I2031">
        <f>B2031&amp;"|"&amp;F2031&amp;"|"&amp;G2031</f>
        <v/>
      </c>
      <c r="J2031" t="inlineStr">
        <is>
          <t>MVS Sec.17 p.13</t>
        </is>
      </c>
    </row>
    <row r="2032">
      <c r="B2032" t="inlineStr">
        <is>
          <t>Light Commercial Equipment (Shop) Buildings</t>
        </is>
      </c>
      <c r="C2032" t="inlineStr">
        <is>
          <t>470</t>
        </is>
      </c>
      <c r="D2032" t="inlineStr">
        <is>
          <t>17</t>
        </is>
      </c>
      <c r="E2032" t="inlineStr">
        <is>
          <t>13</t>
        </is>
      </c>
      <c r="F2032" t="inlineStr">
        <is>
          <t>CDS</t>
        </is>
      </c>
      <c r="G2032" t="inlineStr">
        <is>
          <t>Average</t>
        </is>
      </c>
      <c r="H2032" t="n">
        <v>30.75</v>
      </c>
      <c r="I2032">
        <f>B2032&amp;"|"&amp;F2032&amp;"|"&amp;G2032</f>
        <v/>
      </c>
      <c r="J2032" t="inlineStr">
        <is>
          <t>MVS Sec.17 p.13</t>
        </is>
      </c>
    </row>
    <row r="2033">
      <c r="B2033" t="inlineStr">
        <is>
          <t>Light Commercial Equipment Sheds</t>
        </is>
      </c>
      <c r="C2033" t="inlineStr">
        <is>
          <t>472</t>
        </is>
      </c>
      <c r="D2033" t="inlineStr">
        <is>
          <t>17</t>
        </is>
      </c>
      <c r="E2033" t="inlineStr">
        <is>
          <t>14</t>
        </is>
      </c>
      <c r="F2033" t="inlineStr">
        <is>
          <t>C</t>
        </is>
      </c>
      <c r="G2033" t="inlineStr">
        <is>
          <t>Good</t>
        </is>
      </c>
      <c r="H2033" t="n">
        <v>46.25</v>
      </c>
      <c r="I2033">
        <f>B2033&amp;"|"&amp;F2033&amp;"|"&amp;G2033</f>
        <v/>
      </c>
      <c r="J2033" t="inlineStr">
        <is>
          <t>MVS Sec.17 p.14</t>
        </is>
      </c>
    </row>
    <row r="2034">
      <c r="B2034" t="inlineStr">
        <is>
          <t>Light Commercial Equipment Sheds</t>
        </is>
      </c>
      <c r="C2034" t="inlineStr">
        <is>
          <t>472</t>
        </is>
      </c>
      <c r="D2034" t="inlineStr">
        <is>
          <t>17</t>
        </is>
      </c>
      <c r="E2034" t="inlineStr">
        <is>
          <t>14</t>
        </is>
      </c>
      <c r="F2034" t="inlineStr">
        <is>
          <t>C</t>
        </is>
      </c>
      <c r="G2034" t="inlineStr">
        <is>
          <t>Average</t>
        </is>
      </c>
      <c r="H2034" t="n">
        <v>34.75</v>
      </c>
      <c r="I2034">
        <f>B2034&amp;"|"&amp;F2034&amp;"|"&amp;G2034</f>
        <v/>
      </c>
      <c r="J2034" t="inlineStr">
        <is>
          <t>MVS Sec.17 p.14</t>
        </is>
      </c>
    </row>
    <row r="2035">
      <c r="B2035" t="inlineStr">
        <is>
          <t>Light Commercial Equipment Sheds</t>
        </is>
      </c>
      <c r="C2035" t="inlineStr">
        <is>
          <t>472</t>
        </is>
      </c>
      <c r="D2035" t="inlineStr">
        <is>
          <t>17</t>
        </is>
      </c>
      <c r="E2035" t="inlineStr">
        <is>
          <t>14</t>
        </is>
      </c>
      <c r="F2035" t="inlineStr">
        <is>
          <t>D</t>
        </is>
      </c>
      <c r="G2035" t="inlineStr">
        <is>
          <t>Good</t>
        </is>
      </c>
      <c r="H2035" t="n">
        <v>43</v>
      </c>
      <c r="I2035">
        <f>B2035&amp;"|"&amp;F2035&amp;"|"&amp;G2035</f>
        <v/>
      </c>
      <c r="J2035" t="inlineStr">
        <is>
          <t>MVS Sec.17 p.14</t>
        </is>
      </c>
    </row>
    <row r="2036">
      <c r="B2036" t="inlineStr">
        <is>
          <t>Light Commercial Equipment Sheds</t>
        </is>
      </c>
      <c r="C2036" t="inlineStr">
        <is>
          <t>472</t>
        </is>
      </c>
      <c r="D2036" t="inlineStr">
        <is>
          <t>17</t>
        </is>
      </c>
      <c r="E2036" t="inlineStr">
        <is>
          <t>14</t>
        </is>
      </c>
      <c r="F2036" t="inlineStr">
        <is>
          <t>D</t>
        </is>
      </c>
      <c r="G2036" t="inlineStr">
        <is>
          <t>Average</t>
        </is>
      </c>
      <c r="H2036" t="n">
        <v>31.75</v>
      </c>
      <c r="I2036">
        <f>B2036&amp;"|"&amp;F2036&amp;"|"&amp;G2036</f>
        <v/>
      </c>
      <c r="J2036" t="inlineStr">
        <is>
          <t>MVS Sec.17 p.14</t>
        </is>
      </c>
    </row>
    <row r="2037">
      <c r="B2037" t="inlineStr">
        <is>
          <t>Light Commercial Equipment Sheds</t>
        </is>
      </c>
      <c r="C2037" t="inlineStr">
        <is>
          <t>472</t>
        </is>
      </c>
      <c r="D2037" t="inlineStr">
        <is>
          <t>17</t>
        </is>
      </c>
      <c r="E2037" t="inlineStr">
        <is>
          <t>14</t>
        </is>
      </c>
      <c r="F2037" t="inlineStr">
        <is>
          <t>DPOLE</t>
        </is>
      </c>
      <c r="G2037" t="inlineStr">
        <is>
          <t>Good</t>
        </is>
      </c>
      <c r="H2037" t="n">
        <v>37.25</v>
      </c>
      <c r="I2037">
        <f>B2037&amp;"|"&amp;F2037&amp;"|"&amp;G2037</f>
        <v/>
      </c>
      <c r="J2037" t="inlineStr">
        <is>
          <t>MVS Sec.17 p.14</t>
        </is>
      </c>
    </row>
    <row r="2038">
      <c r="B2038" t="inlineStr">
        <is>
          <t>Light Commercial Equipment Sheds</t>
        </is>
      </c>
      <c r="C2038" t="inlineStr">
        <is>
          <t>472</t>
        </is>
      </c>
      <c r="D2038" t="inlineStr">
        <is>
          <t>17</t>
        </is>
      </c>
      <c r="E2038" t="inlineStr">
        <is>
          <t>14</t>
        </is>
      </c>
      <c r="F2038" t="inlineStr">
        <is>
          <t>DPOLE</t>
        </is>
      </c>
      <c r="G2038" t="inlineStr">
        <is>
          <t>Average</t>
        </is>
      </c>
      <c r="H2038" t="n">
        <v>28</v>
      </c>
      <c r="I2038">
        <f>B2038&amp;"|"&amp;F2038&amp;"|"&amp;G2038</f>
        <v/>
      </c>
      <c r="J2038" t="inlineStr">
        <is>
          <t>MVS Sec.17 p.14</t>
        </is>
      </c>
    </row>
    <row r="2039">
      <c r="B2039" t="inlineStr">
        <is>
          <t>Light Commercial Equipment Sheds</t>
        </is>
      </c>
      <c r="C2039" t="inlineStr">
        <is>
          <t>472</t>
        </is>
      </c>
      <c r="D2039" t="inlineStr">
        <is>
          <t>17</t>
        </is>
      </c>
      <c r="E2039" t="inlineStr">
        <is>
          <t>14</t>
        </is>
      </c>
      <c r="F2039" t="inlineStr">
        <is>
          <t>S</t>
        </is>
      </c>
      <c r="G2039" t="inlineStr">
        <is>
          <t>Good</t>
        </is>
      </c>
      <c r="H2039" t="n">
        <v>40.75</v>
      </c>
      <c r="I2039">
        <f>B2039&amp;"|"&amp;F2039&amp;"|"&amp;G2039</f>
        <v/>
      </c>
      <c r="J2039" t="inlineStr">
        <is>
          <t>MVS Sec.17 p.14</t>
        </is>
      </c>
    </row>
    <row r="2040">
      <c r="B2040" t="inlineStr">
        <is>
          <t>Light Commercial Equipment Sheds</t>
        </is>
      </c>
      <c r="C2040" t="inlineStr">
        <is>
          <t>472</t>
        </is>
      </c>
      <c r="D2040" t="inlineStr">
        <is>
          <t>17</t>
        </is>
      </c>
      <c r="E2040" t="inlineStr">
        <is>
          <t>14</t>
        </is>
      </c>
      <c r="F2040" t="inlineStr">
        <is>
          <t>S</t>
        </is>
      </c>
      <c r="G2040" t="inlineStr">
        <is>
          <t>Average</t>
        </is>
      </c>
      <c r="H2040" t="n">
        <v>31</v>
      </c>
      <c r="I2040">
        <f>B2040&amp;"|"&amp;F2040&amp;"|"&amp;G2040</f>
        <v/>
      </c>
      <c r="J2040" t="inlineStr">
        <is>
          <t>MVS Sec.17 p.14</t>
        </is>
      </c>
    </row>
    <row r="2041">
      <c r="B2041" t="inlineStr">
        <is>
          <t>Light Commercial Equipment Sheds</t>
        </is>
      </c>
      <c r="C2041" t="inlineStr">
        <is>
          <t>472</t>
        </is>
      </c>
      <c r="D2041" t="inlineStr">
        <is>
          <t>17</t>
        </is>
      </c>
      <c r="E2041" t="inlineStr">
        <is>
          <t>14</t>
        </is>
      </c>
      <c r="F2041" t="inlineStr">
        <is>
          <t>SSLANT</t>
        </is>
      </c>
      <c r="G2041" t="inlineStr">
        <is>
          <t>Good</t>
        </is>
      </c>
      <c r="H2041" t="n">
        <v>37.75</v>
      </c>
      <c r="I2041">
        <f>B2041&amp;"|"&amp;F2041&amp;"|"&amp;G2041</f>
        <v/>
      </c>
      <c r="J2041" t="inlineStr">
        <is>
          <t>MVS Sec.17 p.14</t>
        </is>
      </c>
    </row>
    <row r="2042">
      <c r="B2042" t="inlineStr">
        <is>
          <t>Light Commercial Equipment Sheds</t>
        </is>
      </c>
      <c r="C2042" t="inlineStr">
        <is>
          <t>472</t>
        </is>
      </c>
      <c r="D2042" t="inlineStr">
        <is>
          <t>17</t>
        </is>
      </c>
      <c r="E2042" t="inlineStr">
        <is>
          <t>14</t>
        </is>
      </c>
      <c r="F2042" t="inlineStr">
        <is>
          <t>SSLANT</t>
        </is>
      </c>
      <c r="G2042" t="inlineStr">
        <is>
          <t>Average</t>
        </is>
      </c>
      <c r="H2042" t="n">
        <v>29</v>
      </c>
      <c r="I2042">
        <f>B2042&amp;"|"&amp;F2042&amp;"|"&amp;G2042</f>
        <v/>
      </c>
      <c r="J2042" t="inlineStr">
        <is>
          <t>MVS Sec.17 p.14</t>
        </is>
      </c>
    </row>
    <row r="2043">
      <c r="B2043" t="inlineStr">
        <is>
          <t>Shed Office Structures</t>
        </is>
      </c>
      <c r="C2043" t="inlineStr">
        <is>
          <t>554</t>
        </is>
      </c>
      <c r="D2043" t="inlineStr">
        <is>
          <t>17</t>
        </is>
      </c>
      <c r="E2043" t="inlineStr">
        <is>
          <t>14</t>
        </is>
      </c>
      <c r="F2043" t="inlineStr">
        <is>
          <t>C</t>
        </is>
      </c>
      <c r="G2043" t="inlineStr">
        <is>
          <t>Good</t>
        </is>
      </c>
      <c r="H2043" t="n">
        <v>114</v>
      </c>
      <c r="I2043">
        <f>B2043&amp;"|"&amp;F2043&amp;"|"&amp;G2043</f>
        <v/>
      </c>
      <c r="J2043" t="inlineStr">
        <is>
          <t>MVS Sec.17 p.14</t>
        </is>
      </c>
    </row>
    <row r="2044">
      <c r="B2044" t="inlineStr">
        <is>
          <t>Shed Office Structures</t>
        </is>
      </c>
      <c r="C2044" t="inlineStr">
        <is>
          <t>554</t>
        </is>
      </c>
      <c r="D2044" t="inlineStr">
        <is>
          <t>17</t>
        </is>
      </c>
      <c r="E2044" t="inlineStr">
        <is>
          <t>14</t>
        </is>
      </c>
      <c r="F2044" t="inlineStr">
        <is>
          <t>C</t>
        </is>
      </c>
      <c r="G2044" t="inlineStr">
        <is>
          <t>Average</t>
        </is>
      </c>
      <c r="H2044" t="n">
        <v>83.5</v>
      </c>
      <c r="I2044">
        <f>B2044&amp;"|"&amp;F2044&amp;"|"&amp;G2044</f>
        <v/>
      </c>
      <c r="J2044" t="inlineStr">
        <is>
          <t>MVS Sec.17 p.14</t>
        </is>
      </c>
    </row>
    <row r="2045">
      <c r="B2045" t="inlineStr">
        <is>
          <t>Shed Office Structures</t>
        </is>
      </c>
      <c r="C2045" t="inlineStr">
        <is>
          <t>554</t>
        </is>
      </c>
      <c r="D2045" t="inlineStr">
        <is>
          <t>17</t>
        </is>
      </c>
      <c r="E2045" t="inlineStr">
        <is>
          <t>14</t>
        </is>
      </c>
      <c r="F2045" t="inlineStr">
        <is>
          <t>D</t>
        </is>
      </c>
      <c r="G2045" t="inlineStr">
        <is>
          <t>Good</t>
        </is>
      </c>
      <c r="H2045" t="n">
        <v>111</v>
      </c>
      <c r="I2045">
        <f>B2045&amp;"|"&amp;F2045&amp;"|"&amp;G2045</f>
        <v/>
      </c>
      <c r="J2045" t="inlineStr">
        <is>
          <t>MVS Sec.17 p.14</t>
        </is>
      </c>
    </row>
    <row r="2046">
      <c r="B2046" t="inlineStr">
        <is>
          <t>Shed Office Structures</t>
        </is>
      </c>
      <c r="C2046" t="inlineStr">
        <is>
          <t>554</t>
        </is>
      </c>
      <c r="D2046" t="inlineStr">
        <is>
          <t>17</t>
        </is>
      </c>
      <c r="E2046" t="inlineStr">
        <is>
          <t>14</t>
        </is>
      </c>
      <c r="F2046" t="inlineStr">
        <is>
          <t>D</t>
        </is>
      </c>
      <c r="G2046" t="inlineStr">
        <is>
          <t>Average</t>
        </is>
      </c>
      <c r="H2046" t="n">
        <v>80</v>
      </c>
      <c r="I2046">
        <f>B2046&amp;"|"&amp;F2046&amp;"|"&amp;G2046</f>
        <v/>
      </c>
      <c r="J2046" t="inlineStr">
        <is>
          <t>MVS Sec.17 p.14</t>
        </is>
      </c>
    </row>
    <row r="2047">
      <c r="B2047" t="inlineStr">
        <is>
          <t>Shed Office Structures</t>
        </is>
      </c>
      <c r="C2047" t="inlineStr">
        <is>
          <t>554</t>
        </is>
      </c>
      <c r="D2047" t="inlineStr">
        <is>
          <t>17</t>
        </is>
      </c>
      <c r="E2047" t="inlineStr">
        <is>
          <t>14</t>
        </is>
      </c>
      <c r="F2047" t="inlineStr">
        <is>
          <t>D</t>
        </is>
      </c>
      <c r="G2047" t="inlineStr">
        <is>
          <t>Low Cost</t>
        </is>
      </c>
      <c r="H2047" t="n">
        <v>56</v>
      </c>
      <c r="I2047">
        <f>B2047&amp;"|"&amp;F2047&amp;"|"&amp;G2047</f>
        <v/>
      </c>
      <c r="J2047" t="inlineStr">
        <is>
          <t>MVS Sec.17 p.14</t>
        </is>
      </c>
    </row>
    <row r="2048">
      <c r="B2048" t="inlineStr">
        <is>
          <t>Shed Office Structures</t>
        </is>
      </c>
      <c r="C2048" t="inlineStr">
        <is>
          <t>554</t>
        </is>
      </c>
      <c r="D2048" t="inlineStr">
        <is>
          <t>17</t>
        </is>
      </c>
      <c r="E2048" t="inlineStr">
        <is>
          <t>14</t>
        </is>
      </c>
      <c r="F2048" t="inlineStr">
        <is>
          <t>DPOLE</t>
        </is>
      </c>
      <c r="G2048" t="inlineStr">
        <is>
          <t>Average</t>
        </is>
      </c>
      <c r="H2048" t="n">
        <v>77.5</v>
      </c>
      <c r="I2048">
        <f>B2048&amp;"|"&amp;F2048&amp;"|"&amp;G2048</f>
        <v/>
      </c>
      <c r="J2048" t="inlineStr">
        <is>
          <t>MVS Sec.17 p.14</t>
        </is>
      </c>
    </row>
    <row r="2049">
      <c r="B2049" t="inlineStr">
        <is>
          <t>Shed Office Structures</t>
        </is>
      </c>
      <c r="C2049" t="inlineStr">
        <is>
          <t>554</t>
        </is>
      </c>
      <c r="D2049" t="inlineStr">
        <is>
          <t>17</t>
        </is>
      </c>
      <c r="E2049" t="inlineStr">
        <is>
          <t>14</t>
        </is>
      </c>
      <c r="F2049" t="inlineStr">
        <is>
          <t>DPOLE</t>
        </is>
      </c>
      <c r="G2049" t="inlineStr">
        <is>
          <t>Low Cost</t>
        </is>
      </c>
      <c r="H2049" t="n">
        <v>54.5</v>
      </c>
      <c r="I2049">
        <f>B2049&amp;"|"&amp;F2049&amp;"|"&amp;G2049</f>
        <v/>
      </c>
      <c r="J2049" t="inlineStr">
        <is>
          <t>MVS Sec.17 p.14</t>
        </is>
      </c>
    </row>
    <row r="2050">
      <c r="B2050" t="inlineStr">
        <is>
          <t>Shed Office Structures</t>
        </is>
      </c>
      <c r="C2050" t="inlineStr">
        <is>
          <t>554</t>
        </is>
      </c>
      <c r="D2050" t="inlineStr">
        <is>
          <t>17</t>
        </is>
      </c>
      <c r="E2050" t="inlineStr">
        <is>
          <t>14</t>
        </is>
      </c>
      <c r="F2050" t="inlineStr">
        <is>
          <t>S</t>
        </is>
      </c>
      <c r="G2050" t="inlineStr">
        <is>
          <t>Average</t>
        </is>
      </c>
      <c r="H2050" t="n">
        <v>79</v>
      </c>
      <c r="I2050">
        <f>B2050&amp;"|"&amp;F2050&amp;"|"&amp;G2050</f>
        <v/>
      </c>
      <c r="J2050" t="inlineStr">
        <is>
          <t>MVS Sec.17 p.14</t>
        </is>
      </c>
    </row>
    <row r="2051">
      <c r="B2051" t="inlineStr">
        <is>
          <t>Shed Office Structures</t>
        </is>
      </c>
      <c r="C2051" t="inlineStr">
        <is>
          <t>554</t>
        </is>
      </c>
      <c r="D2051" t="inlineStr">
        <is>
          <t>17</t>
        </is>
      </c>
      <c r="E2051" t="inlineStr">
        <is>
          <t>14</t>
        </is>
      </c>
      <c r="F2051" t="inlineStr">
        <is>
          <t>S</t>
        </is>
      </c>
      <c r="G2051" t="inlineStr">
        <is>
          <t>Low Cost</t>
        </is>
      </c>
      <c r="H2051" t="n">
        <v>56</v>
      </c>
      <c r="I2051">
        <f>B2051&amp;"|"&amp;F2051&amp;"|"&amp;G2051</f>
        <v/>
      </c>
      <c r="J2051" t="inlineStr">
        <is>
          <t>MVS Sec.17 p.14</t>
        </is>
      </c>
    </row>
    <row r="2052">
      <c r="B2052" t="inlineStr">
        <is>
          <t>Golf Cart Storage Buildings</t>
        </is>
      </c>
      <c r="C2052" t="inlineStr">
        <is>
          <t>523</t>
        </is>
      </c>
      <c r="D2052" t="inlineStr">
        <is>
          <t>17</t>
        </is>
      </c>
      <c r="E2052" t="inlineStr">
        <is>
          <t>15</t>
        </is>
      </c>
      <c r="F2052" t="inlineStr">
        <is>
          <t>C</t>
        </is>
      </c>
      <c r="G2052" t="inlineStr">
        <is>
          <t>Excellent</t>
        </is>
      </c>
      <c r="H2052" t="n">
        <v>114</v>
      </c>
      <c r="I2052">
        <f>B2052&amp;"|"&amp;F2052&amp;"|"&amp;G2052</f>
        <v/>
      </c>
      <c r="J2052" t="inlineStr">
        <is>
          <t>MVS Sec.17 p.15</t>
        </is>
      </c>
    </row>
    <row r="2053">
      <c r="B2053" t="inlineStr">
        <is>
          <t>Golf Cart Storage Buildings</t>
        </is>
      </c>
      <c r="C2053" t="inlineStr">
        <is>
          <t>523</t>
        </is>
      </c>
      <c r="D2053" t="inlineStr">
        <is>
          <t>17</t>
        </is>
      </c>
      <c r="E2053" t="inlineStr">
        <is>
          <t>15</t>
        </is>
      </c>
      <c r="F2053" t="inlineStr">
        <is>
          <t>C</t>
        </is>
      </c>
      <c r="G2053" t="inlineStr">
        <is>
          <t>Good</t>
        </is>
      </c>
      <c r="H2053" t="n">
        <v>88</v>
      </c>
      <c r="I2053">
        <f>B2053&amp;"|"&amp;F2053&amp;"|"&amp;G2053</f>
        <v/>
      </c>
      <c r="J2053" t="inlineStr">
        <is>
          <t>MVS Sec.17 p.15</t>
        </is>
      </c>
    </row>
    <row r="2054">
      <c r="B2054" t="inlineStr">
        <is>
          <t>Golf Cart Storage Buildings</t>
        </is>
      </c>
      <c r="C2054" t="inlineStr">
        <is>
          <t>523</t>
        </is>
      </c>
      <c r="D2054" t="inlineStr">
        <is>
          <t>17</t>
        </is>
      </c>
      <c r="E2054" t="inlineStr">
        <is>
          <t>15</t>
        </is>
      </c>
      <c r="F2054" t="inlineStr">
        <is>
          <t>D</t>
        </is>
      </c>
      <c r="G2054" t="inlineStr">
        <is>
          <t>Excellent</t>
        </is>
      </c>
      <c r="H2054" t="n">
        <v>110</v>
      </c>
      <c r="I2054">
        <f>B2054&amp;"|"&amp;F2054&amp;"|"&amp;G2054</f>
        <v/>
      </c>
      <c r="J2054" t="inlineStr">
        <is>
          <t>MVS Sec.17 p.15</t>
        </is>
      </c>
    </row>
    <row r="2055">
      <c r="B2055" t="inlineStr">
        <is>
          <t>Golf Cart Storage Buildings</t>
        </is>
      </c>
      <c r="C2055" t="inlineStr">
        <is>
          <t>523</t>
        </is>
      </c>
      <c r="D2055" t="inlineStr">
        <is>
          <t>17</t>
        </is>
      </c>
      <c r="E2055" t="inlineStr">
        <is>
          <t>15</t>
        </is>
      </c>
      <c r="F2055" t="inlineStr">
        <is>
          <t>D</t>
        </is>
      </c>
      <c r="G2055" t="inlineStr">
        <is>
          <t>Good</t>
        </is>
      </c>
      <c r="H2055" t="n">
        <v>84.5</v>
      </c>
      <c r="I2055">
        <f>B2055&amp;"|"&amp;F2055&amp;"|"&amp;G2055</f>
        <v/>
      </c>
      <c r="J2055" t="inlineStr">
        <is>
          <t>MVS Sec.17 p.15</t>
        </is>
      </c>
    </row>
    <row r="2056">
      <c r="B2056" t="inlineStr">
        <is>
          <t>Golf Cart Storage Buildings</t>
        </is>
      </c>
      <c r="C2056" t="inlineStr">
        <is>
          <t>523</t>
        </is>
      </c>
      <c r="D2056" t="inlineStr">
        <is>
          <t>17</t>
        </is>
      </c>
      <c r="E2056" t="inlineStr">
        <is>
          <t>15</t>
        </is>
      </c>
      <c r="F2056" t="inlineStr">
        <is>
          <t>D</t>
        </is>
      </c>
      <c r="G2056" t="inlineStr">
        <is>
          <t>Average</t>
        </is>
      </c>
      <c r="H2056" t="n">
        <v>65</v>
      </c>
      <c r="I2056">
        <f>B2056&amp;"|"&amp;F2056&amp;"|"&amp;G2056</f>
        <v/>
      </c>
      <c r="J2056" t="inlineStr">
        <is>
          <t>MVS Sec.17 p.15</t>
        </is>
      </c>
    </row>
    <row r="2057">
      <c r="B2057" t="inlineStr">
        <is>
          <t>Golf Cart Storage Buildings</t>
        </is>
      </c>
      <c r="C2057" t="inlineStr">
        <is>
          <t>523</t>
        </is>
      </c>
      <c r="D2057" t="inlineStr">
        <is>
          <t>17</t>
        </is>
      </c>
      <c r="E2057" t="inlineStr">
        <is>
          <t>15</t>
        </is>
      </c>
      <c r="F2057" t="inlineStr">
        <is>
          <t>DPOLE</t>
        </is>
      </c>
      <c r="G2057" t="inlineStr">
        <is>
          <t>Good</t>
        </is>
      </c>
      <c r="H2057" t="n">
        <v>71</v>
      </c>
      <c r="I2057">
        <f>B2057&amp;"|"&amp;F2057&amp;"|"&amp;G2057</f>
        <v/>
      </c>
      <c r="J2057" t="inlineStr">
        <is>
          <t>MVS Sec.17 p.15</t>
        </is>
      </c>
    </row>
    <row r="2058">
      <c r="B2058" t="inlineStr">
        <is>
          <t>Golf Cart Storage Buildings</t>
        </is>
      </c>
      <c r="C2058" t="inlineStr">
        <is>
          <t>523</t>
        </is>
      </c>
      <c r="D2058" t="inlineStr">
        <is>
          <t>17</t>
        </is>
      </c>
      <c r="E2058" t="inlineStr">
        <is>
          <t>15</t>
        </is>
      </c>
      <c r="F2058" t="inlineStr">
        <is>
          <t>DPOLE</t>
        </is>
      </c>
      <c r="G2058" t="inlineStr">
        <is>
          <t>Average</t>
        </is>
      </c>
      <c r="H2058" t="n">
        <v>56</v>
      </c>
      <c r="I2058">
        <f>B2058&amp;"|"&amp;F2058&amp;"|"&amp;G2058</f>
        <v/>
      </c>
      <c r="J2058" t="inlineStr">
        <is>
          <t>MVS Sec.17 p.15</t>
        </is>
      </c>
    </row>
    <row r="2059">
      <c r="B2059" t="inlineStr">
        <is>
          <t>Golf Cart Storage Buildings</t>
        </is>
      </c>
      <c r="C2059" t="inlineStr">
        <is>
          <t>523</t>
        </is>
      </c>
      <c r="D2059" t="inlineStr">
        <is>
          <t>17</t>
        </is>
      </c>
      <c r="E2059" t="inlineStr">
        <is>
          <t>15</t>
        </is>
      </c>
      <c r="F2059" t="inlineStr">
        <is>
          <t>S</t>
        </is>
      </c>
      <c r="G2059" t="inlineStr">
        <is>
          <t>Good</t>
        </is>
      </c>
      <c r="H2059" t="n">
        <v>77</v>
      </c>
      <c r="I2059">
        <f>B2059&amp;"|"&amp;F2059&amp;"|"&amp;G2059</f>
        <v/>
      </c>
      <c r="J2059" t="inlineStr">
        <is>
          <t>MVS Sec.17 p.15</t>
        </is>
      </c>
    </row>
    <row r="2060">
      <c r="B2060" t="inlineStr">
        <is>
          <t>Golf Cart Storage Buildings</t>
        </is>
      </c>
      <c r="C2060" t="inlineStr">
        <is>
          <t>523</t>
        </is>
      </c>
      <c r="D2060" t="inlineStr">
        <is>
          <t>17</t>
        </is>
      </c>
      <c r="E2060" t="inlineStr">
        <is>
          <t>15</t>
        </is>
      </c>
      <c r="F2060" t="inlineStr">
        <is>
          <t>S</t>
        </is>
      </c>
      <c r="G2060" t="inlineStr">
        <is>
          <t>Average</t>
        </is>
      </c>
      <c r="H2060" t="n">
        <v>60.5</v>
      </c>
      <c r="I2060">
        <f>B2060&amp;"|"&amp;F2060&amp;"|"&amp;G2060</f>
        <v/>
      </c>
      <c r="J2060" t="inlineStr">
        <is>
          <t>MVS Sec.17 p.15</t>
        </is>
      </c>
    </row>
    <row r="2061">
      <c r="B2061" t="inlineStr">
        <is>
          <t>Golf Cart Storage Buildings</t>
        </is>
      </c>
      <c r="C2061" t="inlineStr">
        <is>
          <t>523</t>
        </is>
      </c>
      <c r="D2061" t="inlineStr">
        <is>
          <t>17</t>
        </is>
      </c>
      <c r="E2061" t="inlineStr">
        <is>
          <t>15</t>
        </is>
      </c>
      <c r="F2061" t="inlineStr">
        <is>
          <t>SSLANT</t>
        </is>
      </c>
      <c r="G2061" t="inlineStr">
        <is>
          <t>Average</t>
        </is>
      </c>
      <c r="H2061" t="n">
        <v>57.5</v>
      </c>
      <c r="I2061">
        <f>B2061&amp;"|"&amp;F2061&amp;"|"&amp;G2061</f>
        <v/>
      </c>
      <c r="J2061" t="inlineStr">
        <is>
          <t>MVS Sec.17 p.15</t>
        </is>
      </c>
    </row>
    <row r="2062">
      <c r="B2062" t="inlineStr">
        <is>
          <t>Golf Starter (Guard House) Booths</t>
        </is>
      </c>
      <c r="C2062" t="inlineStr">
        <is>
          <t>183</t>
        </is>
      </c>
      <c r="D2062" t="inlineStr">
        <is>
          <t>17</t>
        </is>
      </c>
      <c r="E2062" t="inlineStr">
        <is>
          <t>15</t>
        </is>
      </c>
      <c r="F2062" t="inlineStr">
        <is>
          <t>C</t>
        </is>
      </c>
      <c r="G2062" t="inlineStr">
        <is>
          <t>Excellent</t>
        </is>
      </c>
      <c r="H2062" t="n">
        <v>208</v>
      </c>
      <c r="I2062">
        <f>B2062&amp;"|"&amp;F2062&amp;"|"&amp;G2062</f>
        <v/>
      </c>
      <c r="J2062" t="inlineStr">
        <is>
          <t>MVS Sec.17 p.15</t>
        </is>
      </c>
    </row>
    <row r="2063">
      <c r="B2063" t="inlineStr">
        <is>
          <t>Golf Starter (Guard House) Booths</t>
        </is>
      </c>
      <c r="C2063" t="inlineStr">
        <is>
          <t>183</t>
        </is>
      </c>
      <c r="D2063" t="inlineStr">
        <is>
          <t>17</t>
        </is>
      </c>
      <c r="E2063" t="inlineStr">
        <is>
          <t>15</t>
        </is>
      </c>
      <c r="F2063" t="inlineStr">
        <is>
          <t>C</t>
        </is>
      </c>
      <c r="G2063" t="inlineStr">
        <is>
          <t>Good</t>
        </is>
      </c>
      <c r="H2063" t="n">
        <v>152</v>
      </c>
      <c r="I2063">
        <f>B2063&amp;"|"&amp;F2063&amp;"|"&amp;G2063</f>
        <v/>
      </c>
      <c r="J2063" t="inlineStr">
        <is>
          <t>MVS Sec.17 p.15</t>
        </is>
      </c>
    </row>
    <row r="2064">
      <c r="B2064" t="inlineStr">
        <is>
          <t>Golf Starter (Guard House) Booths</t>
        </is>
      </c>
      <c r="C2064" t="inlineStr">
        <is>
          <t>183</t>
        </is>
      </c>
      <c r="D2064" t="inlineStr">
        <is>
          <t>17</t>
        </is>
      </c>
      <c r="E2064" t="inlineStr">
        <is>
          <t>15</t>
        </is>
      </c>
      <c r="F2064" t="inlineStr">
        <is>
          <t>C</t>
        </is>
      </c>
      <c r="G2064" t="inlineStr">
        <is>
          <t>Average</t>
        </is>
      </c>
      <c r="H2064" t="n">
        <v>108</v>
      </c>
      <c r="I2064">
        <f>B2064&amp;"|"&amp;F2064&amp;"|"&amp;G2064</f>
        <v/>
      </c>
      <c r="J2064" t="inlineStr">
        <is>
          <t>MVS Sec.17 p.15</t>
        </is>
      </c>
    </row>
    <row r="2065">
      <c r="B2065" t="inlineStr">
        <is>
          <t>Golf Starter (Guard House) Booths</t>
        </is>
      </c>
      <c r="C2065" t="inlineStr">
        <is>
          <t>183</t>
        </is>
      </c>
      <c r="D2065" t="inlineStr">
        <is>
          <t>17</t>
        </is>
      </c>
      <c r="E2065" t="inlineStr">
        <is>
          <t>15</t>
        </is>
      </c>
      <c r="F2065" t="inlineStr">
        <is>
          <t>D</t>
        </is>
      </c>
      <c r="G2065" t="inlineStr">
        <is>
          <t>Excellent</t>
        </is>
      </c>
      <c r="H2065" t="n">
        <v>203</v>
      </c>
      <c r="I2065">
        <f>B2065&amp;"|"&amp;F2065&amp;"|"&amp;G2065</f>
        <v/>
      </c>
      <c r="J2065" t="inlineStr">
        <is>
          <t>MVS Sec.17 p.15</t>
        </is>
      </c>
    </row>
    <row r="2066">
      <c r="B2066" t="inlineStr">
        <is>
          <t>Golf Starter (Guard House) Booths</t>
        </is>
      </c>
      <c r="C2066" t="inlineStr">
        <is>
          <t>183</t>
        </is>
      </c>
      <c r="D2066" t="inlineStr">
        <is>
          <t>17</t>
        </is>
      </c>
      <c r="E2066" t="inlineStr">
        <is>
          <t>15</t>
        </is>
      </c>
      <c r="F2066" t="inlineStr">
        <is>
          <t>D</t>
        </is>
      </c>
      <c r="G2066" t="inlineStr">
        <is>
          <t>Good</t>
        </is>
      </c>
      <c r="H2066" t="n">
        <v>147</v>
      </c>
      <c r="I2066">
        <f>B2066&amp;"|"&amp;F2066&amp;"|"&amp;G2066</f>
        <v/>
      </c>
      <c r="J2066" t="inlineStr">
        <is>
          <t>MVS Sec.17 p.15</t>
        </is>
      </c>
    </row>
    <row r="2067">
      <c r="B2067" t="inlineStr">
        <is>
          <t>Golf Starter (Guard House) Booths</t>
        </is>
      </c>
      <c r="C2067" t="inlineStr">
        <is>
          <t>183</t>
        </is>
      </c>
      <c r="D2067" t="inlineStr">
        <is>
          <t>17</t>
        </is>
      </c>
      <c r="E2067" t="inlineStr">
        <is>
          <t>15</t>
        </is>
      </c>
      <c r="F2067" t="inlineStr">
        <is>
          <t>D</t>
        </is>
      </c>
      <c r="G2067" t="inlineStr">
        <is>
          <t>Average</t>
        </is>
      </c>
      <c r="H2067" t="n">
        <v>103</v>
      </c>
      <c r="I2067">
        <f>B2067&amp;"|"&amp;F2067&amp;"|"&amp;G2067</f>
        <v/>
      </c>
      <c r="J2067" t="inlineStr">
        <is>
          <t>MVS Sec.17 p.15</t>
        </is>
      </c>
    </row>
    <row r="2068">
      <c r="B2068" t="inlineStr">
        <is>
          <t>Golf Starter (Guard House) Booths</t>
        </is>
      </c>
      <c r="C2068" t="inlineStr">
        <is>
          <t>183</t>
        </is>
      </c>
      <c r="D2068" t="inlineStr">
        <is>
          <t>17</t>
        </is>
      </c>
      <c r="E2068" t="inlineStr">
        <is>
          <t>15</t>
        </is>
      </c>
      <c r="F2068" t="inlineStr">
        <is>
          <t>D</t>
        </is>
      </c>
      <c r="G2068" t="inlineStr">
        <is>
          <t>Low Cost</t>
        </is>
      </c>
      <c r="H2068" t="n">
        <v>74.5</v>
      </c>
      <c r="I2068">
        <f>B2068&amp;"|"&amp;F2068&amp;"|"&amp;G2068</f>
        <v/>
      </c>
      <c r="J2068" t="inlineStr">
        <is>
          <t>MVS Sec.17 p.15</t>
        </is>
      </c>
    </row>
    <row r="2069">
      <c r="B2069" t="inlineStr">
        <is>
          <t>Golf Starter (Guard House) Booths</t>
        </is>
      </c>
      <c r="C2069" t="inlineStr">
        <is>
          <t>183</t>
        </is>
      </c>
      <c r="D2069" t="inlineStr">
        <is>
          <t>17</t>
        </is>
      </c>
      <c r="E2069" t="inlineStr">
        <is>
          <t>15</t>
        </is>
      </c>
      <c r="F2069" t="inlineStr">
        <is>
          <t>DPOLE</t>
        </is>
      </c>
      <c r="G2069" t="inlineStr">
        <is>
          <t>Average</t>
        </is>
      </c>
      <c r="H2069" t="n">
        <v>99</v>
      </c>
      <c r="I2069">
        <f>B2069&amp;"|"&amp;F2069&amp;"|"&amp;G2069</f>
        <v/>
      </c>
      <c r="J2069" t="inlineStr">
        <is>
          <t>MVS Sec.17 p.15</t>
        </is>
      </c>
    </row>
    <row r="2070">
      <c r="B2070" t="inlineStr">
        <is>
          <t>Golf Starter (Guard House) Booths</t>
        </is>
      </c>
      <c r="C2070" t="inlineStr">
        <is>
          <t>183</t>
        </is>
      </c>
      <c r="D2070" t="inlineStr">
        <is>
          <t>17</t>
        </is>
      </c>
      <c r="E2070" t="inlineStr">
        <is>
          <t>15</t>
        </is>
      </c>
      <c r="F2070" t="inlineStr">
        <is>
          <t>DPOLE</t>
        </is>
      </c>
      <c r="G2070" t="inlineStr">
        <is>
          <t>Low Cost</t>
        </is>
      </c>
      <c r="H2070" t="n">
        <v>72.5</v>
      </c>
      <c r="I2070">
        <f>B2070&amp;"|"&amp;F2070&amp;"|"&amp;G2070</f>
        <v/>
      </c>
      <c r="J2070" t="inlineStr">
        <is>
          <t>MVS Sec.17 p.15</t>
        </is>
      </c>
    </row>
    <row r="2071">
      <c r="B2071" t="inlineStr">
        <is>
          <t>Golf Starter (Guard House) Booths</t>
        </is>
      </c>
      <c r="C2071" t="inlineStr">
        <is>
          <t>183</t>
        </is>
      </c>
      <c r="D2071" t="inlineStr">
        <is>
          <t>17</t>
        </is>
      </c>
      <c r="E2071" t="inlineStr">
        <is>
          <t>15</t>
        </is>
      </c>
      <c r="F2071" t="inlineStr">
        <is>
          <t>S</t>
        </is>
      </c>
      <c r="G2071" t="inlineStr">
        <is>
          <t>Good</t>
        </is>
      </c>
      <c r="H2071" t="n">
        <v>144</v>
      </c>
      <c r="I2071">
        <f>B2071&amp;"|"&amp;F2071&amp;"|"&amp;G2071</f>
        <v/>
      </c>
      <c r="J2071" t="inlineStr">
        <is>
          <t>MVS Sec.17 p.15</t>
        </is>
      </c>
    </row>
    <row r="2072">
      <c r="B2072" t="inlineStr">
        <is>
          <t>Golf Starter (Guard House) Booths</t>
        </is>
      </c>
      <c r="C2072" t="inlineStr">
        <is>
          <t>183</t>
        </is>
      </c>
      <c r="D2072" t="inlineStr">
        <is>
          <t>17</t>
        </is>
      </c>
      <c r="E2072" t="inlineStr">
        <is>
          <t>15</t>
        </is>
      </c>
      <c r="F2072" t="inlineStr">
        <is>
          <t>S</t>
        </is>
      </c>
      <c r="G2072" t="inlineStr">
        <is>
          <t>Average</t>
        </is>
      </c>
      <c r="H2072" t="n">
        <v>102</v>
      </c>
      <c r="I2072">
        <f>B2072&amp;"|"&amp;F2072&amp;"|"&amp;G2072</f>
        <v/>
      </c>
      <c r="J2072" t="inlineStr">
        <is>
          <t>MVS Sec.17 p.15</t>
        </is>
      </c>
    </row>
    <row r="2073">
      <c r="B2073" t="inlineStr">
        <is>
          <t>Golf Starter (Guard House) Booths</t>
        </is>
      </c>
      <c r="C2073" t="inlineStr">
        <is>
          <t>183</t>
        </is>
      </c>
      <c r="D2073" t="inlineStr">
        <is>
          <t>17</t>
        </is>
      </c>
      <c r="E2073" t="inlineStr">
        <is>
          <t>15</t>
        </is>
      </c>
      <c r="F2073" t="inlineStr">
        <is>
          <t>S</t>
        </is>
      </c>
      <c r="G2073" t="inlineStr">
        <is>
          <t>Low Cost</t>
        </is>
      </c>
      <c r="H2073" t="n">
        <v>74</v>
      </c>
      <c r="I2073">
        <f>B2073&amp;"|"&amp;F2073&amp;"|"&amp;G2073</f>
        <v/>
      </c>
      <c r="J2073" t="inlineStr">
        <is>
          <t>MVS Sec.17 p.15</t>
        </is>
      </c>
    </row>
    <row r="2074">
      <c r="B2074" t="inlineStr">
        <is>
          <t>Material Storage Buildings</t>
        </is>
      </c>
      <c r="C2074" t="inlineStr">
        <is>
          <t>391</t>
        </is>
      </c>
      <c r="D2074" t="inlineStr">
        <is>
          <t>17</t>
        </is>
      </c>
      <c r="E2074" t="inlineStr">
        <is>
          <t>16</t>
        </is>
      </c>
      <c r="F2074" t="inlineStr">
        <is>
          <t>C</t>
        </is>
      </c>
      <c r="G2074" t="inlineStr">
        <is>
          <t>Very Good</t>
        </is>
      </c>
      <c r="H2074" t="n">
        <v>62</v>
      </c>
      <c r="I2074">
        <f>B2074&amp;"|"&amp;F2074&amp;"|"&amp;G2074</f>
        <v/>
      </c>
      <c r="J2074" t="inlineStr">
        <is>
          <t>MVS Sec.17 p.16</t>
        </is>
      </c>
    </row>
    <row r="2075">
      <c r="B2075" t="inlineStr">
        <is>
          <t>Material Storage Buildings</t>
        </is>
      </c>
      <c r="C2075" t="inlineStr">
        <is>
          <t>391</t>
        </is>
      </c>
      <c r="D2075" t="inlineStr">
        <is>
          <t>17</t>
        </is>
      </c>
      <c r="E2075" t="inlineStr">
        <is>
          <t>16</t>
        </is>
      </c>
      <c r="F2075" t="inlineStr">
        <is>
          <t>C</t>
        </is>
      </c>
      <c r="G2075" t="inlineStr">
        <is>
          <t>Good</t>
        </is>
      </c>
      <c r="H2075" t="n">
        <v>54</v>
      </c>
      <c r="I2075">
        <f>B2075&amp;"|"&amp;F2075&amp;"|"&amp;G2075</f>
        <v/>
      </c>
      <c r="J2075" t="inlineStr">
        <is>
          <t>MVS Sec.17 p.16</t>
        </is>
      </c>
    </row>
    <row r="2076">
      <c r="B2076" t="inlineStr">
        <is>
          <t>Material Storage Buildings</t>
        </is>
      </c>
      <c r="C2076" t="inlineStr">
        <is>
          <t>391</t>
        </is>
      </c>
      <c r="D2076" t="inlineStr">
        <is>
          <t>17</t>
        </is>
      </c>
      <c r="E2076" t="inlineStr">
        <is>
          <t>16</t>
        </is>
      </c>
      <c r="F2076" t="inlineStr">
        <is>
          <t>C</t>
        </is>
      </c>
      <c r="G2076" t="inlineStr">
        <is>
          <t>Average</t>
        </is>
      </c>
      <c r="H2076" t="n">
        <v>41.5</v>
      </c>
      <c r="I2076">
        <f>B2076&amp;"|"&amp;F2076&amp;"|"&amp;G2076</f>
        <v/>
      </c>
      <c r="J2076" t="inlineStr">
        <is>
          <t>MVS Sec.17 p.16</t>
        </is>
      </c>
    </row>
    <row r="2077">
      <c r="B2077" t="inlineStr">
        <is>
          <t>Material Storage Buildings</t>
        </is>
      </c>
      <c r="C2077" t="inlineStr">
        <is>
          <t>391</t>
        </is>
      </c>
      <c r="D2077" t="inlineStr">
        <is>
          <t>17</t>
        </is>
      </c>
      <c r="E2077" t="inlineStr">
        <is>
          <t>16</t>
        </is>
      </c>
      <c r="F2077" t="inlineStr">
        <is>
          <t>D</t>
        </is>
      </c>
      <c r="G2077" t="inlineStr">
        <is>
          <t>Very Good</t>
        </is>
      </c>
      <c r="H2077" t="n">
        <v>57</v>
      </c>
      <c r="I2077">
        <f>B2077&amp;"|"&amp;F2077&amp;"|"&amp;G2077</f>
        <v/>
      </c>
      <c r="J2077" t="inlineStr">
        <is>
          <t>MVS Sec.17 p.16</t>
        </is>
      </c>
    </row>
    <row r="2078">
      <c r="B2078" t="inlineStr">
        <is>
          <t>Material Storage Buildings</t>
        </is>
      </c>
      <c r="C2078" t="inlineStr">
        <is>
          <t>391</t>
        </is>
      </c>
      <c r="D2078" t="inlineStr">
        <is>
          <t>17</t>
        </is>
      </c>
      <c r="E2078" t="inlineStr">
        <is>
          <t>16</t>
        </is>
      </c>
      <c r="F2078" t="inlineStr">
        <is>
          <t>D</t>
        </is>
      </c>
      <c r="G2078" t="inlineStr">
        <is>
          <t>Good</t>
        </is>
      </c>
      <c r="H2078" t="n">
        <v>47.25</v>
      </c>
      <c r="I2078">
        <f>B2078&amp;"|"&amp;F2078&amp;"|"&amp;G2078</f>
        <v/>
      </c>
      <c r="J2078" t="inlineStr">
        <is>
          <t>MVS Sec.17 p.16</t>
        </is>
      </c>
    </row>
    <row r="2079">
      <c r="B2079" t="inlineStr">
        <is>
          <t>Material Storage Buildings</t>
        </is>
      </c>
      <c r="C2079" t="inlineStr">
        <is>
          <t>391</t>
        </is>
      </c>
      <c r="D2079" t="inlineStr">
        <is>
          <t>17</t>
        </is>
      </c>
      <c r="E2079" t="inlineStr">
        <is>
          <t>16</t>
        </is>
      </c>
      <c r="F2079" t="inlineStr">
        <is>
          <t>D</t>
        </is>
      </c>
      <c r="G2079" t="inlineStr">
        <is>
          <t>Average</t>
        </is>
      </c>
      <c r="H2079" t="n">
        <v>32.5</v>
      </c>
      <c r="I2079">
        <f>B2079&amp;"|"&amp;F2079&amp;"|"&amp;G2079</f>
        <v/>
      </c>
      <c r="J2079" t="inlineStr">
        <is>
          <t>MVS Sec.17 p.16</t>
        </is>
      </c>
    </row>
    <row r="2080">
      <c r="B2080" t="inlineStr">
        <is>
          <t>Material Storage Buildings</t>
        </is>
      </c>
      <c r="C2080" t="inlineStr">
        <is>
          <t>391</t>
        </is>
      </c>
      <c r="D2080" t="inlineStr">
        <is>
          <t>17</t>
        </is>
      </c>
      <c r="E2080" t="inlineStr">
        <is>
          <t>16</t>
        </is>
      </c>
      <c r="F2080" t="inlineStr">
        <is>
          <t>DPOLE</t>
        </is>
      </c>
      <c r="G2080" t="inlineStr">
        <is>
          <t>Average</t>
        </is>
      </c>
      <c r="H2080" t="n">
        <v>29</v>
      </c>
      <c r="I2080">
        <f>B2080&amp;"|"&amp;F2080&amp;"|"&amp;G2080</f>
        <v/>
      </c>
      <c r="J2080" t="inlineStr">
        <is>
          <t>MVS Sec.17 p.16</t>
        </is>
      </c>
    </row>
    <row r="2081">
      <c r="B2081" t="inlineStr">
        <is>
          <t>Material Storage Buildings</t>
        </is>
      </c>
      <c r="C2081" t="inlineStr">
        <is>
          <t>391</t>
        </is>
      </c>
      <c r="D2081" t="inlineStr">
        <is>
          <t>17</t>
        </is>
      </c>
      <c r="E2081" t="inlineStr">
        <is>
          <t>16</t>
        </is>
      </c>
      <c r="F2081" t="inlineStr">
        <is>
          <t>S</t>
        </is>
      </c>
      <c r="G2081" t="inlineStr">
        <is>
          <t>Very Good</t>
        </is>
      </c>
      <c r="H2081" t="n">
        <v>56.5</v>
      </c>
      <c r="I2081">
        <f>B2081&amp;"|"&amp;F2081&amp;"|"&amp;G2081</f>
        <v/>
      </c>
      <c r="J2081" t="inlineStr">
        <is>
          <t>MVS Sec.17 p.16</t>
        </is>
      </c>
    </row>
    <row r="2082">
      <c r="B2082" t="inlineStr">
        <is>
          <t>Material Storage Buildings</t>
        </is>
      </c>
      <c r="C2082" t="inlineStr">
        <is>
          <t>391</t>
        </is>
      </c>
      <c r="D2082" t="inlineStr">
        <is>
          <t>17</t>
        </is>
      </c>
      <c r="E2082" t="inlineStr">
        <is>
          <t>16</t>
        </is>
      </c>
      <c r="F2082" t="inlineStr">
        <is>
          <t>S</t>
        </is>
      </c>
      <c r="G2082" t="inlineStr">
        <is>
          <t>Good</t>
        </is>
      </c>
      <c r="H2082" t="n">
        <v>47.25</v>
      </c>
      <c r="I2082">
        <f>B2082&amp;"|"&amp;F2082&amp;"|"&amp;G2082</f>
        <v/>
      </c>
      <c r="J2082" t="inlineStr">
        <is>
          <t>MVS Sec.17 p.16</t>
        </is>
      </c>
    </row>
    <row r="2083">
      <c r="B2083" t="inlineStr">
        <is>
          <t>Material Storage Buildings</t>
        </is>
      </c>
      <c r="C2083" t="inlineStr">
        <is>
          <t>391</t>
        </is>
      </c>
      <c r="D2083" t="inlineStr">
        <is>
          <t>17</t>
        </is>
      </c>
      <c r="E2083" t="inlineStr">
        <is>
          <t>16</t>
        </is>
      </c>
      <c r="F2083" t="inlineStr">
        <is>
          <t>S</t>
        </is>
      </c>
      <c r="G2083" t="inlineStr">
        <is>
          <t>Average</t>
        </is>
      </c>
      <c r="H2083" t="n">
        <v>32.75</v>
      </c>
      <c r="I2083">
        <f>B2083&amp;"|"&amp;F2083&amp;"|"&amp;G2083</f>
        <v/>
      </c>
      <c r="J2083" t="inlineStr">
        <is>
          <t>MVS Sec.17 p.16</t>
        </is>
      </c>
    </row>
    <row r="2084">
      <c r="B2084" t="inlineStr">
        <is>
          <t>Material Storage Buildings</t>
        </is>
      </c>
      <c r="C2084" t="inlineStr">
        <is>
          <t>391</t>
        </is>
      </c>
      <c r="D2084" t="inlineStr">
        <is>
          <t>17</t>
        </is>
      </c>
      <c r="E2084" t="inlineStr">
        <is>
          <t>16</t>
        </is>
      </c>
      <c r="F2084" t="inlineStr">
        <is>
          <t>SSLANT</t>
        </is>
      </c>
      <c r="G2084" t="inlineStr">
        <is>
          <t>Average</t>
        </is>
      </c>
      <c r="H2084" t="n">
        <v>30</v>
      </c>
      <c r="I2084">
        <f>B2084&amp;"|"&amp;F2084&amp;"|"&amp;G2084</f>
        <v/>
      </c>
      <c r="J2084" t="inlineStr">
        <is>
          <t>MVS Sec.17 p.16</t>
        </is>
      </c>
    </row>
    <row r="2085">
      <c r="B2085" t="inlineStr">
        <is>
          <t>Material Storage Sheds</t>
        </is>
      </c>
      <c r="C2085" t="inlineStr">
        <is>
          <t>468</t>
        </is>
      </c>
      <c r="D2085" t="inlineStr">
        <is>
          <t>17</t>
        </is>
      </c>
      <c r="E2085" t="inlineStr">
        <is>
          <t>16</t>
        </is>
      </c>
      <c r="F2085" t="inlineStr">
        <is>
          <t>C</t>
        </is>
      </c>
      <c r="G2085" t="inlineStr">
        <is>
          <t>Average</t>
        </is>
      </c>
      <c r="H2085" t="n">
        <v>28.75</v>
      </c>
      <c r="I2085">
        <f>B2085&amp;"|"&amp;F2085&amp;"|"&amp;G2085</f>
        <v/>
      </c>
      <c r="J2085" t="inlineStr">
        <is>
          <t>MVS Sec.17 p.16</t>
        </is>
      </c>
    </row>
    <row r="2086">
      <c r="B2086" t="inlineStr">
        <is>
          <t>Material Storage Sheds</t>
        </is>
      </c>
      <c r="C2086" t="inlineStr">
        <is>
          <t>468</t>
        </is>
      </c>
      <c r="D2086" t="inlineStr">
        <is>
          <t>17</t>
        </is>
      </c>
      <c r="E2086" t="inlineStr">
        <is>
          <t>16</t>
        </is>
      </c>
      <c r="F2086" t="inlineStr">
        <is>
          <t>C</t>
        </is>
      </c>
      <c r="G2086" t="inlineStr">
        <is>
          <t>Low Cost</t>
        </is>
      </c>
      <c r="H2086" t="n">
        <v>21.8</v>
      </c>
      <c r="I2086">
        <f>B2086&amp;"|"&amp;F2086&amp;"|"&amp;G2086</f>
        <v/>
      </c>
      <c r="J2086" t="inlineStr">
        <is>
          <t>MVS Sec.17 p.16</t>
        </is>
      </c>
    </row>
    <row r="2087">
      <c r="B2087" t="inlineStr">
        <is>
          <t>Material Storage Sheds</t>
        </is>
      </c>
      <c r="C2087" t="inlineStr">
        <is>
          <t>468</t>
        </is>
      </c>
      <c r="D2087" t="inlineStr">
        <is>
          <t>17</t>
        </is>
      </c>
      <c r="E2087" t="inlineStr">
        <is>
          <t>16</t>
        </is>
      </c>
      <c r="F2087" t="inlineStr">
        <is>
          <t>D</t>
        </is>
      </c>
      <c r="G2087" t="inlineStr">
        <is>
          <t>Average</t>
        </is>
      </c>
      <c r="H2087" t="n">
        <v>22.8</v>
      </c>
      <c r="I2087">
        <f>B2087&amp;"|"&amp;F2087&amp;"|"&amp;G2087</f>
        <v/>
      </c>
      <c r="J2087" t="inlineStr">
        <is>
          <t>MVS Sec.17 p.16</t>
        </is>
      </c>
    </row>
    <row r="2088">
      <c r="B2088" t="inlineStr">
        <is>
          <t>Material Storage Sheds</t>
        </is>
      </c>
      <c r="C2088" t="inlineStr">
        <is>
          <t>468</t>
        </is>
      </c>
      <c r="D2088" t="inlineStr">
        <is>
          <t>17</t>
        </is>
      </c>
      <c r="E2088" t="inlineStr">
        <is>
          <t>16</t>
        </is>
      </c>
      <c r="F2088" t="inlineStr">
        <is>
          <t>D</t>
        </is>
      </c>
      <c r="G2088" t="inlineStr">
        <is>
          <t>Low Cost</t>
        </is>
      </c>
      <c r="H2088" t="n">
        <v>16.05</v>
      </c>
      <c r="I2088">
        <f>B2088&amp;"|"&amp;F2088&amp;"|"&amp;G2088</f>
        <v/>
      </c>
      <c r="J2088" t="inlineStr">
        <is>
          <t>MVS Sec.17 p.16</t>
        </is>
      </c>
    </row>
    <row r="2089">
      <c r="B2089" t="inlineStr">
        <is>
          <t>Material Storage Sheds</t>
        </is>
      </c>
      <c r="C2089" t="inlineStr">
        <is>
          <t>468</t>
        </is>
      </c>
      <c r="D2089" t="inlineStr">
        <is>
          <t>17</t>
        </is>
      </c>
      <c r="E2089" t="inlineStr">
        <is>
          <t>16</t>
        </is>
      </c>
      <c r="F2089" t="inlineStr">
        <is>
          <t>DPOLE</t>
        </is>
      </c>
      <c r="G2089" t="inlineStr">
        <is>
          <t>Average</t>
        </is>
      </c>
      <c r="H2089" t="n">
        <v>18.6</v>
      </c>
      <c r="I2089">
        <f>B2089&amp;"|"&amp;F2089&amp;"|"&amp;G2089</f>
        <v/>
      </c>
      <c r="J2089" t="inlineStr">
        <is>
          <t>MVS Sec.17 p.16</t>
        </is>
      </c>
    </row>
    <row r="2090">
      <c r="B2090" t="inlineStr">
        <is>
          <t>Material Storage Sheds</t>
        </is>
      </c>
      <c r="C2090" t="inlineStr">
        <is>
          <t>468</t>
        </is>
      </c>
      <c r="D2090" t="inlineStr">
        <is>
          <t>17</t>
        </is>
      </c>
      <c r="E2090" t="inlineStr">
        <is>
          <t>16</t>
        </is>
      </c>
      <c r="F2090" t="inlineStr">
        <is>
          <t>DPOLE</t>
        </is>
      </c>
      <c r="G2090" t="inlineStr">
        <is>
          <t>Low Cost</t>
        </is>
      </c>
      <c r="H2090" t="n">
        <v>12.95</v>
      </c>
      <c r="I2090">
        <f>B2090&amp;"|"&amp;F2090&amp;"|"&amp;G2090</f>
        <v/>
      </c>
      <c r="J2090" t="inlineStr">
        <is>
          <t>MVS Sec.17 p.16</t>
        </is>
      </c>
    </row>
    <row r="2091">
      <c r="B2091" t="inlineStr">
        <is>
          <t>Material Storage Sheds</t>
        </is>
      </c>
      <c r="C2091" t="inlineStr">
        <is>
          <t>468</t>
        </is>
      </c>
      <c r="D2091" t="inlineStr">
        <is>
          <t>17</t>
        </is>
      </c>
      <c r="E2091" t="inlineStr">
        <is>
          <t>16</t>
        </is>
      </c>
      <c r="F2091" t="inlineStr">
        <is>
          <t>S</t>
        </is>
      </c>
      <c r="G2091" t="inlineStr">
        <is>
          <t>Average</t>
        </is>
      </c>
      <c r="H2091" t="n">
        <v>21.55</v>
      </c>
      <c r="I2091">
        <f>B2091&amp;"|"&amp;F2091&amp;"|"&amp;G2091</f>
        <v/>
      </c>
      <c r="J2091" t="inlineStr">
        <is>
          <t>MVS Sec.17 p.16</t>
        </is>
      </c>
    </row>
    <row r="2092">
      <c r="B2092" t="inlineStr">
        <is>
          <t>Material Storage Sheds</t>
        </is>
      </c>
      <c r="C2092" t="inlineStr">
        <is>
          <t>468</t>
        </is>
      </c>
      <c r="D2092" t="inlineStr">
        <is>
          <t>17</t>
        </is>
      </c>
      <c r="E2092" t="inlineStr">
        <is>
          <t>16</t>
        </is>
      </c>
      <c r="F2092" t="inlineStr">
        <is>
          <t>S</t>
        </is>
      </c>
      <c r="G2092" t="inlineStr">
        <is>
          <t>Low Cost</t>
        </is>
      </c>
      <c r="H2092" t="n">
        <v>15.5</v>
      </c>
      <c r="I2092">
        <f>B2092&amp;"|"&amp;F2092&amp;"|"&amp;G2092</f>
        <v/>
      </c>
      <c r="J2092" t="inlineStr">
        <is>
          <t>MVS Sec.17 p.16</t>
        </is>
      </c>
    </row>
    <row r="2093">
      <c r="B2093" t="inlineStr">
        <is>
          <t>Material Storage Sheds</t>
        </is>
      </c>
      <c r="C2093" t="inlineStr">
        <is>
          <t>468</t>
        </is>
      </c>
      <c r="D2093" t="inlineStr">
        <is>
          <t>17</t>
        </is>
      </c>
      <c r="E2093" t="inlineStr">
        <is>
          <t>16</t>
        </is>
      </c>
      <c r="F2093" t="inlineStr">
        <is>
          <t>SSLANT</t>
        </is>
      </c>
      <c r="G2093" t="inlineStr">
        <is>
          <t>Average</t>
        </is>
      </c>
      <c r="H2093" t="n">
        <v>20.05</v>
      </c>
      <c r="I2093">
        <f>B2093&amp;"|"&amp;F2093&amp;"|"&amp;G2093</f>
        <v/>
      </c>
      <c r="J2093" t="inlineStr">
        <is>
          <t>MVS Sec.17 p.16</t>
        </is>
      </c>
    </row>
    <row r="2094">
      <c r="B2094" t="inlineStr">
        <is>
          <t>Material Storage Sheds</t>
        </is>
      </c>
      <c r="C2094" t="inlineStr">
        <is>
          <t>468</t>
        </is>
      </c>
      <c r="D2094" t="inlineStr">
        <is>
          <t>17</t>
        </is>
      </c>
      <c r="E2094" t="inlineStr">
        <is>
          <t>16</t>
        </is>
      </c>
      <c r="F2094" t="inlineStr">
        <is>
          <t>SSLANT</t>
        </is>
      </c>
      <c r="G2094" t="inlineStr">
        <is>
          <t>Low Cost</t>
        </is>
      </c>
      <c r="H2094" t="n">
        <v>14.35</v>
      </c>
      <c r="I2094">
        <f>B2094&amp;"|"&amp;F2094&amp;"|"&amp;G2094</f>
        <v/>
      </c>
      <c r="J2094" t="inlineStr">
        <is>
          <t>MVS Sec.17 p.16</t>
        </is>
      </c>
    </row>
    <row r="2095">
      <c r="B2095" t="inlineStr">
        <is>
          <t>Bulk Oil Storage</t>
        </is>
      </c>
      <c r="C2095" t="inlineStr">
        <is>
          <t>556</t>
        </is>
      </c>
      <c r="D2095" t="inlineStr">
        <is>
          <t>17</t>
        </is>
      </c>
      <c r="E2095" t="inlineStr">
        <is>
          <t>16</t>
        </is>
      </c>
      <c r="F2095" t="inlineStr">
        <is>
          <t>D</t>
        </is>
      </c>
      <c r="G2095" t="inlineStr">
        <is>
          <t>Average</t>
        </is>
      </c>
      <c r="H2095" t="n">
        <v>45.5</v>
      </c>
      <c r="I2095">
        <f>B2095&amp;"|"&amp;F2095&amp;"|"&amp;G2095</f>
        <v/>
      </c>
      <c r="J2095" t="inlineStr">
        <is>
          <t>MVS Sec.17 p.16</t>
        </is>
      </c>
    </row>
    <row r="2096">
      <c r="B2096" t="inlineStr">
        <is>
          <t>Bulk Oil Storage</t>
        </is>
      </c>
      <c r="C2096" t="inlineStr">
        <is>
          <t>556</t>
        </is>
      </c>
      <c r="D2096" t="inlineStr">
        <is>
          <t>17</t>
        </is>
      </c>
      <c r="E2096" t="inlineStr">
        <is>
          <t>16</t>
        </is>
      </c>
      <c r="F2096" t="inlineStr">
        <is>
          <t>DPOLE</t>
        </is>
      </c>
      <c r="G2096" t="inlineStr">
        <is>
          <t>Average</t>
        </is>
      </c>
      <c r="H2096" t="n">
        <v>42.75</v>
      </c>
      <c r="I2096">
        <f>B2096&amp;"|"&amp;F2096&amp;"|"&amp;G2096</f>
        <v/>
      </c>
      <c r="J2096" t="inlineStr">
        <is>
          <t>MVS Sec.17 p.16</t>
        </is>
      </c>
    </row>
    <row r="2097">
      <c r="B2097" t="inlineStr">
        <is>
          <t>Bulk Oil Storage</t>
        </is>
      </c>
      <c r="C2097" t="inlineStr">
        <is>
          <t>556</t>
        </is>
      </c>
      <c r="D2097" t="inlineStr">
        <is>
          <t>17</t>
        </is>
      </c>
      <c r="E2097" t="inlineStr">
        <is>
          <t>16</t>
        </is>
      </c>
      <c r="F2097" t="inlineStr">
        <is>
          <t>S</t>
        </is>
      </c>
      <c r="G2097" t="inlineStr">
        <is>
          <t>Average</t>
        </is>
      </c>
      <c r="H2097" t="n">
        <v>44.25</v>
      </c>
      <c r="I2097">
        <f>B2097&amp;"|"&amp;F2097&amp;"|"&amp;G2097</f>
        <v/>
      </c>
      <c r="J2097" t="inlineStr">
        <is>
          <t>MVS Sec.17 p.16</t>
        </is>
      </c>
    </row>
    <row r="2098">
      <c r="B2098" t="inlineStr">
        <is>
          <t>Lumber Storage Buildings</t>
        </is>
      </c>
      <c r="C2098" t="inlineStr">
        <is>
          <t>390</t>
        </is>
      </c>
      <c r="D2098" t="inlineStr">
        <is>
          <t>17</t>
        </is>
      </c>
      <c r="E2098" t="inlineStr">
        <is>
          <t>17</t>
        </is>
      </c>
      <c r="F2098" t="inlineStr">
        <is>
          <t>D</t>
        </is>
      </c>
      <c r="G2098" t="inlineStr">
        <is>
          <t>Good</t>
        </is>
      </c>
      <c r="H2098" t="n">
        <v>47.75</v>
      </c>
      <c r="I2098">
        <f>B2098&amp;"|"&amp;F2098&amp;"|"&amp;G2098</f>
        <v/>
      </c>
      <c r="J2098" t="inlineStr">
        <is>
          <t>MVS Sec.17 p.17</t>
        </is>
      </c>
    </row>
    <row r="2099">
      <c r="B2099" t="inlineStr">
        <is>
          <t>Lumber Storage Buildings</t>
        </is>
      </c>
      <c r="C2099" t="inlineStr">
        <is>
          <t>390</t>
        </is>
      </c>
      <c r="D2099" t="inlineStr">
        <is>
          <t>17</t>
        </is>
      </c>
      <c r="E2099" t="inlineStr">
        <is>
          <t>17</t>
        </is>
      </c>
      <c r="F2099" t="inlineStr">
        <is>
          <t>D</t>
        </is>
      </c>
      <c r="G2099" t="inlineStr">
        <is>
          <t>Average</t>
        </is>
      </c>
      <c r="H2099" t="n">
        <v>33.5</v>
      </c>
      <c r="I2099">
        <f>B2099&amp;"|"&amp;F2099&amp;"|"&amp;G2099</f>
        <v/>
      </c>
      <c r="J2099" t="inlineStr">
        <is>
          <t>MVS Sec.17 p.17</t>
        </is>
      </c>
    </row>
    <row r="2100">
      <c r="B2100" t="inlineStr">
        <is>
          <t>Lumber Storage Buildings</t>
        </is>
      </c>
      <c r="C2100" t="inlineStr">
        <is>
          <t>390</t>
        </is>
      </c>
      <c r="D2100" t="inlineStr">
        <is>
          <t>17</t>
        </is>
      </c>
      <c r="E2100" t="inlineStr">
        <is>
          <t>17</t>
        </is>
      </c>
      <c r="F2100" t="inlineStr">
        <is>
          <t>D</t>
        </is>
      </c>
      <c r="G2100" t="inlineStr">
        <is>
          <t>Low Cost</t>
        </is>
      </c>
      <c r="H2100" t="n">
        <v>23.65</v>
      </c>
      <c r="I2100">
        <f>B2100&amp;"|"&amp;F2100&amp;"|"&amp;G2100</f>
        <v/>
      </c>
      <c r="J2100" t="inlineStr">
        <is>
          <t>MVS Sec.17 p.17</t>
        </is>
      </c>
    </row>
    <row r="2101">
      <c r="B2101" t="inlineStr">
        <is>
          <t>Lumber Storage Buildings</t>
        </is>
      </c>
      <c r="C2101" t="inlineStr">
        <is>
          <t>390</t>
        </is>
      </c>
      <c r="D2101" t="inlineStr">
        <is>
          <t>17</t>
        </is>
      </c>
      <c r="E2101" t="inlineStr">
        <is>
          <t>17</t>
        </is>
      </c>
      <c r="F2101" t="inlineStr">
        <is>
          <t>DPOLE</t>
        </is>
      </c>
      <c r="G2101" t="inlineStr">
        <is>
          <t>Good</t>
        </is>
      </c>
      <c r="H2101" t="n">
        <v>43</v>
      </c>
      <c r="I2101">
        <f>B2101&amp;"|"&amp;F2101&amp;"|"&amp;G2101</f>
        <v/>
      </c>
      <c r="J2101" t="inlineStr">
        <is>
          <t>MVS Sec.17 p.17</t>
        </is>
      </c>
    </row>
    <row r="2102">
      <c r="B2102" t="inlineStr">
        <is>
          <t>Lumber Storage Buildings</t>
        </is>
      </c>
      <c r="C2102" t="inlineStr">
        <is>
          <t>390</t>
        </is>
      </c>
      <c r="D2102" t="inlineStr">
        <is>
          <t>17</t>
        </is>
      </c>
      <c r="E2102" t="inlineStr">
        <is>
          <t>17</t>
        </is>
      </c>
      <c r="F2102" t="inlineStr">
        <is>
          <t>DPOLE</t>
        </is>
      </c>
      <c r="G2102" t="inlineStr">
        <is>
          <t>Average</t>
        </is>
      </c>
      <c r="H2102" t="n">
        <v>30</v>
      </c>
      <c r="I2102">
        <f>B2102&amp;"|"&amp;F2102&amp;"|"&amp;G2102</f>
        <v/>
      </c>
      <c r="J2102" t="inlineStr">
        <is>
          <t>MVS Sec.17 p.17</t>
        </is>
      </c>
    </row>
    <row r="2103">
      <c r="B2103" t="inlineStr">
        <is>
          <t>Lumber Storage Buildings</t>
        </is>
      </c>
      <c r="C2103" t="inlineStr">
        <is>
          <t>390</t>
        </is>
      </c>
      <c r="D2103" t="inlineStr">
        <is>
          <t>17</t>
        </is>
      </c>
      <c r="E2103" t="inlineStr">
        <is>
          <t>17</t>
        </is>
      </c>
      <c r="F2103" t="inlineStr">
        <is>
          <t>DPOLE</t>
        </is>
      </c>
      <c r="G2103" t="inlineStr">
        <is>
          <t>Low Cost</t>
        </is>
      </c>
      <c r="H2103" t="n">
        <v>20.9</v>
      </c>
      <c r="I2103">
        <f>B2103&amp;"|"&amp;F2103&amp;"|"&amp;G2103</f>
        <v/>
      </c>
      <c r="J2103" t="inlineStr">
        <is>
          <t>MVS Sec.17 p.17</t>
        </is>
      </c>
    </row>
    <row r="2104">
      <c r="B2104" t="inlineStr">
        <is>
          <t>Lumber Storage Buildings</t>
        </is>
      </c>
      <c r="C2104" t="inlineStr">
        <is>
          <t>390</t>
        </is>
      </c>
      <c r="D2104" t="inlineStr">
        <is>
          <t>17</t>
        </is>
      </c>
      <c r="E2104" t="inlineStr">
        <is>
          <t>17</t>
        </is>
      </c>
      <c r="F2104" t="inlineStr">
        <is>
          <t>S</t>
        </is>
      </c>
      <c r="G2104" t="inlineStr">
        <is>
          <t>Good</t>
        </is>
      </c>
      <c r="H2104" t="n">
        <v>47.5</v>
      </c>
      <c r="I2104">
        <f>B2104&amp;"|"&amp;F2104&amp;"|"&amp;G2104</f>
        <v/>
      </c>
      <c r="J2104" t="inlineStr">
        <is>
          <t>MVS Sec.17 p.17</t>
        </is>
      </c>
    </row>
    <row r="2105">
      <c r="B2105" t="inlineStr">
        <is>
          <t>Lumber Storage Buildings</t>
        </is>
      </c>
      <c r="C2105" t="inlineStr">
        <is>
          <t>390</t>
        </is>
      </c>
      <c r="D2105" t="inlineStr">
        <is>
          <t>17</t>
        </is>
      </c>
      <c r="E2105" t="inlineStr">
        <is>
          <t>17</t>
        </is>
      </c>
      <c r="F2105" t="inlineStr">
        <is>
          <t>S</t>
        </is>
      </c>
      <c r="G2105" t="inlineStr">
        <is>
          <t>Average</t>
        </is>
      </c>
      <c r="H2105" t="n">
        <v>33.5</v>
      </c>
      <c r="I2105">
        <f>B2105&amp;"|"&amp;F2105&amp;"|"&amp;G2105</f>
        <v/>
      </c>
      <c r="J2105" t="inlineStr">
        <is>
          <t>MVS Sec.17 p.17</t>
        </is>
      </c>
    </row>
    <row r="2106">
      <c r="B2106" t="inlineStr">
        <is>
          <t>Lumber Storage Buildings</t>
        </is>
      </c>
      <c r="C2106" t="inlineStr">
        <is>
          <t>390</t>
        </is>
      </c>
      <c r="D2106" t="inlineStr">
        <is>
          <t>17</t>
        </is>
      </c>
      <c r="E2106" t="inlineStr">
        <is>
          <t>17</t>
        </is>
      </c>
      <c r="F2106" t="inlineStr">
        <is>
          <t>S</t>
        </is>
      </c>
      <c r="G2106" t="inlineStr">
        <is>
          <t>Low Cost</t>
        </is>
      </c>
      <c r="H2106" t="n">
        <v>23.75</v>
      </c>
      <c r="I2106">
        <f>B2106&amp;"|"&amp;F2106&amp;"|"&amp;G2106</f>
        <v/>
      </c>
      <c r="J2106" t="inlineStr">
        <is>
          <t>MVS Sec.17 p.17</t>
        </is>
      </c>
    </row>
    <row r="2107">
      <c r="B2107" t="inlineStr">
        <is>
          <t>Lumber Storage Sheds</t>
        </is>
      </c>
      <c r="C2107" t="inlineStr">
        <is>
          <t>339</t>
        </is>
      </c>
      <c r="D2107" t="inlineStr">
        <is>
          <t>17</t>
        </is>
      </c>
      <c r="E2107" t="inlineStr">
        <is>
          <t>17</t>
        </is>
      </c>
      <c r="F2107" t="inlineStr">
        <is>
          <t>D</t>
        </is>
      </c>
      <c r="G2107" t="inlineStr">
        <is>
          <t>Good</t>
        </is>
      </c>
      <c r="H2107" t="n">
        <v>40</v>
      </c>
      <c r="I2107">
        <f>B2107&amp;"|"&amp;F2107&amp;"|"&amp;G2107</f>
        <v/>
      </c>
      <c r="J2107" t="inlineStr">
        <is>
          <t>MVS Sec.17 p.17</t>
        </is>
      </c>
    </row>
    <row r="2108">
      <c r="B2108" t="inlineStr">
        <is>
          <t>Lumber Storage Sheds</t>
        </is>
      </c>
      <c r="C2108" t="inlineStr">
        <is>
          <t>339</t>
        </is>
      </c>
      <c r="D2108" t="inlineStr">
        <is>
          <t>17</t>
        </is>
      </c>
      <c r="E2108" t="inlineStr">
        <is>
          <t>17</t>
        </is>
      </c>
      <c r="F2108" t="inlineStr">
        <is>
          <t>D</t>
        </is>
      </c>
      <c r="G2108" t="inlineStr">
        <is>
          <t>Average</t>
        </is>
      </c>
      <c r="H2108" t="n">
        <v>27.25</v>
      </c>
      <c r="I2108">
        <f>B2108&amp;"|"&amp;F2108&amp;"|"&amp;G2108</f>
        <v/>
      </c>
      <c r="J2108" t="inlineStr">
        <is>
          <t>MVS Sec.17 p.17</t>
        </is>
      </c>
    </row>
    <row r="2109">
      <c r="B2109" t="inlineStr">
        <is>
          <t>Lumber Storage Sheds</t>
        </is>
      </c>
      <c r="C2109" t="inlineStr">
        <is>
          <t>339</t>
        </is>
      </c>
      <c r="D2109" t="inlineStr">
        <is>
          <t>17</t>
        </is>
      </c>
      <c r="E2109" t="inlineStr">
        <is>
          <t>17</t>
        </is>
      </c>
      <c r="F2109" t="inlineStr">
        <is>
          <t>D</t>
        </is>
      </c>
      <c r="G2109" t="inlineStr">
        <is>
          <t>Low Cost</t>
        </is>
      </c>
      <c r="H2109" t="n">
        <v>18.55</v>
      </c>
      <c r="I2109">
        <f>B2109&amp;"|"&amp;F2109&amp;"|"&amp;G2109</f>
        <v/>
      </c>
      <c r="J2109" t="inlineStr">
        <is>
          <t>MVS Sec.17 p.17</t>
        </is>
      </c>
    </row>
    <row r="2110">
      <c r="B2110" t="inlineStr">
        <is>
          <t>Lumber Storage Sheds</t>
        </is>
      </c>
      <c r="C2110" t="inlineStr">
        <is>
          <t>339</t>
        </is>
      </c>
      <c r="D2110" t="inlineStr">
        <is>
          <t>17</t>
        </is>
      </c>
      <c r="E2110" t="inlineStr">
        <is>
          <t>17</t>
        </is>
      </c>
      <c r="F2110" t="inlineStr">
        <is>
          <t>DPOLE</t>
        </is>
      </c>
      <c r="G2110" t="inlineStr">
        <is>
          <t>Good</t>
        </is>
      </c>
      <c r="H2110" t="n">
        <v>34.5</v>
      </c>
      <c r="I2110">
        <f>B2110&amp;"|"&amp;F2110&amp;"|"&amp;G2110</f>
        <v/>
      </c>
      <c r="J2110" t="inlineStr">
        <is>
          <t>MVS Sec.17 p.17</t>
        </is>
      </c>
    </row>
    <row r="2111">
      <c r="B2111" t="inlineStr">
        <is>
          <t>Lumber Storage Sheds</t>
        </is>
      </c>
      <c r="C2111" t="inlineStr">
        <is>
          <t>339</t>
        </is>
      </c>
      <c r="D2111" t="inlineStr">
        <is>
          <t>17</t>
        </is>
      </c>
      <c r="E2111" t="inlineStr">
        <is>
          <t>17</t>
        </is>
      </c>
      <c r="F2111" t="inlineStr">
        <is>
          <t>DPOLE</t>
        </is>
      </c>
      <c r="G2111" t="inlineStr">
        <is>
          <t>Average</t>
        </is>
      </c>
      <c r="H2111" t="n">
        <v>23.45</v>
      </c>
      <c r="I2111">
        <f>B2111&amp;"|"&amp;F2111&amp;"|"&amp;G2111</f>
        <v/>
      </c>
      <c r="J2111" t="inlineStr">
        <is>
          <t>MVS Sec.17 p.17</t>
        </is>
      </c>
    </row>
    <row r="2112">
      <c r="B2112" t="inlineStr">
        <is>
          <t>Lumber Storage Sheds</t>
        </is>
      </c>
      <c r="C2112" t="inlineStr">
        <is>
          <t>339</t>
        </is>
      </c>
      <c r="D2112" t="inlineStr">
        <is>
          <t>17</t>
        </is>
      </c>
      <c r="E2112" t="inlineStr">
        <is>
          <t>17</t>
        </is>
      </c>
      <c r="F2112" t="inlineStr">
        <is>
          <t>DPOLE</t>
        </is>
      </c>
      <c r="G2112" t="inlineStr">
        <is>
          <t>Low Cost</t>
        </is>
      </c>
      <c r="H2112" t="n">
        <v>15.95</v>
      </c>
      <c r="I2112">
        <f>B2112&amp;"|"&amp;F2112&amp;"|"&amp;G2112</f>
        <v/>
      </c>
      <c r="J2112" t="inlineStr">
        <is>
          <t>MVS Sec.17 p.17</t>
        </is>
      </c>
    </row>
    <row r="2113">
      <c r="B2113" t="inlineStr">
        <is>
          <t>Lumber Storage Sheds</t>
        </is>
      </c>
      <c r="C2113" t="inlineStr">
        <is>
          <t>339</t>
        </is>
      </c>
      <c r="D2113" t="inlineStr">
        <is>
          <t>17</t>
        </is>
      </c>
      <c r="E2113" t="inlineStr">
        <is>
          <t>17</t>
        </is>
      </c>
      <c r="F2113" t="inlineStr">
        <is>
          <t>S</t>
        </is>
      </c>
      <c r="G2113" t="inlineStr">
        <is>
          <t>Good</t>
        </is>
      </c>
      <c r="H2113" t="n">
        <v>39.75</v>
      </c>
      <c r="I2113">
        <f>B2113&amp;"|"&amp;F2113&amp;"|"&amp;G2113</f>
        <v/>
      </c>
      <c r="J2113" t="inlineStr">
        <is>
          <t>MVS Sec.17 p.17</t>
        </is>
      </c>
    </row>
    <row r="2114">
      <c r="B2114" t="inlineStr">
        <is>
          <t>Lumber Storage Sheds</t>
        </is>
      </c>
      <c r="C2114" t="inlineStr">
        <is>
          <t>339</t>
        </is>
      </c>
      <c r="D2114" t="inlineStr">
        <is>
          <t>17</t>
        </is>
      </c>
      <c r="E2114" t="inlineStr">
        <is>
          <t>17</t>
        </is>
      </c>
      <c r="F2114" t="inlineStr">
        <is>
          <t>S</t>
        </is>
      </c>
      <c r="G2114" t="inlineStr">
        <is>
          <t>Average</t>
        </is>
      </c>
      <c r="H2114" t="n">
        <v>27</v>
      </c>
      <c r="I2114">
        <f>B2114&amp;"|"&amp;F2114&amp;"|"&amp;G2114</f>
        <v/>
      </c>
      <c r="J2114" t="inlineStr">
        <is>
          <t>MVS Sec.17 p.17</t>
        </is>
      </c>
    </row>
    <row r="2115">
      <c r="B2115" t="inlineStr">
        <is>
          <t>Lumber Storage Sheds</t>
        </is>
      </c>
      <c r="C2115" t="inlineStr">
        <is>
          <t>339</t>
        </is>
      </c>
      <c r="D2115" t="inlineStr">
        <is>
          <t>17</t>
        </is>
      </c>
      <c r="E2115" t="inlineStr">
        <is>
          <t>17</t>
        </is>
      </c>
      <c r="F2115" t="inlineStr">
        <is>
          <t>S</t>
        </is>
      </c>
      <c r="G2115" t="inlineStr">
        <is>
          <t>Low Cost</t>
        </is>
      </c>
      <c r="H2115" t="n">
        <v>18.4</v>
      </c>
      <c r="I2115">
        <f>B2115&amp;"|"&amp;F2115&amp;"|"&amp;G2115</f>
        <v/>
      </c>
      <c r="J2115" t="inlineStr">
        <is>
          <t>MVS Sec.17 p.17</t>
        </is>
      </c>
    </row>
    <row r="2116">
      <c r="B2116" t="inlineStr">
        <is>
          <t>Boat Storage Buildings</t>
        </is>
      </c>
      <c r="C2116" t="inlineStr">
        <is>
          <t>467</t>
        </is>
      </c>
      <c r="D2116" t="inlineStr">
        <is>
          <t>17</t>
        </is>
      </c>
      <c r="E2116" t="inlineStr">
        <is>
          <t>18</t>
        </is>
      </c>
      <c r="F2116" t="inlineStr">
        <is>
          <t>D</t>
        </is>
      </c>
      <c r="G2116" t="inlineStr">
        <is>
          <t>Average</t>
        </is>
      </c>
      <c r="H2116" t="n">
        <v>43.5</v>
      </c>
      <c r="I2116">
        <f>B2116&amp;"|"&amp;F2116&amp;"|"&amp;G2116</f>
        <v/>
      </c>
      <c r="J2116" t="inlineStr">
        <is>
          <t>MVS Sec.17 p.18</t>
        </is>
      </c>
    </row>
    <row r="2117">
      <c r="B2117" t="inlineStr">
        <is>
          <t>Boat Storage Buildings</t>
        </is>
      </c>
      <c r="C2117" t="inlineStr">
        <is>
          <t>467</t>
        </is>
      </c>
      <c r="D2117" t="inlineStr">
        <is>
          <t>17</t>
        </is>
      </c>
      <c r="E2117" t="inlineStr">
        <is>
          <t>18</t>
        </is>
      </c>
      <c r="F2117" t="inlineStr">
        <is>
          <t>D</t>
        </is>
      </c>
      <c r="G2117" t="inlineStr">
        <is>
          <t>Low Cost</t>
        </is>
      </c>
      <c r="H2117" t="n">
        <v>32.5</v>
      </c>
      <c r="I2117">
        <f>B2117&amp;"|"&amp;F2117&amp;"|"&amp;G2117</f>
        <v/>
      </c>
      <c r="J2117" t="inlineStr">
        <is>
          <t>MVS Sec.17 p.18</t>
        </is>
      </c>
    </row>
    <row r="2118">
      <c r="B2118" t="inlineStr">
        <is>
          <t>Boat Storage Buildings</t>
        </is>
      </c>
      <c r="C2118" t="inlineStr">
        <is>
          <t>467</t>
        </is>
      </c>
      <c r="D2118" t="inlineStr">
        <is>
          <t>17</t>
        </is>
      </c>
      <c r="E2118" t="inlineStr">
        <is>
          <t>18</t>
        </is>
      </c>
      <c r="F2118" t="inlineStr">
        <is>
          <t>DPOLE</t>
        </is>
      </c>
      <c r="G2118" t="inlineStr">
        <is>
          <t>Average</t>
        </is>
      </c>
      <c r="H2118" t="n">
        <v>40.25</v>
      </c>
      <c r="I2118">
        <f>B2118&amp;"|"&amp;F2118&amp;"|"&amp;G2118</f>
        <v/>
      </c>
      <c r="J2118" t="inlineStr">
        <is>
          <t>MVS Sec.17 p.18</t>
        </is>
      </c>
    </row>
    <row r="2119">
      <c r="B2119" t="inlineStr">
        <is>
          <t>Boat Storage Buildings</t>
        </is>
      </c>
      <c r="C2119" t="inlineStr">
        <is>
          <t>467</t>
        </is>
      </c>
      <c r="D2119" t="inlineStr">
        <is>
          <t>17</t>
        </is>
      </c>
      <c r="E2119" t="inlineStr">
        <is>
          <t>18</t>
        </is>
      </c>
      <c r="F2119" t="inlineStr">
        <is>
          <t>DPOLE</t>
        </is>
      </c>
      <c r="G2119" t="inlineStr">
        <is>
          <t>Low Cost</t>
        </is>
      </c>
      <c r="H2119" t="n">
        <v>30</v>
      </c>
      <c r="I2119">
        <f>B2119&amp;"|"&amp;F2119&amp;"|"&amp;G2119</f>
        <v/>
      </c>
      <c r="J2119" t="inlineStr">
        <is>
          <t>MVS Sec.17 p.18</t>
        </is>
      </c>
    </row>
    <row r="2120">
      <c r="B2120" t="inlineStr">
        <is>
          <t>Boat Storage Buildings</t>
        </is>
      </c>
      <c r="C2120" t="inlineStr">
        <is>
          <t>467</t>
        </is>
      </c>
      <c r="D2120" t="inlineStr">
        <is>
          <t>17</t>
        </is>
      </c>
      <c r="E2120" t="inlineStr">
        <is>
          <t>18</t>
        </is>
      </c>
      <c r="F2120" t="inlineStr">
        <is>
          <t>S</t>
        </is>
      </c>
      <c r="G2120" t="inlineStr">
        <is>
          <t>Good</t>
        </is>
      </c>
      <c r="H2120" t="n">
        <v>58.5</v>
      </c>
      <c r="I2120">
        <f>B2120&amp;"|"&amp;F2120&amp;"|"&amp;G2120</f>
        <v/>
      </c>
      <c r="J2120" t="inlineStr">
        <is>
          <t>MVS Sec.17 p.18</t>
        </is>
      </c>
    </row>
    <row r="2121">
      <c r="B2121" t="inlineStr">
        <is>
          <t>Boat Storage Buildings</t>
        </is>
      </c>
      <c r="C2121" t="inlineStr">
        <is>
          <t>467</t>
        </is>
      </c>
      <c r="D2121" t="inlineStr">
        <is>
          <t>17</t>
        </is>
      </c>
      <c r="E2121" t="inlineStr">
        <is>
          <t>18</t>
        </is>
      </c>
      <c r="F2121" t="inlineStr">
        <is>
          <t>S</t>
        </is>
      </c>
      <c r="G2121" t="inlineStr">
        <is>
          <t>Average</t>
        </is>
      </c>
      <c r="H2121" t="n">
        <v>43.75</v>
      </c>
      <c r="I2121">
        <f>B2121&amp;"|"&amp;F2121&amp;"|"&amp;G2121</f>
        <v/>
      </c>
      <c r="J2121" t="inlineStr">
        <is>
          <t>MVS Sec.17 p.18</t>
        </is>
      </c>
    </row>
    <row r="2122">
      <c r="B2122" t="inlineStr">
        <is>
          <t>Boat Storage Buildings</t>
        </is>
      </c>
      <c r="C2122" t="inlineStr">
        <is>
          <t>467</t>
        </is>
      </c>
      <c r="D2122" t="inlineStr">
        <is>
          <t>17</t>
        </is>
      </c>
      <c r="E2122" t="inlineStr">
        <is>
          <t>18</t>
        </is>
      </c>
      <c r="F2122" t="inlineStr">
        <is>
          <t>S</t>
        </is>
      </c>
      <c r="G2122" t="inlineStr">
        <is>
          <t>Low Cost</t>
        </is>
      </c>
      <c r="H2122" t="n">
        <v>32.75</v>
      </c>
      <c r="I2122">
        <f>B2122&amp;"|"&amp;F2122&amp;"|"&amp;G2122</f>
        <v/>
      </c>
      <c r="J2122" t="inlineStr">
        <is>
          <t>MVS Sec.17 p.18</t>
        </is>
      </c>
    </row>
    <row r="2123">
      <c r="B2123" t="inlineStr">
        <is>
          <t>Boat Storage Buildings</t>
        </is>
      </c>
      <c r="C2123" t="inlineStr">
        <is>
          <t>467</t>
        </is>
      </c>
      <c r="D2123" t="inlineStr">
        <is>
          <t>17</t>
        </is>
      </c>
      <c r="E2123" t="inlineStr">
        <is>
          <t>18</t>
        </is>
      </c>
      <c r="F2123" t="inlineStr">
        <is>
          <t>SSLANT</t>
        </is>
      </c>
      <c r="G2123" t="inlineStr">
        <is>
          <t>Good</t>
        </is>
      </c>
      <c r="H2123" t="n">
        <v>56</v>
      </c>
      <c r="I2123">
        <f>B2123&amp;"|"&amp;F2123&amp;"|"&amp;G2123</f>
        <v/>
      </c>
      <c r="J2123" t="inlineStr">
        <is>
          <t>MVS Sec.17 p.18</t>
        </is>
      </c>
    </row>
    <row r="2124">
      <c r="B2124" t="inlineStr">
        <is>
          <t>Boat Storage Buildings</t>
        </is>
      </c>
      <c r="C2124" t="inlineStr">
        <is>
          <t>467</t>
        </is>
      </c>
      <c r="D2124" t="inlineStr">
        <is>
          <t>17</t>
        </is>
      </c>
      <c r="E2124" t="inlineStr">
        <is>
          <t>18</t>
        </is>
      </c>
      <c r="F2124" t="inlineStr">
        <is>
          <t>SSLANT</t>
        </is>
      </c>
      <c r="G2124" t="inlineStr">
        <is>
          <t>Average</t>
        </is>
      </c>
      <c r="H2124" t="n">
        <v>41.5</v>
      </c>
      <c r="I2124">
        <f>B2124&amp;"|"&amp;F2124&amp;"|"&amp;G2124</f>
        <v/>
      </c>
      <c r="J2124" t="inlineStr">
        <is>
          <t>MVS Sec.17 p.18</t>
        </is>
      </c>
    </row>
    <row r="2125">
      <c r="B2125" t="inlineStr">
        <is>
          <t>Boat Storage Buildings</t>
        </is>
      </c>
      <c r="C2125" t="inlineStr">
        <is>
          <t>467</t>
        </is>
      </c>
      <c r="D2125" t="inlineStr">
        <is>
          <t>17</t>
        </is>
      </c>
      <c r="E2125" t="inlineStr">
        <is>
          <t>18</t>
        </is>
      </c>
      <c r="F2125" t="inlineStr">
        <is>
          <t>SSLANT</t>
        </is>
      </c>
      <c r="G2125" t="inlineStr">
        <is>
          <t>Low Cost</t>
        </is>
      </c>
      <c r="H2125" t="n">
        <v>31</v>
      </c>
      <c r="I2125">
        <f>B2125&amp;"|"&amp;F2125&amp;"|"&amp;G2125</f>
        <v/>
      </c>
      <c r="J2125" t="inlineStr">
        <is>
          <t>MVS Sec.17 p.18</t>
        </is>
      </c>
    </row>
    <row r="2126">
      <c r="B2126" t="inlineStr">
        <is>
          <t>Boat Storage Sheds</t>
        </is>
      </c>
      <c r="C2126" t="inlineStr">
        <is>
          <t>466</t>
        </is>
      </c>
      <c r="D2126" t="inlineStr">
        <is>
          <t>17</t>
        </is>
      </c>
      <c r="E2126" t="inlineStr">
        <is>
          <t>18</t>
        </is>
      </c>
      <c r="F2126" t="inlineStr">
        <is>
          <t>D</t>
        </is>
      </c>
      <c r="G2126" t="inlineStr">
        <is>
          <t>Good</t>
        </is>
      </c>
      <c r="H2126" t="n">
        <v>45.75</v>
      </c>
      <c r="I2126">
        <f>B2126&amp;"|"&amp;F2126&amp;"|"&amp;G2126</f>
        <v/>
      </c>
      <c r="J2126" t="inlineStr">
        <is>
          <t>MVS Sec.17 p.18</t>
        </is>
      </c>
    </row>
    <row r="2127">
      <c r="B2127" t="inlineStr">
        <is>
          <t>Boat Storage Sheds</t>
        </is>
      </c>
      <c r="C2127" t="inlineStr">
        <is>
          <t>466</t>
        </is>
      </c>
      <c r="D2127" t="inlineStr">
        <is>
          <t>17</t>
        </is>
      </c>
      <c r="E2127" t="inlineStr">
        <is>
          <t>18</t>
        </is>
      </c>
      <c r="F2127" t="inlineStr">
        <is>
          <t>D</t>
        </is>
      </c>
      <c r="G2127" t="inlineStr">
        <is>
          <t>Average</t>
        </is>
      </c>
      <c r="H2127" t="n">
        <v>31</v>
      </c>
      <c r="I2127">
        <f>B2127&amp;"|"&amp;F2127&amp;"|"&amp;G2127</f>
        <v/>
      </c>
      <c r="J2127" t="inlineStr">
        <is>
          <t>MVS Sec.17 p.18</t>
        </is>
      </c>
    </row>
    <row r="2128">
      <c r="B2128" t="inlineStr">
        <is>
          <t>Boat Storage Sheds</t>
        </is>
      </c>
      <c r="C2128" t="inlineStr">
        <is>
          <t>466</t>
        </is>
      </c>
      <c r="D2128" t="inlineStr">
        <is>
          <t>17</t>
        </is>
      </c>
      <c r="E2128" t="inlineStr">
        <is>
          <t>18</t>
        </is>
      </c>
      <c r="F2128" t="inlineStr">
        <is>
          <t>D</t>
        </is>
      </c>
      <c r="G2128" t="inlineStr">
        <is>
          <t>Low Cost</t>
        </is>
      </c>
      <c r="H2128" t="n">
        <v>21.15</v>
      </c>
      <c r="I2128">
        <f>B2128&amp;"|"&amp;F2128&amp;"|"&amp;G2128</f>
        <v/>
      </c>
      <c r="J2128" t="inlineStr">
        <is>
          <t>MVS Sec.17 p.18</t>
        </is>
      </c>
    </row>
    <row r="2129">
      <c r="B2129" t="inlineStr">
        <is>
          <t>Boat Storage Sheds</t>
        </is>
      </c>
      <c r="C2129" t="inlineStr">
        <is>
          <t>466</t>
        </is>
      </c>
      <c r="D2129" t="inlineStr">
        <is>
          <t>17</t>
        </is>
      </c>
      <c r="E2129" t="inlineStr">
        <is>
          <t>18</t>
        </is>
      </c>
      <c r="F2129" t="inlineStr">
        <is>
          <t>DPOLE</t>
        </is>
      </c>
      <c r="G2129" t="inlineStr">
        <is>
          <t>Good</t>
        </is>
      </c>
      <c r="H2129" t="n">
        <v>43</v>
      </c>
      <c r="I2129">
        <f>B2129&amp;"|"&amp;F2129&amp;"|"&amp;G2129</f>
        <v/>
      </c>
      <c r="J2129" t="inlineStr">
        <is>
          <t>MVS Sec.17 p.18</t>
        </is>
      </c>
    </row>
    <row r="2130">
      <c r="B2130" t="inlineStr">
        <is>
          <t>Boat Storage Sheds</t>
        </is>
      </c>
      <c r="C2130" t="inlineStr">
        <is>
          <t>466</t>
        </is>
      </c>
      <c r="D2130" t="inlineStr">
        <is>
          <t>17</t>
        </is>
      </c>
      <c r="E2130" t="inlineStr">
        <is>
          <t>18</t>
        </is>
      </c>
      <c r="F2130" t="inlineStr">
        <is>
          <t>DPOLE</t>
        </is>
      </c>
      <c r="G2130" t="inlineStr">
        <is>
          <t>Average</t>
        </is>
      </c>
      <c r="H2130" t="n">
        <v>28.75</v>
      </c>
      <c r="I2130">
        <f>B2130&amp;"|"&amp;F2130&amp;"|"&amp;G2130</f>
        <v/>
      </c>
      <c r="J2130" t="inlineStr">
        <is>
          <t>MVS Sec.17 p.18</t>
        </is>
      </c>
    </row>
    <row r="2131">
      <c r="B2131" t="inlineStr">
        <is>
          <t>Boat Storage Sheds</t>
        </is>
      </c>
      <c r="C2131" t="inlineStr">
        <is>
          <t>466</t>
        </is>
      </c>
      <c r="D2131" t="inlineStr">
        <is>
          <t>17</t>
        </is>
      </c>
      <c r="E2131" t="inlineStr">
        <is>
          <t>18</t>
        </is>
      </c>
      <c r="F2131" t="inlineStr">
        <is>
          <t>DPOLE</t>
        </is>
      </c>
      <c r="G2131" t="inlineStr">
        <is>
          <t>Low Cost</t>
        </is>
      </c>
      <c r="H2131" t="n">
        <v>19.35</v>
      </c>
      <c r="I2131">
        <f>B2131&amp;"|"&amp;F2131&amp;"|"&amp;G2131</f>
        <v/>
      </c>
      <c r="J2131" t="inlineStr">
        <is>
          <t>MVS Sec.17 p.18</t>
        </is>
      </c>
    </row>
    <row r="2132">
      <c r="B2132" t="inlineStr">
        <is>
          <t>Boat Storage Sheds</t>
        </is>
      </c>
      <c r="C2132" t="inlineStr">
        <is>
          <t>466</t>
        </is>
      </c>
      <c r="D2132" t="inlineStr">
        <is>
          <t>17</t>
        </is>
      </c>
      <c r="E2132" t="inlineStr">
        <is>
          <t>18</t>
        </is>
      </c>
      <c r="F2132" t="inlineStr">
        <is>
          <t>S</t>
        </is>
      </c>
      <c r="G2132" t="inlineStr">
        <is>
          <t>Good</t>
        </is>
      </c>
      <c r="H2132" t="n">
        <v>45.75</v>
      </c>
      <c r="I2132">
        <f>B2132&amp;"|"&amp;F2132&amp;"|"&amp;G2132</f>
        <v/>
      </c>
      <c r="J2132" t="inlineStr">
        <is>
          <t>MVS Sec.17 p.18</t>
        </is>
      </c>
    </row>
    <row r="2133">
      <c r="B2133" t="inlineStr">
        <is>
          <t>Boat Storage Sheds</t>
        </is>
      </c>
      <c r="C2133" t="inlineStr">
        <is>
          <t>466</t>
        </is>
      </c>
      <c r="D2133" t="inlineStr">
        <is>
          <t>17</t>
        </is>
      </c>
      <c r="E2133" t="inlineStr">
        <is>
          <t>18</t>
        </is>
      </c>
      <c r="F2133" t="inlineStr">
        <is>
          <t>S</t>
        </is>
      </c>
      <c r="G2133" t="inlineStr">
        <is>
          <t>Average</t>
        </is>
      </c>
      <c r="H2133" t="n">
        <v>31</v>
      </c>
      <c r="I2133">
        <f>B2133&amp;"|"&amp;F2133&amp;"|"&amp;G2133</f>
        <v/>
      </c>
      <c r="J2133" t="inlineStr">
        <is>
          <t>MVS Sec.17 p.18</t>
        </is>
      </c>
    </row>
    <row r="2134">
      <c r="B2134" t="inlineStr">
        <is>
          <t>Boat Storage Sheds</t>
        </is>
      </c>
      <c r="C2134" t="inlineStr">
        <is>
          <t>466</t>
        </is>
      </c>
      <c r="D2134" t="inlineStr">
        <is>
          <t>17</t>
        </is>
      </c>
      <c r="E2134" t="inlineStr">
        <is>
          <t>18</t>
        </is>
      </c>
      <c r="F2134" t="inlineStr">
        <is>
          <t>S</t>
        </is>
      </c>
      <c r="G2134" t="inlineStr">
        <is>
          <t>Low Cost</t>
        </is>
      </c>
      <c r="H2134" t="n">
        <v>21.05</v>
      </c>
      <c r="I2134">
        <f>B2134&amp;"|"&amp;F2134&amp;"|"&amp;G2134</f>
        <v/>
      </c>
      <c r="J2134" t="inlineStr">
        <is>
          <t>MVS Sec.17 p.18</t>
        </is>
      </c>
    </row>
    <row r="2135">
      <c r="B2135" t="inlineStr">
        <is>
          <t>Bag Fertilizer Storage</t>
        </is>
      </c>
      <c r="C2135" t="inlineStr">
        <is>
          <t>563</t>
        </is>
      </c>
      <c r="D2135" t="inlineStr">
        <is>
          <t>17</t>
        </is>
      </c>
      <c r="E2135" t="inlineStr">
        <is>
          <t>19</t>
        </is>
      </c>
      <c r="F2135" t="inlineStr">
        <is>
          <t>D</t>
        </is>
      </c>
      <c r="G2135" t="inlineStr">
        <is>
          <t>Average</t>
        </is>
      </c>
      <c r="H2135" t="n">
        <v>49.5</v>
      </c>
      <c r="I2135">
        <f>B2135&amp;"|"&amp;F2135&amp;"|"&amp;G2135</f>
        <v/>
      </c>
      <c r="J2135" t="inlineStr">
        <is>
          <t>MVS Sec.17 p.19</t>
        </is>
      </c>
    </row>
    <row r="2136">
      <c r="B2136" t="inlineStr">
        <is>
          <t>Bag Fertilizer Storage</t>
        </is>
      </c>
      <c r="C2136" t="inlineStr">
        <is>
          <t>563</t>
        </is>
      </c>
      <c r="D2136" t="inlineStr">
        <is>
          <t>17</t>
        </is>
      </c>
      <c r="E2136" t="inlineStr">
        <is>
          <t>19</t>
        </is>
      </c>
      <c r="F2136" t="inlineStr">
        <is>
          <t>DPOLE</t>
        </is>
      </c>
      <c r="G2136" t="inlineStr">
        <is>
          <t>Average</t>
        </is>
      </c>
      <c r="H2136" t="n">
        <v>47.25</v>
      </c>
      <c r="I2136">
        <f>B2136&amp;"|"&amp;F2136&amp;"|"&amp;G2136</f>
        <v/>
      </c>
      <c r="J2136" t="inlineStr">
        <is>
          <t>MVS Sec.17 p.19</t>
        </is>
      </c>
    </row>
    <row r="2137">
      <c r="B2137" t="inlineStr">
        <is>
          <t>Bag Fertilizer Storage</t>
        </is>
      </c>
      <c r="C2137" t="inlineStr">
        <is>
          <t>563</t>
        </is>
      </c>
      <c r="D2137" t="inlineStr">
        <is>
          <t>17</t>
        </is>
      </c>
      <c r="E2137" t="inlineStr">
        <is>
          <t>19</t>
        </is>
      </c>
      <c r="F2137" t="inlineStr">
        <is>
          <t>S</t>
        </is>
      </c>
      <c r="G2137" t="inlineStr">
        <is>
          <t>Average</t>
        </is>
      </c>
      <c r="H2137" t="n">
        <v>48.5</v>
      </c>
      <c r="I2137">
        <f>B2137&amp;"|"&amp;F2137&amp;"|"&amp;G2137</f>
        <v/>
      </c>
      <c r="J2137" t="inlineStr">
        <is>
          <t>MVS Sec.17 p.19</t>
        </is>
      </c>
    </row>
    <row r="2138">
      <c r="B2138" t="inlineStr">
        <is>
          <t>Bulk Fertilizer Storage</t>
        </is>
      </c>
      <c r="C2138" t="inlineStr">
        <is>
          <t>420</t>
        </is>
      </c>
      <c r="D2138" t="inlineStr">
        <is>
          <t>17</t>
        </is>
      </c>
      <c r="E2138" t="inlineStr">
        <is>
          <t>19</t>
        </is>
      </c>
      <c r="F2138" t="inlineStr">
        <is>
          <t>C</t>
        </is>
      </c>
      <c r="G2138" t="inlineStr">
        <is>
          <t>Average</t>
        </is>
      </c>
      <c r="H2138" t="n">
        <v>61.5</v>
      </c>
      <c r="I2138">
        <f>B2138&amp;"|"&amp;F2138&amp;"|"&amp;G2138</f>
        <v/>
      </c>
      <c r="J2138" t="inlineStr">
        <is>
          <t>MVS Sec.17 p.19</t>
        </is>
      </c>
    </row>
    <row r="2139">
      <c r="B2139" t="inlineStr">
        <is>
          <t>Bulk Fertilizer Storage</t>
        </is>
      </c>
      <c r="C2139" t="inlineStr">
        <is>
          <t>420</t>
        </is>
      </c>
      <c r="D2139" t="inlineStr">
        <is>
          <t>17</t>
        </is>
      </c>
      <c r="E2139" t="inlineStr">
        <is>
          <t>19</t>
        </is>
      </c>
      <c r="F2139" t="inlineStr">
        <is>
          <t>D</t>
        </is>
      </c>
      <c r="G2139" t="inlineStr">
        <is>
          <t>Average</t>
        </is>
      </c>
      <c r="H2139" t="n">
        <v>57.5</v>
      </c>
      <c r="I2139">
        <f>B2139&amp;"|"&amp;F2139&amp;"|"&amp;G2139</f>
        <v/>
      </c>
      <c r="J2139" t="inlineStr">
        <is>
          <t>MVS Sec.17 p.19</t>
        </is>
      </c>
    </row>
    <row r="2140">
      <c r="B2140" t="inlineStr">
        <is>
          <t>Bulk Fertilizer Storage</t>
        </is>
      </c>
      <c r="C2140" t="inlineStr">
        <is>
          <t>420</t>
        </is>
      </c>
      <c r="D2140" t="inlineStr">
        <is>
          <t>17</t>
        </is>
      </c>
      <c r="E2140" t="inlineStr">
        <is>
          <t>19</t>
        </is>
      </c>
      <c r="F2140" t="inlineStr">
        <is>
          <t>DPOLE</t>
        </is>
      </c>
      <c r="G2140" t="inlineStr">
        <is>
          <t>Average</t>
        </is>
      </c>
      <c r="H2140" t="n">
        <v>54</v>
      </c>
      <c r="I2140">
        <f>B2140&amp;"|"&amp;F2140&amp;"|"&amp;G2140</f>
        <v/>
      </c>
      <c r="J2140" t="inlineStr">
        <is>
          <t>MVS Sec.17 p.19</t>
        </is>
      </c>
    </row>
    <row r="2141">
      <c r="B2141" t="inlineStr">
        <is>
          <t>Bulk Fertilizer Storage</t>
        </is>
      </c>
      <c r="C2141" t="inlineStr">
        <is>
          <t>420</t>
        </is>
      </c>
      <c r="D2141" t="inlineStr">
        <is>
          <t>17</t>
        </is>
      </c>
      <c r="E2141" t="inlineStr">
        <is>
          <t>19</t>
        </is>
      </c>
      <c r="F2141" t="inlineStr">
        <is>
          <t>S</t>
        </is>
      </c>
      <c r="G2141" t="inlineStr">
        <is>
          <t>Average</t>
        </is>
      </c>
      <c r="H2141" t="n">
        <v>57.5</v>
      </c>
      <c r="I2141">
        <f>B2141&amp;"|"&amp;F2141&amp;"|"&amp;G2141</f>
        <v/>
      </c>
      <c r="J2141" t="inlineStr">
        <is>
          <t>MVS Sec.17 p.19</t>
        </is>
      </c>
    </row>
    <row r="2142">
      <c r="B2142" t="inlineStr">
        <is>
          <t>Tobacco Barns – Flue Curing</t>
        </is>
      </c>
      <c r="C2142" t="inlineStr">
        <is>
          <t>122</t>
        </is>
      </c>
      <c r="D2142" t="inlineStr">
        <is>
          <t>17</t>
        </is>
      </c>
      <c r="E2142" t="inlineStr">
        <is>
          <t>19</t>
        </is>
      </c>
      <c r="F2142" t="inlineStr">
        <is>
          <t>C</t>
        </is>
      </c>
      <c r="G2142" t="inlineStr">
        <is>
          <t>Average</t>
        </is>
      </c>
      <c r="H2142" t="n">
        <v>43.5</v>
      </c>
      <c r="I2142">
        <f>B2142&amp;"|"&amp;F2142&amp;"|"&amp;G2142</f>
        <v/>
      </c>
      <c r="J2142" t="inlineStr">
        <is>
          <t>MVS Sec.17 p.19</t>
        </is>
      </c>
    </row>
    <row r="2143">
      <c r="B2143" t="inlineStr">
        <is>
          <t>Tobacco Barns – Flue Curing</t>
        </is>
      </c>
      <c r="C2143" t="inlineStr">
        <is>
          <t>122</t>
        </is>
      </c>
      <c r="D2143" t="inlineStr">
        <is>
          <t>17</t>
        </is>
      </c>
      <c r="E2143" t="inlineStr">
        <is>
          <t>19</t>
        </is>
      </c>
      <c r="F2143" t="inlineStr">
        <is>
          <t>D</t>
        </is>
      </c>
      <c r="G2143" t="inlineStr">
        <is>
          <t>Average</t>
        </is>
      </c>
      <c r="H2143" t="n">
        <v>38.75</v>
      </c>
      <c r="I2143">
        <f>B2143&amp;"|"&amp;F2143&amp;"|"&amp;G2143</f>
        <v/>
      </c>
      <c r="J2143" t="inlineStr">
        <is>
          <t>MVS Sec.17 p.19</t>
        </is>
      </c>
    </row>
    <row r="2144">
      <c r="B2144" t="inlineStr">
        <is>
          <t>Tobacco Barns – Flue Curing</t>
        </is>
      </c>
      <c r="C2144" t="inlineStr">
        <is>
          <t>122</t>
        </is>
      </c>
      <c r="D2144" t="inlineStr">
        <is>
          <t>17</t>
        </is>
      </c>
      <c r="E2144" t="inlineStr">
        <is>
          <t>19</t>
        </is>
      </c>
      <c r="F2144" t="inlineStr">
        <is>
          <t>DPOLE</t>
        </is>
      </c>
      <c r="G2144" t="inlineStr">
        <is>
          <t>Average</t>
        </is>
      </c>
      <c r="H2144" t="n">
        <v>34.75</v>
      </c>
      <c r="I2144">
        <f>B2144&amp;"|"&amp;F2144&amp;"|"&amp;G2144</f>
        <v/>
      </c>
      <c r="J2144" t="inlineStr">
        <is>
          <t>MVS Sec.17 p.19</t>
        </is>
      </c>
    </row>
    <row r="2145">
      <c r="B2145" t="inlineStr">
        <is>
          <t>Tobacco Barns – Flue Curing</t>
        </is>
      </c>
      <c r="C2145" t="inlineStr">
        <is>
          <t>122</t>
        </is>
      </c>
      <c r="D2145" t="inlineStr">
        <is>
          <t>17</t>
        </is>
      </c>
      <c r="E2145" t="inlineStr">
        <is>
          <t>19</t>
        </is>
      </c>
      <c r="F2145" t="inlineStr">
        <is>
          <t>S</t>
        </is>
      </c>
      <c r="G2145" t="inlineStr">
        <is>
          <t>Average</t>
        </is>
      </c>
      <c r="H2145" t="n">
        <v>38</v>
      </c>
      <c r="I2145">
        <f>B2145&amp;"|"&amp;F2145&amp;"|"&amp;G2145</f>
        <v/>
      </c>
      <c r="J2145" t="inlineStr">
        <is>
          <t>MVS Sec.17 p.19</t>
        </is>
      </c>
    </row>
    <row r="2146">
      <c r="B2146" t="inlineStr">
        <is>
          <t>Tobacco Barns – Air Curing</t>
        </is>
      </c>
      <c r="C2146" t="inlineStr">
        <is>
          <t>121</t>
        </is>
      </c>
      <c r="D2146" t="inlineStr">
        <is>
          <t>17</t>
        </is>
      </c>
      <c r="E2146" t="inlineStr">
        <is>
          <t>19</t>
        </is>
      </c>
      <c r="F2146" t="inlineStr">
        <is>
          <t>D</t>
        </is>
      </c>
      <c r="G2146" t="inlineStr">
        <is>
          <t>Average</t>
        </is>
      </c>
      <c r="H2146" t="n">
        <v>36.75</v>
      </c>
      <c r="I2146">
        <f>B2146&amp;"|"&amp;F2146&amp;"|"&amp;G2146</f>
        <v/>
      </c>
      <c r="J2146" t="inlineStr">
        <is>
          <t>MVS Sec.17 p.19</t>
        </is>
      </c>
    </row>
    <row r="2147">
      <c r="B2147" t="inlineStr">
        <is>
          <t>Tobacco Barns – Air Curing</t>
        </is>
      </c>
      <c r="C2147" t="inlineStr">
        <is>
          <t>121</t>
        </is>
      </c>
      <c r="D2147" t="inlineStr">
        <is>
          <t>17</t>
        </is>
      </c>
      <c r="E2147" t="inlineStr">
        <is>
          <t>19</t>
        </is>
      </c>
      <c r="F2147" t="inlineStr">
        <is>
          <t>D</t>
        </is>
      </c>
      <c r="G2147" t="inlineStr">
        <is>
          <t>Low Cost</t>
        </is>
      </c>
      <c r="H2147" t="n">
        <v>26.5</v>
      </c>
      <c r="I2147">
        <f>B2147&amp;"|"&amp;F2147&amp;"|"&amp;G2147</f>
        <v/>
      </c>
      <c r="J2147" t="inlineStr">
        <is>
          <t>MVS Sec.17 p.19</t>
        </is>
      </c>
    </row>
    <row r="2148">
      <c r="B2148" t="inlineStr">
        <is>
          <t>Dehydrator Shed Buildings</t>
        </is>
      </c>
      <c r="C2148" t="inlineStr">
        <is>
          <t>564</t>
        </is>
      </c>
      <c r="D2148" t="inlineStr">
        <is>
          <t>17</t>
        </is>
      </c>
      <c r="E2148" t="inlineStr">
        <is>
          <t>19</t>
        </is>
      </c>
      <c r="F2148" t="inlineStr">
        <is>
          <t>C</t>
        </is>
      </c>
      <c r="G2148" t="inlineStr">
        <is>
          <t>Average</t>
        </is>
      </c>
      <c r="H2148" t="n">
        <v>135</v>
      </c>
      <c r="I2148">
        <f>B2148&amp;"|"&amp;F2148&amp;"|"&amp;G2148</f>
        <v/>
      </c>
      <c r="J2148" t="inlineStr">
        <is>
          <t>MVS Sec.17 p.19</t>
        </is>
      </c>
    </row>
    <row r="2149">
      <c r="B2149" t="inlineStr">
        <is>
          <t>Farm Cold Storage Buildings</t>
        </is>
      </c>
      <c r="C2149" t="inlineStr">
        <is>
          <t>448</t>
        </is>
      </c>
      <c r="D2149" t="inlineStr">
        <is>
          <t>17</t>
        </is>
      </c>
      <c r="E2149" t="inlineStr">
        <is>
          <t>20</t>
        </is>
      </c>
      <c r="F2149" t="inlineStr">
        <is>
          <t>C</t>
        </is>
      </c>
      <c r="G2149" t="inlineStr">
        <is>
          <t>Good</t>
        </is>
      </c>
      <c r="H2149" t="n">
        <v>68.5</v>
      </c>
      <c r="I2149">
        <f>B2149&amp;"|"&amp;F2149&amp;"|"&amp;G2149</f>
        <v/>
      </c>
      <c r="J2149" t="inlineStr">
        <is>
          <t>MVS Sec.17 p.20</t>
        </is>
      </c>
    </row>
    <row r="2150">
      <c r="B2150" t="inlineStr">
        <is>
          <t>Farm Cold Storage Buildings</t>
        </is>
      </c>
      <c r="C2150" t="inlineStr">
        <is>
          <t>448</t>
        </is>
      </c>
      <c r="D2150" t="inlineStr">
        <is>
          <t>17</t>
        </is>
      </c>
      <c r="E2150" t="inlineStr">
        <is>
          <t>20</t>
        </is>
      </c>
      <c r="F2150" t="inlineStr">
        <is>
          <t>C</t>
        </is>
      </c>
      <c r="G2150" t="inlineStr">
        <is>
          <t>Average</t>
        </is>
      </c>
      <c r="H2150" t="n">
        <v>48.5</v>
      </c>
      <c r="I2150">
        <f>B2150&amp;"|"&amp;F2150&amp;"|"&amp;G2150</f>
        <v/>
      </c>
      <c r="J2150" t="inlineStr">
        <is>
          <t>MVS Sec.17 p.20</t>
        </is>
      </c>
    </row>
    <row r="2151">
      <c r="B2151" t="inlineStr">
        <is>
          <t>Farm Cold Storage Buildings</t>
        </is>
      </c>
      <c r="C2151" t="inlineStr">
        <is>
          <t>448</t>
        </is>
      </c>
      <c r="D2151" t="inlineStr">
        <is>
          <t>17</t>
        </is>
      </c>
      <c r="E2151" t="inlineStr">
        <is>
          <t>20</t>
        </is>
      </c>
      <c r="F2151" t="inlineStr">
        <is>
          <t>C</t>
        </is>
      </c>
      <c r="G2151" t="inlineStr">
        <is>
          <t>Low Cost</t>
        </is>
      </c>
      <c r="H2151" t="n">
        <v>34.25</v>
      </c>
      <c r="I2151">
        <f>B2151&amp;"|"&amp;F2151&amp;"|"&amp;G2151</f>
        <v/>
      </c>
      <c r="J2151" t="inlineStr">
        <is>
          <t>MVS Sec.17 p.20</t>
        </is>
      </c>
    </row>
    <row r="2152">
      <c r="B2152" t="inlineStr">
        <is>
          <t>Farm Cold Storage Buildings</t>
        </is>
      </c>
      <c r="C2152" t="inlineStr">
        <is>
          <t>448</t>
        </is>
      </c>
      <c r="D2152" t="inlineStr">
        <is>
          <t>17</t>
        </is>
      </c>
      <c r="E2152" t="inlineStr">
        <is>
          <t>20</t>
        </is>
      </c>
      <c r="F2152" t="inlineStr">
        <is>
          <t>D</t>
        </is>
      </c>
      <c r="G2152" t="inlineStr">
        <is>
          <t>Good</t>
        </is>
      </c>
      <c r="H2152" t="n">
        <v>64</v>
      </c>
      <c r="I2152">
        <f>B2152&amp;"|"&amp;F2152&amp;"|"&amp;G2152</f>
        <v/>
      </c>
      <c r="J2152" t="inlineStr">
        <is>
          <t>MVS Sec.17 p.20</t>
        </is>
      </c>
    </row>
    <row r="2153">
      <c r="B2153" t="inlineStr">
        <is>
          <t>Farm Cold Storage Buildings</t>
        </is>
      </c>
      <c r="C2153" t="inlineStr">
        <is>
          <t>448</t>
        </is>
      </c>
      <c r="D2153" t="inlineStr">
        <is>
          <t>17</t>
        </is>
      </c>
      <c r="E2153" t="inlineStr">
        <is>
          <t>20</t>
        </is>
      </c>
      <c r="F2153" t="inlineStr">
        <is>
          <t>D</t>
        </is>
      </c>
      <c r="G2153" t="inlineStr">
        <is>
          <t>Average</t>
        </is>
      </c>
      <c r="H2153" t="n">
        <v>44.25</v>
      </c>
      <c r="I2153">
        <f>B2153&amp;"|"&amp;F2153&amp;"|"&amp;G2153</f>
        <v/>
      </c>
      <c r="J2153" t="inlineStr">
        <is>
          <t>MVS Sec.17 p.20</t>
        </is>
      </c>
    </row>
    <row r="2154">
      <c r="B2154" t="inlineStr">
        <is>
          <t>Farm Cold Storage Buildings</t>
        </is>
      </c>
      <c r="C2154" t="inlineStr">
        <is>
          <t>448</t>
        </is>
      </c>
      <c r="D2154" t="inlineStr">
        <is>
          <t>17</t>
        </is>
      </c>
      <c r="E2154" t="inlineStr">
        <is>
          <t>20</t>
        </is>
      </c>
      <c r="F2154" t="inlineStr">
        <is>
          <t>D</t>
        </is>
      </c>
      <c r="G2154" t="inlineStr">
        <is>
          <t>Low Cost</t>
        </is>
      </c>
      <c r="H2154" t="n">
        <v>30.75</v>
      </c>
      <c r="I2154">
        <f>B2154&amp;"|"&amp;F2154&amp;"|"&amp;G2154</f>
        <v/>
      </c>
      <c r="J2154" t="inlineStr">
        <is>
          <t>MVS Sec.17 p.20</t>
        </is>
      </c>
    </row>
    <row r="2155">
      <c r="B2155" t="inlineStr">
        <is>
          <t>Farm Cold Storage Buildings</t>
        </is>
      </c>
      <c r="C2155" t="inlineStr">
        <is>
          <t>448</t>
        </is>
      </c>
      <c r="D2155" t="inlineStr">
        <is>
          <t>17</t>
        </is>
      </c>
      <c r="E2155" t="inlineStr">
        <is>
          <t>20</t>
        </is>
      </c>
      <c r="F2155" t="inlineStr">
        <is>
          <t>DPOLE</t>
        </is>
      </c>
      <c r="G2155" t="inlineStr">
        <is>
          <t>Average</t>
        </is>
      </c>
      <c r="H2155" t="n">
        <v>42</v>
      </c>
      <c r="I2155">
        <f>B2155&amp;"|"&amp;F2155&amp;"|"&amp;G2155</f>
        <v/>
      </c>
      <c r="J2155" t="inlineStr">
        <is>
          <t>MVS Sec.17 p.20</t>
        </is>
      </c>
    </row>
    <row r="2156">
      <c r="B2156" t="inlineStr">
        <is>
          <t>Farm Cold Storage Buildings</t>
        </is>
      </c>
      <c r="C2156" t="inlineStr">
        <is>
          <t>448</t>
        </is>
      </c>
      <c r="D2156" t="inlineStr">
        <is>
          <t>17</t>
        </is>
      </c>
      <c r="E2156" t="inlineStr">
        <is>
          <t>20</t>
        </is>
      </c>
      <c r="F2156" t="inlineStr">
        <is>
          <t>DPOLE</t>
        </is>
      </c>
      <c r="G2156" t="inlineStr">
        <is>
          <t>Low Cost</t>
        </is>
      </c>
      <c r="H2156" t="n">
        <v>29.5</v>
      </c>
      <c r="I2156">
        <f>B2156&amp;"|"&amp;F2156&amp;"|"&amp;G2156</f>
        <v/>
      </c>
      <c r="J2156" t="inlineStr">
        <is>
          <t>MVS Sec.17 p.20</t>
        </is>
      </c>
    </row>
    <row r="2157">
      <c r="B2157" t="inlineStr">
        <is>
          <t>Farm Cold Storage Buildings</t>
        </is>
      </c>
      <c r="C2157" t="inlineStr">
        <is>
          <t>448</t>
        </is>
      </c>
      <c r="D2157" t="inlineStr">
        <is>
          <t>17</t>
        </is>
      </c>
      <c r="E2157" t="inlineStr">
        <is>
          <t>20</t>
        </is>
      </c>
      <c r="F2157" t="inlineStr">
        <is>
          <t>S</t>
        </is>
      </c>
      <c r="G2157" t="inlineStr">
        <is>
          <t>Good</t>
        </is>
      </c>
      <c r="H2157" t="n">
        <v>64</v>
      </c>
      <c r="I2157">
        <f>B2157&amp;"|"&amp;F2157&amp;"|"&amp;G2157</f>
        <v/>
      </c>
      <c r="J2157" t="inlineStr">
        <is>
          <t>MVS Sec.17 p.20</t>
        </is>
      </c>
    </row>
    <row r="2158">
      <c r="B2158" t="inlineStr">
        <is>
          <t>Farm Cold Storage Buildings</t>
        </is>
      </c>
      <c r="C2158" t="inlineStr">
        <is>
          <t>448</t>
        </is>
      </c>
      <c r="D2158" t="inlineStr">
        <is>
          <t>17</t>
        </is>
      </c>
      <c r="E2158" t="inlineStr">
        <is>
          <t>20</t>
        </is>
      </c>
      <c r="F2158" t="inlineStr">
        <is>
          <t>S</t>
        </is>
      </c>
      <c r="G2158" t="inlineStr">
        <is>
          <t>Average</t>
        </is>
      </c>
      <c r="H2158" t="n">
        <v>44.75</v>
      </c>
      <c r="I2158">
        <f>B2158&amp;"|"&amp;F2158&amp;"|"&amp;G2158</f>
        <v/>
      </c>
      <c r="J2158" t="inlineStr">
        <is>
          <t>MVS Sec.17 p.20</t>
        </is>
      </c>
    </row>
    <row r="2159">
      <c r="B2159" t="inlineStr">
        <is>
          <t>Farm Cold Storage Buildings</t>
        </is>
      </c>
      <c r="C2159" t="inlineStr">
        <is>
          <t>448</t>
        </is>
      </c>
      <c r="D2159" t="inlineStr">
        <is>
          <t>17</t>
        </is>
      </c>
      <c r="E2159" t="inlineStr">
        <is>
          <t>20</t>
        </is>
      </c>
      <c r="F2159" t="inlineStr">
        <is>
          <t>S</t>
        </is>
      </c>
      <c r="G2159" t="inlineStr">
        <is>
          <t>Low Cost</t>
        </is>
      </c>
      <c r="H2159" t="n">
        <v>31.5</v>
      </c>
      <c r="I2159">
        <f>B2159&amp;"|"&amp;F2159&amp;"|"&amp;G2159</f>
        <v/>
      </c>
      <c r="J2159" t="inlineStr">
        <is>
          <t>MVS Sec.17 p.20</t>
        </is>
      </c>
    </row>
    <row r="2160">
      <c r="B2160" t="inlineStr">
        <is>
          <t>Fruit Packing Barns</t>
        </is>
      </c>
      <c r="C2160" t="inlineStr">
        <is>
          <t>398</t>
        </is>
      </c>
      <c r="D2160" t="inlineStr">
        <is>
          <t>17</t>
        </is>
      </c>
      <c r="E2160" t="inlineStr">
        <is>
          <t>20</t>
        </is>
      </c>
      <c r="F2160" t="inlineStr">
        <is>
          <t>C</t>
        </is>
      </c>
      <c r="G2160" t="inlineStr">
        <is>
          <t>Average</t>
        </is>
      </c>
      <c r="H2160" t="n">
        <v>46.25</v>
      </c>
      <c r="I2160">
        <f>B2160&amp;"|"&amp;F2160&amp;"|"&amp;G2160</f>
        <v/>
      </c>
      <c r="J2160" t="inlineStr">
        <is>
          <t>MVS Sec.17 p.20</t>
        </is>
      </c>
    </row>
    <row r="2161">
      <c r="B2161" t="inlineStr">
        <is>
          <t>Fruit Packing Barns</t>
        </is>
      </c>
      <c r="C2161" t="inlineStr">
        <is>
          <t>398</t>
        </is>
      </c>
      <c r="D2161" t="inlineStr">
        <is>
          <t>17</t>
        </is>
      </c>
      <c r="E2161" t="inlineStr">
        <is>
          <t>20</t>
        </is>
      </c>
      <c r="F2161" t="inlineStr">
        <is>
          <t>D</t>
        </is>
      </c>
      <c r="G2161" t="inlineStr">
        <is>
          <t>Average</t>
        </is>
      </c>
      <c r="H2161" t="n">
        <v>42.5</v>
      </c>
      <c r="I2161">
        <f>B2161&amp;"|"&amp;F2161&amp;"|"&amp;G2161</f>
        <v/>
      </c>
      <c r="J2161" t="inlineStr">
        <is>
          <t>MVS Sec.17 p.20</t>
        </is>
      </c>
    </row>
    <row r="2162">
      <c r="B2162" t="inlineStr">
        <is>
          <t>Fruit Packing Barns</t>
        </is>
      </c>
      <c r="C2162" t="inlineStr">
        <is>
          <t>398</t>
        </is>
      </c>
      <c r="D2162" t="inlineStr">
        <is>
          <t>17</t>
        </is>
      </c>
      <c r="E2162" t="inlineStr">
        <is>
          <t>20</t>
        </is>
      </c>
      <c r="F2162" t="inlineStr">
        <is>
          <t>DPOLE</t>
        </is>
      </c>
      <c r="G2162" t="inlineStr">
        <is>
          <t>Average</t>
        </is>
      </c>
      <c r="H2162" t="n">
        <v>40</v>
      </c>
      <c r="I2162">
        <f>B2162&amp;"|"&amp;F2162&amp;"|"&amp;G2162</f>
        <v/>
      </c>
      <c r="J2162" t="inlineStr">
        <is>
          <t>MVS Sec.17 p.20</t>
        </is>
      </c>
    </row>
    <row r="2163">
      <c r="B2163" t="inlineStr">
        <is>
          <t>Fruit Packing Barns</t>
        </is>
      </c>
      <c r="C2163" t="inlineStr">
        <is>
          <t>398</t>
        </is>
      </c>
      <c r="D2163" t="inlineStr">
        <is>
          <t>17</t>
        </is>
      </c>
      <c r="E2163" t="inlineStr">
        <is>
          <t>20</t>
        </is>
      </c>
      <c r="F2163" t="inlineStr">
        <is>
          <t>S</t>
        </is>
      </c>
      <c r="G2163" t="inlineStr">
        <is>
          <t>Average</t>
        </is>
      </c>
      <c r="H2163" t="n">
        <v>43</v>
      </c>
      <c r="I2163">
        <f>B2163&amp;"|"&amp;F2163&amp;"|"&amp;G2163</f>
        <v/>
      </c>
      <c r="J2163" t="inlineStr">
        <is>
          <t>MVS Sec.17 p.20</t>
        </is>
      </c>
    </row>
    <row r="2164">
      <c r="B2164" t="inlineStr">
        <is>
          <t>Potato Storage Buildings</t>
        </is>
      </c>
      <c r="C2164" t="inlineStr">
        <is>
          <t>395</t>
        </is>
      </c>
      <c r="D2164" t="inlineStr">
        <is>
          <t>17</t>
        </is>
      </c>
      <c r="E2164" t="inlineStr">
        <is>
          <t>21</t>
        </is>
      </c>
      <c r="F2164" t="inlineStr">
        <is>
          <t>C</t>
        </is>
      </c>
      <c r="G2164" t="inlineStr">
        <is>
          <t>Good</t>
        </is>
      </c>
      <c r="H2164" t="n">
        <v>77</v>
      </c>
      <c r="I2164">
        <f>B2164&amp;"|"&amp;F2164&amp;"|"&amp;G2164</f>
        <v/>
      </c>
      <c r="J2164" t="inlineStr">
        <is>
          <t>MVS Sec.17 p.21</t>
        </is>
      </c>
    </row>
    <row r="2165">
      <c r="B2165" t="inlineStr">
        <is>
          <t>Potato Storage Buildings</t>
        </is>
      </c>
      <c r="C2165" t="inlineStr">
        <is>
          <t>395</t>
        </is>
      </c>
      <c r="D2165" t="inlineStr">
        <is>
          <t>17</t>
        </is>
      </c>
      <c r="E2165" t="inlineStr">
        <is>
          <t>21</t>
        </is>
      </c>
      <c r="F2165" t="inlineStr">
        <is>
          <t>C</t>
        </is>
      </c>
      <c r="G2165" t="inlineStr">
        <is>
          <t>Average</t>
        </is>
      </c>
      <c r="H2165" t="n">
        <v>51.5</v>
      </c>
      <c r="I2165">
        <f>B2165&amp;"|"&amp;F2165&amp;"|"&amp;G2165</f>
        <v/>
      </c>
      <c r="J2165" t="inlineStr">
        <is>
          <t>MVS Sec.17 p.21</t>
        </is>
      </c>
    </row>
    <row r="2166">
      <c r="B2166" t="inlineStr">
        <is>
          <t>Potato Storage Buildings</t>
        </is>
      </c>
      <c r="C2166" t="inlineStr">
        <is>
          <t>395</t>
        </is>
      </c>
      <c r="D2166" t="inlineStr">
        <is>
          <t>17</t>
        </is>
      </c>
      <c r="E2166" t="inlineStr">
        <is>
          <t>21</t>
        </is>
      </c>
      <c r="F2166" t="inlineStr">
        <is>
          <t>C</t>
        </is>
      </c>
      <c r="G2166" t="inlineStr">
        <is>
          <t>Low Cost</t>
        </is>
      </c>
      <c r="H2166" t="n">
        <v>34.75</v>
      </c>
      <c r="I2166">
        <f>B2166&amp;"|"&amp;F2166&amp;"|"&amp;G2166</f>
        <v/>
      </c>
      <c r="J2166" t="inlineStr">
        <is>
          <t>MVS Sec.17 p.21</t>
        </is>
      </c>
    </row>
    <row r="2167">
      <c r="B2167" t="inlineStr">
        <is>
          <t>Potato Storage Buildings</t>
        </is>
      </c>
      <c r="C2167" t="inlineStr">
        <is>
          <t>395</t>
        </is>
      </c>
      <c r="D2167" t="inlineStr">
        <is>
          <t>17</t>
        </is>
      </c>
      <c r="E2167" t="inlineStr">
        <is>
          <t>21</t>
        </is>
      </c>
      <c r="F2167" t="inlineStr">
        <is>
          <t>C</t>
        </is>
      </c>
      <c r="G2167" t="inlineStr">
        <is>
          <t>Cheap</t>
        </is>
      </c>
      <c r="H2167" t="n">
        <v>18.75</v>
      </c>
      <c r="I2167">
        <f>B2167&amp;"|"&amp;F2167&amp;"|"&amp;G2167</f>
        <v/>
      </c>
      <c r="J2167" t="inlineStr">
        <is>
          <t>MVS Sec.17 p.21</t>
        </is>
      </c>
    </row>
    <row r="2168">
      <c r="B2168" t="inlineStr">
        <is>
          <t>Potato Storage Buildings</t>
        </is>
      </c>
      <c r="C2168" t="inlineStr">
        <is>
          <t>395</t>
        </is>
      </c>
      <c r="D2168" t="inlineStr">
        <is>
          <t>17</t>
        </is>
      </c>
      <c r="E2168" t="inlineStr">
        <is>
          <t>21</t>
        </is>
      </c>
      <c r="F2168" t="inlineStr">
        <is>
          <t>D</t>
        </is>
      </c>
      <c r="G2168" t="inlineStr">
        <is>
          <t>Good</t>
        </is>
      </c>
      <c r="H2168" t="n">
        <v>73</v>
      </c>
      <c r="I2168">
        <f>B2168&amp;"|"&amp;F2168&amp;"|"&amp;G2168</f>
        <v/>
      </c>
      <c r="J2168" t="inlineStr">
        <is>
          <t>MVS Sec.17 p.21</t>
        </is>
      </c>
    </row>
    <row r="2169">
      <c r="B2169" t="inlineStr">
        <is>
          <t>Potato Storage Buildings</t>
        </is>
      </c>
      <c r="C2169" t="inlineStr">
        <is>
          <t>395</t>
        </is>
      </c>
      <c r="D2169" t="inlineStr">
        <is>
          <t>17</t>
        </is>
      </c>
      <c r="E2169" t="inlineStr">
        <is>
          <t>21</t>
        </is>
      </c>
      <c r="F2169" t="inlineStr">
        <is>
          <t>D</t>
        </is>
      </c>
      <c r="G2169" t="inlineStr">
        <is>
          <t>Average</t>
        </is>
      </c>
      <c r="H2169" t="n">
        <v>47</v>
      </c>
      <c r="I2169">
        <f>B2169&amp;"|"&amp;F2169&amp;"|"&amp;G2169</f>
        <v/>
      </c>
      <c r="J2169" t="inlineStr">
        <is>
          <t>MVS Sec.17 p.21</t>
        </is>
      </c>
    </row>
    <row r="2170">
      <c r="B2170" t="inlineStr">
        <is>
          <t>Potato Storage Buildings</t>
        </is>
      </c>
      <c r="C2170" t="inlineStr">
        <is>
          <t>395</t>
        </is>
      </c>
      <c r="D2170" t="inlineStr">
        <is>
          <t>17</t>
        </is>
      </c>
      <c r="E2170" t="inlineStr">
        <is>
          <t>21</t>
        </is>
      </c>
      <c r="F2170" t="inlineStr">
        <is>
          <t>D</t>
        </is>
      </c>
      <c r="G2170" t="inlineStr">
        <is>
          <t>Low Cost</t>
        </is>
      </c>
      <c r="H2170" t="n">
        <v>30.5</v>
      </c>
      <c r="I2170">
        <f>B2170&amp;"|"&amp;F2170&amp;"|"&amp;G2170</f>
        <v/>
      </c>
      <c r="J2170" t="inlineStr">
        <is>
          <t>MVS Sec.17 p.21</t>
        </is>
      </c>
    </row>
    <row r="2171">
      <c r="B2171" t="inlineStr">
        <is>
          <t>Potato Storage Buildings</t>
        </is>
      </c>
      <c r="C2171" t="inlineStr">
        <is>
          <t>395</t>
        </is>
      </c>
      <c r="D2171" t="inlineStr">
        <is>
          <t>17</t>
        </is>
      </c>
      <c r="E2171" t="inlineStr">
        <is>
          <t>21</t>
        </is>
      </c>
      <c r="F2171" t="inlineStr">
        <is>
          <t>D</t>
        </is>
      </c>
      <c r="G2171" t="inlineStr">
        <is>
          <t>Cheap</t>
        </is>
      </c>
      <c r="H2171" t="n">
        <v>15.2</v>
      </c>
      <c r="I2171">
        <f>B2171&amp;"|"&amp;F2171&amp;"|"&amp;G2171</f>
        <v/>
      </c>
      <c r="J2171" t="inlineStr">
        <is>
          <t>MVS Sec.17 p.21</t>
        </is>
      </c>
    </row>
    <row r="2172">
      <c r="B2172" t="inlineStr">
        <is>
          <t>Potato Storage Buildings</t>
        </is>
      </c>
      <c r="C2172" t="inlineStr">
        <is>
          <t>395</t>
        </is>
      </c>
      <c r="D2172" t="inlineStr">
        <is>
          <t>17</t>
        </is>
      </c>
      <c r="E2172" t="inlineStr">
        <is>
          <t>21</t>
        </is>
      </c>
      <c r="F2172" t="inlineStr">
        <is>
          <t>DPOLE</t>
        </is>
      </c>
      <c r="G2172" t="inlineStr">
        <is>
          <t>Good</t>
        </is>
      </c>
      <c r="H2172" t="n">
        <v>67</v>
      </c>
      <c r="I2172">
        <f>B2172&amp;"|"&amp;F2172&amp;"|"&amp;G2172</f>
        <v/>
      </c>
      <c r="J2172" t="inlineStr">
        <is>
          <t>MVS Sec.17 p.21</t>
        </is>
      </c>
    </row>
    <row r="2173">
      <c r="B2173" t="inlineStr">
        <is>
          <t>Potato Storage Buildings</t>
        </is>
      </c>
      <c r="C2173" t="inlineStr">
        <is>
          <t>395</t>
        </is>
      </c>
      <c r="D2173" t="inlineStr">
        <is>
          <t>17</t>
        </is>
      </c>
      <c r="E2173" t="inlineStr">
        <is>
          <t>21</t>
        </is>
      </c>
      <c r="F2173" t="inlineStr">
        <is>
          <t>DPOLE</t>
        </is>
      </c>
      <c r="G2173" t="inlineStr">
        <is>
          <t>Average</t>
        </is>
      </c>
      <c r="H2173" t="n">
        <v>43.25</v>
      </c>
      <c r="I2173">
        <f>B2173&amp;"|"&amp;F2173&amp;"|"&amp;G2173</f>
        <v/>
      </c>
      <c r="J2173" t="inlineStr">
        <is>
          <t>MVS Sec.17 p.21</t>
        </is>
      </c>
    </row>
    <row r="2174">
      <c r="B2174" t="inlineStr">
        <is>
          <t>Potato Storage Buildings</t>
        </is>
      </c>
      <c r="C2174" t="inlineStr">
        <is>
          <t>395</t>
        </is>
      </c>
      <c r="D2174" t="inlineStr">
        <is>
          <t>17</t>
        </is>
      </c>
      <c r="E2174" t="inlineStr">
        <is>
          <t>21</t>
        </is>
      </c>
      <c r="F2174" t="inlineStr">
        <is>
          <t>DPOLE</t>
        </is>
      </c>
      <c r="G2174" t="inlineStr">
        <is>
          <t>Low Cost</t>
        </is>
      </c>
      <c r="H2174" t="n">
        <v>28</v>
      </c>
      <c r="I2174">
        <f>B2174&amp;"|"&amp;F2174&amp;"|"&amp;G2174</f>
        <v/>
      </c>
      <c r="J2174" t="inlineStr">
        <is>
          <t>MVS Sec.17 p.21</t>
        </is>
      </c>
    </row>
    <row r="2175">
      <c r="B2175" t="inlineStr">
        <is>
          <t>Potato Storage Buildings</t>
        </is>
      </c>
      <c r="C2175" t="inlineStr">
        <is>
          <t>395</t>
        </is>
      </c>
      <c r="D2175" t="inlineStr">
        <is>
          <t>17</t>
        </is>
      </c>
      <c r="E2175" t="inlineStr">
        <is>
          <t>21</t>
        </is>
      </c>
      <c r="F2175" t="inlineStr">
        <is>
          <t>DPOLE</t>
        </is>
      </c>
      <c r="G2175" t="inlineStr">
        <is>
          <t>Cheap</t>
        </is>
      </c>
      <c r="H2175" t="n">
        <v>13.7</v>
      </c>
      <c r="I2175">
        <f>B2175&amp;"|"&amp;F2175&amp;"|"&amp;G2175</f>
        <v/>
      </c>
      <c r="J2175" t="inlineStr">
        <is>
          <t>MVS Sec.17 p.21</t>
        </is>
      </c>
    </row>
    <row r="2176">
      <c r="B2176" t="inlineStr">
        <is>
          <t>Potato Storage Buildings</t>
        </is>
      </c>
      <c r="C2176" t="inlineStr">
        <is>
          <t>395</t>
        </is>
      </c>
      <c r="D2176" t="inlineStr">
        <is>
          <t>17</t>
        </is>
      </c>
      <c r="E2176" t="inlineStr">
        <is>
          <t>21</t>
        </is>
      </c>
      <c r="F2176" t="inlineStr">
        <is>
          <t>S</t>
        </is>
      </c>
      <c r="G2176" t="inlineStr">
        <is>
          <t>Good</t>
        </is>
      </c>
      <c r="H2176" t="n">
        <v>71.5</v>
      </c>
      <c r="I2176">
        <f>B2176&amp;"|"&amp;F2176&amp;"|"&amp;G2176</f>
        <v/>
      </c>
      <c r="J2176" t="inlineStr">
        <is>
          <t>MVS Sec.17 p.21</t>
        </is>
      </c>
    </row>
    <row r="2177">
      <c r="B2177" t="inlineStr">
        <is>
          <t>Potato Storage Buildings</t>
        </is>
      </c>
      <c r="C2177" t="inlineStr">
        <is>
          <t>395</t>
        </is>
      </c>
      <c r="D2177" t="inlineStr">
        <is>
          <t>17</t>
        </is>
      </c>
      <c r="E2177" t="inlineStr">
        <is>
          <t>21</t>
        </is>
      </c>
      <c r="F2177" t="inlineStr">
        <is>
          <t>S</t>
        </is>
      </c>
      <c r="G2177" t="inlineStr">
        <is>
          <t>Average</t>
        </is>
      </c>
      <c r="H2177" t="n">
        <v>47.25</v>
      </c>
      <c r="I2177">
        <f>B2177&amp;"|"&amp;F2177&amp;"|"&amp;G2177</f>
        <v/>
      </c>
      <c r="J2177" t="inlineStr">
        <is>
          <t>MVS Sec.17 p.21</t>
        </is>
      </c>
    </row>
    <row r="2178">
      <c r="B2178" t="inlineStr">
        <is>
          <t>Potato Storage Buildings</t>
        </is>
      </c>
      <c r="C2178" t="inlineStr">
        <is>
          <t>395</t>
        </is>
      </c>
      <c r="D2178" t="inlineStr">
        <is>
          <t>17</t>
        </is>
      </c>
      <c r="E2178" t="inlineStr">
        <is>
          <t>21</t>
        </is>
      </c>
      <c r="F2178" t="inlineStr">
        <is>
          <t>S</t>
        </is>
      </c>
      <c r="G2178" t="inlineStr">
        <is>
          <t>Low Cost</t>
        </is>
      </c>
      <c r="H2178" t="n">
        <v>31.5</v>
      </c>
      <c r="I2178">
        <f>B2178&amp;"|"&amp;F2178&amp;"|"&amp;G2178</f>
        <v/>
      </c>
      <c r="J2178" t="inlineStr">
        <is>
          <t>MVS Sec.17 p.21</t>
        </is>
      </c>
    </row>
    <row r="2179">
      <c r="B2179" t="inlineStr">
        <is>
          <t>Vegetable Buildings – Environmental</t>
        </is>
      </c>
      <c r="C2179" t="inlineStr">
        <is>
          <t>480</t>
        </is>
      </c>
      <c r="D2179" t="inlineStr">
        <is>
          <t>17</t>
        </is>
      </c>
      <c r="E2179" t="inlineStr">
        <is>
          <t>21</t>
        </is>
      </c>
      <c r="F2179" t="inlineStr">
        <is>
          <t>SSLANT</t>
        </is>
      </c>
      <c r="G2179" t="inlineStr">
        <is>
          <t>Good</t>
        </is>
      </c>
      <c r="H2179" t="n">
        <v>69.5</v>
      </c>
      <c r="I2179">
        <f>B2179&amp;"|"&amp;F2179&amp;"|"&amp;G2179</f>
        <v/>
      </c>
      <c r="J2179" t="inlineStr">
        <is>
          <t>MVS Sec.17 p.21</t>
        </is>
      </c>
    </row>
    <row r="2180">
      <c r="B2180" t="inlineStr">
        <is>
          <t>Vegetable Buildings – Environmental</t>
        </is>
      </c>
      <c r="C2180" t="inlineStr">
        <is>
          <t>480</t>
        </is>
      </c>
      <c r="D2180" t="inlineStr">
        <is>
          <t>17</t>
        </is>
      </c>
      <c r="E2180" t="inlineStr">
        <is>
          <t>21</t>
        </is>
      </c>
      <c r="F2180" t="inlineStr">
        <is>
          <t>SSLANT</t>
        </is>
      </c>
      <c r="G2180" t="inlineStr">
        <is>
          <t>Fair</t>
        </is>
      </c>
      <c r="H2180" t="n">
        <v>49.5</v>
      </c>
      <c r="I2180">
        <f>B2180&amp;"|"&amp;F2180&amp;"|"&amp;G2180</f>
        <v/>
      </c>
      <c r="J2180" t="inlineStr">
        <is>
          <t>MVS Sec.17 p.21</t>
        </is>
      </c>
    </row>
    <row r="2181">
      <c r="B2181" t="inlineStr">
        <is>
          <t>Vegetable Buildings – Environmental</t>
        </is>
      </c>
      <c r="C2181" t="inlineStr">
        <is>
          <t>480</t>
        </is>
      </c>
      <c r="D2181" t="inlineStr">
        <is>
          <t>17</t>
        </is>
      </c>
      <c r="E2181" t="inlineStr">
        <is>
          <t>21</t>
        </is>
      </c>
      <c r="F2181" t="inlineStr">
        <is>
          <t>SSLANT</t>
        </is>
      </c>
      <c r="G2181" t="inlineStr">
        <is>
          <t>Low Cost</t>
        </is>
      </c>
      <c r="H2181" t="n">
        <v>44.25</v>
      </c>
      <c r="I2181">
        <f>B2181&amp;"|"&amp;F2181&amp;"|"&amp;G2181</f>
        <v/>
      </c>
      <c r="J2181" t="inlineStr">
        <is>
          <t>MVS Sec.17 p.21</t>
        </is>
      </c>
    </row>
    <row r="2182">
      <c r="B2182" t="inlineStr">
        <is>
          <t>Controlled Atmosphere Buildings</t>
        </is>
      </c>
      <c r="C2182" t="inlineStr">
        <is>
          <t>106</t>
        </is>
      </c>
      <c r="D2182" t="inlineStr">
        <is>
          <t>17</t>
        </is>
      </c>
      <c r="E2182" t="inlineStr">
        <is>
          <t>21</t>
        </is>
      </c>
      <c r="F2182" t="inlineStr">
        <is>
          <t>C</t>
        </is>
      </c>
      <c r="G2182" t="inlineStr">
        <is>
          <t>Average</t>
        </is>
      </c>
      <c r="H2182" t="n">
        <v>59</v>
      </c>
      <c r="I2182">
        <f>B2182&amp;"|"&amp;F2182&amp;"|"&amp;G2182</f>
        <v/>
      </c>
      <c r="J2182" t="inlineStr">
        <is>
          <t>MVS Sec.17 p.21</t>
        </is>
      </c>
    </row>
    <row r="2183">
      <c r="B2183" t="inlineStr">
        <is>
          <t>Controlled Atmosphere Buildings</t>
        </is>
      </c>
      <c r="C2183" t="inlineStr">
        <is>
          <t>106</t>
        </is>
      </c>
      <c r="D2183" t="inlineStr">
        <is>
          <t>17</t>
        </is>
      </c>
      <c r="E2183" t="inlineStr">
        <is>
          <t>21</t>
        </is>
      </c>
      <c r="F2183" t="inlineStr">
        <is>
          <t>D</t>
        </is>
      </c>
      <c r="G2183" t="inlineStr">
        <is>
          <t>Average</t>
        </is>
      </c>
      <c r="H2183" t="n">
        <v>55</v>
      </c>
      <c r="I2183">
        <f>B2183&amp;"|"&amp;F2183&amp;"|"&amp;G2183</f>
        <v/>
      </c>
      <c r="J2183" t="inlineStr">
        <is>
          <t>MVS Sec.17 p.21</t>
        </is>
      </c>
    </row>
    <row r="2184">
      <c r="B2184" t="inlineStr">
        <is>
          <t>Controlled Atmosphere Buildings</t>
        </is>
      </c>
      <c r="C2184" t="inlineStr">
        <is>
          <t>106</t>
        </is>
      </c>
      <c r="D2184" t="inlineStr">
        <is>
          <t>17</t>
        </is>
      </c>
      <c r="E2184" t="inlineStr">
        <is>
          <t>21</t>
        </is>
      </c>
      <c r="F2184" t="inlineStr">
        <is>
          <t>DPOLE</t>
        </is>
      </c>
      <c r="G2184" t="inlineStr">
        <is>
          <t>Average</t>
        </is>
      </c>
      <c r="H2184" t="n">
        <v>52.5</v>
      </c>
      <c r="I2184">
        <f>B2184&amp;"|"&amp;F2184&amp;"|"&amp;G2184</f>
        <v/>
      </c>
      <c r="J2184" t="inlineStr">
        <is>
          <t>MVS Sec.17 p.21</t>
        </is>
      </c>
    </row>
    <row r="2185">
      <c r="B2185" t="inlineStr">
        <is>
          <t>Controlled Atmosphere Buildings</t>
        </is>
      </c>
      <c r="C2185" t="inlineStr">
        <is>
          <t>106</t>
        </is>
      </c>
      <c r="D2185" t="inlineStr">
        <is>
          <t>17</t>
        </is>
      </c>
      <c r="E2185" t="inlineStr">
        <is>
          <t>21</t>
        </is>
      </c>
      <c r="F2185" t="inlineStr">
        <is>
          <t>S</t>
        </is>
      </c>
      <c r="G2185" t="inlineStr">
        <is>
          <t>Average</t>
        </is>
      </c>
      <c r="H2185" t="n">
        <v>56</v>
      </c>
      <c r="I2185">
        <f>B2185&amp;"|"&amp;F2185&amp;"|"&amp;G2185</f>
        <v/>
      </c>
      <c r="J2185" t="inlineStr">
        <is>
          <t>MVS Sec.17 p.21</t>
        </is>
      </c>
    </row>
    <row r="2186">
      <c r="B2186" t="inlineStr">
        <is>
          <t>Greenhouse – Straight-Wall Structures</t>
        </is>
      </c>
      <c r="C2186" t="inlineStr">
        <is>
          <t>136</t>
        </is>
      </c>
      <c r="D2186" t="inlineStr">
        <is>
          <t>17</t>
        </is>
      </c>
      <c r="E2186" t="inlineStr">
        <is>
          <t>22</t>
        </is>
      </c>
      <c r="F2186" t="inlineStr">
        <is>
          <t>D</t>
        </is>
      </c>
      <c r="G2186" t="inlineStr">
        <is>
          <t>Average</t>
        </is>
      </c>
      <c r="H2186" t="n">
        <v>14.7</v>
      </c>
      <c r="I2186">
        <f>B2186&amp;"|"&amp;F2186&amp;"|"&amp;G2186</f>
        <v/>
      </c>
      <c r="J2186" t="inlineStr">
        <is>
          <t>MVS Sec.17 p.22</t>
        </is>
      </c>
    </row>
    <row r="2187">
      <c r="B2187" t="inlineStr">
        <is>
          <t>Greenhouse – Straight-Wall Structures</t>
        </is>
      </c>
      <c r="C2187" t="inlineStr">
        <is>
          <t>136</t>
        </is>
      </c>
      <c r="D2187" t="inlineStr">
        <is>
          <t>17</t>
        </is>
      </c>
      <c r="E2187" t="inlineStr">
        <is>
          <t>22</t>
        </is>
      </c>
      <c r="F2187" t="inlineStr">
        <is>
          <t>D</t>
        </is>
      </c>
      <c r="G2187" t="inlineStr">
        <is>
          <t>Fair</t>
        </is>
      </c>
      <c r="H2187" t="n">
        <v>9.58</v>
      </c>
      <c r="I2187">
        <f>B2187&amp;"|"&amp;F2187&amp;"|"&amp;G2187</f>
        <v/>
      </c>
      <c r="J2187" t="inlineStr">
        <is>
          <t>MVS Sec.17 p.22</t>
        </is>
      </c>
    </row>
    <row r="2188">
      <c r="B2188" t="inlineStr">
        <is>
          <t>Greenhouse – Straight-Wall Structures</t>
        </is>
      </c>
      <c r="C2188" t="inlineStr">
        <is>
          <t>136</t>
        </is>
      </c>
      <c r="D2188" t="inlineStr">
        <is>
          <t>17</t>
        </is>
      </c>
      <c r="E2188" t="inlineStr">
        <is>
          <t>22</t>
        </is>
      </c>
      <c r="F2188" t="inlineStr">
        <is>
          <t>D</t>
        </is>
      </c>
      <c r="G2188" t="inlineStr">
        <is>
          <t>Low Cost</t>
        </is>
      </c>
      <c r="H2188" t="n">
        <v>6.24</v>
      </c>
      <c r="I2188">
        <f>B2188&amp;"|"&amp;F2188&amp;"|"&amp;G2188</f>
        <v/>
      </c>
      <c r="J2188" t="inlineStr">
        <is>
          <t>MVS Sec.17 p.22</t>
        </is>
      </c>
    </row>
    <row r="2189">
      <c r="B2189" t="inlineStr">
        <is>
          <t>Greenhouse – Straight-Wall Structures</t>
        </is>
      </c>
      <c r="C2189" t="inlineStr">
        <is>
          <t>136</t>
        </is>
      </c>
      <c r="D2189" t="inlineStr">
        <is>
          <t>17</t>
        </is>
      </c>
      <c r="E2189" t="inlineStr">
        <is>
          <t>22</t>
        </is>
      </c>
      <c r="F2189" t="inlineStr">
        <is>
          <t>D</t>
        </is>
      </c>
      <c r="G2189" t="inlineStr">
        <is>
          <t>Cheap</t>
        </is>
      </c>
      <c r="H2189" t="n">
        <v>5.54</v>
      </c>
      <c r="I2189">
        <f>B2189&amp;"|"&amp;F2189&amp;"|"&amp;G2189</f>
        <v/>
      </c>
      <c r="J2189" t="inlineStr">
        <is>
          <t>MVS Sec.17 p.22</t>
        </is>
      </c>
    </row>
    <row r="2190">
      <c r="B2190" t="inlineStr">
        <is>
          <t>Greenhouse – Straight-Wall Structures</t>
        </is>
      </c>
      <c r="C2190" t="inlineStr">
        <is>
          <t>136</t>
        </is>
      </c>
      <c r="D2190" t="inlineStr">
        <is>
          <t>17</t>
        </is>
      </c>
      <c r="E2190" t="inlineStr">
        <is>
          <t>22</t>
        </is>
      </c>
      <c r="F2190" t="inlineStr">
        <is>
          <t>S</t>
        </is>
      </c>
      <c r="G2190" t="inlineStr">
        <is>
          <t>Excellent</t>
        </is>
      </c>
      <c r="H2190" t="n">
        <v>46</v>
      </c>
      <c r="I2190">
        <f>B2190&amp;"|"&amp;F2190&amp;"|"&amp;G2190</f>
        <v/>
      </c>
      <c r="J2190" t="inlineStr">
        <is>
          <t>MVS Sec.17 p.22</t>
        </is>
      </c>
    </row>
    <row r="2191">
      <c r="B2191" t="inlineStr">
        <is>
          <t>Greenhouse – Straight-Wall Structures</t>
        </is>
      </c>
      <c r="C2191" t="inlineStr">
        <is>
          <t>136</t>
        </is>
      </c>
      <c r="D2191" t="inlineStr">
        <is>
          <t>17</t>
        </is>
      </c>
      <c r="E2191" t="inlineStr">
        <is>
          <t>22</t>
        </is>
      </c>
      <c r="F2191" t="inlineStr">
        <is>
          <t>S</t>
        </is>
      </c>
      <c r="G2191" t="inlineStr">
        <is>
          <t>Very Good</t>
        </is>
      </c>
      <c r="H2191" t="n">
        <v>38</v>
      </c>
      <c r="I2191">
        <f>B2191&amp;"|"&amp;F2191&amp;"|"&amp;G2191</f>
        <v/>
      </c>
      <c r="J2191" t="inlineStr">
        <is>
          <t>MVS Sec.17 p.22</t>
        </is>
      </c>
    </row>
    <row r="2192">
      <c r="B2192" t="inlineStr">
        <is>
          <t>Greenhouse – Straight-Wall Structures</t>
        </is>
      </c>
      <c r="C2192" t="inlineStr">
        <is>
          <t>136</t>
        </is>
      </c>
      <c r="D2192" t="inlineStr">
        <is>
          <t>17</t>
        </is>
      </c>
      <c r="E2192" t="inlineStr">
        <is>
          <t>22</t>
        </is>
      </c>
      <c r="F2192" t="inlineStr">
        <is>
          <t>S</t>
        </is>
      </c>
      <c r="G2192" t="inlineStr">
        <is>
          <t>Good</t>
        </is>
      </c>
      <c r="H2192" t="n">
        <v>31.25</v>
      </c>
      <c r="I2192">
        <f>B2192&amp;"|"&amp;F2192&amp;"|"&amp;G2192</f>
        <v/>
      </c>
      <c r="J2192" t="inlineStr">
        <is>
          <t>MVS Sec.17 p.22</t>
        </is>
      </c>
    </row>
    <row r="2193">
      <c r="B2193" t="inlineStr">
        <is>
          <t>Greenhouse – Straight-Wall Structures</t>
        </is>
      </c>
      <c r="C2193" t="inlineStr">
        <is>
          <t>136</t>
        </is>
      </c>
      <c r="D2193" t="inlineStr">
        <is>
          <t>17</t>
        </is>
      </c>
      <c r="E2193" t="inlineStr">
        <is>
          <t>22</t>
        </is>
      </c>
      <c r="F2193" t="inlineStr">
        <is>
          <t>S</t>
        </is>
      </c>
      <c r="G2193" t="inlineStr">
        <is>
          <t>Average</t>
        </is>
      </c>
      <c r="H2193" t="n">
        <v>14.55</v>
      </c>
      <c r="I2193">
        <f>B2193&amp;"|"&amp;F2193&amp;"|"&amp;G2193</f>
        <v/>
      </c>
      <c r="J2193" t="inlineStr">
        <is>
          <t>MVS Sec.17 p.22</t>
        </is>
      </c>
    </row>
    <row r="2194">
      <c r="B2194" t="inlineStr">
        <is>
          <t>Greenhouse – Straight-Wall Structures</t>
        </is>
      </c>
      <c r="C2194" t="inlineStr">
        <is>
          <t>136</t>
        </is>
      </c>
      <c r="D2194" t="inlineStr">
        <is>
          <t>17</t>
        </is>
      </c>
      <c r="E2194" t="inlineStr">
        <is>
          <t>22</t>
        </is>
      </c>
      <c r="F2194" t="inlineStr">
        <is>
          <t>S</t>
        </is>
      </c>
      <c r="G2194" t="inlineStr">
        <is>
          <t>Fair</t>
        </is>
      </c>
      <c r="H2194" t="n">
        <v>9.92</v>
      </c>
      <c r="I2194">
        <f>B2194&amp;"|"&amp;F2194&amp;"|"&amp;G2194</f>
        <v/>
      </c>
      <c r="J2194" t="inlineStr">
        <is>
          <t>MVS Sec.17 p.22</t>
        </is>
      </c>
    </row>
    <row r="2195">
      <c r="B2195" t="inlineStr">
        <is>
          <t>Greenhouse – Straight-Wall Structures</t>
        </is>
      </c>
      <c r="C2195" t="inlineStr">
        <is>
          <t>136</t>
        </is>
      </c>
      <c r="D2195" t="inlineStr">
        <is>
          <t>17</t>
        </is>
      </c>
      <c r="E2195" t="inlineStr">
        <is>
          <t>22</t>
        </is>
      </c>
      <c r="F2195" t="inlineStr">
        <is>
          <t>S</t>
        </is>
      </c>
      <c r="G2195" t="inlineStr">
        <is>
          <t>Low Cost</t>
        </is>
      </c>
      <c r="H2195" t="n">
        <v>6.76</v>
      </c>
      <c r="I2195">
        <f>B2195&amp;"|"&amp;F2195&amp;"|"&amp;G2195</f>
        <v/>
      </c>
      <c r="J2195" t="inlineStr">
        <is>
          <t>MVS Sec.17 p.22</t>
        </is>
      </c>
    </row>
    <row r="2196">
      <c r="B2196" t="inlineStr">
        <is>
          <t>Greenhouse – Straight-Wall Structures</t>
        </is>
      </c>
      <c r="C2196" t="inlineStr">
        <is>
          <t>136</t>
        </is>
      </c>
      <c r="D2196" t="inlineStr">
        <is>
          <t>17</t>
        </is>
      </c>
      <c r="E2196" t="inlineStr">
        <is>
          <t>22</t>
        </is>
      </c>
      <c r="F2196" t="inlineStr">
        <is>
          <t>S</t>
        </is>
      </c>
      <c r="G2196" t="inlineStr">
        <is>
          <t>Cheap</t>
        </is>
      </c>
      <c r="H2196" t="n">
        <v>6.01</v>
      </c>
      <c r="I2196">
        <f>B2196&amp;"|"&amp;F2196&amp;"|"&amp;G2196</f>
        <v/>
      </c>
      <c r="J2196" t="inlineStr">
        <is>
          <t>MVS Sec.17 p.22</t>
        </is>
      </c>
    </row>
    <row r="2197">
      <c r="B2197" t="inlineStr">
        <is>
          <t>Greenhouse – Hoop (Arch-Rib/Quonset) Structures</t>
        </is>
      </c>
      <c r="C2197" t="inlineStr">
        <is>
          <t>135</t>
        </is>
      </c>
      <c r="D2197" t="inlineStr">
        <is>
          <t>17</t>
        </is>
      </c>
      <c r="E2197" t="inlineStr">
        <is>
          <t>22</t>
        </is>
      </c>
      <c r="F2197" t="inlineStr">
        <is>
          <t>D</t>
        </is>
      </c>
      <c r="G2197" t="inlineStr">
        <is>
          <t>Low Cost</t>
        </is>
      </c>
      <c r="H2197" t="n">
        <v>5.81</v>
      </c>
      <c r="I2197">
        <f>B2197&amp;"|"&amp;F2197&amp;"|"&amp;G2197</f>
        <v/>
      </c>
      <c r="J2197" t="inlineStr">
        <is>
          <t>MVS Sec.17 p.22</t>
        </is>
      </c>
    </row>
    <row r="2198">
      <c r="B2198" t="inlineStr">
        <is>
          <t>Greenhouse – Hoop (Arch-Rib/Quonset) Structures</t>
        </is>
      </c>
      <c r="C2198" t="inlineStr">
        <is>
          <t>135</t>
        </is>
      </c>
      <c r="D2198" t="inlineStr">
        <is>
          <t>17</t>
        </is>
      </c>
      <c r="E2198" t="inlineStr">
        <is>
          <t>22</t>
        </is>
      </c>
      <c r="F2198" t="inlineStr">
        <is>
          <t>S</t>
        </is>
      </c>
      <c r="G2198" t="inlineStr">
        <is>
          <t>Very Good</t>
        </is>
      </c>
      <c r="H2198" t="n">
        <v>26.5</v>
      </c>
      <c r="I2198">
        <f>B2198&amp;"|"&amp;F2198&amp;"|"&amp;G2198</f>
        <v/>
      </c>
      <c r="J2198" t="inlineStr">
        <is>
          <t>MVS Sec.17 p.22</t>
        </is>
      </c>
    </row>
    <row r="2199">
      <c r="B2199" t="inlineStr">
        <is>
          <t>Greenhouse – Hoop (Arch-Rib/Quonset) Structures</t>
        </is>
      </c>
      <c r="C2199" t="inlineStr">
        <is>
          <t>135</t>
        </is>
      </c>
      <c r="D2199" t="inlineStr">
        <is>
          <t>17</t>
        </is>
      </c>
      <c r="E2199" t="inlineStr">
        <is>
          <t>22</t>
        </is>
      </c>
      <c r="F2199" t="inlineStr">
        <is>
          <t>S</t>
        </is>
      </c>
      <c r="G2199" t="inlineStr">
        <is>
          <t>Good</t>
        </is>
      </c>
      <c r="H2199" t="n">
        <v>21.95</v>
      </c>
      <c r="I2199">
        <f>B2199&amp;"|"&amp;F2199&amp;"|"&amp;G2199</f>
        <v/>
      </c>
      <c r="J2199" t="inlineStr">
        <is>
          <t>MVS Sec.17 p.22</t>
        </is>
      </c>
    </row>
    <row r="2200">
      <c r="B2200" t="inlineStr">
        <is>
          <t>Greenhouse – Hoop (Arch-Rib/Quonset) Structures</t>
        </is>
      </c>
      <c r="C2200" t="inlineStr">
        <is>
          <t>135</t>
        </is>
      </c>
      <c r="D2200" t="inlineStr">
        <is>
          <t>17</t>
        </is>
      </c>
      <c r="E2200" t="inlineStr">
        <is>
          <t>22</t>
        </is>
      </c>
      <c r="F2200" t="inlineStr">
        <is>
          <t>S</t>
        </is>
      </c>
      <c r="G2200" t="inlineStr">
        <is>
          <t>Average</t>
        </is>
      </c>
      <c r="H2200" t="n">
        <v>10.35</v>
      </c>
      <c r="I2200">
        <f>B2200&amp;"|"&amp;F2200&amp;"|"&amp;G2200</f>
        <v/>
      </c>
      <c r="J2200" t="inlineStr">
        <is>
          <t>MVS Sec.17 p.22</t>
        </is>
      </c>
    </row>
    <row r="2201">
      <c r="B2201" t="inlineStr">
        <is>
          <t>Greenhouse – Hoop (Arch-Rib/Quonset) Structures</t>
        </is>
      </c>
      <c r="C2201" t="inlineStr">
        <is>
          <t>135</t>
        </is>
      </c>
      <c r="D2201" t="inlineStr">
        <is>
          <t>17</t>
        </is>
      </c>
      <c r="E2201" t="inlineStr">
        <is>
          <t>22</t>
        </is>
      </c>
      <c r="F2201" t="inlineStr">
        <is>
          <t>S</t>
        </is>
      </c>
      <c r="G2201" t="inlineStr">
        <is>
          <t>Fair</t>
        </is>
      </c>
      <c r="H2201" t="n">
        <v>7.09</v>
      </c>
      <c r="I2201">
        <f>B2201&amp;"|"&amp;F2201&amp;"|"&amp;G2201</f>
        <v/>
      </c>
      <c r="J2201" t="inlineStr">
        <is>
          <t>MVS Sec.17 p.22</t>
        </is>
      </c>
    </row>
    <row r="2202">
      <c r="B2202" t="inlineStr">
        <is>
          <t>Greenhouse – Hoop (Arch-Rib/Quonset) Structures</t>
        </is>
      </c>
      <c r="C2202" t="inlineStr">
        <is>
          <t>135</t>
        </is>
      </c>
      <c r="D2202" t="inlineStr">
        <is>
          <t>17</t>
        </is>
      </c>
      <c r="E2202" t="inlineStr">
        <is>
          <t>22</t>
        </is>
      </c>
      <c r="F2202" t="inlineStr">
        <is>
          <t>S</t>
        </is>
      </c>
      <c r="G2202" t="inlineStr">
        <is>
          <t>Low Cost</t>
        </is>
      </c>
      <c r="H2202" t="n">
        <v>4.88</v>
      </c>
      <c r="I2202">
        <f>B2202&amp;"|"&amp;F2202&amp;"|"&amp;G2202</f>
        <v/>
      </c>
      <c r="J2202" t="inlineStr">
        <is>
          <t>MVS Sec.17 p.22</t>
        </is>
      </c>
    </row>
    <row r="2203">
      <c r="B2203" t="inlineStr">
        <is>
          <t>Greenhouse – Hoop (Arch-Rib/Quonset) Structures</t>
        </is>
      </c>
      <c r="C2203" t="inlineStr">
        <is>
          <t>135</t>
        </is>
      </c>
      <c r="D2203" t="inlineStr">
        <is>
          <t>17</t>
        </is>
      </c>
      <c r="E2203" t="inlineStr">
        <is>
          <t>22</t>
        </is>
      </c>
      <c r="F2203" t="inlineStr">
        <is>
          <t>S</t>
        </is>
      </c>
      <c r="G2203" t="inlineStr">
        <is>
          <t>Cheap</t>
        </is>
      </c>
      <c r="H2203" t="n">
        <v>4.33</v>
      </c>
      <c r="I2203">
        <f>B2203&amp;"|"&amp;F2203&amp;"|"&amp;G2203</f>
        <v/>
      </c>
      <c r="J2203" t="inlineStr">
        <is>
          <t>MVS Sec.17 p.22</t>
        </is>
      </c>
    </row>
    <row r="2204">
      <c r="B2204" t="inlineStr">
        <is>
          <t>Greenhouse Shade Shelters</t>
        </is>
      </c>
      <c r="C2204" t="inlineStr">
        <is>
          <t>519</t>
        </is>
      </c>
      <c r="D2204" t="inlineStr">
        <is>
          <t>17</t>
        </is>
      </c>
      <c r="E2204" t="inlineStr">
        <is>
          <t>23</t>
        </is>
      </c>
      <c r="F2204" t="inlineStr">
        <is>
          <t>D</t>
        </is>
      </c>
      <c r="G2204" t="inlineStr">
        <is>
          <t>Average</t>
        </is>
      </c>
      <c r="H2204" t="n">
        <v>3.39</v>
      </c>
      <c r="I2204">
        <f>B2204&amp;"|"&amp;F2204&amp;"|"&amp;G2204</f>
        <v/>
      </c>
      <c r="J2204" t="inlineStr">
        <is>
          <t>MVS Sec.17 p.23</t>
        </is>
      </c>
    </row>
    <row r="2205">
      <c r="B2205" t="inlineStr">
        <is>
          <t>Greenhouse Shade Shelters</t>
        </is>
      </c>
      <c r="C2205" t="inlineStr">
        <is>
          <t>519</t>
        </is>
      </c>
      <c r="D2205" t="inlineStr">
        <is>
          <t>17</t>
        </is>
      </c>
      <c r="E2205" t="inlineStr">
        <is>
          <t>23</t>
        </is>
      </c>
      <c r="F2205" t="inlineStr">
        <is>
          <t>D</t>
        </is>
      </c>
      <c r="G2205" t="inlineStr">
        <is>
          <t>Low Cost</t>
        </is>
      </c>
      <c r="H2205" t="n">
        <v>2.49</v>
      </c>
      <c r="I2205">
        <f>B2205&amp;"|"&amp;F2205&amp;"|"&amp;G2205</f>
        <v/>
      </c>
      <c r="J2205" t="inlineStr">
        <is>
          <t>MVS Sec.17 p.23</t>
        </is>
      </c>
    </row>
    <row r="2206">
      <c r="B2206" t="inlineStr">
        <is>
          <t>Greenhouse Shade Shelters</t>
        </is>
      </c>
      <c r="C2206" t="inlineStr">
        <is>
          <t>519</t>
        </is>
      </c>
      <c r="D2206" t="inlineStr">
        <is>
          <t>17</t>
        </is>
      </c>
      <c r="E2206" t="inlineStr">
        <is>
          <t>23</t>
        </is>
      </c>
      <c r="F2206" t="inlineStr">
        <is>
          <t>S</t>
        </is>
      </c>
      <c r="G2206" t="inlineStr">
        <is>
          <t>Average</t>
        </is>
      </c>
      <c r="H2206" t="n">
        <v>3.7</v>
      </c>
      <c r="I2206">
        <f>B2206&amp;"|"&amp;F2206&amp;"|"&amp;G2206</f>
        <v/>
      </c>
      <c r="J2206" t="inlineStr">
        <is>
          <t>MVS Sec.17 p.23</t>
        </is>
      </c>
    </row>
    <row r="2207">
      <c r="B2207" t="inlineStr">
        <is>
          <t>Greenhouse Shade Shelters</t>
        </is>
      </c>
      <c r="C2207" t="inlineStr">
        <is>
          <t>519</t>
        </is>
      </c>
      <c r="D2207" t="inlineStr">
        <is>
          <t>17</t>
        </is>
      </c>
      <c r="E2207" t="inlineStr">
        <is>
          <t>23</t>
        </is>
      </c>
      <c r="F2207" t="inlineStr">
        <is>
          <t>S</t>
        </is>
      </c>
      <c r="G2207" t="inlineStr">
        <is>
          <t>Low Cost</t>
        </is>
      </c>
      <c r="H2207" t="n">
        <v>2.76</v>
      </c>
      <c r="I2207">
        <f>B2207&amp;"|"&amp;F2207&amp;"|"&amp;G2207</f>
        <v/>
      </c>
      <c r="J2207" t="inlineStr">
        <is>
          <t>MVS Sec.17 p.23</t>
        </is>
      </c>
    </row>
    <row r="2208">
      <c r="B2208" t="inlineStr">
        <is>
          <t>Lath Shade Houses</t>
        </is>
      </c>
      <c r="C2208" t="inlineStr">
        <is>
          <t>518</t>
        </is>
      </c>
      <c r="D2208" t="inlineStr">
        <is>
          <t>17</t>
        </is>
      </c>
      <c r="E2208" t="inlineStr">
        <is>
          <t>23</t>
        </is>
      </c>
      <c r="F2208" t="inlineStr">
        <is>
          <t>D</t>
        </is>
      </c>
      <c r="G2208" t="inlineStr">
        <is>
          <t>Average</t>
        </is>
      </c>
      <c r="H2208" t="n">
        <v>7.38</v>
      </c>
      <c r="I2208">
        <f>B2208&amp;"|"&amp;F2208&amp;"|"&amp;G2208</f>
        <v/>
      </c>
      <c r="J2208" t="inlineStr">
        <is>
          <t>MVS Sec.17 p.23</t>
        </is>
      </c>
    </row>
    <row r="2209">
      <c r="B2209" t="inlineStr">
        <is>
          <t>Lath Shade Houses</t>
        </is>
      </c>
      <c r="C2209" t="inlineStr">
        <is>
          <t>518</t>
        </is>
      </c>
      <c r="D2209" t="inlineStr">
        <is>
          <t>17</t>
        </is>
      </c>
      <c r="E2209" t="inlineStr">
        <is>
          <t>23</t>
        </is>
      </c>
      <c r="F2209" t="inlineStr">
        <is>
          <t>S</t>
        </is>
      </c>
      <c r="G2209" t="inlineStr">
        <is>
          <t>Average</t>
        </is>
      </c>
      <c r="H2209" t="n">
        <v>12.65</v>
      </c>
      <c r="I2209">
        <f>B2209&amp;"|"&amp;F2209&amp;"|"&amp;G2209</f>
        <v/>
      </c>
      <c r="J2209" t="inlineStr">
        <is>
          <t>MVS Sec.17 p.23</t>
        </is>
      </c>
    </row>
    <row r="2210">
      <c r="B2210" t="inlineStr">
        <is>
          <t>Flathouse Storage Buildings</t>
        </is>
      </c>
      <c r="C2210" t="inlineStr">
        <is>
          <t>493</t>
        </is>
      </c>
      <c r="D2210" t="inlineStr">
        <is>
          <t>17</t>
        </is>
      </c>
      <c r="E2210" t="inlineStr">
        <is>
          <t>24</t>
        </is>
      </c>
      <c r="F2210" t="inlineStr">
        <is>
          <t>C</t>
        </is>
      </c>
      <c r="G2210" t="inlineStr">
        <is>
          <t>Good</t>
        </is>
      </c>
      <c r="H2210" t="n">
        <v>61</v>
      </c>
      <c r="I2210">
        <f>B2210&amp;"|"&amp;F2210&amp;"|"&amp;G2210</f>
        <v/>
      </c>
      <c r="J2210" t="inlineStr">
        <is>
          <t>MVS Sec.17 p.24</t>
        </is>
      </c>
    </row>
    <row r="2211">
      <c r="B2211" t="inlineStr">
        <is>
          <t>Flathouse Storage Buildings</t>
        </is>
      </c>
      <c r="C2211" t="inlineStr">
        <is>
          <t>493</t>
        </is>
      </c>
      <c r="D2211" t="inlineStr">
        <is>
          <t>17</t>
        </is>
      </c>
      <c r="E2211" t="inlineStr">
        <is>
          <t>24</t>
        </is>
      </c>
      <c r="F2211" t="inlineStr">
        <is>
          <t>C</t>
        </is>
      </c>
      <c r="G2211" t="inlineStr">
        <is>
          <t>Average</t>
        </is>
      </c>
      <c r="H2211" t="n">
        <v>42.5</v>
      </c>
      <c r="I2211">
        <f>B2211&amp;"|"&amp;F2211&amp;"|"&amp;G2211</f>
        <v/>
      </c>
      <c r="J2211" t="inlineStr">
        <is>
          <t>MVS Sec.17 p.24</t>
        </is>
      </c>
    </row>
    <row r="2212">
      <c r="B2212" t="inlineStr">
        <is>
          <t>Flathouse Storage Buildings</t>
        </is>
      </c>
      <c r="C2212" t="inlineStr">
        <is>
          <t>493</t>
        </is>
      </c>
      <c r="D2212" t="inlineStr">
        <is>
          <t>17</t>
        </is>
      </c>
      <c r="E2212" t="inlineStr">
        <is>
          <t>24</t>
        </is>
      </c>
      <c r="F2212" t="inlineStr">
        <is>
          <t>D</t>
        </is>
      </c>
      <c r="G2212" t="inlineStr">
        <is>
          <t>Good</t>
        </is>
      </c>
      <c r="H2212" t="n">
        <v>51</v>
      </c>
      <c r="I2212">
        <f>B2212&amp;"|"&amp;F2212&amp;"|"&amp;G2212</f>
        <v/>
      </c>
      <c r="J2212" t="inlineStr">
        <is>
          <t>MVS Sec.17 p.24</t>
        </is>
      </c>
    </row>
    <row r="2213">
      <c r="B2213" t="inlineStr">
        <is>
          <t>Flathouse Storage Buildings</t>
        </is>
      </c>
      <c r="C2213" t="inlineStr">
        <is>
          <t>493</t>
        </is>
      </c>
      <c r="D2213" t="inlineStr">
        <is>
          <t>17</t>
        </is>
      </c>
      <c r="E2213" t="inlineStr">
        <is>
          <t>24</t>
        </is>
      </c>
      <c r="F2213" t="inlineStr">
        <is>
          <t>D</t>
        </is>
      </c>
      <c r="G2213" t="inlineStr">
        <is>
          <t>Average</t>
        </is>
      </c>
      <c r="H2213" t="n">
        <v>34.5</v>
      </c>
      <c r="I2213">
        <f>B2213&amp;"|"&amp;F2213&amp;"|"&amp;G2213</f>
        <v/>
      </c>
      <c r="J2213" t="inlineStr">
        <is>
          <t>MVS Sec.17 p.24</t>
        </is>
      </c>
    </row>
    <row r="2214">
      <c r="B2214" t="inlineStr">
        <is>
          <t>Flathouse Storage Buildings</t>
        </is>
      </c>
      <c r="C2214" t="inlineStr">
        <is>
          <t>493</t>
        </is>
      </c>
      <c r="D2214" t="inlineStr">
        <is>
          <t>17</t>
        </is>
      </c>
      <c r="E2214" t="inlineStr">
        <is>
          <t>24</t>
        </is>
      </c>
      <c r="F2214" t="inlineStr">
        <is>
          <t>DPOLE</t>
        </is>
      </c>
      <c r="G2214" t="inlineStr">
        <is>
          <t>Good</t>
        </is>
      </c>
      <c r="H2214" t="n">
        <v>45.5</v>
      </c>
      <c r="I2214">
        <f>B2214&amp;"|"&amp;F2214&amp;"|"&amp;G2214</f>
        <v/>
      </c>
      <c r="J2214" t="inlineStr">
        <is>
          <t>MVS Sec.17 p.24</t>
        </is>
      </c>
    </row>
    <row r="2215">
      <c r="B2215" t="inlineStr">
        <is>
          <t>Flathouse Storage Buildings</t>
        </is>
      </c>
      <c r="C2215" t="inlineStr">
        <is>
          <t>493</t>
        </is>
      </c>
      <c r="D2215" t="inlineStr">
        <is>
          <t>17</t>
        </is>
      </c>
      <c r="E2215" t="inlineStr">
        <is>
          <t>24</t>
        </is>
      </c>
      <c r="F2215" t="inlineStr">
        <is>
          <t>DPOLE</t>
        </is>
      </c>
      <c r="G2215" t="inlineStr">
        <is>
          <t>Average</t>
        </is>
      </c>
      <c r="H2215" t="n">
        <v>31.75</v>
      </c>
      <c r="I2215">
        <f>B2215&amp;"|"&amp;F2215&amp;"|"&amp;G2215</f>
        <v/>
      </c>
      <c r="J2215" t="inlineStr">
        <is>
          <t>MVS Sec.17 p.24</t>
        </is>
      </c>
    </row>
    <row r="2216">
      <c r="B2216" t="inlineStr">
        <is>
          <t>Flathouse Storage Buildings</t>
        </is>
      </c>
      <c r="C2216" t="inlineStr">
        <is>
          <t>493</t>
        </is>
      </c>
      <c r="D2216" t="inlineStr">
        <is>
          <t>17</t>
        </is>
      </c>
      <c r="E2216" t="inlineStr">
        <is>
          <t>24</t>
        </is>
      </c>
      <c r="F2216" t="inlineStr">
        <is>
          <t>S</t>
        </is>
      </c>
      <c r="G2216" t="inlineStr">
        <is>
          <t>Good</t>
        </is>
      </c>
      <c r="H2216" t="n">
        <v>49</v>
      </c>
      <c r="I2216">
        <f>B2216&amp;"|"&amp;F2216&amp;"|"&amp;G2216</f>
        <v/>
      </c>
      <c r="J2216" t="inlineStr">
        <is>
          <t>MVS Sec.17 p.24</t>
        </is>
      </c>
    </row>
    <row r="2217">
      <c r="B2217" t="inlineStr">
        <is>
          <t>Flathouse Storage Buildings</t>
        </is>
      </c>
      <c r="C2217" t="inlineStr">
        <is>
          <t>493</t>
        </is>
      </c>
      <c r="D2217" t="inlineStr">
        <is>
          <t>17</t>
        </is>
      </c>
      <c r="E2217" t="inlineStr">
        <is>
          <t>24</t>
        </is>
      </c>
      <c r="F2217" t="inlineStr">
        <is>
          <t>S</t>
        </is>
      </c>
      <c r="G2217" t="inlineStr">
        <is>
          <t>Average</t>
        </is>
      </c>
      <c r="H2217" t="n">
        <v>34.25</v>
      </c>
      <c r="I2217">
        <f>B2217&amp;"|"&amp;F2217&amp;"|"&amp;G2217</f>
        <v/>
      </c>
      <c r="J2217" t="inlineStr">
        <is>
          <t>MVS Sec.17 p.24</t>
        </is>
      </c>
    </row>
    <row r="2218">
      <c r="B2218" t="inlineStr">
        <is>
          <t>Flathouse Storage Buildings</t>
        </is>
      </c>
      <c r="C2218" t="inlineStr">
        <is>
          <t>493</t>
        </is>
      </c>
      <c r="D2218" t="inlineStr">
        <is>
          <t>17</t>
        </is>
      </c>
      <c r="E2218" t="inlineStr">
        <is>
          <t>24</t>
        </is>
      </c>
      <c r="F2218" t="inlineStr">
        <is>
          <t>SSLANT</t>
        </is>
      </c>
      <c r="G2218" t="inlineStr">
        <is>
          <t>Good</t>
        </is>
      </c>
      <c r="H2218" t="n">
        <v>46</v>
      </c>
      <c r="I2218">
        <f>B2218&amp;"|"&amp;F2218&amp;"|"&amp;G2218</f>
        <v/>
      </c>
      <c r="J2218" t="inlineStr">
        <is>
          <t>MVS Sec.17 p.24</t>
        </is>
      </c>
    </row>
    <row r="2219">
      <c r="B2219" t="inlineStr">
        <is>
          <t>Flathouse Storage Buildings</t>
        </is>
      </c>
      <c r="C2219" t="inlineStr">
        <is>
          <t>493</t>
        </is>
      </c>
      <c r="D2219" t="inlineStr">
        <is>
          <t>17</t>
        </is>
      </c>
      <c r="E2219" t="inlineStr">
        <is>
          <t>24</t>
        </is>
      </c>
      <c r="F2219" t="inlineStr">
        <is>
          <t>SSLANT</t>
        </is>
      </c>
      <c r="G2219" t="inlineStr">
        <is>
          <t>Average</t>
        </is>
      </c>
      <c r="H2219" t="n">
        <v>32.25</v>
      </c>
      <c r="I2219">
        <f>B2219&amp;"|"&amp;F2219&amp;"|"&amp;G2219</f>
        <v/>
      </c>
      <c r="J2219" t="inlineStr">
        <is>
          <t>MVS Sec.17 p.24</t>
        </is>
      </c>
    </row>
    <row r="2220">
      <c r="B2220" t="inlineStr">
        <is>
          <t>Feed Handling and Mixing Shed Building</t>
        </is>
      </c>
      <c r="C2220" t="inlineStr">
        <is>
          <t>180</t>
        </is>
      </c>
      <c r="D2220" t="inlineStr">
        <is>
          <t>17</t>
        </is>
      </c>
      <c r="E2220" t="inlineStr">
        <is>
          <t>24</t>
        </is>
      </c>
      <c r="F2220" t="inlineStr">
        <is>
          <t>D</t>
        </is>
      </c>
      <c r="G2220" t="inlineStr">
        <is>
          <t>Average</t>
        </is>
      </c>
      <c r="H2220" t="n">
        <v>23.3</v>
      </c>
      <c r="I2220">
        <f>B2220&amp;"|"&amp;F2220&amp;"|"&amp;G2220</f>
        <v/>
      </c>
      <c r="J2220" t="inlineStr">
        <is>
          <t>MVS Sec.17 p.24</t>
        </is>
      </c>
    </row>
    <row r="2221">
      <c r="B2221" t="inlineStr">
        <is>
          <t>Feed Handling and Mixing Shed Building</t>
        </is>
      </c>
      <c r="C2221" t="inlineStr">
        <is>
          <t>180</t>
        </is>
      </c>
      <c r="D2221" t="inlineStr">
        <is>
          <t>17</t>
        </is>
      </c>
      <c r="E2221" t="inlineStr">
        <is>
          <t>24</t>
        </is>
      </c>
      <c r="F2221" t="inlineStr">
        <is>
          <t>DPOLE</t>
        </is>
      </c>
      <c r="G2221" t="inlineStr">
        <is>
          <t>Average</t>
        </is>
      </c>
      <c r="H2221" t="n">
        <v>19.8</v>
      </c>
      <c r="I2221">
        <f>B2221&amp;"|"&amp;F2221&amp;"|"&amp;G2221</f>
        <v/>
      </c>
      <c r="J2221" t="inlineStr">
        <is>
          <t>MVS Sec.17 p.24</t>
        </is>
      </c>
    </row>
    <row r="2222">
      <c r="B2222" t="inlineStr">
        <is>
          <t>Feed Handling and Mixing Shed Building</t>
        </is>
      </c>
      <c r="C2222" t="inlineStr">
        <is>
          <t>180</t>
        </is>
      </c>
      <c r="D2222" t="inlineStr">
        <is>
          <t>17</t>
        </is>
      </c>
      <c r="E2222" t="inlineStr">
        <is>
          <t>24</t>
        </is>
      </c>
      <c r="F2222" t="inlineStr">
        <is>
          <t>S</t>
        </is>
      </c>
      <c r="G2222" t="inlineStr">
        <is>
          <t>Average</t>
        </is>
      </c>
      <c r="H2222" t="n">
        <v>22.65</v>
      </c>
      <c r="I2222">
        <f>B2222&amp;"|"&amp;F2222&amp;"|"&amp;G2222</f>
        <v/>
      </c>
      <c r="J2222" t="inlineStr">
        <is>
          <t>MVS Sec.17 p.24</t>
        </is>
      </c>
    </row>
    <row r="2223">
      <c r="B2223" t="inlineStr">
        <is>
          <t>Cotton Gins</t>
        </is>
      </c>
      <c r="C2223" t="inlineStr">
        <is>
          <t>450</t>
        </is>
      </c>
      <c r="D2223" t="inlineStr">
        <is>
          <t>17</t>
        </is>
      </c>
      <c r="E2223" t="inlineStr">
        <is>
          <t>24</t>
        </is>
      </c>
      <c r="F2223" t="inlineStr">
        <is>
          <t>S</t>
        </is>
      </c>
      <c r="G2223" t="inlineStr">
        <is>
          <t>Average</t>
        </is>
      </c>
      <c r="H2223" t="n">
        <v>98</v>
      </c>
      <c r="I2223">
        <f>B2223&amp;"|"&amp;F2223&amp;"|"&amp;G2223</f>
        <v/>
      </c>
      <c r="J2223" t="inlineStr">
        <is>
          <t>MVS Sec.17 p.24</t>
        </is>
      </c>
    </row>
    <row r="2224">
      <c r="B2224" t="inlineStr">
        <is>
          <t>Cotton Gins</t>
        </is>
      </c>
      <c r="C2224" t="inlineStr">
        <is>
          <t>450</t>
        </is>
      </c>
      <c r="D2224" t="inlineStr">
        <is>
          <t>17</t>
        </is>
      </c>
      <c r="E2224" t="inlineStr">
        <is>
          <t>24</t>
        </is>
      </c>
      <c r="F2224" t="inlineStr">
        <is>
          <t>S</t>
        </is>
      </c>
      <c r="G2224" t="inlineStr">
        <is>
          <t>Low Cost</t>
        </is>
      </c>
      <c r="H2224" t="n">
        <v>72.5</v>
      </c>
      <c r="I2224">
        <f>B2224&amp;"|"&amp;F2224&amp;"|"&amp;G2224</f>
        <v/>
      </c>
      <c r="J2224" t="inlineStr">
        <is>
          <t>MVS Sec.17 p.24</t>
        </is>
      </c>
    </row>
    <row r="2225">
      <c r="B2225" t="inlineStr">
        <is>
          <t>Seed Processing Storage</t>
        </is>
      </c>
      <c r="C2225" t="inlineStr">
        <is>
          <t>123</t>
        </is>
      </c>
      <c r="D2225" t="inlineStr">
        <is>
          <t>17</t>
        </is>
      </c>
      <c r="E2225" t="inlineStr">
        <is>
          <t>24</t>
        </is>
      </c>
      <c r="F2225" t="inlineStr">
        <is>
          <t>D</t>
        </is>
      </c>
      <c r="G2225" t="inlineStr">
        <is>
          <t>Average</t>
        </is>
      </c>
      <c r="H2225" t="n">
        <v>45</v>
      </c>
      <c r="I2225">
        <f>B2225&amp;"|"&amp;F2225&amp;"|"&amp;G2225</f>
        <v/>
      </c>
      <c r="J2225" t="inlineStr">
        <is>
          <t>MVS Sec.17 p.24</t>
        </is>
      </c>
    </row>
    <row r="2226">
      <c r="B2226" t="inlineStr">
        <is>
          <t>Seed Processing Storage</t>
        </is>
      </c>
      <c r="C2226" t="inlineStr">
        <is>
          <t>123</t>
        </is>
      </c>
      <c r="D2226" t="inlineStr">
        <is>
          <t>17</t>
        </is>
      </c>
      <c r="E2226" t="inlineStr">
        <is>
          <t>24</t>
        </is>
      </c>
      <c r="F2226" t="inlineStr">
        <is>
          <t>DPOLE</t>
        </is>
      </c>
      <c r="G2226" t="inlineStr">
        <is>
          <t>Average</t>
        </is>
      </c>
      <c r="H2226" t="n">
        <v>40.5</v>
      </c>
      <c r="I2226">
        <f>B2226&amp;"|"&amp;F2226&amp;"|"&amp;G2226</f>
        <v/>
      </c>
      <c r="J2226" t="inlineStr">
        <is>
          <t>MVS Sec.17 p.24</t>
        </is>
      </c>
    </row>
    <row r="2227">
      <c r="B2227" t="inlineStr">
        <is>
          <t>Seed Processing Storage</t>
        </is>
      </c>
      <c r="C2227" t="inlineStr">
        <is>
          <t>123</t>
        </is>
      </c>
      <c r="D2227" t="inlineStr">
        <is>
          <t>17</t>
        </is>
      </c>
      <c r="E2227" t="inlineStr">
        <is>
          <t>24</t>
        </is>
      </c>
      <c r="F2227" t="inlineStr">
        <is>
          <t>S</t>
        </is>
      </c>
      <c r="G2227" t="inlineStr">
        <is>
          <t>Average</t>
        </is>
      </c>
      <c r="H2227" t="n">
        <v>43.25</v>
      </c>
      <c r="I2227">
        <f>B2227&amp;"|"&amp;F2227&amp;"|"&amp;G2227</f>
        <v/>
      </c>
      <c r="J2227" t="inlineStr">
        <is>
          <t>MVS Sec.17 p.24</t>
        </is>
      </c>
    </row>
    <row r="2228">
      <c r="B2228" t="inlineStr">
        <is>
          <t>Secure Storage Modular Shed Buildings</t>
        </is>
      </c>
      <c r="C2228" t="inlineStr">
        <is>
          <t>181</t>
        </is>
      </c>
      <c r="D2228" t="inlineStr">
        <is>
          <t>17</t>
        </is>
      </c>
      <c r="E2228" t="inlineStr">
        <is>
          <t>25</t>
        </is>
      </c>
      <c r="F2228" t="inlineStr">
        <is>
          <t>C</t>
        </is>
      </c>
      <c r="G2228" t="inlineStr">
        <is>
          <t>Good</t>
        </is>
      </c>
      <c r="H2228" t="n">
        <v>102</v>
      </c>
      <c r="I2228">
        <f>B2228&amp;"|"&amp;F2228&amp;"|"&amp;G2228</f>
        <v/>
      </c>
      <c r="J2228" t="inlineStr">
        <is>
          <t>MVS Sec.17 p.25</t>
        </is>
      </c>
    </row>
    <row r="2229">
      <c r="B2229" t="inlineStr">
        <is>
          <t>Secure Storage Modular Shed Buildings</t>
        </is>
      </c>
      <c r="C2229" t="inlineStr">
        <is>
          <t>181</t>
        </is>
      </c>
      <c r="D2229" t="inlineStr">
        <is>
          <t>17</t>
        </is>
      </c>
      <c r="E2229" t="inlineStr">
        <is>
          <t>25</t>
        </is>
      </c>
      <c r="F2229" t="inlineStr">
        <is>
          <t>C</t>
        </is>
      </c>
      <c r="G2229" t="inlineStr">
        <is>
          <t>Average</t>
        </is>
      </c>
      <c r="H2229" t="n">
        <v>82</v>
      </c>
      <c r="I2229">
        <f>B2229&amp;"|"&amp;F2229&amp;"|"&amp;G2229</f>
        <v/>
      </c>
      <c r="J2229" t="inlineStr">
        <is>
          <t>MVS Sec.17 p.25</t>
        </is>
      </c>
    </row>
    <row r="2230">
      <c r="B2230" t="inlineStr">
        <is>
          <t>Secure Storage Modular Shed Buildings</t>
        </is>
      </c>
      <c r="C2230" t="inlineStr">
        <is>
          <t>181</t>
        </is>
      </c>
      <c r="D2230" t="inlineStr">
        <is>
          <t>17</t>
        </is>
      </c>
      <c r="E2230" t="inlineStr">
        <is>
          <t>25</t>
        </is>
      </c>
      <c r="F2230" t="inlineStr">
        <is>
          <t>S</t>
        </is>
      </c>
      <c r="G2230" t="inlineStr">
        <is>
          <t>Good</t>
        </is>
      </c>
      <c r="H2230" t="n">
        <v>46.75</v>
      </c>
      <c r="I2230">
        <f>B2230&amp;"|"&amp;F2230&amp;"|"&amp;G2230</f>
        <v/>
      </c>
      <c r="J2230" t="inlineStr">
        <is>
          <t>MVS Sec.17 p.25</t>
        </is>
      </c>
    </row>
    <row r="2231">
      <c r="B2231" t="inlineStr">
        <is>
          <t>Secure Storage Modular Shed Buildings</t>
        </is>
      </c>
      <c r="C2231" t="inlineStr">
        <is>
          <t>181</t>
        </is>
      </c>
      <c r="D2231" t="inlineStr">
        <is>
          <t>17</t>
        </is>
      </c>
      <c r="E2231" t="inlineStr">
        <is>
          <t>25</t>
        </is>
      </c>
      <c r="F2231" t="inlineStr">
        <is>
          <t>S</t>
        </is>
      </c>
      <c r="G2231" t="inlineStr">
        <is>
          <t>Average</t>
        </is>
      </c>
      <c r="H2231" t="n">
        <v>33.25</v>
      </c>
      <c r="I2231">
        <f>B2231&amp;"|"&amp;F2231&amp;"|"&amp;G2231</f>
        <v/>
      </c>
      <c r="J2231" t="inlineStr">
        <is>
          <t>MVS Sec.17 p.25</t>
        </is>
      </c>
    </row>
    <row r="2232">
      <c r="B2232" t="inlineStr">
        <is>
          <t>Secure Storage Modular Shed Buildings</t>
        </is>
      </c>
      <c r="C2232" t="inlineStr">
        <is>
          <t>181</t>
        </is>
      </c>
      <c r="D2232" t="inlineStr">
        <is>
          <t>17</t>
        </is>
      </c>
      <c r="E2232" t="inlineStr">
        <is>
          <t>25</t>
        </is>
      </c>
      <c r="F2232" t="inlineStr">
        <is>
          <t>S</t>
        </is>
      </c>
      <c r="G2232" t="inlineStr">
        <is>
          <t>Low Cost</t>
        </is>
      </c>
      <c r="H2232" t="n">
        <v>23.75</v>
      </c>
      <c r="I2232">
        <f>B2232&amp;"|"&amp;F2232&amp;"|"&amp;G2232</f>
        <v/>
      </c>
      <c r="J2232" t="inlineStr">
        <is>
          <t>MVS Sec.17 p.25</t>
        </is>
      </c>
    </row>
    <row r="2233">
      <c r="B2233" t="inlineStr">
        <is>
          <t>Prefabricated Storage Shed Buildings</t>
        </is>
      </c>
      <c r="C2233" t="inlineStr">
        <is>
          <t>133</t>
        </is>
      </c>
      <c r="D2233" t="inlineStr">
        <is>
          <t>17</t>
        </is>
      </c>
      <c r="E2233" t="inlineStr">
        <is>
          <t>25</t>
        </is>
      </c>
      <c r="F2233" t="inlineStr">
        <is>
          <t>D</t>
        </is>
      </c>
      <c r="G2233" t="inlineStr">
        <is>
          <t>Excellent</t>
        </is>
      </c>
      <c r="H2233" t="n">
        <v>27</v>
      </c>
      <c r="I2233">
        <f>B2233&amp;"|"&amp;F2233&amp;"|"&amp;G2233</f>
        <v/>
      </c>
      <c r="J2233" t="inlineStr">
        <is>
          <t>MVS Sec.17 p.25</t>
        </is>
      </c>
    </row>
    <row r="2234">
      <c r="B2234" t="inlineStr">
        <is>
          <t>Prefabricated Storage Shed Buildings</t>
        </is>
      </c>
      <c r="C2234" t="inlineStr">
        <is>
          <t>133</t>
        </is>
      </c>
      <c r="D2234" t="inlineStr">
        <is>
          <t>17</t>
        </is>
      </c>
      <c r="E2234" t="inlineStr">
        <is>
          <t>25</t>
        </is>
      </c>
      <c r="F2234" t="inlineStr">
        <is>
          <t>D</t>
        </is>
      </c>
      <c r="G2234" t="inlineStr">
        <is>
          <t>Good</t>
        </is>
      </c>
      <c r="H2234" t="n">
        <v>21.6</v>
      </c>
      <c r="I2234">
        <f>B2234&amp;"|"&amp;F2234&amp;"|"&amp;G2234</f>
        <v/>
      </c>
      <c r="J2234" t="inlineStr">
        <is>
          <t>MVS Sec.17 p.25</t>
        </is>
      </c>
    </row>
    <row r="2235">
      <c r="B2235" t="inlineStr">
        <is>
          <t>Prefabricated Storage Shed Buildings</t>
        </is>
      </c>
      <c r="C2235" t="inlineStr">
        <is>
          <t>133</t>
        </is>
      </c>
      <c r="D2235" t="inlineStr">
        <is>
          <t>17</t>
        </is>
      </c>
      <c r="E2235" t="inlineStr">
        <is>
          <t>25</t>
        </is>
      </c>
      <c r="F2235" t="inlineStr">
        <is>
          <t>D</t>
        </is>
      </c>
      <c r="G2235" t="inlineStr">
        <is>
          <t>Average</t>
        </is>
      </c>
      <c r="H2235" t="n">
        <v>17.25</v>
      </c>
      <c r="I2235">
        <f>B2235&amp;"|"&amp;F2235&amp;"|"&amp;G2235</f>
        <v/>
      </c>
      <c r="J2235" t="inlineStr">
        <is>
          <t>MVS Sec.17 p.25</t>
        </is>
      </c>
    </row>
    <row r="2236">
      <c r="B2236" t="inlineStr">
        <is>
          <t>Prefabricated Storage Shed Buildings</t>
        </is>
      </c>
      <c r="C2236" t="inlineStr">
        <is>
          <t>133</t>
        </is>
      </c>
      <c r="D2236" t="inlineStr">
        <is>
          <t>17</t>
        </is>
      </c>
      <c r="E2236" t="inlineStr">
        <is>
          <t>25</t>
        </is>
      </c>
      <c r="F2236" t="inlineStr">
        <is>
          <t>D</t>
        </is>
      </c>
      <c r="G2236" t="inlineStr">
        <is>
          <t>Low Cost</t>
        </is>
      </c>
      <c r="H2236" t="n">
        <v>13.8</v>
      </c>
      <c r="I2236">
        <f>B2236&amp;"|"&amp;F2236&amp;"|"&amp;G2236</f>
        <v/>
      </c>
      <c r="J2236" t="inlineStr">
        <is>
          <t>MVS Sec.17 p.25</t>
        </is>
      </c>
    </row>
    <row r="2237">
      <c r="B2237" t="inlineStr">
        <is>
          <t>Prefabricated Storage Shed Buildings</t>
        </is>
      </c>
      <c r="C2237" t="inlineStr">
        <is>
          <t>133</t>
        </is>
      </c>
      <c r="D2237" t="inlineStr">
        <is>
          <t>17</t>
        </is>
      </c>
      <c r="E2237" t="inlineStr">
        <is>
          <t>25</t>
        </is>
      </c>
      <c r="F2237" t="inlineStr">
        <is>
          <t>S</t>
        </is>
      </c>
      <c r="G2237" t="inlineStr">
        <is>
          <t>Excellent</t>
        </is>
      </c>
      <c r="H2237" t="n">
        <v>21</v>
      </c>
      <c r="I2237">
        <f>B2237&amp;"|"&amp;F2237&amp;"|"&amp;G2237</f>
        <v/>
      </c>
      <c r="J2237" t="inlineStr">
        <is>
          <t>MVS Sec.17 p.25</t>
        </is>
      </c>
    </row>
    <row r="2238">
      <c r="B2238" t="inlineStr">
        <is>
          <t>Prefabricated Storage Shed Buildings</t>
        </is>
      </c>
      <c r="C2238" t="inlineStr">
        <is>
          <t>133</t>
        </is>
      </c>
      <c r="D2238" t="inlineStr">
        <is>
          <t>17</t>
        </is>
      </c>
      <c r="E2238" t="inlineStr">
        <is>
          <t>25</t>
        </is>
      </c>
      <c r="F2238" t="inlineStr">
        <is>
          <t>S</t>
        </is>
      </c>
      <c r="G2238" t="inlineStr">
        <is>
          <t>Good</t>
        </is>
      </c>
      <c r="H2238" t="n">
        <v>15.1</v>
      </c>
      <c r="I2238">
        <f>B2238&amp;"|"&amp;F2238&amp;"|"&amp;G2238</f>
        <v/>
      </c>
      <c r="J2238" t="inlineStr">
        <is>
          <t>MVS Sec.17 p.25</t>
        </is>
      </c>
    </row>
    <row r="2239">
      <c r="B2239" t="inlineStr">
        <is>
          <t>Prefabricated Storage Shed Buildings</t>
        </is>
      </c>
      <c r="C2239" t="inlineStr">
        <is>
          <t>133</t>
        </is>
      </c>
      <c r="D2239" t="inlineStr">
        <is>
          <t>17</t>
        </is>
      </c>
      <c r="E2239" t="inlineStr">
        <is>
          <t>25</t>
        </is>
      </c>
      <c r="F2239" t="inlineStr">
        <is>
          <t>S</t>
        </is>
      </c>
      <c r="G2239" t="inlineStr">
        <is>
          <t>Average</t>
        </is>
      </c>
      <c r="H2239" t="n">
        <v>10.85</v>
      </c>
      <c r="I2239">
        <f>B2239&amp;"|"&amp;F2239&amp;"|"&amp;G2239</f>
        <v/>
      </c>
      <c r="J2239" t="inlineStr">
        <is>
          <t>MVS Sec.17 p.25</t>
        </is>
      </c>
    </row>
    <row r="2240">
      <c r="B2240" t="inlineStr">
        <is>
          <t>Prefabricated Storage Shed Buildings</t>
        </is>
      </c>
      <c r="C2240" t="inlineStr">
        <is>
          <t>133</t>
        </is>
      </c>
      <c r="D2240" t="inlineStr">
        <is>
          <t>17</t>
        </is>
      </c>
      <c r="E2240" t="inlineStr">
        <is>
          <t>25</t>
        </is>
      </c>
      <c r="F2240" t="inlineStr">
        <is>
          <t>S</t>
        </is>
      </c>
      <c r="G2240" t="inlineStr">
        <is>
          <t>Low Cost</t>
        </is>
      </c>
      <c r="H2240" t="n">
        <v>7.77</v>
      </c>
      <c r="I2240">
        <f>B2240&amp;"|"&amp;F2240&amp;"|"&amp;G2240</f>
        <v/>
      </c>
      <c r="J2240" t="inlineStr">
        <is>
          <t>MVS Sec.17 p.25</t>
        </is>
      </c>
    </row>
    <row r="2241">
      <c r="B2241" t="inlineStr">
        <is>
          <t>Corn Crib Bins</t>
        </is>
      </c>
      <c r="C2241" t="inlineStr">
        <is>
          <t>131</t>
        </is>
      </c>
      <c r="D2241" t="inlineStr">
        <is>
          <t>17</t>
        </is>
      </c>
      <c r="E2241" t="inlineStr">
        <is>
          <t>25</t>
        </is>
      </c>
      <c r="F2241" t="inlineStr">
        <is>
          <t>D</t>
        </is>
      </c>
      <c r="G2241" t="inlineStr">
        <is>
          <t>Excellent</t>
        </is>
      </c>
      <c r="H2241" t="n">
        <v>11.05</v>
      </c>
      <c r="I2241">
        <f>B2241&amp;"|"&amp;F2241&amp;"|"&amp;G2241</f>
        <v/>
      </c>
      <c r="J2241" t="inlineStr">
        <is>
          <t>MVS Sec.17 p.25</t>
        </is>
      </c>
    </row>
    <row r="2242">
      <c r="B2242" t="inlineStr">
        <is>
          <t>Corn Crib Bins</t>
        </is>
      </c>
      <c r="C2242" t="inlineStr">
        <is>
          <t>131</t>
        </is>
      </c>
      <c r="D2242" t="inlineStr">
        <is>
          <t>17</t>
        </is>
      </c>
      <c r="E2242" t="inlineStr">
        <is>
          <t>25</t>
        </is>
      </c>
      <c r="F2242" t="inlineStr">
        <is>
          <t>D</t>
        </is>
      </c>
      <c r="G2242" t="inlineStr">
        <is>
          <t>Good</t>
        </is>
      </c>
      <c r="H2242" t="n">
        <v>9.08</v>
      </c>
      <c r="I2242">
        <f>B2242&amp;"|"&amp;F2242&amp;"|"&amp;G2242</f>
        <v/>
      </c>
      <c r="J2242" t="inlineStr">
        <is>
          <t>MVS Sec.17 p.25</t>
        </is>
      </c>
    </row>
    <row r="2243">
      <c r="B2243" t="inlineStr">
        <is>
          <t>Corn Crib Bins</t>
        </is>
      </c>
      <c r="C2243" t="inlineStr">
        <is>
          <t>131</t>
        </is>
      </c>
      <c r="D2243" t="inlineStr">
        <is>
          <t>17</t>
        </is>
      </c>
      <c r="E2243" t="inlineStr">
        <is>
          <t>25</t>
        </is>
      </c>
      <c r="F2243" t="inlineStr">
        <is>
          <t>D</t>
        </is>
      </c>
      <c r="G2243" t="inlineStr">
        <is>
          <t>Average</t>
        </is>
      </c>
      <c r="H2243" t="n">
        <v>7.46</v>
      </c>
      <c r="I2243">
        <f>B2243&amp;"|"&amp;F2243&amp;"|"&amp;G2243</f>
        <v/>
      </c>
      <c r="J2243" t="inlineStr">
        <is>
          <t>MVS Sec.17 p.25</t>
        </is>
      </c>
    </row>
    <row r="2244">
      <c r="B2244" t="inlineStr">
        <is>
          <t>Corn Crib Bins</t>
        </is>
      </c>
      <c r="C2244" t="inlineStr">
        <is>
          <t>131</t>
        </is>
      </c>
      <c r="D2244" t="inlineStr">
        <is>
          <t>17</t>
        </is>
      </c>
      <c r="E2244" t="inlineStr">
        <is>
          <t>25</t>
        </is>
      </c>
      <c r="F2244" t="inlineStr">
        <is>
          <t>D</t>
        </is>
      </c>
      <c r="G2244" t="inlineStr">
        <is>
          <t>Low Cost</t>
        </is>
      </c>
      <c r="H2244" t="n">
        <v>6.1</v>
      </c>
      <c r="I2244">
        <f>B2244&amp;"|"&amp;F2244&amp;"|"&amp;G2244</f>
        <v/>
      </c>
      <c r="J2244" t="inlineStr">
        <is>
          <t>MVS Sec.17 p.25</t>
        </is>
      </c>
    </row>
    <row r="2245">
      <c r="B2245" t="inlineStr">
        <is>
          <t>Farm Utility Buildings</t>
        </is>
      </c>
      <c r="C2245" t="inlineStr">
        <is>
          <t>477</t>
        </is>
      </c>
      <c r="D2245" t="inlineStr">
        <is>
          <t>17</t>
        </is>
      </c>
      <c r="E2245" t="inlineStr">
        <is>
          <t>26</t>
        </is>
      </c>
      <c r="F2245" t="inlineStr">
        <is>
          <t>C</t>
        </is>
      </c>
      <c r="G2245" t="inlineStr">
        <is>
          <t>Good</t>
        </is>
      </c>
      <c r="H2245" t="n">
        <v>38.5</v>
      </c>
      <c r="I2245">
        <f>B2245&amp;"|"&amp;F2245&amp;"|"&amp;G2245</f>
        <v/>
      </c>
      <c r="J2245" t="inlineStr">
        <is>
          <t>MVS Sec.17 p.26</t>
        </is>
      </c>
    </row>
    <row r="2246">
      <c r="B2246" t="inlineStr">
        <is>
          <t>Farm Utility Buildings</t>
        </is>
      </c>
      <c r="C2246" t="inlineStr">
        <is>
          <t>477</t>
        </is>
      </c>
      <c r="D2246" t="inlineStr">
        <is>
          <t>17</t>
        </is>
      </c>
      <c r="E2246" t="inlineStr">
        <is>
          <t>26</t>
        </is>
      </c>
      <c r="F2246" t="inlineStr">
        <is>
          <t>C</t>
        </is>
      </c>
      <c r="G2246" t="inlineStr">
        <is>
          <t>Average</t>
        </is>
      </c>
      <c r="H2246" t="n">
        <v>27.75</v>
      </c>
      <c r="I2246">
        <f>B2246&amp;"|"&amp;F2246&amp;"|"&amp;G2246</f>
        <v/>
      </c>
      <c r="J2246" t="inlineStr">
        <is>
          <t>MVS Sec.17 p.26</t>
        </is>
      </c>
    </row>
    <row r="2247">
      <c r="B2247" t="inlineStr">
        <is>
          <t>Farm Utility Buildings</t>
        </is>
      </c>
      <c r="C2247" t="inlineStr">
        <is>
          <t>477</t>
        </is>
      </c>
      <c r="D2247" t="inlineStr">
        <is>
          <t>17</t>
        </is>
      </c>
      <c r="E2247" t="inlineStr">
        <is>
          <t>26</t>
        </is>
      </c>
      <c r="F2247" t="inlineStr">
        <is>
          <t>D</t>
        </is>
      </c>
      <c r="G2247" t="inlineStr">
        <is>
          <t>Average</t>
        </is>
      </c>
      <c r="H2247" t="n">
        <v>19.45</v>
      </c>
      <c r="I2247">
        <f>B2247&amp;"|"&amp;F2247&amp;"|"&amp;G2247</f>
        <v/>
      </c>
      <c r="J2247" t="inlineStr">
        <is>
          <t>MVS Sec.17 p.26</t>
        </is>
      </c>
    </row>
    <row r="2248">
      <c r="B2248" t="inlineStr">
        <is>
          <t>Farm Utility Buildings</t>
        </is>
      </c>
      <c r="C2248" t="inlineStr">
        <is>
          <t>477</t>
        </is>
      </c>
      <c r="D2248" t="inlineStr">
        <is>
          <t>17</t>
        </is>
      </c>
      <c r="E2248" t="inlineStr">
        <is>
          <t>26</t>
        </is>
      </c>
      <c r="F2248" t="inlineStr">
        <is>
          <t>D</t>
        </is>
      </c>
      <c r="G2248" t="inlineStr">
        <is>
          <t>Low Cost</t>
        </is>
      </c>
      <c r="H2248" t="n">
        <v>12.5</v>
      </c>
      <c r="I2248">
        <f>B2248&amp;"|"&amp;F2248&amp;"|"&amp;G2248</f>
        <v/>
      </c>
      <c r="J2248" t="inlineStr">
        <is>
          <t>MVS Sec.17 p.26</t>
        </is>
      </c>
    </row>
    <row r="2249">
      <c r="B2249" t="inlineStr">
        <is>
          <t>Farm Utility Buildings</t>
        </is>
      </c>
      <c r="C2249" t="inlineStr">
        <is>
          <t>477</t>
        </is>
      </c>
      <c r="D2249" t="inlineStr">
        <is>
          <t>17</t>
        </is>
      </c>
      <c r="E2249" t="inlineStr">
        <is>
          <t>26</t>
        </is>
      </c>
      <c r="F2249" t="inlineStr">
        <is>
          <t>DPOLE</t>
        </is>
      </c>
      <c r="G2249" t="inlineStr">
        <is>
          <t>Average</t>
        </is>
      </c>
      <c r="H2249" t="n">
        <v>15.7</v>
      </c>
      <c r="I2249">
        <f>B2249&amp;"|"&amp;F2249&amp;"|"&amp;G2249</f>
        <v/>
      </c>
      <c r="J2249" t="inlineStr">
        <is>
          <t>MVS Sec.17 p.26</t>
        </is>
      </c>
    </row>
    <row r="2250">
      <c r="B2250" t="inlineStr">
        <is>
          <t>Farm Utility Buildings</t>
        </is>
      </c>
      <c r="C2250" t="inlineStr">
        <is>
          <t>477</t>
        </is>
      </c>
      <c r="D2250" t="inlineStr">
        <is>
          <t>17</t>
        </is>
      </c>
      <c r="E2250" t="inlineStr">
        <is>
          <t>26</t>
        </is>
      </c>
      <c r="F2250" t="inlineStr">
        <is>
          <t>DPOLE</t>
        </is>
      </c>
      <c r="G2250" t="inlineStr">
        <is>
          <t>Low Cost</t>
        </is>
      </c>
      <c r="H2250" t="n">
        <v>9.19</v>
      </c>
      <c r="I2250">
        <f>B2250&amp;"|"&amp;F2250&amp;"|"&amp;G2250</f>
        <v/>
      </c>
      <c r="J2250" t="inlineStr">
        <is>
          <t>MVS Sec.17 p.26</t>
        </is>
      </c>
    </row>
    <row r="2251">
      <c r="B2251" t="inlineStr">
        <is>
          <t>Farm Utility Buildings</t>
        </is>
      </c>
      <c r="C2251" t="inlineStr">
        <is>
          <t>477</t>
        </is>
      </c>
      <c r="D2251" t="inlineStr">
        <is>
          <t>17</t>
        </is>
      </c>
      <c r="E2251" t="inlineStr">
        <is>
          <t>26</t>
        </is>
      </c>
      <c r="F2251" t="inlineStr">
        <is>
          <t>S</t>
        </is>
      </c>
      <c r="G2251" t="inlineStr">
        <is>
          <t>Average</t>
        </is>
      </c>
      <c r="H2251" t="n">
        <v>18.8</v>
      </c>
      <c r="I2251">
        <f>B2251&amp;"|"&amp;F2251&amp;"|"&amp;G2251</f>
        <v/>
      </c>
      <c r="J2251" t="inlineStr">
        <is>
          <t>MVS Sec.17 p.26</t>
        </is>
      </c>
    </row>
    <row r="2252">
      <c r="B2252" t="inlineStr">
        <is>
          <t>Farm Utility Buildings</t>
        </is>
      </c>
      <c r="C2252" t="inlineStr">
        <is>
          <t>477</t>
        </is>
      </c>
      <c r="D2252" t="inlineStr">
        <is>
          <t>17</t>
        </is>
      </c>
      <c r="E2252" t="inlineStr">
        <is>
          <t>26</t>
        </is>
      </c>
      <c r="F2252" t="inlineStr">
        <is>
          <t>S</t>
        </is>
      </c>
      <c r="G2252" t="inlineStr">
        <is>
          <t>Low Cost</t>
        </is>
      </c>
      <c r="H2252" t="n">
        <v>11.75</v>
      </c>
      <c r="I2252">
        <f>B2252&amp;"|"&amp;F2252&amp;"|"&amp;G2252</f>
        <v/>
      </c>
      <c r="J2252" t="inlineStr">
        <is>
          <t>MVS Sec.17 p.26</t>
        </is>
      </c>
    </row>
    <row r="2253">
      <c r="B2253" t="inlineStr">
        <is>
          <t>Farm Utility Buildings</t>
        </is>
      </c>
      <c r="C2253" t="inlineStr">
        <is>
          <t>477</t>
        </is>
      </c>
      <c r="D2253" t="inlineStr">
        <is>
          <t>17</t>
        </is>
      </c>
      <c r="E2253" t="inlineStr">
        <is>
          <t>26</t>
        </is>
      </c>
      <c r="F2253" t="inlineStr">
        <is>
          <t>SSLANT</t>
        </is>
      </c>
      <c r="G2253" t="inlineStr">
        <is>
          <t>Average</t>
        </is>
      </c>
      <c r="H2253" t="n">
        <v>17.4</v>
      </c>
      <c r="I2253">
        <f>B2253&amp;"|"&amp;F2253&amp;"|"&amp;G2253</f>
        <v/>
      </c>
      <c r="J2253" t="inlineStr">
        <is>
          <t>MVS Sec.17 p.26</t>
        </is>
      </c>
    </row>
    <row r="2254">
      <c r="B2254" t="inlineStr">
        <is>
          <t>Farm Utility Buildings</t>
        </is>
      </c>
      <c r="C2254" t="inlineStr">
        <is>
          <t>477</t>
        </is>
      </c>
      <c r="D2254" t="inlineStr">
        <is>
          <t>17</t>
        </is>
      </c>
      <c r="E2254" t="inlineStr">
        <is>
          <t>26</t>
        </is>
      </c>
      <c r="F2254" t="inlineStr">
        <is>
          <t>SSLANT</t>
        </is>
      </c>
      <c r="G2254" t="inlineStr">
        <is>
          <t>Low Cost</t>
        </is>
      </c>
      <c r="H2254" t="n">
        <v>10.8</v>
      </c>
      <c r="I2254">
        <f>B2254&amp;"|"&amp;F2254&amp;"|"&amp;G2254</f>
        <v/>
      </c>
      <c r="J2254" t="inlineStr">
        <is>
          <t>MVS Sec.17 p.26</t>
        </is>
      </c>
    </row>
    <row r="2255">
      <c r="B2255" t="inlineStr">
        <is>
          <t>Arch-Rib (Quonset) Farm Utility Buildings</t>
        </is>
      </c>
      <c r="C2255" t="inlineStr">
        <is>
          <t>557</t>
        </is>
      </c>
      <c r="D2255" t="inlineStr">
        <is>
          <t>17</t>
        </is>
      </c>
      <c r="E2255" t="inlineStr">
        <is>
          <t>26</t>
        </is>
      </c>
      <c r="F2255" t="inlineStr">
        <is>
          <t>D</t>
        </is>
      </c>
      <c r="G2255" t="inlineStr">
        <is>
          <t>Good</t>
        </is>
      </c>
      <c r="H2255" t="n">
        <v>36.5</v>
      </c>
      <c r="I2255">
        <f>B2255&amp;"|"&amp;F2255&amp;"|"&amp;G2255</f>
        <v/>
      </c>
      <c r="J2255" t="inlineStr">
        <is>
          <t>MVS Sec.17 p.26</t>
        </is>
      </c>
    </row>
    <row r="2256">
      <c r="B2256" t="inlineStr">
        <is>
          <t>Arch-Rib (Quonset) Farm Utility Buildings</t>
        </is>
      </c>
      <c r="C2256" t="inlineStr">
        <is>
          <t>557</t>
        </is>
      </c>
      <c r="D2256" t="inlineStr">
        <is>
          <t>17</t>
        </is>
      </c>
      <c r="E2256" t="inlineStr">
        <is>
          <t>26</t>
        </is>
      </c>
      <c r="F2256" t="inlineStr">
        <is>
          <t>D</t>
        </is>
      </c>
      <c r="G2256" t="inlineStr">
        <is>
          <t>Average</t>
        </is>
      </c>
      <c r="H2256" t="n">
        <v>21.45</v>
      </c>
      <c r="I2256">
        <f>B2256&amp;"|"&amp;F2256&amp;"|"&amp;G2256</f>
        <v/>
      </c>
      <c r="J2256" t="inlineStr">
        <is>
          <t>MVS Sec.17 p.26</t>
        </is>
      </c>
    </row>
    <row r="2257">
      <c r="B2257" t="inlineStr">
        <is>
          <t>Arch-Rib (Quonset) Farm Utility Buildings</t>
        </is>
      </c>
      <c r="C2257" t="inlineStr">
        <is>
          <t>557</t>
        </is>
      </c>
      <c r="D2257" t="inlineStr">
        <is>
          <t>17</t>
        </is>
      </c>
      <c r="E2257" t="inlineStr">
        <is>
          <t>26</t>
        </is>
      </c>
      <c r="F2257" t="inlineStr">
        <is>
          <t>D</t>
        </is>
      </c>
      <c r="G2257" t="inlineStr">
        <is>
          <t>Low Cost</t>
        </is>
      </c>
      <c r="H2257" t="n">
        <v>12.6</v>
      </c>
      <c r="I2257">
        <f>B2257&amp;"|"&amp;F2257&amp;"|"&amp;G2257</f>
        <v/>
      </c>
      <c r="J2257" t="inlineStr">
        <is>
          <t>MVS Sec.17 p.26</t>
        </is>
      </c>
    </row>
    <row r="2258">
      <c r="B2258" t="inlineStr">
        <is>
          <t>Arch-Rib (Quonset) Farm Utility Buildings</t>
        </is>
      </c>
      <c r="C2258" t="inlineStr">
        <is>
          <t>557</t>
        </is>
      </c>
      <c r="D2258" t="inlineStr">
        <is>
          <t>17</t>
        </is>
      </c>
      <c r="E2258" t="inlineStr">
        <is>
          <t>26</t>
        </is>
      </c>
      <c r="F2258" t="inlineStr">
        <is>
          <t>DPOLE</t>
        </is>
      </c>
      <c r="G2258" t="inlineStr">
        <is>
          <t>Good</t>
        </is>
      </c>
      <c r="H2258" t="n">
        <v>34.5</v>
      </c>
      <c r="I2258">
        <f>B2258&amp;"|"&amp;F2258&amp;"|"&amp;G2258</f>
        <v/>
      </c>
      <c r="J2258" t="inlineStr">
        <is>
          <t>MVS Sec.17 p.26</t>
        </is>
      </c>
    </row>
    <row r="2259">
      <c r="B2259" t="inlineStr">
        <is>
          <t>Arch-Rib (Quonset) Farm Utility Buildings</t>
        </is>
      </c>
      <c r="C2259" t="inlineStr">
        <is>
          <t>557</t>
        </is>
      </c>
      <c r="D2259" t="inlineStr">
        <is>
          <t>17</t>
        </is>
      </c>
      <c r="E2259" t="inlineStr">
        <is>
          <t>26</t>
        </is>
      </c>
      <c r="F2259" t="inlineStr">
        <is>
          <t>DPOLE</t>
        </is>
      </c>
      <c r="G2259" t="inlineStr">
        <is>
          <t>Average</t>
        </is>
      </c>
      <c r="H2259" t="n">
        <v>20.05</v>
      </c>
      <c r="I2259">
        <f>B2259&amp;"|"&amp;F2259&amp;"|"&amp;G2259</f>
        <v/>
      </c>
      <c r="J2259" t="inlineStr">
        <is>
          <t>MVS Sec.17 p.26</t>
        </is>
      </c>
    </row>
    <row r="2260">
      <c r="B2260" t="inlineStr">
        <is>
          <t>Arch-Rib (Quonset) Farm Utility Buildings</t>
        </is>
      </c>
      <c r="C2260" t="inlineStr">
        <is>
          <t>557</t>
        </is>
      </c>
      <c r="D2260" t="inlineStr">
        <is>
          <t>17</t>
        </is>
      </c>
      <c r="E2260" t="inlineStr">
        <is>
          <t>26</t>
        </is>
      </c>
      <c r="F2260" t="inlineStr">
        <is>
          <t>DPOLE</t>
        </is>
      </c>
      <c r="G2260" t="inlineStr">
        <is>
          <t>Low Cost</t>
        </is>
      </c>
      <c r="H2260" t="n">
        <v>11.65</v>
      </c>
      <c r="I2260">
        <f>B2260&amp;"|"&amp;F2260&amp;"|"&amp;G2260</f>
        <v/>
      </c>
      <c r="J2260" t="inlineStr">
        <is>
          <t>MVS Sec.17 p.26</t>
        </is>
      </c>
    </row>
    <row r="2261">
      <c r="B2261" t="inlineStr">
        <is>
          <t>Arch-Rib (Quonset) Farm Utility Buildings</t>
        </is>
      </c>
      <c r="C2261" t="inlineStr">
        <is>
          <t>557</t>
        </is>
      </c>
      <c r="D2261" t="inlineStr">
        <is>
          <t>17</t>
        </is>
      </c>
      <c r="E2261" t="inlineStr">
        <is>
          <t>26</t>
        </is>
      </c>
      <c r="F2261" t="inlineStr">
        <is>
          <t>DHOOP</t>
        </is>
      </c>
      <c r="G2261" t="inlineStr">
        <is>
          <t>Average</t>
        </is>
      </c>
      <c r="H2261" t="n">
        <v>14.15</v>
      </c>
      <c r="I2261">
        <f>B2261&amp;"|"&amp;F2261&amp;"|"&amp;G2261</f>
        <v/>
      </c>
      <c r="J2261" t="inlineStr">
        <is>
          <t>MVS Sec.17 p.26</t>
        </is>
      </c>
    </row>
    <row r="2262">
      <c r="B2262" t="inlineStr">
        <is>
          <t>Arch-Rib (Quonset) Farm Utility Buildings</t>
        </is>
      </c>
      <c r="C2262" t="inlineStr">
        <is>
          <t>557</t>
        </is>
      </c>
      <c r="D2262" t="inlineStr">
        <is>
          <t>17</t>
        </is>
      </c>
      <c r="E2262" t="inlineStr">
        <is>
          <t>26</t>
        </is>
      </c>
      <c r="F2262" t="inlineStr">
        <is>
          <t>DHOOP</t>
        </is>
      </c>
      <c r="G2262" t="inlineStr">
        <is>
          <t>Low Cost</t>
        </is>
      </c>
      <c r="H2262" t="n">
        <v>8.85</v>
      </c>
      <c r="I2262">
        <f>B2262&amp;"|"&amp;F2262&amp;"|"&amp;G2262</f>
        <v/>
      </c>
      <c r="J2262" t="inlineStr">
        <is>
          <t>MVS Sec.17 p.26</t>
        </is>
      </c>
    </row>
    <row r="2263">
      <c r="B2263" t="inlineStr">
        <is>
          <t>Arch-Rib (Quonset) Farm Utility Buildings</t>
        </is>
      </c>
      <c r="C2263" t="inlineStr">
        <is>
          <t>557</t>
        </is>
      </c>
      <c r="D2263" t="inlineStr">
        <is>
          <t>17</t>
        </is>
      </c>
      <c r="E2263" t="inlineStr">
        <is>
          <t>26</t>
        </is>
      </c>
      <c r="F2263" t="inlineStr">
        <is>
          <t>S</t>
        </is>
      </c>
      <c r="G2263" t="inlineStr">
        <is>
          <t>Good</t>
        </is>
      </c>
      <c r="H2263" t="n">
        <v>35</v>
      </c>
      <c r="I2263">
        <f>B2263&amp;"|"&amp;F2263&amp;"|"&amp;G2263</f>
        <v/>
      </c>
      <c r="J2263" t="inlineStr">
        <is>
          <t>MVS Sec.17 p.26</t>
        </is>
      </c>
    </row>
    <row r="2264">
      <c r="B2264" t="inlineStr">
        <is>
          <t>Arch-Rib (Quonset) Farm Utility Buildings</t>
        </is>
      </c>
      <c r="C2264" t="inlineStr">
        <is>
          <t>557</t>
        </is>
      </c>
      <c r="D2264" t="inlineStr">
        <is>
          <t>17</t>
        </is>
      </c>
      <c r="E2264" t="inlineStr">
        <is>
          <t>26</t>
        </is>
      </c>
      <c r="F2264" t="inlineStr">
        <is>
          <t>S</t>
        </is>
      </c>
      <c r="G2264" t="inlineStr">
        <is>
          <t>Average</t>
        </is>
      </c>
      <c r="H2264" t="n">
        <v>20.45</v>
      </c>
      <c r="I2264">
        <f>B2264&amp;"|"&amp;F2264&amp;"|"&amp;G2264</f>
        <v/>
      </c>
      <c r="J2264" t="inlineStr">
        <is>
          <t>MVS Sec.17 p.26</t>
        </is>
      </c>
    </row>
    <row r="2265">
      <c r="B2265" t="inlineStr">
        <is>
          <t>Arch-Rib (Quonset) Farm Utility Buildings</t>
        </is>
      </c>
      <c r="C2265" t="inlineStr">
        <is>
          <t>557</t>
        </is>
      </c>
      <c r="D2265" t="inlineStr">
        <is>
          <t>17</t>
        </is>
      </c>
      <c r="E2265" t="inlineStr">
        <is>
          <t>26</t>
        </is>
      </c>
      <c r="F2265" t="inlineStr">
        <is>
          <t>WALL</t>
        </is>
      </c>
      <c r="G2265" t="inlineStr">
        <is>
          <t>Low Cost</t>
        </is>
      </c>
      <c r="H2265" t="n">
        <v>11.95</v>
      </c>
      <c r="I2265">
        <f>B2265&amp;"|"&amp;F2265&amp;"|"&amp;G2265</f>
        <v/>
      </c>
      <c r="J2265" t="inlineStr">
        <is>
          <t>MVS Sec.17 p.26</t>
        </is>
      </c>
    </row>
    <row r="2266">
      <c r="B2266" t="inlineStr">
        <is>
          <t>Farm Utility/Grain Storage (Granary) Buildings</t>
        </is>
      </c>
      <c r="C2266" t="inlineStr">
        <is>
          <t>421</t>
        </is>
      </c>
      <c r="D2266" t="inlineStr">
        <is>
          <t>17</t>
        </is>
      </c>
      <c r="E2266" t="inlineStr">
        <is>
          <t>27</t>
        </is>
      </c>
      <c r="F2266" t="inlineStr">
        <is>
          <t>D</t>
        </is>
      </c>
      <c r="G2266" t="inlineStr">
        <is>
          <t>Very Good</t>
        </is>
      </c>
      <c r="H2266" t="n">
        <v>33</v>
      </c>
      <c r="I2266">
        <f>B2266&amp;"|"&amp;F2266&amp;"|"&amp;G2266</f>
        <v/>
      </c>
      <c r="J2266" t="inlineStr">
        <is>
          <t>MVS Sec.17 p.27</t>
        </is>
      </c>
    </row>
    <row r="2267">
      <c r="B2267" t="inlineStr">
        <is>
          <t>Farm Utility/Grain Storage (Granary) Buildings</t>
        </is>
      </c>
      <c r="C2267" t="inlineStr">
        <is>
          <t>421</t>
        </is>
      </c>
      <c r="D2267" t="inlineStr">
        <is>
          <t>17</t>
        </is>
      </c>
      <c r="E2267" t="inlineStr">
        <is>
          <t>27</t>
        </is>
      </c>
      <c r="F2267" t="inlineStr">
        <is>
          <t>D</t>
        </is>
      </c>
      <c r="G2267" t="inlineStr">
        <is>
          <t>Good</t>
        </is>
      </c>
      <c r="H2267" t="n">
        <v>30.5</v>
      </c>
      <c r="I2267">
        <f>B2267&amp;"|"&amp;F2267&amp;"|"&amp;G2267</f>
        <v/>
      </c>
      <c r="J2267" t="inlineStr">
        <is>
          <t>MVS Sec.17 p.27</t>
        </is>
      </c>
    </row>
    <row r="2268">
      <c r="B2268" t="inlineStr">
        <is>
          <t>Farm Utility/Grain Storage (Granary) Buildings</t>
        </is>
      </c>
      <c r="C2268" t="inlineStr">
        <is>
          <t>421</t>
        </is>
      </c>
      <c r="D2268" t="inlineStr">
        <is>
          <t>17</t>
        </is>
      </c>
      <c r="E2268" t="inlineStr">
        <is>
          <t>27</t>
        </is>
      </c>
      <c r="F2268" t="inlineStr">
        <is>
          <t>DPOLE</t>
        </is>
      </c>
      <c r="G2268" t="inlineStr">
        <is>
          <t>Very Good</t>
        </is>
      </c>
      <c r="H2268" t="n">
        <v>29.25</v>
      </c>
      <c r="I2268">
        <f>B2268&amp;"|"&amp;F2268&amp;"|"&amp;G2268</f>
        <v/>
      </c>
      <c r="J2268" t="inlineStr">
        <is>
          <t>MVS Sec.17 p.27</t>
        </is>
      </c>
    </row>
    <row r="2269">
      <c r="B2269" t="inlineStr">
        <is>
          <t>Farm Utility/Grain Storage (Granary) Buildings</t>
        </is>
      </c>
      <c r="C2269" t="inlineStr">
        <is>
          <t>421</t>
        </is>
      </c>
      <c r="D2269" t="inlineStr">
        <is>
          <t>17</t>
        </is>
      </c>
      <c r="E2269" t="inlineStr">
        <is>
          <t>27</t>
        </is>
      </c>
      <c r="F2269" t="inlineStr">
        <is>
          <t>DPOLE</t>
        </is>
      </c>
      <c r="G2269" t="inlineStr">
        <is>
          <t>Good</t>
        </is>
      </c>
      <c r="H2269" t="n">
        <v>27</v>
      </c>
      <c r="I2269">
        <f>B2269&amp;"|"&amp;F2269&amp;"|"&amp;G2269</f>
        <v/>
      </c>
      <c r="J2269" t="inlineStr">
        <is>
          <t>MVS Sec.17 p.27</t>
        </is>
      </c>
    </row>
    <row r="2270">
      <c r="B2270" t="inlineStr">
        <is>
          <t>Farm Utility/Grain Storage (Granary) Buildings</t>
        </is>
      </c>
      <c r="C2270" t="inlineStr">
        <is>
          <t>421</t>
        </is>
      </c>
      <c r="D2270" t="inlineStr">
        <is>
          <t>17</t>
        </is>
      </c>
      <c r="E2270" t="inlineStr">
        <is>
          <t>27</t>
        </is>
      </c>
      <c r="F2270" t="inlineStr">
        <is>
          <t>DHOOP</t>
        </is>
      </c>
      <c r="G2270" t="inlineStr">
        <is>
          <t>Good</t>
        </is>
      </c>
      <c r="H2270" t="n">
        <v>22.75</v>
      </c>
      <c r="I2270">
        <f>B2270&amp;"|"&amp;F2270&amp;"|"&amp;G2270</f>
        <v/>
      </c>
      <c r="J2270" t="inlineStr">
        <is>
          <t>MVS Sec.17 p.27</t>
        </is>
      </c>
    </row>
    <row r="2271">
      <c r="B2271" t="inlineStr">
        <is>
          <t>Farm Utility/Grain Storage (Granary) Buildings</t>
        </is>
      </c>
      <c r="C2271" t="inlineStr">
        <is>
          <t>421</t>
        </is>
      </c>
      <c r="D2271" t="inlineStr">
        <is>
          <t>17</t>
        </is>
      </c>
      <c r="E2271" t="inlineStr">
        <is>
          <t>27</t>
        </is>
      </c>
      <c r="F2271" t="inlineStr">
        <is>
          <t>S</t>
        </is>
      </c>
      <c r="G2271" t="inlineStr">
        <is>
          <t>Good</t>
        </is>
      </c>
      <c r="H2271" t="n">
        <v>30.25</v>
      </c>
      <c r="I2271">
        <f>B2271&amp;"|"&amp;F2271&amp;"|"&amp;G2271</f>
        <v/>
      </c>
      <c r="J2271" t="inlineStr">
        <is>
          <t>MVS Sec.17 p.27</t>
        </is>
      </c>
    </row>
    <row r="2272">
      <c r="B2272" t="inlineStr">
        <is>
          <t>Farm Utility/Grain Storage (Granary) Buildings</t>
        </is>
      </c>
      <c r="C2272" t="inlineStr">
        <is>
          <t>421</t>
        </is>
      </c>
      <c r="D2272" t="inlineStr">
        <is>
          <t>17</t>
        </is>
      </c>
      <c r="E2272" t="inlineStr">
        <is>
          <t>27</t>
        </is>
      </c>
      <c r="F2272" t="inlineStr">
        <is>
          <t>SSLANT</t>
        </is>
      </c>
      <c r="G2272" t="inlineStr">
        <is>
          <t>Good</t>
        </is>
      </c>
      <c r="H2272" t="n">
        <v>28.25</v>
      </c>
      <c r="I2272">
        <f>B2272&amp;"|"&amp;F2272&amp;"|"&amp;G2272</f>
        <v/>
      </c>
      <c r="J2272" t="inlineStr">
        <is>
          <t>MVS Sec.17 p.27</t>
        </is>
      </c>
    </row>
    <row r="2273">
      <c r="B2273" t="inlineStr">
        <is>
          <t>Farm Utility Storage Sheds</t>
        </is>
      </c>
      <c r="C2273" t="inlineStr">
        <is>
          <t>479</t>
        </is>
      </c>
      <c r="D2273" t="inlineStr">
        <is>
          <t>17</t>
        </is>
      </c>
      <c r="E2273" t="inlineStr">
        <is>
          <t>27</t>
        </is>
      </c>
      <c r="F2273" t="inlineStr">
        <is>
          <t>C</t>
        </is>
      </c>
      <c r="G2273" t="inlineStr">
        <is>
          <t>Low Cost</t>
        </is>
      </c>
      <c r="H2273" t="n">
        <v>16.9</v>
      </c>
      <c r="I2273">
        <f>B2273&amp;"|"&amp;F2273&amp;"|"&amp;G2273</f>
        <v/>
      </c>
      <c r="J2273" t="inlineStr">
        <is>
          <t>MVS Sec.17 p.27</t>
        </is>
      </c>
    </row>
    <row r="2274">
      <c r="B2274" t="inlineStr">
        <is>
          <t>Farm Utility Storage Sheds</t>
        </is>
      </c>
      <c r="C2274" t="inlineStr">
        <is>
          <t>479</t>
        </is>
      </c>
      <c r="D2274" t="inlineStr">
        <is>
          <t>17</t>
        </is>
      </c>
      <c r="E2274" t="inlineStr">
        <is>
          <t>27</t>
        </is>
      </c>
      <c r="F2274" t="inlineStr">
        <is>
          <t>D</t>
        </is>
      </c>
      <c r="G2274" t="inlineStr">
        <is>
          <t>Good</t>
        </is>
      </c>
      <c r="H2274" t="n">
        <v>12</v>
      </c>
      <c r="I2274">
        <f>B2274&amp;"|"&amp;F2274&amp;"|"&amp;G2274</f>
        <v/>
      </c>
      <c r="J2274" t="inlineStr">
        <is>
          <t>MVS Sec.17 p.27</t>
        </is>
      </c>
    </row>
    <row r="2275">
      <c r="B2275" t="inlineStr">
        <is>
          <t>Farm Utility Storage Sheds</t>
        </is>
      </c>
      <c r="C2275" t="inlineStr">
        <is>
          <t>479</t>
        </is>
      </c>
      <c r="D2275" t="inlineStr">
        <is>
          <t>17</t>
        </is>
      </c>
      <c r="E2275" t="inlineStr">
        <is>
          <t>27</t>
        </is>
      </c>
      <c r="F2275" t="inlineStr">
        <is>
          <t>D</t>
        </is>
      </c>
      <c r="G2275" t="inlineStr">
        <is>
          <t>Average</t>
        </is>
      </c>
      <c r="H2275" t="n">
        <v>10.75</v>
      </c>
      <c r="I2275">
        <f>B2275&amp;"|"&amp;F2275&amp;"|"&amp;G2275</f>
        <v/>
      </c>
      <c r="J2275" t="inlineStr">
        <is>
          <t>MVS Sec.17 p.27</t>
        </is>
      </c>
    </row>
    <row r="2276">
      <c r="B2276" t="inlineStr">
        <is>
          <t>Farm Utility Storage Sheds</t>
        </is>
      </c>
      <c r="C2276" t="inlineStr">
        <is>
          <t>479</t>
        </is>
      </c>
      <c r="D2276" t="inlineStr">
        <is>
          <t>17</t>
        </is>
      </c>
      <c r="E2276" t="inlineStr">
        <is>
          <t>27</t>
        </is>
      </c>
      <c r="F2276" t="inlineStr">
        <is>
          <t>D</t>
        </is>
      </c>
      <c r="G2276" t="inlineStr">
        <is>
          <t>Low Cost</t>
        </is>
      </c>
      <c r="H2276" t="n">
        <v>9.640000000000001</v>
      </c>
      <c r="I2276">
        <f>B2276&amp;"|"&amp;F2276&amp;"|"&amp;G2276</f>
        <v/>
      </c>
      <c r="J2276" t="inlineStr">
        <is>
          <t>MVS Sec.17 p.27</t>
        </is>
      </c>
    </row>
    <row r="2277">
      <c r="B2277" t="inlineStr">
        <is>
          <t>Farm Utility Storage Sheds</t>
        </is>
      </c>
      <c r="C2277" t="inlineStr">
        <is>
          <t>479</t>
        </is>
      </c>
      <c r="D2277" t="inlineStr">
        <is>
          <t>17</t>
        </is>
      </c>
      <c r="E2277" t="inlineStr">
        <is>
          <t>27</t>
        </is>
      </c>
      <c r="F2277" t="inlineStr">
        <is>
          <t>DPOLE</t>
        </is>
      </c>
      <c r="G2277" t="inlineStr">
        <is>
          <t>Low Cost</t>
        </is>
      </c>
      <c r="H2277" t="n">
        <v>8.02</v>
      </c>
      <c r="I2277">
        <f>B2277&amp;"|"&amp;F2277&amp;"|"&amp;G2277</f>
        <v/>
      </c>
      <c r="J2277" t="inlineStr">
        <is>
          <t>MVS Sec.17 p.27</t>
        </is>
      </c>
    </row>
    <row r="2278">
      <c r="B2278" t="inlineStr">
        <is>
          <t>Farm Utility Storage Sheds</t>
        </is>
      </c>
      <c r="C2278" t="inlineStr">
        <is>
          <t>479</t>
        </is>
      </c>
      <c r="D2278" t="inlineStr">
        <is>
          <t>17</t>
        </is>
      </c>
      <c r="E2278" t="inlineStr">
        <is>
          <t>27</t>
        </is>
      </c>
      <c r="F2278" t="inlineStr">
        <is>
          <t>S</t>
        </is>
      </c>
      <c r="G2278" t="inlineStr">
        <is>
          <t>Low Cost</t>
        </is>
      </c>
      <c r="H2278" t="n">
        <v>10.5</v>
      </c>
      <c r="I2278">
        <f>B2278&amp;"|"&amp;F2278&amp;"|"&amp;G2278</f>
        <v/>
      </c>
      <c r="J2278" t="inlineStr">
        <is>
          <t>MVS Sec.17 p.27</t>
        </is>
      </c>
    </row>
    <row r="2279">
      <c r="B2279" t="inlineStr">
        <is>
          <t>Farm Utility Storage Sheds</t>
        </is>
      </c>
      <c r="C2279" t="inlineStr">
        <is>
          <t>479</t>
        </is>
      </c>
      <c r="D2279" t="inlineStr">
        <is>
          <t>17</t>
        </is>
      </c>
      <c r="E2279" t="inlineStr">
        <is>
          <t>27</t>
        </is>
      </c>
      <c r="F2279" t="inlineStr">
        <is>
          <t>SSLANT</t>
        </is>
      </c>
      <c r="G2279" t="inlineStr">
        <is>
          <t>Low Cost</t>
        </is>
      </c>
      <c r="H2279" t="n">
        <v>9.630000000000001</v>
      </c>
      <c r="I2279">
        <f>B2279&amp;"|"&amp;F2279&amp;"|"&amp;G2279</f>
        <v/>
      </c>
      <c r="J2279" t="inlineStr">
        <is>
          <t>MVS Sec.17 p.27</t>
        </is>
      </c>
    </row>
    <row r="2280">
      <c r="B2280" t="inlineStr">
        <is>
          <t>Farm Utility Lean-Tos</t>
        </is>
      </c>
      <c r="C2280" t="inlineStr">
        <is>
          <t>124</t>
        </is>
      </c>
      <c r="D2280" t="inlineStr">
        <is>
          <t>17</t>
        </is>
      </c>
      <c r="E2280" t="inlineStr">
        <is>
          <t>27</t>
        </is>
      </c>
      <c r="F2280" t="inlineStr">
        <is>
          <t>D</t>
        </is>
      </c>
      <c r="G2280" t="inlineStr">
        <is>
          <t>Good</t>
        </is>
      </c>
      <c r="H2280" t="n">
        <v>17.6</v>
      </c>
      <c r="I2280">
        <f>B2280&amp;"|"&amp;F2280&amp;"|"&amp;G2280</f>
        <v/>
      </c>
      <c r="J2280" t="inlineStr">
        <is>
          <t>MVS Sec.17 p.27</t>
        </is>
      </c>
    </row>
    <row r="2281">
      <c r="B2281" t="inlineStr">
        <is>
          <t>Farm Utility Lean-Tos</t>
        </is>
      </c>
      <c r="C2281" t="inlineStr">
        <is>
          <t>124</t>
        </is>
      </c>
      <c r="D2281" t="inlineStr">
        <is>
          <t>17</t>
        </is>
      </c>
      <c r="E2281" t="inlineStr">
        <is>
          <t>27</t>
        </is>
      </c>
      <c r="F2281" t="inlineStr">
        <is>
          <t>D</t>
        </is>
      </c>
      <c r="G2281" t="inlineStr">
        <is>
          <t>Average</t>
        </is>
      </c>
      <c r="H2281" t="n">
        <v>12.4</v>
      </c>
      <c r="I2281">
        <f>B2281&amp;"|"&amp;F2281&amp;"|"&amp;G2281</f>
        <v/>
      </c>
      <c r="J2281" t="inlineStr">
        <is>
          <t>MVS Sec.17 p.27</t>
        </is>
      </c>
    </row>
    <row r="2282">
      <c r="B2282" t="inlineStr">
        <is>
          <t>Farm Utility Lean-Tos</t>
        </is>
      </c>
      <c r="C2282" t="inlineStr">
        <is>
          <t>124</t>
        </is>
      </c>
      <c r="D2282" t="inlineStr">
        <is>
          <t>17</t>
        </is>
      </c>
      <c r="E2282" t="inlineStr">
        <is>
          <t>27</t>
        </is>
      </c>
      <c r="F2282" t="inlineStr">
        <is>
          <t>D</t>
        </is>
      </c>
      <c r="G2282" t="inlineStr">
        <is>
          <t>Low Cost</t>
        </is>
      </c>
      <c r="H2282" t="n">
        <v>8.720000000000001</v>
      </c>
      <c r="I2282">
        <f>B2282&amp;"|"&amp;F2282&amp;"|"&amp;G2282</f>
        <v/>
      </c>
      <c r="J2282" t="inlineStr">
        <is>
          <t>MVS Sec.17 p.27</t>
        </is>
      </c>
    </row>
    <row r="2283">
      <c r="B2283" t="inlineStr">
        <is>
          <t>Farm Utility Lean-Tos</t>
        </is>
      </c>
      <c r="C2283" t="inlineStr">
        <is>
          <t>124</t>
        </is>
      </c>
      <c r="D2283" t="inlineStr">
        <is>
          <t>17</t>
        </is>
      </c>
      <c r="E2283" t="inlineStr">
        <is>
          <t>27</t>
        </is>
      </c>
      <c r="F2283" t="inlineStr">
        <is>
          <t>DPOLE</t>
        </is>
      </c>
      <c r="G2283" t="inlineStr">
        <is>
          <t>Good</t>
        </is>
      </c>
      <c r="H2283" t="n">
        <v>15.4</v>
      </c>
      <c r="I2283">
        <f>B2283&amp;"|"&amp;F2283&amp;"|"&amp;G2283</f>
        <v/>
      </c>
      <c r="J2283" t="inlineStr">
        <is>
          <t>MVS Sec.17 p.27</t>
        </is>
      </c>
    </row>
    <row r="2284">
      <c r="B2284" t="inlineStr">
        <is>
          <t>Farm Utility Lean-Tos</t>
        </is>
      </c>
      <c r="C2284" t="inlineStr">
        <is>
          <t>124</t>
        </is>
      </c>
      <c r="D2284" t="inlineStr">
        <is>
          <t>17</t>
        </is>
      </c>
      <c r="E2284" t="inlineStr">
        <is>
          <t>27</t>
        </is>
      </c>
      <c r="F2284" t="inlineStr">
        <is>
          <t>DPOLE</t>
        </is>
      </c>
      <c r="G2284" t="inlineStr">
        <is>
          <t>Average</t>
        </is>
      </c>
      <c r="H2284" t="n">
        <v>10.9</v>
      </c>
      <c r="I2284">
        <f>B2284&amp;"|"&amp;F2284&amp;"|"&amp;G2284</f>
        <v/>
      </c>
      <c r="J2284" t="inlineStr">
        <is>
          <t>MVS Sec.17 p.27</t>
        </is>
      </c>
    </row>
    <row r="2285">
      <c r="B2285" t="inlineStr">
        <is>
          <t>Farm Utility Lean-Tos</t>
        </is>
      </c>
      <c r="C2285" t="inlineStr">
        <is>
          <t>124</t>
        </is>
      </c>
      <c r="D2285" t="inlineStr">
        <is>
          <t>17</t>
        </is>
      </c>
      <c r="E2285" t="inlineStr">
        <is>
          <t>27</t>
        </is>
      </c>
      <c r="F2285" t="inlineStr">
        <is>
          <t>DPOLE</t>
        </is>
      </c>
      <c r="G2285" t="inlineStr">
        <is>
          <t>Low Cost</t>
        </is>
      </c>
      <c r="H2285" t="n">
        <v>7.69</v>
      </c>
      <c r="I2285">
        <f>B2285&amp;"|"&amp;F2285&amp;"|"&amp;G2285</f>
        <v/>
      </c>
      <c r="J2285" t="inlineStr">
        <is>
          <t>MVS Sec.17 p.27</t>
        </is>
      </c>
    </row>
    <row r="2286">
      <c r="B2286" t="inlineStr">
        <is>
          <t>Farm Utility Lean-Tos</t>
        </is>
      </c>
      <c r="C2286" t="inlineStr">
        <is>
          <t>124</t>
        </is>
      </c>
      <c r="D2286" t="inlineStr">
        <is>
          <t>17</t>
        </is>
      </c>
      <c r="E2286" t="inlineStr">
        <is>
          <t>27</t>
        </is>
      </c>
      <c r="F2286" t="inlineStr">
        <is>
          <t>S</t>
        </is>
      </c>
      <c r="G2286" t="inlineStr">
        <is>
          <t>Good</t>
        </is>
      </c>
      <c r="H2286" t="n">
        <v>17.05</v>
      </c>
      <c r="I2286">
        <f>B2286&amp;"|"&amp;F2286&amp;"|"&amp;G2286</f>
        <v/>
      </c>
      <c r="J2286" t="inlineStr">
        <is>
          <t>MVS Sec.17 p.27</t>
        </is>
      </c>
    </row>
    <row r="2287">
      <c r="B2287" t="inlineStr">
        <is>
          <t>Farm Utility Lean-Tos</t>
        </is>
      </c>
      <c r="C2287" t="inlineStr">
        <is>
          <t>124</t>
        </is>
      </c>
      <c r="D2287" t="inlineStr">
        <is>
          <t>17</t>
        </is>
      </c>
      <c r="E2287" t="inlineStr">
        <is>
          <t>27</t>
        </is>
      </c>
      <c r="F2287" t="inlineStr">
        <is>
          <t>S</t>
        </is>
      </c>
      <c r="G2287" t="inlineStr">
        <is>
          <t>Average</t>
        </is>
      </c>
      <c r="H2287" t="n">
        <v>12.5</v>
      </c>
      <c r="I2287">
        <f>B2287&amp;"|"&amp;F2287&amp;"|"&amp;G2287</f>
        <v/>
      </c>
      <c r="J2287" t="inlineStr">
        <is>
          <t>MVS Sec.17 p.27</t>
        </is>
      </c>
    </row>
    <row r="2288">
      <c r="B2288" t="inlineStr">
        <is>
          <t>Farm Utility Lean-Tos</t>
        </is>
      </c>
      <c r="C2288" t="inlineStr">
        <is>
          <t>124</t>
        </is>
      </c>
      <c r="D2288" t="inlineStr">
        <is>
          <t>17</t>
        </is>
      </c>
      <c r="E2288" t="inlineStr">
        <is>
          <t>27</t>
        </is>
      </c>
      <c r="F2288" t="inlineStr">
        <is>
          <t>S</t>
        </is>
      </c>
      <c r="G2288" t="inlineStr">
        <is>
          <t>Low Cost</t>
        </is>
      </c>
      <c r="H2288" t="n">
        <v>9.19</v>
      </c>
      <c r="I2288">
        <f>B2288&amp;"|"&amp;F2288&amp;"|"&amp;G2288</f>
        <v/>
      </c>
      <c r="J2288" t="inlineStr">
        <is>
          <t>MVS Sec.17 p.27</t>
        </is>
      </c>
    </row>
    <row r="2289">
      <c r="B2289" t="inlineStr">
        <is>
          <t>Farm Commodity Storage Sheds</t>
        </is>
      </c>
      <c r="C2289" t="inlineStr">
        <is>
          <t>562</t>
        </is>
      </c>
      <c r="D2289" t="inlineStr">
        <is>
          <t>17</t>
        </is>
      </c>
      <c r="E2289" t="inlineStr">
        <is>
          <t>28</t>
        </is>
      </c>
      <c r="F2289" t="inlineStr">
        <is>
          <t>C</t>
        </is>
      </c>
      <c r="G2289" t="inlineStr">
        <is>
          <t>Average</t>
        </is>
      </c>
      <c r="H2289" t="n">
        <v>24.35</v>
      </c>
      <c r="I2289">
        <f>B2289&amp;"|"&amp;F2289&amp;"|"&amp;G2289</f>
        <v/>
      </c>
      <c r="J2289" t="inlineStr">
        <is>
          <t>MVS Sec.17 p.28</t>
        </is>
      </c>
    </row>
    <row r="2290">
      <c r="B2290" t="inlineStr">
        <is>
          <t>Farm Commodity Storage Sheds</t>
        </is>
      </c>
      <c r="C2290" t="inlineStr">
        <is>
          <t>562</t>
        </is>
      </c>
      <c r="D2290" t="inlineStr">
        <is>
          <t>17</t>
        </is>
      </c>
      <c r="E2290" t="inlineStr">
        <is>
          <t>28</t>
        </is>
      </c>
      <c r="F2290" t="inlineStr">
        <is>
          <t>D</t>
        </is>
      </c>
      <c r="G2290" t="inlineStr">
        <is>
          <t>Average</t>
        </is>
      </c>
      <c r="H2290" t="n">
        <v>17.5</v>
      </c>
      <c r="I2290">
        <f>B2290&amp;"|"&amp;F2290&amp;"|"&amp;G2290</f>
        <v/>
      </c>
      <c r="J2290" t="inlineStr">
        <is>
          <t>MVS Sec.17 p.28</t>
        </is>
      </c>
    </row>
    <row r="2291">
      <c r="B2291" t="inlineStr">
        <is>
          <t>Farm Commodity Storage Sheds</t>
        </is>
      </c>
      <c r="C2291" t="inlineStr">
        <is>
          <t>562</t>
        </is>
      </c>
      <c r="D2291" t="inlineStr">
        <is>
          <t>17</t>
        </is>
      </c>
      <c r="E2291" t="inlineStr">
        <is>
          <t>28</t>
        </is>
      </c>
      <c r="F2291" t="inlineStr">
        <is>
          <t>DPOLE</t>
        </is>
      </c>
      <c r="G2291" t="inlineStr">
        <is>
          <t>Average</t>
        </is>
      </c>
      <c r="H2291" t="n">
        <v>16.1</v>
      </c>
      <c r="I2291">
        <f>B2291&amp;"|"&amp;F2291&amp;"|"&amp;G2291</f>
        <v/>
      </c>
      <c r="J2291" t="inlineStr">
        <is>
          <t>MVS Sec.17 p.28</t>
        </is>
      </c>
    </row>
    <row r="2292">
      <c r="B2292" t="inlineStr">
        <is>
          <t>Farm Commodity Storage Sheds</t>
        </is>
      </c>
      <c r="C2292" t="inlineStr">
        <is>
          <t>562</t>
        </is>
      </c>
      <c r="D2292" t="inlineStr">
        <is>
          <t>17</t>
        </is>
      </c>
      <c r="E2292" t="inlineStr">
        <is>
          <t>28</t>
        </is>
      </c>
      <c r="F2292" t="inlineStr">
        <is>
          <t>S</t>
        </is>
      </c>
      <c r="G2292" t="inlineStr">
        <is>
          <t>Average</t>
        </is>
      </c>
      <c r="H2292" t="n">
        <v>18.5</v>
      </c>
      <c r="I2292">
        <f>B2292&amp;"|"&amp;F2292&amp;"|"&amp;G2292</f>
        <v/>
      </c>
      <c r="J2292" t="inlineStr">
        <is>
          <t>MVS Sec.17 p.28</t>
        </is>
      </c>
    </row>
    <row r="2293">
      <c r="B2293" t="inlineStr">
        <is>
          <t>Corn Crib Buildings – Spaced Boards</t>
        </is>
      </c>
      <c r="C2293" t="inlineStr">
        <is>
          <t>107</t>
        </is>
      </c>
      <c r="D2293" t="inlineStr">
        <is>
          <t>17</t>
        </is>
      </c>
      <c r="E2293" t="inlineStr">
        <is>
          <t>28</t>
        </is>
      </c>
      <c r="F2293" t="inlineStr">
        <is>
          <t>D</t>
        </is>
      </c>
      <c r="G2293" t="inlineStr">
        <is>
          <t>Good</t>
        </is>
      </c>
      <c r="H2293" t="n">
        <v>25.75</v>
      </c>
      <c r="I2293">
        <f>B2293&amp;"|"&amp;F2293&amp;"|"&amp;G2293</f>
        <v/>
      </c>
      <c r="J2293" t="inlineStr">
        <is>
          <t>MVS Sec.17 p.28</t>
        </is>
      </c>
    </row>
    <row r="2294">
      <c r="B2294" t="inlineStr">
        <is>
          <t>Corn Crib Buildings – Spaced Boards</t>
        </is>
      </c>
      <c r="C2294" t="inlineStr">
        <is>
          <t>107</t>
        </is>
      </c>
      <c r="D2294" t="inlineStr">
        <is>
          <t>17</t>
        </is>
      </c>
      <c r="E2294" t="inlineStr">
        <is>
          <t>28</t>
        </is>
      </c>
      <c r="F2294" t="inlineStr">
        <is>
          <t>D</t>
        </is>
      </c>
      <c r="G2294" t="inlineStr">
        <is>
          <t>Average</t>
        </is>
      </c>
      <c r="H2294" t="n">
        <v>24.2</v>
      </c>
      <c r="I2294">
        <f>B2294&amp;"|"&amp;F2294&amp;"|"&amp;G2294</f>
        <v/>
      </c>
      <c r="J2294" t="inlineStr">
        <is>
          <t>MVS Sec.17 p.28</t>
        </is>
      </c>
    </row>
    <row r="2295">
      <c r="B2295" t="inlineStr">
        <is>
          <t>Corn Crib Buildings – Wire Mesh</t>
        </is>
      </c>
      <c r="C2295" t="inlineStr">
        <is>
          <t>108</t>
        </is>
      </c>
      <c r="D2295" t="inlineStr">
        <is>
          <t>17</t>
        </is>
      </c>
      <c r="E2295" t="inlineStr">
        <is>
          <t>28</t>
        </is>
      </c>
      <c r="F2295" t="inlineStr">
        <is>
          <t>D</t>
        </is>
      </c>
      <c r="G2295" t="inlineStr">
        <is>
          <t>Good</t>
        </is>
      </c>
      <c r="H2295" t="n">
        <v>23.7</v>
      </c>
      <c r="I2295">
        <f>B2295&amp;"|"&amp;F2295&amp;"|"&amp;G2295</f>
        <v/>
      </c>
      <c r="J2295" t="inlineStr">
        <is>
          <t>MVS Sec.17 p.28</t>
        </is>
      </c>
    </row>
    <row r="2296">
      <c r="B2296" t="inlineStr">
        <is>
          <t>Corn Crib Buildings – Wire Mesh</t>
        </is>
      </c>
      <c r="C2296" t="inlineStr">
        <is>
          <t>108</t>
        </is>
      </c>
      <c r="D2296" t="inlineStr">
        <is>
          <t>17</t>
        </is>
      </c>
      <c r="E2296" t="inlineStr">
        <is>
          <t>28</t>
        </is>
      </c>
      <c r="F2296" t="inlineStr">
        <is>
          <t>D</t>
        </is>
      </c>
      <c r="G2296" t="inlineStr">
        <is>
          <t>Average</t>
        </is>
      </c>
      <c r="H2296" t="n">
        <v>22.1</v>
      </c>
      <c r="I2296">
        <f>B2296&amp;"|"&amp;F2296&amp;"|"&amp;G2296</f>
        <v/>
      </c>
      <c r="J2296" t="inlineStr">
        <is>
          <t>MVS Sec.17 p.28</t>
        </is>
      </c>
    </row>
    <row r="2297">
      <c r="B2297" t="inlineStr">
        <is>
          <t>Farm Implement (Equipment Shop) Buildings</t>
        </is>
      </c>
      <c r="C2297" t="inlineStr">
        <is>
          <t>476</t>
        </is>
      </c>
      <c r="D2297" t="inlineStr">
        <is>
          <t>17</t>
        </is>
      </c>
      <c r="E2297" t="inlineStr">
        <is>
          <t>28</t>
        </is>
      </c>
      <c r="F2297" t="inlineStr">
        <is>
          <t>C</t>
        </is>
      </c>
      <c r="G2297" t="inlineStr">
        <is>
          <t>Good</t>
        </is>
      </c>
      <c r="H2297" t="n">
        <v>40</v>
      </c>
      <c r="I2297">
        <f>B2297&amp;"|"&amp;F2297&amp;"|"&amp;G2297</f>
        <v/>
      </c>
      <c r="J2297" t="inlineStr">
        <is>
          <t>MVS Sec.17 p.28</t>
        </is>
      </c>
    </row>
    <row r="2298">
      <c r="B2298" t="inlineStr">
        <is>
          <t>Farm Implement (Equipment Shop) Buildings</t>
        </is>
      </c>
      <c r="C2298" t="inlineStr">
        <is>
          <t>476</t>
        </is>
      </c>
      <c r="D2298" t="inlineStr">
        <is>
          <t>17</t>
        </is>
      </c>
      <c r="E2298" t="inlineStr">
        <is>
          <t>28</t>
        </is>
      </c>
      <c r="F2298" t="inlineStr">
        <is>
          <t>C</t>
        </is>
      </c>
      <c r="G2298" t="inlineStr">
        <is>
          <t>Average</t>
        </is>
      </c>
      <c r="H2298" t="n">
        <v>31.25</v>
      </c>
      <c r="I2298">
        <f>B2298&amp;"|"&amp;F2298&amp;"|"&amp;G2298</f>
        <v/>
      </c>
      <c r="J2298" t="inlineStr">
        <is>
          <t>MVS Sec.17 p.28</t>
        </is>
      </c>
    </row>
    <row r="2299">
      <c r="B2299" t="inlineStr">
        <is>
          <t>Farm Implement (Equipment Shop) Buildings</t>
        </is>
      </c>
      <c r="C2299" t="inlineStr">
        <is>
          <t>476</t>
        </is>
      </c>
      <c r="D2299" t="inlineStr">
        <is>
          <t>17</t>
        </is>
      </c>
      <c r="E2299" t="inlineStr">
        <is>
          <t>28</t>
        </is>
      </c>
      <c r="F2299" t="inlineStr">
        <is>
          <t>D</t>
        </is>
      </c>
      <c r="G2299" t="inlineStr">
        <is>
          <t>Good</t>
        </is>
      </c>
      <c r="H2299" t="n">
        <v>32.25</v>
      </c>
      <c r="I2299">
        <f>B2299&amp;"|"&amp;F2299&amp;"|"&amp;G2299</f>
        <v/>
      </c>
      <c r="J2299" t="inlineStr">
        <is>
          <t>MVS Sec.17 p.28</t>
        </is>
      </c>
    </row>
    <row r="2300">
      <c r="B2300" t="inlineStr">
        <is>
          <t>Farm Implement (Equipment Shop) Buildings</t>
        </is>
      </c>
      <c r="C2300" t="inlineStr">
        <is>
          <t>476</t>
        </is>
      </c>
      <c r="D2300" t="inlineStr">
        <is>
          <t>17</t>
        </is>
      </c>
      <c r="E2300" t="inlineStr">
        <is>
          <t>28</t>
        </is>
      </c>
      <c r="F2300" t="inlineStr">
        <is>
          <t>D</t>
        </is>
      </c>
      <c r="G2300" t="inlineStr">
        <is>
          <t>Average</t>
        </is>
      </c>
      <c r="H2300" t="n">
        <v>22.8</v>
      </c>
      <c r="I2300">
        <f>B2300&amp;"|"&amp;F2300&amp;"|"&amp;G2300</f>
        <v/>
      </c>
      <c r="J2300" t="inlineStr">
        <is>
          <t>MVS Sec.17 p.28</t>
        </is>
      </c>
    </row>
    <row r="2301">
      <c r="B2301" t="inlineStr">
        <is>
          <t>Farm Implement (Equipment Shop) Buildings</t>
        </is>
      </c>
      <c r="C2301" t="inlineStr">
        <is>
          <t>476</t>
        </is>
      </c>
      <c r="D2301" t="inlineStr">
        <is>
          <t>17</t>
        </is>
      </c>
      <c r="E2301" t="inlineStr">
        <is>
          <t>28</t>
        </is>
      </c>
      <c r="F2301" t="inlineStr">
        <is>
          <t>DPOLE</t>
        </is>
      </c>
      <c r="G2301" t="inlineStr">
        <is>
          <t>Good</t>
        </is>
      </c>
      <c r="H2301" t="n">
        <v>29</v>
      </c>
      <c r="I2301">
        <f>B2301&amp;"|"&amp;F2301&amp;"|"&amp;G2301</f>
        <v/>
      </c>
      <c r="J2301" t="inlineStr">
        <is>
          <t>MVS Sec.17 p.28</t>
        </is>
      </c>
    </row>
    <row r="2302">
      <c r="B2302" t="inlineStr">
        <is>
          <t>Farm Implement (Equipment Shop) Buildings</t>
        </is>
      </c>
      <c r="C2302" t="inlineStr">
        <is>
          <t>476</t>
        </is>
      </c>
      <c r="D2302" t="inlineStr">
        <is>
          <t>17</t>
        </is>
      </c>
      <c r="E2302" t="inlineStr">
        <is>
          <t>28</t>
        </is>
      </c>
      <c r="F2302" t="inlineStr">
        <is>
          <t>DPOLE</t>
        </is>
      </c>
      <c r="G2302" t="inlineStr">
        <is>
          <t>Average</t>
        </is>
      </c>
      <c r="H2302" t="n">
        <v>19.95</v>
      </c>
      <c r="I2302">
        <f>B2302&amp;"|"&amp;F2302&amp;"|"&amp;G2302</f>
        <v/>
      </c>
      <c r="J2302" t="inlineStr">
        <is>
          <t>MVS Sec.17 p.28</t>
        </is>
      </c>
    </row>
    <row r="2303">
      <c r="B2303" t="inlineStr">
        <is>
          <t>Farm Implement (Equipment Shop) Buildings</t>
        </is>
      </c>
      <c r="C2303" t="inlineStr">
        <is>
          <t>476</t>
        </is>
      </c>
      <c r="D2303" t="inlineStr">
        <is>
          <t>17</t>
        </is>
      </c>
      <c r="E2303" t="inlineStr">
        <is>
          <t>28</t>
        </is>
      </c>
      <c r="F2303" t="inlineStr">
        <is>
          <t>DPOLE</t>
        </is>
      </c>
      <c r="G2303" t="inlineStr">
        <is>
          <t>Low Cost</t>
        </is>
      </c>
      <c r="H2303" t="n">
        <v>13.8</v>
      </c>
      <c r="I2303">
        <f>B2303&amp;"|"&amp;F2303&amp;"|"&amp;G2303</f>
        <v/>
      </c>
      <c r="J2303" t="inlineStr">
        <is>
          <t>MVS Sec.17 p.28</t>
        </is>
      </c>
    </row>
    <row r="2304">
      <c r="B2304" t="inlineStr">
        <is>
          <t>Farm Implement (Equipment Shop) Buildings</t>
        </is>
      </c>
      <c r="C2304" t="inlineStr">
        <is>
          <t>476</t>
        </is>
      </c>
      <c r="D2304" t="inlineStr">
        <is>
          <t>17</t>
        </is>
      </c>
      <c r="E2304" t="inlineStr">
        <is>
          <t>28</t>
        </is>
      </c>
      <c r="F2304" t="inlineStr">
        <is>
          <t>S</t>
        </is>
      </c>
      <c r="G2304" t="inlineStr">
        <is>
          <t>Good</t>
        </is>
      </c>
      <c r="H2304" t="n">
        <v>32</v>
      </c>
      <c r="I2304">
        <f>B2304&amp;"|"&amp;F2304&amp;"|"&amp;G2304</f>
        <v/>
      </c>
      <c r="J2304" t="inlineStr">
        <is>
          <t>MVS Sec.17 p.28</t>
        </is>
      </c>
    </row>
    <row r="2305">
      <c r="B2305" t="inlineStr">
        <is>
          <t>Farm Implement (Equipment Shop) Buildings</t>
        </is>
      </c>
      <c r="C2305" t="inlineStr">
        <is>
          <t>476</t>
        </is>
      </c>
      <c r="D2305" t="inlineStr">
        <is>
          <t>17</t>
        </is>
      </c>
      <c r="E2305" t="inlineStr">
        <is>
          <t>28</t>
        </is>
      </c>
      <c r="F2305" t="inlineStr">
        <is>
          <t>S</t>
        </is>
      </c>
      <c r="G2305" t="inlineStr">
        <is>
          <t>Average</t>
        </is>
      </c>
      <c r="H2305" t="n">
        <v>22.7</v>
      </c>
      <c r="I2305">
        <f>B2305&amp;"|"&amp;F2305&amp;"|"&amp;G2305</f>
        <v/>
      </c>
      <c r="J2305" t="inlineStr">
        <is>
          <t>MVS Sec.17 p.28</t>
        </is>
      </c>
    </row>
    <row r="2306">
      <c r="B2306" t="inlineStr">
        <is>
          <t>Farm Implement (Equipment Shop) Buildings</t>
        </is>
      </c>
      <c r="C2306" t="inlineStr">
        <is>
          <t>476</t>
        </is>
      </c>
      <c r="D2306" t="inlineStr">
        <is>
          <t>17</t>
        </is>
      </c>
      <c r="E2306" t="inlineStr">
        <is>
          <t>28</t>
        </is>
      </c>
      <c r="F2306" t="inlineStr">
        <is>
          <t>S</t>
        </is>
      </c>
      <c r="G2306" t="inlineStr">
        <is>
          <t>Low Cost</t>
        </is>
      </c>
      <c r="H2306" t="n">
        <v>16.2</v>
      </c>
      <c r="I2306">
        <f>B2306&amp;"|"&amp;F2306&amp;"|"&amp;G2306</f>
        <v/>
      </c>
      <c r="J2306" t="inlineStr">
        <is>
          <t>MVS Sec.17 p.28</t>
        </is>
      </c>
    </row>
    <row r="2307">
      <c r="B2307" t="inlineStr">
        <is>
          <t>Farm Implement (Equipment Shop) Buildings</t>
        </is>
      </c>
      <c r="C2307" t="inlineStr">
        <is>
          <t>476</t>
        </is>
      </c>
      <c r="D2307" t="inlineStr">
        <is>
          <t>17</t>
        </is>
      </c>
      <c r="E2307" t="inlineStr">
        <is>
          <t>28</t>
        </is>
      </c>
      <c r="F2307" t="inlineStr">
        <is>
          <t>SSLANT</t>
        </is>
      </c>
      <c r="G2307" t="inlineStr">
        <is>
          <t>Good</t>
        </is>
      </c>
      <c r="H2307" t="n">
        <v>30</v>
      </c>
      <c r="I2307">
        <f>B2307&amp;"|"&amp;F2307&amp;"|"&amp;G2307</f>
        <v/>
      </c>
      <c r="J2307" t="inlineStr">
        <is>
          <t>MVS Sec.17 p.28</t>
        </is>
      </c>
    </row>
    <row r="2308">
      <c r="B2308" t="inlineStr">
        <is>
          <t>Farm Implement (Equipment Shop) Buildings</t>
        </is>
      </c>
      <c r="C2308" t="inlineStr">
        <is>
          <t>476</t>
        </is>
      </c>
      <c r="D2308" t="inlineStr">
        <is>
          <t>17</t>
        </is>
      </c>
      <c r="E2308" t="inlineStr">
        <is>
          <t>28</t>
        </is>
      </c>
      <c r="F2308" t="inlineStr">
        <is>
          <t>SSLANT</t>
        </is>
      </c>
      <c r="G2308" t="inlineStr">
        <is>
          <t>Average</t>
        </is>
      </c>
      <c r="H2308" t="n">
        <v>21.25</v>
      </c>
      <c r="I2308">
        <f>B2308&amp;"|"&amp;F2308&amp;"|"&amp;G2308</f>
        <v/>
      </c>
      <c r="J2308" t="inlineStr">
        <is>
          <t>MVS Sec.17 p.28</t>
        </is>
      </c>
    </row>
    <row r="2309">
      <c r="B2309" t="inlineStr">
        <is>
          <t>Farm Implement (Equipment Shop) Buildings</t>
        </is>
      </c>
      <c r="C2309" t="inlineStr">
        <is>
          <t>476</t>
        </is>
      </c>
      <c r="D2309" t="inlineStr">
        <is>
          <t>17</t>
        </is>
      </c>
      <c r="E2309" t="inlineStr">
        <is>
          <t>28</t>
        </is>
      </c>
      <c r="F2309" t="inlineStr">
        <is>
          <t>SSLANT</t>
        </is>
      </c>
      <c r="G2309" t="inlineStr">
        <is>
          <t>Low Cost</t>
        </is>
      </c>
      <c r="H2309" t="n">
        <v>15.1</v>
      </c>
      <c r="I2309">
        <f>B2309&amp;"|"&amp;F2309&amp;"|"&amp;G2309</f>
        <v/>
      </c>
      <c r="J2309" t="inlineStr">
        <is>
          <t>MVS Sec.17 p.28</t>
        </is>
      </c>
    </row>
    <row r="2310">
      <c r="B2310" t="inlineStr">
        <is>
          <t>Arch-Rib (Quonset) Farm Implement Buildings</t>
        </is>
      </c>
      <c r="C2310" t="inlineStr">
        <is>
          <t>558</t>
        </is>
      </c>
      <c r="D2310" t="inlineStr">
        <is>
          <t>17</t>
        </is>
      </c>
      <c r="E2310" t="inlineStr">
        <is>
          <t>29</t>
        </is>
      </c>
      <c r="F2310" t="inlineStr">
        <is>
          <t>D</t>
        </is>
      </c>
      <c r="G2310" t="inlineStr">
        <is>
          <t>Good</t>
        </is>
      </c>
      <c r="H2310" t="n">
        <v>37.75</v>
      </c>
      <c r="I2310">
        <f>B2310&amp;"|"&amp;F2310&amp;"|"&amp;G2310</f>
        <v/>
      </c>
      <c r="J2310" t="inlineStr">
        <is>
          <t>MVS Sec.17 p.29</t>
        </is>
      </c>
    </row>
    <row r="2311">
      <c r="B2311" t="inlineStr">
        <is>
          <t>Arch-Rib (Quonset) Farm Implement Buildings</t>
        </is>
      </c>
      <c r="C2311" t="inlineStr">
        <is>
          <t>558</t>
        </is>
      </c>
      <c r="D2311" t="inlineStr">
        <is>
          <t>17</t>
        </is>
      </c>
      <c r="E2311" t="inlineStr">
        <is>
          <t>29</t>
        </is>
      </c>
      <c r="F2311" t="inlineStr">
        <is>
          <t>D</t>
        </is>
      </c>
      <c r="G2311" t="inlineStr">
        <is>
          <t>Average</t>
        </is>
      </c>
      <c r="H2311" t="n">
        <v>28.75</v>
      </c>
      <c r="I2311">
        <f>B2311&amp;"|"&amp;F2311&amp;"|"&amp;G2311</f>
        <v/>
      </c>
      <c r="J2311" t="inlineStr">
        <is>
          <t>MVS Sec.17 p.29</t>
        </is>
      </c>
    </row>
    <row r="2312">
      <c r="B2312" t="inlineStr">
        <is>
          <t>Arch-Rib (Quonset) Farm Implement Buildings</t>
        </is>
      </c>
      <c r="C2312" t="inlineStr">
        <is>
          <t>558</t>
        </is>
      </c>
      <c r="D2312" t="inlineStr">
        <is>
          <t>17</t>
        </is>
      </c>
      <c r="E2312" t="inlineStr">
        <is>
          <t>29</t>
        </is>
      </c>
      <c r="F2312" t="inlineStr">
        <is>
          <t>DPOLE</t>
        </is>
      </c>
      <c r="G2312" t="inlineStr">
        <is>
          <t>Good</t>
        </is>
      </c>
      <c r="H2312" t="n">
        <v>36</v>
      </c>
      <c r="I2312">
        <f>B2312&amp;"|"&amp;F2312&amp;"|"&amp;G2312</f>
        <v/>
      </c>
      <c r="J2312" t="inlineStr">
        <is>
          <t>MVS Sec.17 p.29</t>
        </is>
      </c>
    </row>
    <row r="2313">
      <c r="B2313" t="inlineStr">
        <is>
          <t>Arch-Rib (Quonset) Farm Implement Buildings</t>
        </is>
      </c>
      <c r="C2313" t="inlineStr">
        <is>
          <t>558</t>
        </is>
      </c>
      <c r="D2313" t="inlineStr">
        <is>
          <t>17</t>
        </is>
      </c>
      <c r="E2313" t="inlineStr">
        <is>
          <t>29</t>
        </is>
      </c>
      <c r="F2313" t="inlineStr">
        <is>
          <t>DPOLE</t>
        </is>
      </c>
      <c r="G2313" t="inlineStr">
        <is>
          <t>Average</t>
        </is>
      </c>
      <c r="H2313" t="n">
        <v>27</v>
      </c>
      <c r="I2313">
        <f>B2313&amp;"|"&amp;F2313&amp;"|"&amp;G2313</f>
        <v/>
      </c>
      <c r="J2313" t="inlineStr">
        <is>
          <t>MVS Sec.17 p.29</t>
        </is>
      </c>
    </row>
    <row r="2314">
      <c r="B2314" t="inlineStr">
        <is>
          <t>Arch-Rib (Quonset) Farm Implement Buildings</t>
        </is>
      </c>
      <c r="C2314" t="inlineStr">
        <is>
          <t>558</t>
        </is>
      </c>
      <c r="D2314" t="inlineStr">
        <is>
          <t>17</t>
        </is>
      </c>
      <c r="E2314" t="inlineStr">
        <is>
          <t>29</t>
        </is>
      </c>
      <c r="F2314" t="inlineStr">
        <is>
          <t>DHOOP</t>
        </is>
      </c>
      <c r="G2314" t="inlineStr">
        <is>
          <t>Average</t>
        </is>
      </c>
      <c r="H2314" t="n">
        <v>17.85</v>
      </c>
      <c r="I2314">
        <f>B2314&amp;"|"&amp;F2314&amp;"|"&amp;G2314</f>
        <v/>
      </c>
      <c r="J2314" t="inlineStr">
        <is>
          <t>MVS Sec.17 p.29</t>
        </is>
      </c>
    </row>
    <row r="2315">
      <c r="B2315" t="inlineStr">
        <is>
          <t>Arch-Rib (Quonset) Farm Implement Buildings</t>
        </is>
      </c>
      <c r="C2315" t="inlineStr">
        <is>
          <t>558</t>
        </is>
      </c>
      <c r="D2315" t="inlineStr">
        <is>
          <t>17</t>
        </is>
      </c>
      <c r="E2315" t="inlineStr">
        <is>
          <t>29</t>
        </is>
      </c>
      <c r="F2315" t="inlineStr">
        <is>
          <t>DHOOP</t>
        </is>
      </c>
      <c r="G2315" t="inlineStr">
        <is>
          <t>Low Cost</t>
        </is>
      </c>
      <c r="H2315" t="n">
        <v>13.6</v>
      </c>
      <c r="I2315">
        <f>B2315&amp;"|"&amp;F2315&amp;"|"&amp;G2315</f>
        <v/>
      </c>
      <c r="J2315" t="inlineStr">
        <is>
          <t>MVS Sec.17 p.29</t>
        </is>
      </c>
    </row>
    <row r="2316">
      <c r="B2316" t="inlineStr">
        <is>
          <t>Arch-Rib (Quonset) Farm Implement Buildings</t>
        </is>
      </c>
      <c r="C2316" t="inlineStr">
        <is>
          <t>558</t>
        </is>
      </c>
      <c r="D2316" t="inlineStr">
        <is>
          <t>17</t>
        </is>
      </c>
      <c r="E2316" t="inlineStr">
        <is>
          <t>29</t>
        </is>
      </c>
      <c r="F2316" t="inlineStr">
        <is>
          <t>S</t>
        </is>
      </c>
      <c r="G2316" t="inlineStr">
        <is>
          <t>Good</t>
        </is>
      </c>
      <c r="H2316" t="n">
        <v>36.5</v>
      </c>
      <c r="I2316">
        <f>B2316&amp;"|"&amp;F2316&amp;"|"&amp;G2316</f>
        <v/>
      </c>
      <c r="J2316" t="inlineStr">
        <is>
          <t>MVS Sec.17 p.29</t>
        </is>
      </c>
    </row>
    <row r="2317">
      <c r="B2317" t="inlineStr">
        <is>
          <t>Arch-Rib (Quonset) Farm Implement Buildings</t>
        </is>
      </c>
      <c r="C2317" t="inlineStr">
        <is>
          <t>558</t>
        </is>
      </c>
      <c r="D2317" t="inlineStr">
        <is>
          <t>17</t>
        </is>
      </c>
      <c r="E2317" t="inlineStr">
        <is>
          <t>29</t>
        </is>
      </c>
      <c r="F2317" t="inlineStr">
        <is>
          <t>S</t>
        </is>
      </c>
      <c r="G2317" t="inlineStr">
        <is>
          <t>Average</t>
        </is>
      </c>
      <c r="H2317" t="n">
        <v>27.5</v>
      </c>
      <c r="I2317">
        <f>B2317&amp;"|"&amp;F2317&amp;"|"&amp;G2317</f>
        <v/>
      </c>
      <c r="J2317" t="inlineStr">
        <is>
          <t>MVS Sec.17 p.29</t>
        </is>
      </c>
    </row>
    <row r="2318">
      <c r="B2318" t="inlineStr">
        <is>
          <t>Arch-Rib (Quonset) Farm Implement Buildings</t>
        </is>
      </c>
      <c r="C2318" t="inlineStr">
        <is>
          <t>558</t>
        </is>
      </c>
      <c r="D2318" t="inlineStr">
        <is>
          <t>17</t>
        </is>
      </c>
      <c r="E2318" t="inlineStr">
        <is>
          <t>29</t>
        </is>
      </c>
      <c r="F2318" t="inlineStr">
        <is>
          <t>S</t>
        </is>
      </c>
      <c r="G2318" t="inlineStr">
        <is>
          <t>Low Cost</t>
        </is>
      </c>
      <c r="H2318" t="n">
        <v>20.8</v>
      </c>
      <c r="I2318">
        <f>B2318&amp;"|"&amp;F2318&amp;"|"&amp;G2318</f>
        <v/>
      </c>
      <c r="J2318" t="inlineStr">
        <is>
          <t>MVS Sec.17 p.29</t>
        </is>
      </c>
    </row>
    <row r="2319">
      <c r="B2319" t="inlineStr">
        <is>
          <t>Arch-Rib (Quonset) Farm Implement Buildings</t>
        </is>
      </c>
      <c r="C2319" t="inlineStr">
        <is>
          <t>558</t>
        </is>
      </c>
      <c r="D2319" t="inlineStr">
        <is>
          <t>17</t>
        </is>
      </c>
      <c r="E2319" t="inlineStr">
        <is>
          <t>29</t>
        </is>
      </c>
      <c r="F2319" t="inlineStr">
        <is>
          <t>WALL</t>
        </is>
      </c>
      <c r="G2319" t="inlineStr">
        <is>
          <t>Cheap</t>
        </is>
      </c>
      <c r="H2319" t="n">
        <v>16.9</v>
      </c>
      <c r="I2319">
        <f>B2319&amp;"|"&amp;F2319&amp;"|"&amp;G2319</f>
        <v/>
      </c>
      <c r="J2319" t="inlineStr">
        <is>
          <t>MVS Sec.17 p.29</t>
        </is>
      </c>
    </row>
    <row r="2320">
      <c r="B2320" t="inlineStr">
        <is>
          <t>Farm Implement – Equipment Sheds</t>
        </is>
      </c>
      <c r="C2320" t="inlineStr">
        <is>
          <t>478</t>
        </is>
      </c>
      <c r="D2320" t="inlineStr">
        <is>
          <t>17</t>
        </is>
      </c>
      <c r="E2320" t="inlineStr">
        <is>
          <t>29</t>
        </is>
      </c>
      <c r="F2320" t="inlineStr">
        <is>
          <t>C</t>
        </is>
      </c>
      <c r="G2320" t="inlineStr">
        <is>
          <t>Average</t>
        </is>
      </c>
      <c r="H2320" t="n">
        <v>25.5</v>
      </c>
      <c r="I2320">
        <f>B2320&amp;"|"&amp;F2320&amp;"|"&amp;G2320</f>
        <v/>
      </c>
      <c r="J2320" t="inlineStr">
        <is>
          <t>MVS Sec.17 p.29</t>
        </is>
      </c>
    </row>
    <row r="2321">
      <c r="B2321" t="inlineStr">
        <is>
          <t>Farm Implement – Equipment Sheds</t>
        </is>
      </c>
      <c r="C2321" t="inlineStr">
        <is>
          <t>478</t>
        </is>
      </c>
      <c r="D2321" t="inlineStr">
        <is>
          <t>17</t>
        </is>
      </c>
      <c r="E2321" t="inlineStr">
        <is>
          <t>29</t>
        </is>
      </c>
      <c r="F2321" t="inlineStr">
        <is>
          <t>C</t>
        </is>
      </c>
      <c r="G2321" t="inlineStr">
        <is>
          <t>Low Cost</t>
        </is>
      </c>
      <c r="H2321" t="n">
        <v>18.55</v>
      </c>
      <c r="I2321">
        <f>B2321&amp;"|"&amp;F2321&amp;"|"&amp;G2321</f>
        <v/>
      </c>
      <c r="J2321" t="inlineStr">
        <is>
          <t>MVS Sec.17 p.29</t>
        </is>
      </c>
    </row>
    <row r="2322">
      <c r="B2322" t="inlineStr">
        <is>
          <t>Farm Implement – Equipment Sheds</t>
        </is>
      </c>
      <c r="C2322" t="inlineStr">
        <is>
          <t>478</t>
        </is>
      </c>
      <c r="D2322" t="inlineStr">
        <is>
          <t>17</t>
        </is>
      </c>
      <c r="E2322" t="inlineStr">
        <is>
          <t>29</t>
        </is>
      </c>
      <c r="F2322" t="inlineStr">
        <is>
          <t>D</t>
        </is>
      </c>
      <c r="G2322" t="inlineStr">
        <is>
          <t>Average</t>
        </is>
      </c>
      <c r="H2322" t="n">
        <v>19.65</v>
      </c>
      <c r="I2322">
        <f>B2322&amp;"|"&amp;F2322&amp;"|"&amp;G2322</f>
        <v/>
      </c>
      <c r="J2322" t="inlineStr">
        <is>
          <t>MVS Sec.17 p.29</t>
        </is>
      </c>
    </row>
    <row r="2323">
      <c r="B2323" t="inlineStr">
        <is>
          <t>Farm Implement – Equipment Sheds</t>
        </is>
      </c>
      <c r="C2323" t="inlineStr">
        <is>
          <t>478</t>
        </is>
      </c>
      <c r="D2323" t="inlineStr">
        <is>
          <t>17</t>
        </is>
      </c>
      <c r="E2323" t="inlineStr">
        <is>
          <t>29</t>
        </is>
      </c>
      <c r="F2323" t="inlineStr">
        <is>
          <t>D</t>
        </is>
      </c>
      <c r="G2323" t="inlineStr">
        <is>
          <t>Low Cost</t>
        </is>
      </c>
      <c r="H2323" t="n">
        <v>11.3</v>
      </c>
      <c r="I2323">
        <f>B2323&amp;"|"&amp;F2323&amp;"|"&amp;G2323</f>
        <v/>
      </c>
      <c r="J2323" t="inlineStr">
        <is>
          <t>MVS Sec.17 p.29</t>
        </is>
      </c>
    </row>
    <row r="2324">
      <c r="B2324" t="inlineStr">
        <is>
          <t>Farm Implement – Equipment Sheds</t>
        </is>
      </c>
      <c r="C2324" t="inlineStr">
        <is>
          <t>478</t>
        </is>
      </c>
      <c r="D2324" t="inlineStr">
        <is>
          <t>17</t>
        </is>
      </c>
      <c r="E2324" t="inlineStr">
        <is>
          <t>29</t>
        </is>
      </c>
      <c r="F2324" t="inlineStr">
        <is>
          <t>DPOLE</t>
        </is>
      </c>
      <c r="G2324" t="inlineStr">
        <is>
          <t>Average</t>
        </is>
      </c>
      <c r="H2324" t="n">
        <v>16.7</v>
      </c>
      <c r="I2324">
        <f>B2324&amp;"|"&amp;F2324&amp;"|"&amp;G2324</f>
        <v/>
      </c>
      <c r="J2324" t="inlineStr">
        <is>
          <t>MVS Sec.17 p.29</t>
        </is>
      </c>
    </row>
    <row r="2325">
      <c r="B2325" t="inlineStr">
        <is>
          <t>Farm Implement – Equipment Sheds</t>
        </is>
      </c>
      <c r="C2325" t="inlineStr">
        <is>
          <t>478</t>
        </is>
      </c>
      <c r="D2325" t="inlineStr">
        <is>
          <t>17</t>
        </is>
      </c>
      <c r="E2325" t="inlineStr">
        <is>
          <t>29</t>
        </is>
      </c>
      <c r="F2325" t="inlineStr">
        <is>
          <t>DPOLE</t>
        </is>
      </c>
      <c r="G2325" t="inlineStr">
        <is>
          <t>Low Cost</t>
        </is>
      </c>
      <c r="H2325" t="n">
        <v>9.57</v>
      </c>
      <c r="I2325">
        <f>B2325&amp;"|"&amp;F2325&amp;"|"&amp;G2325</f>
        <v/>
      </c>
      <c r="J2325" t="inlineStr">
        <is>
          <t>MVS Sec.17 p.29</t>
        </is>
      </c>
    </row>
    <row r="2326">
      <c r="B2326" t="inlineStr">
        <is>
          <t>Farm Implement – Equipment Sheds</t>
        </is>
      </c>
      <c r="C2326" t="inlineStr">
        <is>
          <t>478</t>
        </is>
      </c>
      <c r="D2326" t="inlineStr">
        <is>
          <t>17</t>
        </is>
      </c>
      <c r="E2326" t="inlineStr">
        <is>
          <t>29</t>
        </is>
      </c>
      <c r="F2326" t="inlineStr">
        <is>
          <t>S</t>
        </is>
      </c>
      <c r="G2326" t="inlineStr">
        <is>
          <t>Average</t>
        </is>
      </c>
      <c r="H2326" t="n">
        <v>19.6</v>
      </c>
      <c r="I2326">
        <f>B2326&amp;"|"&amp;F2326&amp;"|"&amp;G2326</f>
        <v/>
      </c>
      <c r="J2326" t="inlineStr">
        <is>
          <t>MVS Sec.17 p.29</t>
        </is>
      </c>
    </row>
    <row r="2327">
      <c r="B2327" t="inlineStr">
        <is>
          <t>Farm Implement – Equipment Sheds</t>
        </is>
      </c>
      <c r="C2327" t="inlineStr">
        <is>
          <t>478</t>
        </is>
      </c>
      <c r="D2327" t="inlineStr">
        <is>
          <t>17</t>
        </is>
      </c>
      <c r="E2327" t="inlineStr">
        <is>
          <t>29</t>
        </is>
      </c>
      <c r="F2327" t="inlineStr">
        <is>
          <t>S</t>
        </is>
      </c>
      <c r="G2327" t="inlineStr">
        <is>
          <t>Low Cost</t>
        </is>
      </c>
      <c r="H2327" t="n">
        <v>12.05</v>
      </c>
      <c r="I2327">
        <f>B2327&amp;"|"&amp;F2327&amp;"|"&amp;G2327</f>
        <v/>
      </c>
      <c r="J2327" t="inlineStr">
        <is>
          <t>MVS Sec.17 p.29</t>
        </is>
      </c>
    </row>
    <row r="2328">
      <c r="B2328" t="inlineStr">
        <is>
          <t>Farm Implement – Equipment Sheds</t>
        </is>
      </c>
      <c r="C2328" t="inlineStr">
        <is>
          <t>478</t>
        </is>
      </c>
      <c r="D2328" t="inlineStr">
        <is>
          <t>17</t>
        </is>
      </c>
      <c r="E2328" t="inlineStr">
        <is>
          <t>29</t>
        </is>
      </c>
      <c r="F2328" t="inlineStr">
        <is>
          <t>SSLANT</t>
        </is>
      </c>
      <c r="G2328" t="inlineStr">
        <is>
          <t>Average</t>
        </is>
      </c>
      <c r="H2328" t="n">
        <v>18.2</v>
      </c>
      <c r="I2328">
        <f>B2328&amp;"|"&amp;F2328&amp;"|"&amp;G2328</f>
        <v/>
      </c>
      <c r="J2328" t="inlineStr">
        <is>
          <t>MVS Sec.17 p.29</t>
        </is>
      </c>
    </row>
    <row r="2329">
      <c r="B2329" t="inlineStr">
        <is>
          <t>Farm Implement – Equipment Sheds</t>
        </is>
      </c>
      <c r="C2329" t="inlineStr">
        <is>
          <t>478</t>
        </is>
      </c>
      <c r="D2329" t="inlineStr">
        <is>
          <t>17</t>
        </is>
      </c>
      <c r="E2329" t="inlineStr">
        <is>
          <t>29</t>
        </is>
      </c>
      <c r="F2329" t="inlineStr">
        <is>
          <t>SSLANT</t>
        </is>
      </c>
      <c r="G2329" t="inlineStr">
        <is>
          <t>Low Cost</t>
        </is>
      </c>
      <c r="H2329" t="n">
        <v>11.05</v>
      </c>
      <c r="I2329">
        <f>B2329&amp;"|"&amp;F2329&amp;"|"&amp;G2329</f>
        <v/>
      </c>
      <c r="J2329" t="inlineStr">
        <is>
          <t>MVS Sec.17 p.29</t>
        </is>
      </c>
    </row>
    <row r="2330">
      <c r="B2330" t="inlineStr">
        <is>
          <t>Barns – General Purpose</t>
        </is>
      </c>
      <c r="C2330" t="inlineStr">
        <is>
          <t>102</t>
        </is>
      </c>
      <c r="D2330" t="inlineStr">
        <is>
          <t>17</t>
        </is>
      </c>
      <c r="E2330" t="inlineStr">
        <is>
          <t>30</t>
        </is>
      </c>
      <c r="F2330" t="inlineStr">
        <is>
          <t>C</t>
        </is>
      </c>
      <c r="G2330" t="inlineStr">
        <is>
          <t>Good</t>
        </is>
      </c>
      <c r="H2330" t="n">
        <v>53</v>
      </c>
      <c r="I2330">
        <f>B2330&amp;"|"&amp;F2330&amp;"|"&amp;G2330</f>
        <v/>
      </c>
      <c r="J2330" t="inlineStr">
        <is>
          <t>MVS Sec.17 p.30</t>
        </is>
      </c>
    </row>
    <row r="2331">
      <c r="B2331" t="inlineStr">
        <is>
          <t>Barns – General Purpose</t>
        </is>
      </c>
      <c r="C2331" t="inlineStr">
        <is>
          <t>102</t>
        </is>
      </c>
      <c r="D2331" t="inlineStr">
        <is>
          <t>17</t>
        </is>
      </c>
      <c r="E2331" t="inlineStr">
        <is>
          <t>30</t>
        </is>
      </c>
      <c r="F2331" t="inlineStr">
        <is>
          <t>C</t>
        </is>
      </c>
      <c r="G2331" t="inlineStr">
        <is>
          <t>Average</t>
        </is>
      </c>
      <c r="H2331" t="n">
        <v>40.25</v>
      </c>
      <c r="I2331">
        <f>B2331&amp;"|"&amp;F2331&amp;"|"&amp;G2331</f>
        <v/>
      </c>
      <c r="J2331" t="inlineStr">
        <is>
          <t>MVS Sec.17 p.30</t>
        </is>
      </c>
    </row>
    <row r="2332">
      <c r="B2332" t="inlineStr">
        <is>
          <t>Barns – General Purpose</t>
        </is>
      </c>
      <c r="C2332" t="inlineStr">
        <is>
          <t>102</t>
        </is>
      </c>
      <c r="D2332" t="inlineStr">
        <is>
          <t>17</t>
        </is>
      </c>
      <c r="E2332" t="inlineStr">
        <is>
          <t>30</t>
        </is>
      </c>
      <c r="F2332" t="inlineStr">
        <is>
          <t>C</t>
        </is>
      </c>
      <c r="G2332" t="inlineStr">
        <is>
          <t>Low Cost</t>
        </is>
      </c>
      <c r="H2332" t="n">
        <v>30.75</v>
      </c>
      <c r="I2332">
        <f>B2332&amp;"|"&amp;F2332&amp;"|"&amp;G2332</f>
        <v/>
      </c>
      <c r="J2332" t="inlineStr">
        <is>
          <t>MVS Sec.17 p.30</t>
        </is>
      </c>
    </row>
    <row r="2333">
      <c r="B2333" t="inlineStr">
        <is>
          <t>Barns – General Purpose</t>
        </is>
      </c>
      <c r="C2333" t="inlineStr">
        <is>
          <t>102</t>
        </is>
      </c>
      <c r="D2333" t="inlineStr">
        <is>
          <t>17</t>
        </is>
      </c>
      <c r="E2333" t="inlineStr">
        <is>
          <t>30</t>
        </is>
      </c>
      <c r="F2333" t="inlineStr">
        <is>
          <t>D</t>
        </is>
      </c>
      <c r="G2333" t="inlineStr">
        <is>
          <t>Good</t>
        </is>
      </c>
      <c r="H2333" t="n">
        <v>47.25</v>
      </c>
      <c r="I2333">
        <f>B2333&amp;"|"&amp;F2333&amp;"|"&amp;G2333</f>
        <v/>
      </c>
      <c r="J2333" t="inlineStr">
        <is>
          <t>MVS Sec.17 p.30</t>
        </is>
      </c>
    </row>
    <row r="2334">
      <c r="B2334" t="inlineStr">
        <is>
          <t>Barns – General Purpose</t>
        </is>
      </c>
      <c r="C2334" t="inlineStr">
        <is>
          <t>102</t>
        </is>
      </c>
      <c r="D2334" t="inlineStr">
        <is>
          <t>17</t>
        </is>
      </c>
      <c r="E2334" t="inlineStr">
        <is>
          <t>30</t>
        </is>
      </c>
      <c r="F2334" t="inlineStr">
        <is>
          <t>D</t>
        </is>
      </c>
      <c r="G2334" t="inlineStr">
        <is>
          <t>Average</t>
        </is>
      </c>
      <c r="H2334" t="n">
        <v>34</v>
      </c>
      <c r="I2334">
        <f>B2334&amp;"|"&amp;F2334&amp;"|"&amp;G2334</f>
        <v/>
      </c>
      <c r="J2334" t="inlineStr">
        <is>
          <t>MVS Sec.17 p.30</t>
        </is>
      </c>
    </row>
    <row r="2335">
      <c r="B2335" t="inlineStr">
        <is>
          <t>Barns – General Purpose</t>
        </is>
      </c>
      <c r="C2335" t="inlineStr">
        <is>
          <t>102</t>
        </is>
      </c>
      <c r="D2335" t="inlineStr">
        <is>
          <t>17</t>
        </is>
      </c>
      <c r="E2335" t="inlineStr">
        <is>
          <t>30</t>
        </is>
      </c>
      <c r="F2335" t="inlineStr">
        <is>
          <t>D</t>
        </is>
      </c>
      <c r="G2335" t="inlineStr">
        <is>
          <t>Low Cost</t>
        </is>
      </c>
      <c r="H2335" t="n">
        <v>24.7</v>
      </c>
      <c r="I2335">
        <f>B2335&amp;"|"&amp;F2335&amp;"|"&amp;G2335</f>
        <v/>
      </c>
      <c r="J2335" t="inlineStr">
        <is>
          <t>MVS Sec.17 p.30</t>
        </is>
      </c>
    </row>
    <row r="2336">
      <c r="B2336" t="inlineStr">
        <is>
          <t>Barns – General Purpose</t>
        </is>
      </c>
      <c r="C2336" t="inlineStr">
        <is>
          <t>102</t>
        </is>
      </c>
      <c r="D2336" t="inlineStr">
        <is>
          <t>17</t>
        </is>
      </c>
      <c r="E2336" t="inlineStr">
        <is>
          <t>30</t>
        </is>
      </c>
      <c r="F2336" t="inlineStr">
        <is>
          <t>DPOLE</t>
        </is>
      </c>
      <c r="G2336" t="inlineStr">
        <is>
          <t>Good</t>
        </is>
      </c>
      <c r="H2336" t="n">
        <v>41</v>
      </c>
      <c r="I2336">
        <f>B2336&amp;"|"&amp;F2336&amp;"|"&amp;G2336</f>
        <v/>
      </c>
      <c r="J2336" t="inlineStr">
        <is>
          <t>MVS Sec.17 p.30</t>
        </is>
      </c>
    </row>
    <row r="2337">
      <c r="B2337" t="inlineStr">
        <is>
          <t>Barns – General Purpose</t>
        </is>
      </c>
      <c r="C2337" t="inlineStr">
        <is>
          <t>102</t>
        </is>
      </c>
      <c r="D2337" t="inlineStr">
        <is>
          <t>17</t>
        </is>
      </c>
      <c r="E2337" t="inlineStr">
        <is>
          <t>30</t>
        </is>
      </c>
      <c r="F2337" t="inlineStr">
        <is>
          <t>DPOLE</t>
        </is>
      </c>
      <c r="G2337" t="inlineStr">
        <is>
          <t>Average</t>
        </is>
      </c>
      <c r="H2337" t="n">
        <v>29.25</v>
      </c>
      <c r="I2337">
        <f>B2337&amp;"|"&amp;F2337&amp;"|"&amp;G2337</f>
        <v/>
      </c>
      <c r="J2337" t="inlineStr">
        <is>
          <t>MVS Sec.17 p.30</t>
        </is>
      </c>
    </row>
    <row r="2338">
      <c r="B2338" t="inlineStr">
        <is>
          <t>Barns – General Purpose</t>
        </is>
      </c>
      <c r="C2338" t="inlineStr">
        <is>
          <t>102</t>
        </is>
      </c>
      <c r="D2338" t="inlineStr">
        <is>
          <t>17</t>
        </is>
      </c>
      <c r="E2338" t="inlineStr">
        <is>
          <t>30</t>
        </is>
      </c>
      <c r="F2338" t="inlineStr">
        <is>
          <t>DPOLE</t>
        </is>
      </c>
      <c r="G2338" t="inlineStr">
        <is>
          <t>Low Cost</t>
        </is>
      </c>
      <c r="H2338" t="n">
        <v>20.85</v>
      </c>
      <c r="I2338">
        <f>B2338&amp;"|"&amp;F2338&amp;"|"&amp;G2338</f>
        <v/>
      </c>
      <c r="J2338" t="inlineStr">
        <is>
          <t>MVS Sec.17 p.30</t>
        </is>
      </c>
    </row>
    <row r="2339">
      <c r="B2339" t="inlineStr">
        <is>
          <t>Barns – General Purpose</t>
        </is>
      </c>
      <c r="C2339" t="inlineStr">
        <is>
          <t>102</t>
        </is>
      </c>
      <c r="D2339" t="inlineStr">
        <is>
          <t>17</t>
        </is>
      </c>
      <c r="E2339" t="inlineStr">
        <is>
          <t>30</t>
        </is>
      </c>
      <c r="F2339" t="inlineStr">
        <is>
          <t>S</t>
        </is>
      </c>
      <c r="G2339" t="inlineStr">
        <is>
          <t>Good</t>
        </is>
      </c>
      <c r="H2339" t="n">
        <v>44.75</v>
      </c>
      <c r="I2339">
        <f>B2339&amp;"|"&amp;F2339&amp;"|"&amp;G2339</f>
        <v/>
      </c>
      <c r="J2339" t="inlineStr">
        <is>
          <t>MVS Sec.17 p.30</t>
        </is>
      </c>
    </row>
    <row r="2340">
      <c r="B2340" t="inlineStr">
        <is>
          <t>Barns – General Purpose</t>
        </is>
      </c>
      <c r="C2340" t="inlineStr">
        <is>
          <t>102</t>
        </is>
      </c>
      <c r="D2340" t="inlineStr">
        <is>
          <t>17</t>
        </is>
      </c>
      <c r="E2340" t="inlineStr">
        <is>
          <t>30</t>
        </is>
      </c>
      <c r="F2340" t="inlineStr">
        <is>
          <t>S</t>
        </is>
      </c>
      <c r="G2340" t="inlineStr">
        <is>
          <t>Average</t>
        </is>
      </c>
      <c r="H2340" t="n">
        <v>32.5</v>
      </c>
      <c r="I2340">
        <f>B2340&amp;"|"&amp;F2340&amp;"|"&amp;G2340</f>
        <v/>
      </c>
      <c r="J2340" t="inlineStr">
        <is>
          <t>MVS Sec.17 p.30</t>
        </is>
      </c>
    </row>
    <row r="2341">
      <c r="B2341" t="inlineStr">
        <is>
          <t>Barns – General Purpose</t>
        </is>
      </c>
      <c r="C2341" t="inlineStr">
        <is>
          <t>102</t>
        </is>
      </c>
      <c r="D2341" t="inlineStr">
        <is>
          <t>17</t>
        </is>
      </c>
      <c r="E2341" t="inlineStr">
        <is>
          <t>30</t>
        </is>
      </c>
      <c r="F2341" t="inlineStr">
        <is>
          <t>S</t>
        </is>
      </c>
      <c r="G2341" t="inlineStr">
        <is>
          <t>Low Cost</t>
        </is>
      </c>
      <c r="H2341" t="n">
        <v>23.55</v>
      </c>
      <c r="I2341">
        <f>B2341&amp;"|"&amp;F2341&amp;"|"&amp;G2341</f>
        <v/>
      </c>
      <c r="J2341" t="inlineStr">
        <is>
          <t>MVS Sec.17 p.30</t>
        </is>
      </c>
    </row>
    <row r="2342">
      <c r="B2342" t="inlineStr">
        <is>
          <t>Bank Barns (Two-Story) – General Purpose</t>
        </is>
      </c>
      <c r="C2342" t="inlineStr">
        <is>
          <t>100</t>
        </is>
      </c>
      <c r="D2342" t="inlineStr">
        <is>
          <t>17</t>
        </is>
      </c>
      <c r="E2342" t="inlineStr">
        <is>
          <t>30</t>
        </is>
      </c>
      <c r="F2342" t="inlineStr">
        <is>
          <t>C</t>
        </is>
      </c>
      <c r="G2342" t="inlineStr">
        <is>
          <t>Good</t>
        </is>
      </c>
      <c r="H2342" t="n">
        <v>38.25</v>
      </c>
      <c r="I2342">
        <f>B2342&amp;"|"&amp;F2342&amp;"|"&amp;G2342</f>
        <v/>
      </c>
      <c r="J2342" t="inlineStr">
        <is>
          <t>MVS Sec.17 p.30</t>
        </is>
      </c>
    </row>
    <row r="2343">
      <c r="B2343" t="inlineStr">
        <is>
          <t>Bank Barns (Two-Story) – General Purpose</t>
        </is>
      </c>
      <c r="C2343" t="inlineStr">
        <is>
          <t>100</t>
        </is>
      </c>
      <c r="D2343" t="inlineStr">
        <is>
          <t>17</t>
        </is>
      </c>
      <c r="E2343" t="inlineStr">
        <is>
          <t>30</t>
        </is>
      </c>
      <c r="F2343" t="inlineStr">
        <is>
          <t>C</t>
        </is>
      </c>
      <c r="G2343" t="inlineStr">
        <is>
          <t>Average</t>
        </is>
      </c>
      <c r="H2343" t="n">
        <v>29.25</v>
      </c>
      <c r="I2343">
        <f>B2343&amp;"|"&amp;F2343&amp;"|"&amp;G2343</f>
        <v/>
      </c>
      <c r="J2343" t="inlineStr">
        <is>
          <t>MVS Sec.17 p.30</t>
        </is>
      </c>
    </row>
    <row r="2344">
      <c r="B2344" t="inlineStr">
        <is>
          <t>Bank Barns (Two-Story) – General Purpose</t>
        </is>
      </c>
      <c r="C2344" t="inlineStr">
        <is>
          <t>100</t>
        </is>
      </c>
      <c r="D2344" t="inlineStr">
        <is>
          <t>17</t>
        </is>
      </c>
      <c r="E2344" t="inlineStr">
        <is>
          <t>30</t>
        </is>
      </c>
      <c r="F2344" t="inlineStr">
        <is>
          <t>C</t>
        </is>
      </c>
      <c r="G2344" t="inlineStr">
        <is>
          <t>Low Cost</t>
        </is>
      </c>
      <c r="H2344" t="n">
        <v>22.4</v>
      </c>
      <c r="I2344">
        <f>B2344&amp;"|"&amp;F2344&amp;"|"&amp;G2344</f>
        <v/>
      </c>
      <c r="J2344" t="inlineStr">
        <is>
          <t>MVS Sec.17 p.30</t>
        </is>
      </c>
    </row>
    <row r="2345">
      <c r="B2345" t="inlineStr">
        <is>
          <t>Bank Barns (Two-Story) – General Purpose</t>
        </is>
      </c>
      <c r="C2345" t="inlineStr">
        <is>
          <t>100</t>
        </is>
      </c>
      <c r="D2345" t="inlineStr">
        <is>
          <t>17</t>
        </is>
      </c>
      <c r="E2345" t="inlineStr">
        <is>
          <t>30</t>
        </is>
      </c>
      <c r="F2345" t="inlineStr">
        <is>
          <t>D</t>
        </is>
      </c>
      <c r="G2345" t="inlineStr">
        <is>
          <t>Good</t>
        </is>
      </c>
      <c r="H2345" t="n">
        <v>35.25</v>
      </c>
      <c r="I2345">
        <f>B2345&amp;"|"&amp;F2345&amp;"|"&amp;G2345</f>
        <v/>
      </c>
      <c r="J2345" t="inlineStr">
        <is>
          <t>MVS Sec.17 p.30</t>
        </is>
      </c>
    </row>
    <row r="2346">
      <c r="B2346" t="inlineStr">
        <is>
          <t>Bank Barns (Two-Story) – General Purpose</t>
        </is>
      </c>
      <c r="C2346" t="inlineStr">
        <is>
          <t>100</t>
        </is>
      </c>
      <c r="D2346" t="inlineStr">
        <is>
          <t>17</t>
        </is>
      </c>
      <c r="E2346" t="inlineStr">
        <is>
          <t>30</t>
        </is>
      </c>
      <c r="F2346" t="inlineStr">
        <is>
          <t>D</t>
        </is>
      </c>
      <c r="G2346" t="inlineStr">
        <is>
          <t>Average</t>
        </is>
      </c>
      <c r="H2346" t="n">
        <v>26</v>
      </c>
      <c r="I2346">
        <f>B2346&amp;"|"&amp;F2346&amp;"|"&amp;G2346</f>
        <v/>
      </c>
      <c r="J2346" t="inlineStr">
        <is>
          <t>MVS Sec.17 p.30</t>
        </is>
      </c>
    </row>
    <row r="2347">
      <c r="B2347" t="inlineStr">
        <is>
          <t>Bank Barns (Two-Story) – General Purpose</t>
        </is>
      </c>
      <c r="C2347" t="inlineStr">
        <is>
          <t>100</t>
        </is>
      </c>
      <c r="D2347" t="inlineStr">
        <is>
          <t>17</t>
        </is>
      </c>
      <c r="E2347" t="inlineStr">
        <is>
          <t>30</t>
        </is>
      </c>
      <c r="F2347" t="inlineStr">
        <is>
          <t>D</t>
        </is>
      </c>
      <c r="G2347" t="inlineStr">
        <is>
          <t>Low Cost</t>
        </is>
      </c>
      <c r="H2347" t="n">
        <v>19.2</v>
      </c>
      <c r="I2347">
        <f>B2347&amp;"|"&amp;F2347&amp;"|"&amp;G2347</f>
        <v/>
      </c>
      <c r="J2347" t="inlineStr">
        <is>
          <t>MVS Sec.17 p.30</t>
        </is>
      </c>
    </row>
    <row r="2348">
      <c r="B2348" t="inlineStr">
        <is>
          <t>Bank Barns (Two-Story) – General Purpose</t>
        </is>
      </c>
      <c r="C2348" t="inlineStr">
        <is>
          <t>100</t>
        </is>
      </c>
      <c r="D2348" t="inlineStr">
        <is>
          <t>17</t>
        </is>
      </c>
      <c r="E2348" t="inlineStr">
        <is>
          <t>30</t>
        </is>
      </c>
      <c r="F2348" t="inlineStr">
        <is>
          <t>DPOLE</t>
        </is>
      </c>
      <c r="G2348" t="inlineStr">
        <is>
          <t>Good</t>
        </is>
      </c>
      <c r="H2348" t="n">
        <v>31.75</v>
      </c>
      <c r="I2348">
        <f>B2348&amp;"|"&amp;F2348&amp;"|"&amp;G2348</f>
        <v/>
      </c>
      <c r="J2348" t="inlineStr">
        <is>
          <t>MVS Sec.17 p.30</t>
        </is>
      </c>
    </row>
    <row r="2349">
      <c r="B2349" t="inlineStr">
        <is>
          <t>Bank Barns (Two-Story) – General Purpose</t>
        </is>
      </c>
      <c r="C2349" t="inlineStr">
        <is>
          <t>100</t>
        </is>
      </c>
      <c r="D2349" t="inlineStr">
        <is>
          <t>17</t>
        </is>
      </c>
      <c r="E2349" t="inlineStr">
        <is>
          <t>30</t>
        </is>
      </c>
      <c r="F2349" t="inlineStr">
        <is>
          <t>DPOLE</t>
        </is>
      </c>
      <c r="G2349" t="inlineStr">
        <is>
          <t>Average</t>
        </is>
      </c>
      <c r="H2349" t="n">
        <v>23.4</v>
      </c>
      <c r="I2349">
        <f>B2349&amp;"|"&amp;F2349&amp;"|"&amp;G2349</f>
        <v/>
      </c>
      <c r="J2349" t="inlineStr">
        <is>
          <t>MVS Sec.17 p.30</t>
        </is>
      </c>
    </row>
    <row r="2350">
      <c r="B2350" t="inlineStr">
        <is>
          <t>Bank Barns (Two-Story) – General Purpose</t>
        </is>
      </c>
      <c r="C2350" t="inlineStr">
        <is>
          <t>100</t>
        </is>
      </c>
      <c r="D2350" t="inlineStr">
        <is>
          <t>17</t>
        </is>
      </c>
      <c r="E2350" t="inlineStr">
        <is>
          <t>30</t>
        </is>
      </c>
      <c r="F2350" t="inlineStr">
        <is>
          <t>DPOLE</t>
        </is>
      </c>
      <c r="G2350" t="inlineStr">
        <is>
          <t>Low Cost</t>
        </is>
      </c>
      <c r="H2350" t="n">
        <v>17.25</v>
      </c>
      <c r="I2350">
        <f>B2350&amp;"|"&amp;F2350&amp;"|"&amp;G2350</f>
        <v/>
      </c>
      <c r="J2350" t="inlineStr">
        <is>
          <t>MVS Sec.17 p.30</t>
        </is>
      </c>
    </row>
    <row r="2351">
      <c r="B2351" t="inlineStr">
        <is>
          <t>Barns – Special Purpose</t>
        </is>
      </c>
      <c r="C2351" t="inlineStr">
        <is>
          <t>103</t>
        </is>
      </c>
      <c r="D2351" t="inlineStr">
        <is>
          <t>17</t>
        </is>
      </c>
      <c r="E2351" t="inlineStr">
        <is>
          <t>31</t>
        </is>
      </c>
      <c r="F2351" t="inlineStr">
        <is>
          <t>C</t>
        </is>
      </c>
      <c r="G2351" t="inlineStr">
        <is>
          <t>Excellent</t>
        </is>
      </c>
      <c r="H2351" t="n">
        <v>93</v>
      </c>
      <c r="I2351">
        <f>B2351&amp;"|"&amp;F2351&amp;"|"&amp;G2351</f>
        <v/>
      </c>
      <c r="J2351" t="inlineStr">
        <is>
          <t>MVS Sec.17 p.31</t>
        </is>
      </c>
    </row>
    <row r="2352">
      <c r="B2352" t="inlineStr">
        <is>
          <t>Barns – Special Purpose</t>
        </is>
      </c>
      <c r="C2352" t="inlineStr">
        <is>
          <t>103</t>
        </is>
      </c>
      <c r="D2352" t="inlineStr">
        <is>
          <t>17</t>
        </is>
      </c>
      <c r="E2352" t="inlineStr">
        <is>
          <t>31</t>
        </is>
      </c>
      <c r="F2352" t="inlineStr">
        <is>
          <t>C</t>
        </is>
      </c>
      <c r="G2352" t="inlineStr">
        <is>
          <t>Good</t>
        </is>
      </c>
      <c r="H2352" t="n">
        <v>70.5</v>
      </c>
      <c r="I2352">
        <f>B2352&amp;"|"&amp;F2352&amp;"|"&amp;G2352</f>
        <v/>
      </c>
      <c r="J2352" t="inlineStr">
        <is>
          <t>MVS Sec.17 p.31</t>
        </is>
      </c>
    </row>
    <row r="2353">
      <c r="B2353" t="inlineStr">
        <is>
          <t>Barns – Special Purpose</t>
        </is>
      </c>
      <c r="C2353" t="inlineStr">
        <is>
          <t>103</t>
        </is>
      </c>
      <c r="D2353" t="inlineStr">
        <is>
          <t>17</t>
        </is>
      </c>
      <c r="E2353" t="inlineStr">
        <is>
          <t>31</t>
        </is>
      </c>
      <c r="F2353" t="inlineStr">
        <is>
          <t>C</t>
        </is>
      </c>
      <c r="G2353" t="inlineStr">
        <is>
          <t>Average</t>
        </is>
      </c>
      <c r="H2353" t="n">
        <v>53.5</v>
      </c>
      <c r="I2353">
        <f>B2353&amp;"|"&amp;F2353&amp;"|"&amp;G2353</f>
        <v/>
      </c>
      <c r="J2353" t="inlineStr">
        <is>
          <t>MVS Sec.17 p.31</t>
        </is>
      </c>
    </row>
    <row r="2354">
      <c r="B2354" t="inlineStr">
        <is>
          <t>Barns – Special Purpose</t>
        </is>
      </c>
      <c r="C2354" t="inlineStr">
        <is>
          <t>103</t>
        </is>
      </c>
      <c r="D2354" t="inlineStr">
        <is>
          <t>17</t>
        </is>
      </c>
      <c r="E2354" t="inlineStr">
        <is>
          <t>31</t>
        </is>
      </c>
      <c r="F2354" t="inlineStr">
        <is>
          <t>C</t>
        </is>
      </c>
      <c r="G2354" t="inlineStr">
        <is>
          <t>Low Cost</t>
        </is>
      </c>
      <c r="H2354" t="n">
        <v>40.75</v>
      </c>
      <c r="I2354">
        <f>B2354&amp;"|"&amp;F2354&amp;"|"&amp;G2354</f>
        <v/>
      </c>
      <c r="J2354" t="inlineStr">
        <is>
          <t>MVS Sec.17 p.31</t>
        </is>
      </c>
    </row>
    <row r="2355">
      <c r="B2355" t="inlineStr">
        <is>
          <t>Barns – Special Purpose</t>
        </is>
      </c>
      <c r="C2355" t="inlineStr">
        <is>
          <t>103</t>
        </is>
      </c>
      <c r="D2355" t="inlineStr">
        <is>
          <t>17</t>
        </is>
      </c>
      <c r="E2355" t="inlineStr">
        <is>
          <t>31</t>
        </is>
      </c>
      <c r="F2355" t="inlineStr">
        <is>
          <t>D</t>
        </is>
      </c>
      <c r="G2355" t="inlineStr">
        <is>
          <t>Excellent</t>
        </is>
      </c>
      <c r="H2355" t="n">
        <v>90</v>
      </c>
      <c r="I2355">
        <f>B2355&amp;"|"&amp;F2355&amp;"|"&amp;G2355</f>
        <v/>
      </c>
      <c r="J2355" t="inlineStr">
        <is>
          <t>MVS Sec.17 p.31</t>
        </is>
      </c>
    </row>
    <row r="2356">
      <c r="B2356" t="inlineStr">
        <is>
          <t>Barns – Special Purpose</t>
        </is>
      </c>
      <c r="C2356" t="inlineStr">
        <is>
          <t>103</t>
        </is>
      </c>
      <c r="D2356" t="inlineStr">
        <is>
          <t>17</t>
        </is>
      </c>
      <c r="E2356" t="inlineStr">
        <is>
          <t>31</t>
        </is>
      </c>
      <c r="F2356" t="inlineStr">
        <is>
          <t>D</t>
        </is>
      </c>
      <c r="G2356" t="inlineStr">
        <is>
          <t>Good</t>
        </is>
      </c>
      <c r="H2356" t="n">
        <v>66.5</v>
      </c>
      <c r="I2356">
        <f>B2356&amp;"|"&amp;F2356&amp;"|"&amp;G2356</f>
        <v/>
      </c>
      <c r="J2356" t="inlineStr">
        <is>
          <t>MVS Sec.17 p.31</t>
        </is>
      </c>
    </row>
    <row r="2357">
      <c r="B2357" t="inlineStr">
        <is>
          <t>Barns – Special Purpose</t>
        </is>
      </c>
      <c r="C2357" t="inlineStr">
        <is>
          <t>103</t>
        </is>
      </c>
      <c r="D2357" t="inlineStr">
        <is>
          <t>17</t>
        </is>
      </c>
      <c r="E2357" t="inlineStr">
        <is>
          <t>31</t>
        </is>
      </c>
      <c r="F2357" t="inlineStr">
        <is>
          <t>D</t>
        </is>
      </c>
      <c r="G2357" t="inlineStr">
        <is>
          <t>Average</t>
        </is>
      </c>
      <c r="H2357" t="n">
        <v>49.25</v>
      </c>
      <c r="I2357">
        <f>B2357&amp;"|"&amp;F2357&amp;"|"&amp;G2357</f>
        <v/>
      </c>
      <c r="J2357" t="inlineStr">
        <is>
          <t>MVS Sec.17 p.31</t>
        </is>
      </c>
    </row>
    <row r="2358">
      <c r="B2358" t="inlineStr">
        <is>
          <t>Barns – Special Purpose</t>
        </is>
      </c>
      <c r="C2358" t="inlineStr">
        <is>
          <t>103</t>
        </is>
      </c>
      <c r="D2358" t="inlineStr">
        <is>
          <t>17</t>
        </is>
      </c>
      <c r="E2358" t="inlineStr">
        <is>
          <t>31</t>
        </is>
      </c>
      <c r="F2358" t="inlineStr">
        <is>
          <t>D</t>
        </is>
      </c>
      <c r="G2358" t="inlineStr">
        <is>
          <t>Low Cost</t>
        </is>
      </c>
      <c r="H2358" t="n">
        <v>36.5</v>
      </c>
      <c r="I2358">
        <f>B2358&amp;"|"&amp;F2358&amp;"|"&amp;G2358</f>
        <v/>
      </c>
      <c r="J2358" t="inlineStr">
        <is>
          <t>MVS Sec.17 p.31</t>
        </is>
      </c>
    </row>
    <row r="2359">
      <c r="B2359" t="inlineStr">
        <is>
          <t>Barns – Special Purpose</t>
        </is>
      </c>
      <c r="C2359" t="inlineStr">
        <is>
          <t>103</t>
        </is>
      </c>
      <c r="D2359" t="inlineStr">
        <is>
          <t>17</t>
        </is>
      </c>
      <c r="E2359" t="inlineStr">
        <is>
          <t>31</t>
        </is>
      </c>
      <c r="F2359" t="inlineStr">
        <is>
          <t>DPOLE</t>
        </is>
      </c>
      <c r="G2359" t="inlineStr">
        <is>
          <t>Average</t>
        </is>
      </c>
      <c r="H2359" t="n">
        <v>43.25</v>
      </c>
      <c r="I2359">
        <f>B2359&amp;"|"&amp;F2359&amp;"|"&amp;G2359</f>
        <v/>
      </c>
      <c r="J2359" t="inlineStr">
        <is>
          <t>MVS Sec.17 p.31</t>
        </is>
      </c>
    </row>
    <row r="2360">
      <c r="B2360" t="inlineStr">
        <is>
          <t>Barns – Special Purpose</t>
        </is>
      </c>
      <c r="C2360" t="inlineStr">
        <is>
          <t>103</t>
        </is>
      </c>
      <c r="D2360" t="inlineStr">
        <is>
          <t>17</t>
        </is>
      </c>
      <c r="E2360" t="inlineStr">
        <is>
          <t>31</t>
        </is>
      </c>
      <c r="F2360" t="inlineStr">
        <is>
          <t>DPOLE</t>
        </is>
      </c>
      <c r="G2360" t="inlineStr">
        <is>
          <t>Low Cost</t>
        </is>
      </c>
      <c r="H2360" t="n">
        <v>31.5</v>
      </c>
      <c r="I2360">
        <f>B2360&amp;"|"&amp;F2360&amp;"|"&amp;G2360</f>
        <v/>
      </c>
      <c r="J2360" t="inlineStr">
        <is>
          <t>MVS Sec.17 p.31</t>
        </is>
      </c>
    </row>
    <row r="2361">
      <c r="B2361" t="inlineStr">
        <is>
          <t>Bank Barns (Two-Story) – Special Purpose</t>
        </is>
      </c>
      <c r="C2361" t="inlineStr">
        <is>
          <t>101</t>
        </is>
      </c>
      <c r="D2361" t="inlineStr">
        <is>
          <t>17</t>
        </is>
      </c>
      <c r="E2361" t="inlineStr">
        <is>
          <t>31</t>
        </is>
      </c>
      <c r="F2361" t="inlineStr">
        <is>
          <t>C</t>
        </is>
      </c>
      <c r="G2361" t="inlineStr">
        <is>
          <t>Excellent</t>
        </is>
      </c>
      <c r="H2361" t="n">
        <v>64</v>
      </c>
      <c r="I2361">
        <f>B2361&amp;"|"&amp;F2361&amp;"|"&amp;G2361</f>
        <v/>
      </c>
      <c r="J2361" t="inlineStr">
        <is>
          <t>MVS Sec.17 p.31</t>
        </is>
      </c>
    </row>
    <row r="2362">
      <c r="B2362" t="inlineStr">
        <is>
          <t>Bank Barns (Two-Story) – Special Purpose</t>
        </is>
      </c>
      <c r="C2362" t="inlineStr">
        <is>
          <t>101</t>
        </is>
      </c>
      <c r="D2362" t="inlineStr">
        <is>
          <t>17</t>
        </is>
      </c>
      <c r="E2362" t="inlineStr">
        <is>
          <t>31</t>
        </is>
      </c>
      <c r="F2362" t="inlineStr">
        <is>
          <t>C</t>
        </is>
      </c>
      <c r="G2362" t="inlineStr">
        <is>
          <t>Good</t>
        </is>
      </c>
      <c r="H2362" t="n">
        <v>48.5</v>
      </c>
      <c r="I2362">
        <f>B2362&amp;"|"&amp;F2362&amp;"|"&amp;G2362</f>
        <v/>
      </c>
      <c r="J2362" t="inlineStr">
        <is>
          <t>MVS Sec.17 p.31</t>
        </is>
      </c>
    </row>
    <row r="2363">
      <c r="B2363" t="inlineStr">
        <is>
          <t>Bank Barns (Two-Story) – Special Purpose</t>
        </is>
      </c>
      <c r="C2363" t="inlineStr">
        <is>
          <t>101</t>
        </is>
      </c>
      <c r="D2363" t="inlineStr">
        <is>
          <t>17</t>
        </is>
      </c>
      <c r="E2363" t="inlineStr">
        <is>
          <t>31</t>
        </is>
      </c>
      <c r="F2363" t="inlineStr">
        <is>
          <t>C</t>
        </is>
      </c>
      <c r="G2363" t="inlineStr">
        <is>
          <t>Average</t>
        </is>
      </c>
      <c r="H2363" t="n">
        <v>36.75</v>
      </c>
      <c r="I2363">
        <f>B2363&amp;"|"&amp;F2363&amp;"|"&amp;G2363</f>
        <v/>
      </c>
      <c r="J2363" t="inlineStr">
        <is>
          <t>MVS Sec.17 p.31</t>
        </is>
      </c>
    </row>
    <row r="2364">
      <c r="B2364" t="inlineStr">
        <is>
          <t>Bank Barns (Two-Story) – Special Purpose</t>
        </is>
      </c>
      <c r="C2364" t="inlineStr">
        <is>
          <t>101</t>
        </is>
      </c>
      <c r="D2364" t="inlineStr">
        <is>
          <t>17</t>
        </is>
      </c>
      <c r="E2364" t="inlineStr">
        <is>
          <t>31</t>
        </is>
      </c>
      <c r="F2364" t="inlineStr">
        <is>
          <t>C</t>
        </is>
      </c>
      <c r="G2364" t="inlineStr">
        <is>
          <t>Low Cost</t>
        </is>
      </c>
      <c r="H2364" t="n">
        <v>28</v>
      </c>
      <c r="I2364">
        <f>B2364&amp;"|"&amp;F2364&amp;"|"&amp;G2364</f>
        <v/>
      </c>
      <c r="J2364" t="inlineStr">
        <is>
          <t>MVS Sec.17 p.31</t>
        </is>
      </c>
    </row>
    <row r="2365">
      <c r="B2365" t="inlineStr">
        <is>
          <t>Bank Barns (Two-Story) – Special Purpose</t>
        </is>
      </c>
      <c r="C2365" t="inlineStr">
        <is>
          <t>101</t>
        </is>
      </c>
      <c r="D2365" t="inlineStr">
        <is>
          <t>17</t>
        </is>
      </c>
      <c r="E2365" t="inlineStr">
        <is>
          <t>31</t>
        </is>
      </c>
      <c r="F2365" t="inlineStr">
        <is>
          <t>D</t>
        </is>
      </c>
      <c r="G2365" t="inlineStr">
        <is>
          <t>Excellent</t>
        </is>
      </c>
      <c r="H2365" t="n">
        <v>62</v>
      </c>
      <c r="I2365">
        <f>B2365&amp;"|"&amp;F2365&amp;"|"&amp;G2365</f>
        <v/>
      </c>
      <c r="J2365" t="inlineStr">
        <is>
          <t>MVS Sec.17 p.31</t>
        </is>
      </c>
    </row>
    <row r="2366">
      <c r="B2366" t="inlineStr">
        <is>
          <t>Bank Barns (Two-Story) – Special Purpose</t>
        </is>
      </c>
      <c r="C2366" t="inlineStr">
        <is>
          <t>101</t>
        </is>
      </c>
      <c r="D2366" t="inlineStr">
        <is>
          <t>17</t>
        </is>
      </c>
      <c r="E2366" t="inlineStr">
        <is>
          <t>31</t>
        </is>
      </c>
      <c r="F2366" t="inlineStr">
        <is>
          <t>D</t>
        </is>
      </c>
      <c r="G2366" t="inlineStr">
        <is>
          <t>Good</t>
        </is>
      </c>
      <c r="H2366" t="n">
        <v>46.25</v>
      </c>
      <c r="I2366">
        <f>B2366&amp;"|"&amp;F2366&amp;"|"&amp;G2366</f>
        <v/>
      </c>
      <c r="J2366" t="inlineStr">
        <is>
          <t>MVS Sec.17 p.31</t>
        </is>
      </c>
    </row>
    <row r="2367">
      <c r="B2367" t="inlineStr">
        <is>
          <t>Bank Barns (Two-Story) – Special Purpose</t>
        </is>
      </c>
      <c r="C2367" t="inlineStr">
        <is>
          <t>101</t>
        </is>
      </c>
      <c r="D2367" t="inlineStr">
        <is>
          <t>17</t>
        </is>
      </c>
      <c r="E2367" t="inlineStr">
        <is>
          <t>31</t>
        </is>
      </c>
      <c r="F2367" t="inlineStr">
        <is>
          <t>D</t>
        </is>
      </c>
      <c r="G2367" t="inlineStr">
        <is>
          <t>Average</t>
        </is>
      </c>
      <c r="H2367" t="n">
        <v>34.5</v>
      </c>
      <c r="I2367">
        <f>B2367&amp;"|"&amp;F2367&amp;"|"&amp;G2367</f>
        <v/>
      </c>
      <c r="J2367" t="inlineStr">
        <is>
          <t>MVS Sec.17 p.31</t>
        </is>
      </c>
    </row>
    <row r="2368">
      <c r="B2368" t="inlineStr">
        <is>
          <t>Bank Barns (Two-Story) – Special Purpose</t>
        </is>
      </c>
      <c r="C2368" t="inlineStr">
        <is>
          <t>101</t>
        </is>
      </c>
      <c r="D2368" t="inlineStr">
        <is>
          <t>17</t>
        </is>
      </c>
      <c r="E2368" t="inlineStr">
        <is>
          <t>31</t>
        </is>
      </c>
      <c r="F2368" t="inlineStr">
        <is>
          <t>D</t>
        </is>
      </c>
      <c r="G2368" t="inlineStr">
        <is>
          <t>Low Cost</t>
        </is>
      </c>
      <c r="H2368" t="n">
        <v>25.75</v>
      </c>
      <c r="I2368">
        <f>B2368&amp;"|"&amp;F2368&amp;"|"&amp;G2368</f>
        <v/>
      </c>
      <c r="J2368" t="inlineStr">
        <is>
          <t>MVS Sec.17 p.31</t>
        </is>
      </c>
    </row>
    <row r="2369">
      <c r="B2369" t="inlineStr">
        <is>
          <t>Bank Barns (Two-Story) – Special Purpose</t>
        </is>
      </c>
      <c r="C2369" t="inlineStr">
        <is>
          <t>101</t>
        </is>
      </c>
      <c r="D2369" t="inlineStr">
        <is>
          <t>17</t>
        </is>
      </c>
      <c r="E2369" t="inlineStr">
        <is>
          <t>31</t>
        </is>
      </c>
      <c r="F2369" t="inlineStr">
        <is>
          <t>DPOLE</t>
        </is>
      </c>
      <c r="G2369" t="inlineStr">
        <is>
          <t>Average</t>
        </is>
      </c>
      <c r="H2369" t="n">
        <v>31.25</v>
      </c>
      <c r="I2369">
        <f>B2369&amp;"|"&amp;F2369&amp;"|"&amp;G2369</f>
        <v/>
      </c>
      <c r="J2369" t="inlineStr">
        <is>
          <t>MVS Sec.17 p.31</t>
        </is>
      </c>
    </row>
    <row r="2370">
      <c r="B2370" t="inlineStr">
        <is>
          <t>Bank Barns (Two-Story) – Special Purpose</t>
        </is>
      </c>
      <c r="C2370" t="inlineStr">
        <is>
          <t>101</t>
        </is>
      </c>
      <c r="D2370" t="inlineStr">
        <is>
          <t>17</t>
        </is>
      </c>
      <c r="E2370" t="inlineStr">
        <is>
          <t>31</t>
        </is>
      </c>
      <c r="F2370" t="inlineStr">
        <is>
          <t>DPOLE</t>
        </is>
      </c>
      <c r="G2370" t="inlineStr">
        <is>
          <t>Low Cost</t>
        </is>
      </c>
      <c r="H2370" t="n">
        <v>23.05</v>
      </c>
      <c r="I2370">
        <f>B2370&amp;"|"&amp;F2370&amp;"|"&amp;G2370</f>
        <v/>
      </c>
      <c r="J2370" t="inlineStr">
        <is>
          <t>MVS Sec.17 p.31</t>
        </is>
      </c>
    </row>
    <row r="2371">
      <c r="B2371" t="inlineStr">
        <is>
          <t>Free-Stall Barns</t>
        </is>
      </c>
      <c r="C2371" t="inlineStr">
        <is>
          <t>469</t>
        </is>
      </c>
      <c r="D2371" t="inlineStr">
        <is>
          <t>17</t>
        </is>
      </c>
      <c r="E2371" t="inlineStr">
        <is>
          <t>32</t>
        </is>
      </c>
      <c r="F2371" t="inlineStr">
        <is>
          <t>D</t>
        </is>
      </c>
      <c r="G2371" t="inlineStr">
        <is>
          <t>Excellent</t>
        </is>
      </c>
      <c r="H2371" t="n">
        <v>43.75</v>
      </c>
      <c r="I2371">
        <f>B2371&amp;"|"&amp;F2371&amp;"|"&amp;G2371</f>
        <v/>
      </c>
      <c r="J2371" t="inlineStr">
        <is>
          <t>MVS Sec.17 p.32</t>
        </is>
      </c>
    </row>
    <row r="2372">
      <c r="B2372" t="inlineStr">
        <is>
          <t>Free-Stall Barns</t>
        </is>
      </c>
      <c r="C2372" t="inlineStr">
        <is>
          <t>469</t>
        </is>
      </c>
      <c r="D2372" t="inlineStr">
        <is>
          <t>17</t>
        </is>
      </c>
      <c r="E2372" t="inlineStr">
        <is>
          <t>32</t>
        </is>
      </c>
      <c r="F2372" t="inlineStr">
        <is>
          <t>D</t>
        </is>
      </c>
      <c r="G2372" t="inlineStr">
        <is>
          <t>Good</t>
        </is>
      </c>
      <c r="H2372" t="n">
        <v>32</v>
      </c>
      <c r="I2372">
        <f>B2372&amp;"|"&amp;F2372&amp;"|"&amp;G2372</f>
        <v/>
      </c>
      <c r="J2372" t="inlineStr">
        <is>
          <t>MVS Sec.17 p.32</t>
        </is>
      </c>
    </row>
    <row r="2373">
      <c r="B2373" t="inlineStr">
        <is>
          <t>Free-Stall Barns</t>
        </is>
      </c>
      <c r="C2373" t="inlineStr">
        <is>
          <t>469</t>
        </is>
      </c>
      <c r="D2373" t="inlineStr">
        <is>
          <t>17</t>
        </is>
      </c>
      <c r="E2373" t="inlineStr">
        <is>
          <t>32</t>
        </is>
      </c>
      <c r="F2373" t="inlineStr">
        <is>
          <t>D</t>
        </is>
      </c>
      <c r="G2373" t="inlineStr">
        <is>
          <t>Average</t>
        </is>
      </c>
      <c r="H2373" t="n">
        <v>23.4</v>
      </c>
      <c r="I2373">
        <f>B2373&amp;"|"&amp;F2373&amp;"|"&amp;G2373</f>
        <v/>
      </c>
      <c r="J2373" t="inlineStr">
        <is>
          <t>MVS Sec.17 p.32</t>
        </is>
      </c>
    </row>
    <row r="2374">
      <c r="B2374" t="inlineStr">
        <is>
          <t>Free-Stall Barns</t>
        </is>
      </c>
      <c r="C2374" t="inlineStr">
        <is>
          <t>469</t>
        </is>
      </c>
      <c r="D2374" t="inlineStr">
        <is>
          <t>17</t>
        </is>
      </c>
      <c r="E2374" t="inlineStr">
        <is>
          <t>32</t>
        </is>
      </c>
      <c r="F2374" t="inlineStr">
        <is>
          <t>D</t>
        </is>
      </c>
      <c r="G2374" t="inlineStr">
        <is>
          <t>Low Cost</t>
        </is>
      </c>
      <c r="H2374" t="n">
        <v>17.05</v>
      </c>
      <c r="I2374">
        <f>B2374&amp;"|"&amp;F2374&amp;"|"&amp;G2374</f>
        <v/>
      </c>
      <c r="J2374" t="inlineStr">
        <is>
          <t>MVS Sec.17 p.32</t>
        </is>
      </c>
    </row>
    <row r="2375">
      <c r="B2375" t="inlineStr">
        <is>
          <t>Free-Stall Barns</t>
        </is>
      </c>
      <c r="C2375" t="inlineStr">
        <is>
          <t>469</t>
        </is>
      </c>
      <c r="D2375" t="inlineStr">
        <is>
          <t>17</t>
        </is>
      </c>
      <c r="E2375" t="inlineStr">
        <is>
          <t>32</t>
        </is>
      </c>
      <c r="F2375" t="inlineStr">
        <is>
          <t>DPOLE</t>
        </is>
      </c>
      <c r="G2375" t="inlineStr">
        <is>
          <t>Excellent</t>
        </is>
      </c>
      <c r="H2375" t="n">
        <v>39</v>
      </c>
      <c r="I2375">
        <f>B2375&amp;"|"&amp;F2375&amp;"|"&amp;G2375</f>
        <v/>
      </c>
      <c r="J2375" t="inlineStr">
        <is>
          <t>MVS Sec.17 p.32</t>
        </is>
      </c>
    </row>
    <row r="2376">
      <c r="B2376" t="inlineStr">
        <is>
          <t>Free-Stall Barns</t>
        </is>
      </c>
      <c r="C2376" t="inlineStr">
        <is>
          <t>469</t>
        </is>
      </c>
      <c r="D2376" t="inlineStr">
        <is>
          <t>17</t>
        </is>
      </c>
      <c r="E2376" t="inlineStr">
        <is>
          <t>32</t>
        </is>
      </c>
      <c r="F2376" t="inlineStr">
        <is>
          <t>DPOLE</t>
        </is>
      </c>
      <c r="G2376" t="inlineStr">
        <is>
          <t>Good</t>
        </is>
      </c>
      <c r="H2376" t="n">
        <v>28.5</v>
      </c>
      <c r="I2376">
        <f>B2376&amp;"|"&amp;F2376&amp;"|"&amp;G2376</f>
        <v/>
      </c>
      <c r="J2376" t="inlineStr">
        <is>
          <t>MVS Sec.17 p.32</t>
        </is>
      </c>
    </row>
    <row r="2377">
      <c r="B2377" t="inlineStr">
        <is>
          <t>Free-Stall Barns</t>
        </is>
      </c>
      <c r="C2377" t="inlineStr">
        <is>
          <t>469</t>
        </is>
      </c>
      <c r="D2377" t="inlineStr">
        <is>
          <t>17</t>
        </is>
      </c>
      <c r="E2377" t="inlineStr">
        <is>
          <t>32</t>
        </is>
      </c>
      <c r="F2377" t="inlineStr">
        <is>
          <t>DPOLE</t>
        </is>
      </c>
      <c r="G2377" t="inlineStr">
        <is>
          <t>Average</t>
        </is>
      </c>
      <c r="H2377" t="n">
        <v>20.7</v>
      </c>
      <c r="I2377">
        <f>B2377&amp;"|"&amp;F2377&amp;"|"&amp;G2377</f>
        <v/>
      </c>
      <c r="J2377" t="inlineStr">
        <is>
          <t>MVS Sec.17 p.32</t>
        </is>
      </c>
    </row>
    <row r="2378">
      <c r="B2378" t="inlineStr">
        <is>
          <t>Free-Stall Barns</t>
        </is>
      </c>
      <c r="C2378" t="inlineStr">
        <is>
          <t>469</t>
        </is>
      </c>
      <c r="D2378" t="inlineStr">
        <is>
          <t>17</t>
        </is>
      </c>
      <c r="E2378" t="inlineStr">
        <is>
          <t>32</t>
        </is>
      </c>
      <c r="F2378" t="inlineStr">
        <is>
          <t>DPOLE</t>
        </is>
      </c>
      <c r="G2378" t="inlineStr">
        <is>
          <t>Low Cost</t>
        </is>
      </c>
      <c r="H2378" t="n">
        <v>15.1</v>
      </c>
      <c r="I2378">
        <f>B2378&amp;"|"&amp;F2378&amp;"|"&amp;G2378</f>
        <v/>
      </c>
      <c r="J2378" t="inlineStr">
        <is>
          <t>MVS Sec.17 p.32</t>
        </is>
      </c>
    </row>
    <row r="2379">
      <c r="B2379" t="inlineStr">
        <is>
          <t>Free-Stall Barns</t>
        </is>
      </c>
      <c r="C2379" t="inlineStr">
        <is>
          <t>469</t>
        </is>
      </c>
      <c r="D2379" t="inlineStr">
        <is>
          <t>17</t>
        </is>
      </c>
      <c r="E2379" t="inlineStr">
        <is>
          <t>32</t>
        </is>
      </c>
      <c r="F2379" t="inlineStr">
        <is>
          <t>DPOLE</t>
        </is>
      </c>
      <c r="G2379" t="inlineStr">
        <is>
          <t>Cheap</t>
        </is>
      </c>
      <c r="H2379" t="n">
        <v>10.75</v>
      </c>
      <c r="I2379">
        <f>B2379&amp;"|"&amp;F2379&amp;"|"&amp;G2379</f>
        <v/>
      </c>
      <c r="J2379" t="inlineStr">
        <is>
          <t>MVS Sec.17 p.32</t>
        </is>
      </c>
    </row>
    <row r="2380">
      <c r="B2380" t="inlineStr">
        <is>
          <t>Free-Stall Barns</t>
        </is>
      </c>
      <c r="C2380" t="inlineStr">
        <is>
          <t>469</t>
        </is>
      </c>
      <c r="D2380" t="inlineStr">
        <is>
          <t>17</t>
        </is>
      </c>
      <c r="E2380" t="inlineStr">
        <is>
          <t>32</t>
        </is>
      </c>
      <c r="F2380" t="inlineStr">
        <is>
          <t>DHOOP</t>
        </is>
      </c>
      <c r="G2380" t="inlineStr">
        <is>
          <t>Average</t>
        </is>
      </c>
      <c r="H2380" t="n">
        <v>18</v>
      </c>
      <c r="I2380">
        <f>B2380&amp;"|"&amp;F2380&amp;"|"&amp;G2380</f>
        <v/>
      </c>
      <c r="J2380" t="inlineStr">
        <is>
          <t>MVS Sec.17 p.32</t>
        </is>
      </c>
    </row>
    <row r="2381">
      <c r="B2381" t="inlineStr">
        <is>
          <t>Free-Stall Barns</t>
        </is>
      </c>
      <c r="C2381" t="inlineStr">
        <is>
          <t>469</t>
        </is>
      </c>
      <c r="D2381" t="inlineStr">
        <is>
          <t>17</t>
        </is>
      </c>
      <c r="E2381" t="inlineStr">
        <is>
          <t>32</t>
        </is>
      </c>
      <c r="F2381" t="inlineStr">
        <is>
          <t>DHOOP</t>
        </is>
      </c>
      <c r="G2381" t="inlineStr">
        <is>
          <t>Low Cost</t>
        </is>
      </c>
      <c r="H2381" t="n">
        <v>13.75</v>
      </c>
      <c r="I2381">
        <f>B2381&amp;"|"&amp;F2381&amp;"|"&amp;G2381</f>
        <v/>
      </c>
      <c r="J2381" t="inlineStr">
        <is>
          <t>MVS Sec.17 p.32</t>
        </is>
      </c>
    </row>
    <row r="2382">
      <c r="B2382" t="inlineStr">
        <is>
          <t>Free-Stall Barns</t>
        </is>
      </c>
      <c r="C2382" t="inlineStr">
        <is>
          <t>469</t>
        </is>
      </c>
      <c r="D2382" t="inlineStr">
        <is>
          <t>17</t>
        </is>
      </c>
      <c r="E2382" t="inlineStr">
        <is>
          <t>32</t>
        </is>
      </c>
      <c r="F2382" t="inlineStr">
        <is>
          <t>DHOOP</t>
        </is>
      </c>
      <c r="G2382" t="inlineStr">
        <is>
          <t>Cheap</t>
        </is>
      </c>
      <c r="H2382" t="n">
        <v>12.05</v>
      </c>
      <c r="I2382">
        <f>B2382&amp;"|"&amp;F2382&amp;"|"&amp;G2382</f>
        <v/>
      </c>
      <c r="J2382" t="inlineStr">
        <is>
          <t>MVS Sec.17 p.32</t>
        </is>
      </c>
    </row>
    <row r="2383">
      <c r="B2383" t="inlineStr">
        <is>
          <t>Free-Stall Barns</t>
        </is>
      </c>
      <c r="C2383" t="inlineStr">
        <is>
          <t>469</t>
        </is>
      </c>
      <c r="D2383" t="inlineStr">
        <is>
          <t>17</t>
        </is>
      </c>
      <c r="E2383" t="inlineStr">
        <is>
          <t>32</t>
        </is>
      </c>
      <c r="F2383" t="inlineStr">
        <is>
          <t>S</t>
        </is>
      </c>
      <c r="G2383" t="inlineStr">
        <is>
          <t>Excellent</t>
        </is>
      </c>
      <c r="H2383" t="n">
        <v>42.25</v>
      </c>
      <c r="I2383">
        <f>B2383&amp;"|"&amp;F2383&amp;"|"&amp;G2383</f>
        <v/>
      </c>
      <c r="J2383" t="inlineStr">
        <is>
          <t>MVS Sec.17 p.32</t>
        </is>
      </c>
    </row>
    <row r="2384">
      <c r="B2384" t="inlineStr">
        <is>
          <t>Free-Stall Barns</t>
        </is>
      </c>
      <c r="C2384" t="inlineStr">
        <is>
          <t>469</t>
        </is>
      </c>
      <c r="D2384" t="inlineStr">
        <is>
          <t>17</t>
        </is>
      </c>
      <c r="E2384" t="inlineStr">
        <is>
          <t>32</t>
        </is>
      </c>
      <c r="F2384" t="inlineStr">
        <is>
          <t>S</t>
        </is>
      </c>
      <c r="G2384" t="inlineStr">
        <is>
          <t>Good</t>
        </is>
      </c>
      <c r="H2384" t="n">
        <v>31.75</v>
      </c>
      <c r="I2384">
        <f>B2384&amp;"|"&amp;F2384&amp;"|"&amp;G2384</f>
        <v/>
      </c>
      <c r="J2384" t="inlineStr">
        <is>
          <t>MVS Sec.17 p.32</t>
        </is>
      </c>
    </row>
    <row r="2385">
      <c r="B2385" t="inlineStr">
        <is>
          <t>Free-Stall Barns</t>
        </is>
      </c>
      <c r="C2385" t="inlineStr">
        <is>
          <t>469</t>
        </is>
      </c>
      <c r="D2385" t="inlineStr">
        <is>
          <t>17</t>
        </is>
      </c>
      <c r="E2385" t="inlineStr">
        <is>
          <t>32</t>
        </is>
      </c>
      <c r="F2385" t="inlineStr">
        <is>
          <t>S</t>
        </is>
      </c>
      <c r="G2385" t="inlineStr">
        <is>
          <t>Average</t>
        </is>
      </c>
      <c r="H2385" t="n">
        <v>23.6</v>
      </c>
      <c r="I2385">
        <f>B2385&amp;"|"&amp;F2385&amp;"|"&amp;G2385</f>
        <v/>
      </c>
      <c r="J2385" t="inlineStr">
        <is>
          <t>MVS Sec.17 p.32</t>
        </is>
      </c>
    </row>
    <row r="2386">
      <c r="B2386" t="inlineStr">
        <is>
          <t>Free-Stall Barns</t>
        </is>
      </c>
      <c r="C2386" t="inlineStr">
        <is>
          <t>469</t>
        </is>
      </c>
      <c r="D2386" t="inlineStr">
        <is>
          <t>17</t>
        </is>
      </c>
      <c r="E2386" t="inlineStr">
        <is>
          <t>32</t>
        </is>
      </c>
      <c r="F2386" t="inlineStr">
        <is>
          <t>S</t>
        </is>
      </c>
      <c r="G2386" t="inlineStr">
        <is>
          <t>Low Cost</t>
        </is>
      </c>
      <c r="H2386" t="n">
        <v>17.65</v>
      </c>
      <c r="I2386">
        <f>B2386&amp;"|"&amp;F2386&amp;"|"&amp;G2386</f>
        <v/>
      </c>
      <c r="J2386" t="inlineStr">
        <is>
          <t>MVS Sec.17 p.32</t>
        </is>
      </c>
    </row>
    <row r="2387">
      <c r="B2387" t="inlineStr">
        <is>
          <t>Free-Stall Barns</t>
        </is>
      </c>
      <c r="C2387" t="inlineStr">
        <is>
          <t>469</t>
        </is>
      </c>
      <c r="D2387" t="inlineStr">
        <is>
          <t>17</t>
        </is>
      </c>
      <c r="E2387" t="inlineStr">
        <is>
          <t>32</t>
        </is>
      </c>
      <c r="F2387" t="inlineStr">
        <is>
          <t>S</t>
        </is>
      </c>
      <c r="G2387" t="inlineStr">
        <is>
          <t>Cheap</t>
        </is>
      </c>
      <c r="H2387" t="n">
        <v>11.45</v>
      </c>
      <c r="I2387">
        <f>B2387&amp;"|"&amp;F2387&amp;"|"&amp;G2387</f>
        <v/>
      </c>
      <c r="J2387" t="inlineStr">
        <is>
          <t>MVS Sec.17 p.32</t>
        </is>
      </c>
    </row>
    <row r="2388">
      <c r="B2388" t="inlineStr">
        <is>
          <t>Confinement Barns</t>
        </is>
      </c>
      <c r="C2388" t="inlineStr">
        <is>
          <t>105</t>
        </is>
      </c>
      <c r="D2388" t="inlineStr">
        <is>
          <t>17</t>
        </is>
      </c>
      <c r="E2388" t="inlineStr">
        <is>
          <t>32</t>
        </is>
      </c>
      <c r="F2388" t="inlineStr">
        <is>
          <t>D</t>
        </is>
      </c>
      <c r="G2388" t="inlineStr">
        <is>
          <t>Average</t>
        </is>
      </c>
      <c r="H2388" t="n">
        <v>30.5</v>
      </c>
      <c r="I2388">
        <f>B2388&amp;"|"&amp;F2388&amp;"|"&amp;G2388</f>
        <v/>
      </c>
      <c r="J2388" t="inlineStr">
        <is>
          <t>MVS Sec.17 p.32</t>
        </is>
      </c>
    </row>
    <row r="2389">
      <c r="B2389" t="inlineStr">
        <is>
          <t>Confinement Barns</t>
        </is>
      </c>
      <c r="C2389" t="inlineStr">
        <is>
          <t>105</t>
        </is>
      </c>
      <c r="D2389" t="inlineStr">
        <is>
          <t>17</t>
        </is>
      </c>
      <c r="E2389" t="inlineStr">
        <is>
          <t>32</t>
        </is>
      </c>
      <c r="F2389" t="inlineStr">
        <is>
          <t>D</t>
        </is>
      </c>
      <c r="G2389" t="inlineStr">
        <is>
          <t>Low Cost</t>
        </is>
      </c>
      <c r="H2389" t="n">
        <v>15.2</v>
      </c>
      <c r="I2389">
        <f>B2389&amp;"|"&amp;F2389&amp;"|"&amp;G2389</f>
        <v/>
      </c>
      <c r="J2389" t="inlineStr">
        <is>
          <t>MVS Sec.17 p.32</t>
        </is>
      </c>
    </row>
    <row r="2390">
      <c r="B2390" t="inlineStr">
        <is>
          <t>Confinement Barns</t>
        </is>
      </c>
      <c r="C2390" t="inlineStr">
        <is>
          <t>105</t>
        </is>
      </c>
      <c r="D2390" t="inlineStr">
        <is>
          <t>17</t>
        </is>
      </c>
      <c r="E2390" t="inlineStr">
        <is>
          <t>32</t>
        </is>
      </c>
      <c r="F2390" t="inlineStr">
        <is>
          <t>DPOLE</t>
        </is>
      </c>
      <c r="G2390" t="inlineStr">
        <is>
          <t>Average</t>
        </is>
      </c>
      <c r="H2390" t="n">
        <v>27.5</v>
      </c>
      <c r="I2390">
        <f>B2390&amp;"|"&amp;F2390&amp;"|"&amp;G2390</f>
        <v/>
      </c>
      <c r="J2390" t="inlineStr">
        <is>
          <t>MVS Sec.17 p.32</t>
        </is>
      </c>
    </row>
    <row r="2391">
      <c r="B2391" t="inlineStr">
        <is>
          <t>Confinement Barns</t>
        </is>
      </c>
      <c r="C2391" t="inlineStr">
        <is>
          <t>105</t>
        </is>
      </c>
      <c r="D2391" t="inlineStr">
        <is>
          <t>17</t>
        </is>
      </c>
      <c r="E2391" t="inlineStr">
        <is>
          <t>32</t>
        </is>
      </c>
      <c r="F2391" t="inlineStr">
        <is>
          <t>DPOLE</t>
        </is>
      </c>
      <c r="G2391" t="inlineStr">
        <is>
          <t>Low Cost</t>
        </is>
      </c>
      <c r="H2391" t="n">
        <v>13.2</v>
      </c>
      <c r="I2391">
        <f>B2391&amp;"|"&amp;F2391&amp;"|"&amp;G2391</f>
        <v/>
      </c>
      <c r="J2391" t="inlineStr">
        <is>
          <t>MVS Sec.17 p.32</t>
        </is>
      </c>
    </row>
    <row r="2392">
      <c r="B2392" t="inlineStr">
        <is>
          <t>Confinement Barns</t>
        </is>
      </c>
      <c r="C2392" t="inlineStr">
        <is>
          <t>105</t>
        </is>
      </c>
      <c r="D2392" t="inlineStr">
        <is>
          <t>17</t>
        </is>
      </c>
      <c r="E2392" t="inlineStr">
        <is>
          <t>32</t>
        </is>
      </c>
      <c r="F2392" t="inlineStr">
        <is>
          <t>DHOOP</t>
        </is>
      </c>
      <c r="G2392" t="inlineStr">
        <is>
          <t>Low Cost</t>
        </is>
      </c>
      <c r="H2392" t="n">
        <v>9.41</v>
      </c>
      <c r="I2392">
        <f>B2392&amp;"|"&amp;F2392&amp;"|"&amp;G2392</f>
        <v/>
      </c>
      <c r="J2392" t="inlineStr">
        <is>
          <t>MVS Sec.17 p.32</t>
        </is>
      </c>
    </row>
    <row r="2393">
      <c r="B2393" t="inlineStr">
        <is>
          <t>Confinement Barns</t>
        </is>
      </c>
      <c r="C2393" t="inlineStr">
        <is>
          <t>105</t>
        </is>
      </c>
      <c r="D2393" t="inlineStr">
        <is>
          <t>17</t>
        </is>
      </c>
      <c r="E2393" t="inlineStr">
        <is>
          <t>32</t>
        </is>
      </c>
      <c r="F2393" t="inlineStr">
        <is>
          <t>S</t>
        </is>
      </c>
      <c r="G2393" t="inlineStr">
        <is>
          <t>Average</t>
        </is>
      </c>
      <c r="H2393" t="n">
        <v>30</v>
      </c>
      <c r="I2393">
        <f>B2393&amp;"|"&amp;F2393&amp;"|"&amp;G2393</f>
        <v/>
      </c>
      <c r="J2393" t="inlineStr">
        <is>
          <t>MVS Sec.17 p.32</t>
        </is>
      </c>
    </row>
    <row r="2394">
      <c r="B2394" t="inlineStr">
        <is>
          <t>Confinement Barns</t>
        </is>
      </c>
      <c r="C2394" t="inlineStr">
        <is>
          <t>105</t>
        </is>
      </c>
      <c r="D2394" t="inlineStr">
        <is>
          <t>17</t>
        </is>
      </c>
      <c r="E2394" t="inlineStr">
        <is>
          <t>32</t>
        </is>
      </c>
      <c r="F2394" t="inlineStr">
        <is>
          <t>S</t>
        </is>
      </c>
      <c r="G2394" t="inlineStr">
        <is>
          <t>Low Cost</t>
        </is>
      </c>
      <c r="H2394" t="n">
        <v>15.65</v>
      </c>
      <c r="I2394">
        <f>B2394&amp;"|"&amp;F2394&amp;"|"&amp;G2394</f>
        <v/>
      </c>
      <c r="J2394" t="inlineStr">
        <is>
          <t>MVS Sec.17 p.32</t>
        </is>
      </c>
    </row>
    <row r="2395">
      <c r="B2395" t="inlineStr">
        <is>
          <t>Feeder Barns – Sheds</t>
        </is>
      </c>
      <c r="C2395" t="inlineStr">
        <is>
          <t>561</t>
        </is>
      </c>
      <c r="D2395" t="inlineStr">
        <is>
          <t>17</t>
        </is>
      </c>
      <c r="E2395" t="inlineStr">
        <is>
          <t>33</t>
        </is>
      </c>
      <c r="F2395" t="inlineStr">
        <is>
          <t>D</t>
        </is>
      </c>
      <c r="G2395" t="inlineStr">
        <is>
          <t>Good</t>
        </is>
      </c>
      <c r="H2395" t="n">
        <v>12.95</v>
      </c>
      <c r="I2395">
        <f>B2395&amp;"|"&amp;F2395&amp;"|"&amp;G2395</f>
        <v/>
      </c>
      <c r="J2395" t="inlineStr">
        <is>
          <t>MVS Sec.17 p.33</t>
        </is>
      </c>
    </row>
    <row r="2396">
      <c r="B2396" t="inlineStr">
        <is>
          <t>Feeder Barns – Sheds</t>
        </is>
      </c>
      <c r="C2396" t="inlineStr">
        <is>
          <t>561</t>
        </is>
      </c>
      <c r="D2396" t="inlineStr">
        <is>
          <t>17</t>
        </is>
      </c>
      <c r="E2396" t="inlineStr">
        <is>
          <t>33</t>
        </is>
      </c>
      <c r="F2396" t="inlineStr">
        <is>
          <t>D</t>
        </is>
      </c>
      <c r="G2396" t="inlineStr">
        <is>
          <t>Average</t>
        </is>
      </c>
      <c r="H2396" t="n">
        <v>11.4</v>
      </c>
      <c r="I2396">
        <f>B2396&amp;"|"&amp;F2396&amp;"|"&amp;G2396</f>
        <v/>
      </c>
      <c r="J2396" t="inlineStr">
        <is>
          <t>MVS Sec.17 p.33</t>
        </is>
      </c>
    </row>
    <row r="2397">
      <c r="B2397" t="inlineStr">
        <is>
          <t>Feeder Barns – Sheds</t>
        </is>
      </c>
      <c r="C2397" t="inlineStr">
        <is>
          <t>561</t>
        </is>
      </c>
      <c r="D2397" t="inlineStr">
        <is>
          <t>17</t>
        </is>
      </c>
      <c r="E2397" t="inlineStr">
        <is>
          <t>33</t>
        </is>
      </c>
      <c r="F2397" t="inlineStr">
        <is>
          <t>D</t>
        </is>
      </c>
      <c r="G2397" t="inlineStr">
        <is>
          <t>Low Cost</t>
        </is>
      </c>
      <c r="H2397" t="n">
        <v>10.05</v>
      </c>
      <c r="I2397">
        <f>B2397&amp;"|"&amp;F2397&amp;"|"&amp;G2397</f>
        <v/>
      </c>
      <c r="J2397" t="inlineStr">
        <is>
          <t>MVS Sec.17 p.33</t>
        </is>
      </c>
    </row>
    <row r="2398">
      <c r="B2398" t="inlineStr">
        <is>
          <t>Feeder Barns – Sheds</t>
        </is>
      </c>
      <c r="C2398" t="inlineStr">
        <is>
          <t>561</t>
        </is>
      </c>
      <c r="D2398" t="inlineStr">
        <is>
          <t>17</t>
        </is>
      </c>
      <c r="E2398" t="inlineStr">
        <is>
          <t>33</t>
        </is>
      </c>
      <c r="F2398" t="inlineStr">
        <is>
          <t>DPOLE</t>
        </is>
      </c>
      <c r="G2398" t="inlineStr">
        <is>
          <t>Good</t>
        </is>
      </c>
      <c r="H2398" t="n">
        <v>10.95</v>
      </c>
      <c r="I2398">
        <f>B2398&amp;"|"&amp;F2398&amp;"|"&amp;G2398</f>
        <v/>
      </c>
      <c r="J2398" t="inlineStr">
        <is>
          <t>MVS Sec.17 p.33</t>
        </is>
      </c>
    </row>
    <row r="2399">
      <c r="B2399" t="inlineStr">
        <is>
          <t>Feeder Barns – Sheds</t>
        </is>
      </c>
      <c r="C2399" t="inlineStr">
        <is>
          <t>561</t>
        </is>
      </c>
      <c r="D2399" t="inlineStr">
        <is>
          <t>17</t>
        </is>
      </c>
      <c r="E2399" t="inlineStr">
        <is>
          <t>33</t>
        </is>
      </c>
      <c r="F2399" t="inlineStr">
        <is>
          <t>DPOLE</t>
        </is>
      </c>
      <c r="G2399" t="inlineStr">
        <is>
          <t>Average</t>
        </is>
      </c>
      <c r="H2399" t="n">
        <v>9.630000000000001</v>
      </c>
      <c r="I2399">
        <f>B2399&amp;"|"&amp;F2399&amp;"|"&amp;G2399</f>
        <v/>
      </c>
      <c r="J2399" t="inlineStr">
        <is>
          <t>MVS Sec.17 p.33</t>
        </is>
      </c>
    </row>
    <row r="2400">
      <c r="B2400" t="inlineStr">
        <is>
          <t>Feeder Barns – Sheds</t>
        </is>
      </c>
      <c r="C2400" t="inlineStr">
        <is>
          <t>561</t>
        </is>
      </c>
      <c r="D2400" t="inlineStr">
        <is>
          <t>17</t>
        </is>
      </c>
      <c r="E2400" t="inlineStr">
        <is>
          <t>33</t>
        </is>
      </c>
      <c r="F2400" t="inlineStr">
        <is>
          <t>DPOLE</t>
        </is>
      </c>
      <c r="G2400" t="inlineStr">
        <is>
          <t>Low Cost</t>
        </is>
      </c>
      <c r="H2400" t="n">
        <v>8.449999999999999</v>
      </c>
      <c r="I2400">
        <f>B2400&amp;"|"&amp;F2400&amp;"|"&amp;G2400</f>
        <v/>
      </c>
      <c r="J2400" t="inlineStr">
        <is>
          <t>MVS Sec.17 p.33</t>
        </is>
      </c>
    </row>
    <row r="2401">
      <c r="B2401" t="inlineStr">
        <is>
          <t>Feeder Barns – Sheds</t>
        </is>
      </c>
      <c r="C2401" t="inlineStr">
        <is>
          <t>561</t>
        </is>
      </c>
      <c r="D2401" t="inlineStr">
        <is>
          <t>17</t>
        </is>
      </c>
      <c r="E2401" t="inlineStr">
        <is>
          <t>33</t>
        </is>
      </c>
      <c r="F2401" t="inlineStr">
        <is>
          <t>DHOOP</t>
        </is>
      </c>
      <c r="G2401" t="inlineStr">
        <is>
          <t>Average</t>
        </is>
      </c>
      <c r="H2401" t="n">
        <v>9.09</v>
      </c>
      <c r="I2401">
        <f>B2401&amp;"|"&amp;F2401&amp;"|"&amp;G2401</f>
        <v/>
      </c>
      <c r="J2401" t="inlineStr">
        <is>
          <t>MVS Sec.17 p.33</t>
        </is>
      </c>
    </row>
    <row r="2402">
      <c r="B2402" t="inlineStr">
        <is>
          <t>Feeder Barns – Sheds</t>
        </is>
      </c>
      <c r="C2402" t="inlineStr">
        <is>
          <t>561</t>
        </is>
      </c>
      <c r="D2402" t="inlineStr">
        <is>
          <t>17</t>
        </is>
      </c>
      <c r="E2402" t="inlineStr">
        <is>
          <t>33</t>
        </is>
      </c>
      <c r="F2402" t="inlineStr">
        <is>
          <t>DHOOP</t>
        </is>
      </c>
      <c r="G2402" t="inlineStr">
        <is>
          <t>Low Cost</t>
        </is>
      </c>
      <c r="H2402" t="n">
        <v>7.98</v>
      </c>
      <c r="I2402">
        <f>B2402&amp;"|"&amp;F2402&amp;"|"&amp;G2402</f>
        <v/>
      </c>
      <c r="J2402" t="inlineStr">
        <is>
          <t>MVS Sec.17 p.33</t>
        </is>
      </c>
    </row>
    <row r="2403">
      <c r="B2403" t="inlineStr">
        <is>
          <t>Feeder Barns – Sheds</t>
        </is>
      </c>
      <c r="C2403" t="inlineStr">
        <is>
          <t>561</t>
        </is>
      </c>
      <c r="D2403" t="inlineStr">
        <is>
          <t>17</t>
        </is>
      </c>
      <c r="E2403" t="inlineStr">
        <is>
          <t>33</t>
        </is>
      </c>
      <c r="F2403" t="inlineStr">
        <is>
          <t>S</t>
        </is>
      </c>
      <c r="G2403" t="inlineStr">
        <is>
          <t>Good</t>
        </is>
      </c>
      <c r="H2403" t="n">
        <v>13.75</v>
      </c>
      <c r="I2403">
        <f>B2403&amp;"|"&amp;F2403&amp;"|"&amp;G2403</f>
        <v/>
      </c>
      <c r="J2403" t="inlineStr">
        <is>
          <t>MVS Sec.17 p.33</t>
        </is>
      </c>
    </row>
    <row r="2404">
      <c r="B2404" t="inlineStr">
        <is>
          <t>Feeder Barns – Sheds</t>
        </is>
      </c>
      <c r="C2404" t="inlineStr">
        <is>
          <t>561</t>
        </is>
      </c>
      <c r="D2404" t="inlineStr">
        <is>
          <t>17</t>
        </is>
      </c>
      <c r="E2404" t="inlineStr">
        <is>
          <t>33</t>
        </is>
      </c>
      <c r="F2404" t="inlineStr">
        <is>
          <t>S</t>
        </is>
      </c>
      <c r="G2404" t="inlineStr">
        <is>
          <t>Average</t>
        </is>
      </c>
      <c r="H2404" t="n">
        <v>12.25</v>
      </c>
      <c r="I2404">
        <f>B2404&amp;"|"&amp;F2404&amp;"|"&amp;G2404</f>
        <v/>
      </c>
      <c r="J2404" t="inlineStr">
        <is>
          <t>MVS Sec.17 p.33</t>
        </is>
      </c>
    </row>
    <row r="2405">
      <c r="B2405" t="inlineStr">
        <is>
          <t>Feeder Barns – Sheds</t>
        </is>
      </c>
      <c r="C2405" t="inlineStr">
        <is>
          <t>561</t>
        </is>
      </c>
      <c r="D2405" t="inlineStr">
        <is>
          <t>17</t>
        </is>
      </c>
      <c r="E2405" t="inlineStr">
        <is>
          <t>33</t>
        </is>
      </c>
      <c r="F2405" t="inlineStr">
        <is>
          <t>S</t>
        </is>
      </c>
      <c r="G2405" t="inlineStr">
        <is>
          <t>Low Cost</t>
        </is>
      </c>
      <c r="H2405" t="n">
        <v>10.9</v>
      </c>
      <c r="I2405">
        <f>B2405&amp;"|"&amp;F2405&amp;"|"&amp;G2405</f>
        <v/>
      </c>
      <c r="J2405" t="inlineStr">
        <is>
          <t>MVS Sec.17 p.33</t>
        </is>
      </c>
    </row>
    <row r="2406">
      <c r="B2406" t="inlineStr">
        <is>
          <t>Loafing Sheds</t>
        </is>
      </c>
      <c r="C2406" t="inlineStr">
        <is>
          <t>113</t>
        </is>
      </c>
      <c r="D2406" t="inlineStr">
        <is>
          <t>17</t>
        </is>
      </c>
      <c r="E2406" t="inlineStr">
        <is>
          <t>33</t>
        </is>
      </c>
      <c r="F2406" t="inlineStr">
        <is>
          <t>D</t>
        </is>
      </c>
      <c r="G2406" t="inlineStr">
        <is>
          <t>Good</t>
        </is>
      </c>
      <c r="H2406" t="n">
        <v>11.3</v>
      </c>
      <c r="I2406">
        <f>B2406&amp;"|"&amp;F2406&amp;"|"&amp;G2406</f>
        <v/>
      </c>
      <c r="J2406" t="inlineStr">
        <is>
          <t>MVS Sec.17 p.33</t>
        </is>
      </c>
    </row>
    <row r="2407">
      <c r="B2407" t="inlineStr">
        <is>
          <t>Loafing Sheds</t>
        </is>
      </c>
      <c r="C2407" t="inlineStr">
        <is>
          <t>113</t>
        </is>
      </c>
      <c r="D2407" t="inlineStr">
        <is>
          <t>17</t>
        </is>
      </c>
      <c r="E2407" t="inlineStr">
        <is>
          <t>33</t>
        </is>
      </c>
      <c r="F2407" t="inlineStr">
        <is>
          <t>D</t>
        </is>
      </c>
      <c r="G2407" t="inlineStr">
        <is>
          <t>Average</t>
        </is>
      </c>
      <c r="H2407" t="n">
        <v>10.55</v>
      </c>
      <c r="I2407">
        <f>B2407&amp;"|"&amp;F2407&amp;"|"&amp;G2407</f>
        <v/>
      </c>
      <c r="J2407" t="inlineStr">
        <is>
          <t>MVS Sec.17 p.33</t>
        </is>
      </c>
    </row>
    <row r="2408">
      <c r="B2408" t="inlineStr">
        <is>
          <t>Loafing Sheds</t>
        </is>
      </c>
      <c r="C2408" t="inlineStr">
        <is>
          <t>113</t>
        </is>
      </c>
      <c r="D2408" t="inlineStr">
        <is>
          <t>17</t>
        </is>
      </c>
      <c r="E2408" t="inlineStr">
        <is>
          <t>33</t>
        </is>
      </c>
      <c r="F2408" t="inlineStr">
        <is>
          <t>D</t>
        </is>
      </c>
      <c r="G2408" t="inlineStr">
        <is>
          <t>Low Cost</t>
        </is>
      </c>
      <c r="H2408" t="n">
        <v>9.859999999999999</v>
      </c>
      <c r="I2408">
        <f>B2408&amp;"|"&amp;F2408&amp;"|"&amp;G2408</f>
        <v/>
      </c>
      <c r="J2408" t="inlineStr">
        <is>
          <t>MVS Sec.17 p.33</t>
        </is>
      </c>
    </row>
    <row r="2409">
      <c r="B2409" t="inlineStr">
        <is>
          <t>Loafing Sheds</t>
        </is>
      </c>
      <c r="C2409" t="inlineStr">
        <is>
          <t>113</t>
        </is>
      </c>
      <c r="D2409" t="inlineStr">
        <is>
          <t>17</t>
        </is>
      </c>
      <c r="E2409" t="inlineStr">
        <is>
          <t>33</t>
        </is>
      </c>
      <c r="F2409" t="inlineStr">
        <is>
          <t>DPOLE</t>
        </is>
      </c>
      <c r="G2409" t="inlineStr">
        <is>
          <t>Low Cost</t>
        </is>
      </c>
      <c r="H2409" t="n">
        <v>8.25</v>
      </c>
      <c r="I2409">
        <f>B2409&amp;"|"&amp;F2409&amp;"|"&amp;G2409</f>
        <v/>
      </c>
      <c r="J2409" t="inlineStr">
        <is>
          <t>MVS Sec.17 p.33</t>
        </is>
      </c>
    </row>
    <row r="2410">
      <c r="B2410" t="inlineStr">
        <is>
          <t>Loafing Sheds</t>
        </is>
      </c>
      <c r="C2410" t="inlineStr">
        <is>
          <t>113</t>
        </is>
      </c>
      <c r="D2410" t="inlineStr">
        <is>
          <t>17</t>
        </is>
      </c>
      <c r="E2410" t="inlineStr">
        <is>
          <t>33</t>
        </is>
      </c>
      <c r="F2410" t="inlineStr">
        <is>
          <t>S</t>
        </is>
      </c>
      <c r="G2410" t="inlineStr">
        <is>
          <t>Low Cost</t>
        </is>
      </c>
      <c r="H2410" t="n">
        <v>10.65</v>
      </c>
      <c r="I2410">
        <f>B2410&amp;"|"&amp;F2410&amp;"|"&amp;G2410</f>
        <v/>
      </c>
      <c r="J2410" t="inlineStr">
        <is>
          <t>MVS Sec.17 p.33</t>
        </is>
      </c>
    </row>
    <row r="2411">
      <c r="B2411" t="inlineStr">
        <is>
          <t>Farm Utility Shelters (Open Hay Sheds)</t>
        </is>
      </c>
      <c r="C2411" t="inlineStr">
        <is>
          <t>565</t>
        </is>
      </c>
      <c r="D2411" t="inlineStr">
        <is>
          <t>17</t>
        </is>
      </c>
      <c r="E2411" t="inlineStr">
        <is>
          <t>33</t>
        </is>
      </c>
      <c r="F2411" t="inlineStr">
        <is>
          <t>D</t>
        </is>
      </c>
      <c r="G2411" t="inlineStr">
        <is>
          <t>Good</t>
        </is>
      </c>
      <c r="H2411" t="n">
        <v>7.94</v>
      </c>
      <c r="I2411">
        <f>B2411&amp;"|"&amp;F2411&amp;"|"&amp;G2411</f>
        <v/>
      </c>
      <c r="J2411" t="inlineStr">
        <is>
          <t>MVS Sec.17 p.33 (midpoint of 6.62-9.25 range)</t>
        </is>
      </c>
    </row>
    <row r="2412">
      <c r="B2412" t="inlineStr">
        <is>
          <t>Farm Utility Shelters (Open Hay Sheds)</t>
        </is>
      </c>
      <c r="C2412" t="inlineStr">
        <is>
          <t>565</t>
        </is>
      </c>
      <c r="D2412" t="inlineStr">
        <is>
          <t>17</t>
        </is>
      </c>
      <c r="E2412" t="inlineStr">
        <is>
          <t>33</t>
        </is>
      </c>
      <c r="F2412" t="inlineStr">
        <is>
          <t>D</t>
        </is>
      </c>
      <c r="G2412" t="inlineStr">
        <is>
          <t>Average</t>
        </is>
      </c>
      <c r="H2412" t="n">
        <v>6.19</v>
      </c>
      <c r="I2412">
        <f>B2412&amp;"|"&amp;F2412&amp;"|"&amp;G2412</f>
        <v/>
      </c>
      <c r="J2412" t="inlineStr">
        <is>
          <t>MVS Sec.17 p.33 (midpoint of 5.16-7.21 range)</t>
        </is>
      </c>
    </row>
    <row r="2413">
      <c r="B2413" t="inlineStr">
        <is>
          <t>Farm Utility Shelters (Open Hay Sheds)</t>
        </is>
      </c>
      <c r="C2413" t="inlineStr">
        <is>
          <t>565</t>
        </is>
      </c>
      <c r="D2413" t="inlineStr">
        <is>
          <t>17</t>
        </is>
      </c>
      <c r="E2413" t="inlineStr">
        <is>
          <t>33</t>
        </is>
      </c>
      <c r="F2413" t="inlineStr">
        <is>
          <t>S</t>
        </is>
      </c>
      <c r="G2413" t="inlineStr">
        <is>
          <t>Good</t>
        </is>
      </c>
      <c r="H2413" t="n">
        <v>10.61</v>
      </c>
      <c r="I2413">
        <f>B2413&amp;"|"&amp;F2413&amp;"|"&amp;G2413</f>
        <v/>
      </c>
      <c r="J2413" t="inlineStr">
        <is>
          <t>MVS Sec.17 p.33 (midpoint of 8.86-12.35 range)</t>
        </is>
      </c>
    </row>
    <row r="2414">
      <c r="B2414" t="inlineStr">
        <is>
          <t>Farm Utility Shelters (Open Hay Sheds)</t>
        </is>
      </c>
      <c r="C2414" t="inlineStr">
        <is>
          <t>565</t>
        </is>
      </c>
      <c r="D2414" t="inlineStr">
        <is>
          <t>17</t>
        </is>
      </c>
      <c r="E2414" t="inlineStr">
        <is>
          <t>33</t>
        </is>
      </c>
      <c r="F2414" t="inlineStr">
        <is>
          <t>S</t>
        </is>
      </c>
      <c r="G2414" t="inlineStr">
        <is>
          <t>Average</t>
        </is>
      </c>
      <c r="H2414" t="n">
        <v>7.54</v>
      </c>
      <c r="I2414">
        <f>B2414&amp;"|"&amp;F2414&amp;"|"&amp;G2414</f>
        <v/>
      </c>
      <c r="J2414" t="inlineStr">
        <is>
          <t>MVS Sec.17 p.33 (midpoint of 6.3-8.79 range)</t>
        </is>
      </c>
    </row>
    <row r="2415">
      <c r="B2415" t="inlineStr">
        <is>
          <t>Calving Barns – Sheds</t>
        </is>
      </c>
      <c r="C2415" t="inlineStr">
        <is>
          <t>182</t>
        </is>
      </c>
      <c r="D2415" t="inlineStr">
        <is>
          <t>17</t>
        </is>
      </c>
      <c r="E2415" t="inlineStr">
        <is>
          <t>34</t>
        </is>
      </c>
      <c r="F2415" t="inlineStr">
        <is>
          <t>D</t>
        </is>
      </c>
      <c r="G2415" t="inlineStr">
        <is>
          <t>Good</t>
        </is>
      </c>
      <c r="H2415" t="n">
        <v>32</v>
      </c>
      <c r="I2415">
        <f>B2415&amp;"|"&amp;F2415&amp;"|"&amp;G2415</f>
        <v/>
      </c>
      <c r="J2415" t="inlineStr">
        <is>
          <t>MVS Sec.17 p.34</t>
        </is>
      </c>
    </row>
    <row r="2416">
      <c r="B2416" t="inlineStr">
        <is>
          <t>Calving Barns – Sheds</t>
        </is>
      </c>
      <c r="C2416" t="inlineStr">
        <is>
          <t>182</t>
        </is>
      </c>
      <c r="D2416" t="inlineStr">
        <is>
          <t>17</t>
        </is>
      </c>
      <c r="E2416" t="inlineStr">
        <is>
          <t>34</t>
        </is>
      </c>
      <c r="F2416" t="inlineStr">
        <is>
          <t>D</t>
        </is>
      </c>
      <c r="G2416" t="inlineStr">
        <is>
          <t>Average</t>
        </is>
      </c>
      <c r="H2416" t="n">
        <v>23.1</v>
      </c>
      <c r="I2416">
        <f>B2416&amp;"|"&amp;F2416&amp;"|"&amp;G2416</f>
        <v/>
      </c>
      <c r="J2416" t="inlineStr">
        <is>
          <t>MVS Sec.17 p.34</t>
        </is>
      </c>
    </row>
    <row r="2417">
      <c r="B2417" t="inlineStr">
        <is>
          <t>Calving Barns – Sheds</t>
        </is>
      </c>
      <c r="C2417" t="inlineStr">
        <is>
          <t>182</t>
        </is>
      </c>
      <c r="D2417" t="inlineStr">
        <is>
          <t>17</t>
        </is>
      </c>
      <c r="E2417" t="inlineStr">
        <is>
          <t>34</t>
        </is>
      </c>
      <c r="F2417" t="inlineStr">
        <is>
          <t>D</t>
        </is>
      </c>
      <c r="G2417" t="inlineStr">
        <is>
          <t>Low Cost</t>
        </is>
      </c>
      <c r="H2417" t="n">
        <v>16.65</v>
      </c>
      <c r="I2417">
        <f>B2417&amp;"|"&amp;F2417&amp;"|"&amp;G2417</f>
        <v/>
      </c>
      <c r="J2417" t="inlineStr">
        <is>
          <t>MVS Sec.17 p.34</t>
        </is>
      </c>
    </row>
    <row r="2418">
      <c r="B2418" t="inlineStr">
        <is>
          <t>Calving Barns – Sheds</t>
        </is>
      </c>
      <c r="C2418" t="inlineStr">
        <is>
          <t>182</t>
        </is>
      </c>
      <c r="D2418" t="inlineStr">
        <is>
          <t>17</t>
        </is>
      </c>
      <c r="E2418" t="inlineStr">
        <is>
          <t>34</t>
        </is>
      </c>
      <c r="F2418" t="inlineStr">
        <is>
          <t>DPOLE</t>
        </is>
      </c>
      <c r="G2418" t="inlineStr">
        <is>
          <t>Good</t>
        </is>
      </c>
      <c r="H2418" t="n">
        <v>29.25</v>
      </c>
      <c r="I2418">
        <f>B2418&amp;"|"&amp;F2418&amp;"|"&amp;G2418</f>
        <v/>
      </c>
      <c r="J2418" t="inlineStr">
        <is>
          <t>MVS Sec.17 p.34</t>
        </is>
      </c>
    </row>
    <row r="2419">
      <c r="B2419" t="inlineStr">
        <is>
          <t>Calving Barns – Sheds</t>
        </is>
      </c>
      <c r="C2419" t="inlineStr">
        <is>
          <t>182</t>
        </is>
      </c>
      <c r="D2419" t="inlineStr">
        <is>
          <t>17</t>
        </is>
      </c>
      <c r="E2419" t="inlineStr">
        <is>
          <t>34</t>
        </is>
      </c>
      <c r="F2419" t="inlineStr">
        <is>
          <t>DPOLE</t>
        </is>
      </c>
      <c r="G2419" t="inlineStr">
        <is>
          <t>Average</t>
        </is>
      </c>
      <c r="H2419" t="n">
        <v>20.9</v>
      </c>
      <c r="I2419">
        <f>B2419&amp;"|"&amp;F2419&amp;"|"&amp;G2419</f>
        <v/>
      </c>
      <c r="J2419" t="inlineStr">
        <is>
          <t>MVS Sec.17 p.34</t>
        </is>
      </c>
    </row>
    <row r="2420">
      <c r="B2420" t="inlineStr">
        <is>
          <t>Calving Barns – Sheds</t>
        </is>
      </c>
      <c r="C2420" t="inlineStr">
        <is>
          <t>182</t>
        </is>
      </c>
      <c r="D2420" t="inlineStr">
        <is>
          <t>17</t>
        </is>
      </c>
      <c r="E2420" t="inlineStr">
        <is>
          <t>34</t>
        </is>
      </c>
      <c r="F2420" t="inlineStr">
        <is>
          <t>DPOLE</t>
        </is>
      </c>
      <c r="G2420" t="inlineStr">
        <is>
          <t>Low Cost</t>
        </is>
      </c>
      <c r="H2420" t="n">
        <v>14.95</v>
      </c>
      <c r="I2420">
        <f>B2420&amp;"|"&amp;F2420&amp;"|"&amp;G2420</f>
        <v/>
      </c>
      <c r="J2420" t="inlineStr">
        <is>
          <t>MVS Sec.17 p.34</t>
        </is>
      </c>
    </row>
    <row r="2421">
      <c r="B2421" t="inlineStr">
        <is>
          <t>Calving Barns – Sheds</t>
        </is>
      </c>
      <c r="C2421" t="inlineStr">
        <is>
          <t>182</t>
        </is>
      </c>
      <c r="D2421" t="inlineStr">
        <is>
          <t>17</t>
        </is>
      </c>
      <c r="E2421" t="inlineStr">
        <is>
          <t>34</t>
        </is>
      </c>
      <c r="F2421" t="inlineStr">
        <is>
          <t>DHOOP</t>
        </is>
      </c>
      <c r="G2421" t="inlineStr">
        <is>
          <t>Average</t>
        </is>
      </c>
      <c r="H2421" t="n">
        <v>14.5</v>
      </c>
      <c r="I2421">
        <f>B2421&amp;"|"&amp;F2421&amp;"|"&amp;G2421</f>
        <v/>
      </c>
      <c r="J2421" t="inlineStr">
        <is>
          <t>MVS Sec.17 p.34</t>
        </is>
      </c>
    </row>
    <row r="2422">
      <c r="B2422" t="inlineStr">
        <is>
          <t>Calving Barns – Sheds</t>
        </is>
      </c>
      <c r="C2422" t="inlineStr">
        <is>
          <t>182</t>
        </is>
      </c>
      <c r="D2422" t="inlineStr">
        <is>
          <t>17</t>
        </is>
      </c>
      <c r="E2422" t="inlineStr">
        <is>
          <t>34</t>
        </is>
      </c>
      <c r="F2422" t="inlineStr">
        <is>
          <t>DHOOP</t>
        </is>
      </c>
      <c r="G2422" t="inlineStr">
        <is>
          <t>Low Cost</t>
        </is>
      </c>
      <c r="H2422" t="n">
        <v>11.75</v>
      </c>
      <c r="I2422">
        <f>B2422&amp;"|"&amp;F2422&amp;"|"&amp;G2422</f>
        <v/>
      </c>
      <c r="J2422" t="inlineStr">
        <is>
          <t>MVS Sec.17 p.34</t>
        </is>
      </c>
    </row>
    <row r="2423">
      <c r="B2423" t="inlineStr">
        <is>
          <t>Calving Barns – Sheds</t>
        </is>
      </c>
      <c r="C2423" t="inlineStr">
        <is>
          <t>182</t>
        </is>
      </c>
      <c r="D2423" t="inlineStr">
        <is>
          <t>17</t>
        </is>
      </c>
      <c r="E2423" t="inlineStr">
        <is>
          <t>34</t>
        </is>
      </c>
      <c r="F2423" t="inlineStr">
        <is>
          <t>S</t>
        </is>
      </c>
      <c r="G2423" t="inlineStr">
        <is>
          <t>Good</t>
        </is>
      </c>
      <c r="H2423" t="n">
        <v>32.25</v>
      </c>
      <c r="I2423">
        <f>B2423&amp;"|"&amp;F2423&amp;"|"&amp;G2423</f>
        <v/>
      </c>
      <c r="J2423" t="inlineStr">
        <is>
          <t>MVS Sec.17 p.34</t>
        </is>
      </c>
    </row>
    <row r="2424">
      <c r="B2424" t="inlineStr">
        <is>
          <t>Calving Barns – Sheds</t>
        </is>
      </c>
      <c r="C2424" t="inlineStr">
        <is>
          <t>182</t>
        </is>
      </c>
      <c r="D2424" t="inlineStr">
        <is>
          <t>17</t>
        </is>
      </c>
      <c r="E2424" t="inlineStr">
        <is>
          <t>34</t>
        </is>
      </c>
      <c r="F2424" t="inlineStr">
        <is>
          <t>S</t>
        </is>
      </c>
      <c r="G2424" t="inlineStr">
        <is>
          <t>Average</t>
        </is>
      </c>
      <c r="H2424" t="n">
        <v>23.2</v>
      </c>
      <c r="I2424">
        <f>B2424&amp;"|"&amp;F2424&amp;"|"&amp;G2424</f>
        <v/>
      </c>
      <c r="J2424" t="inlineStr">
        <is>
          <t>MVS Sec.17 p.34</t>
        </is>
      </c>
    </row>
    <row r="2425">
      <c r="B2425" t="inlineStr">
        <is>
          <t>Calving Barns – Sheds</t>
        </is>
      </c>
      <c r="C2425" t="inlineStr">
        <is>
          <t>182</t>
        </is>
      </c>
      <c r="D2425" t="inlineStr">
        <is>
          <t>17</t>
        </is>
      </c>
      <c r="E2425" t="inlineStr">
        <is>
          <t>34</t>
        </is>
      </c>
      <c r="F2425" t="inlineStr">
        <is>
          <t>S</t>
        </is>
      </c>
      <c r="G2425" t="inlineStr">
        <is>
          <t>Low Cost</t>
        </is>
      </c>
      <c r="H2425" t="n">
        <v>16.75</v>
      </c>
      <c r="I2425">
        <f>B2425&amp;"|"&amp;F2425&amp;"|"&amp;G2425</f>
        <v/>
      </c>
      <c r="J2425" t="inlineStr">
        <is>
          <t>MVS Sec.17 p.34</t>
        </is>
      </c>
    </row>
    <row r="2426">
      <c r="B2426" t="inlineStr">
        <is>
          <t>Arena Shelters</t>
        </is>
      </c>
      <c r="C2426" t="inlineStr">
        <is>
          <t>184</t>
        </is>
      </c>
      <c r="D2426" t="inlineStr">
        <is>
          <t>17</t>
        </is>
      </c>
      <c r="E2426" t="inlineStr">
        <is>
          <t>34</t>
        </is>
      </c>
      <c r="F2426" t="inlineStr">
        <is>
          <t>DPOLE</t>
        </is>
      </c>
      <c r="G2426" t="inlineStr">
        <is>
          <t>Low Cost</t>
        </is>
      </c>
      <c r="H2426" t="n">
        <v>11.7</v>
      </c>
      <c r="I2426">
        <f>B2426&amp;"|"&amp;F2426&amp;"|"&amp;G2426</f>
        <v/>
      </c>
      <c r="J2426" t="inlineStr">
        <is>
          <t>MVS Sec.17 p.34</t>
        </is>
      </c>
    </row>
    <row r="2427">
      <c r="B2427" t="inlineStr">
        <is>
          <t>Arena Shelters</t>
        </is>
      </c>
      <c r="C2427" t="inlineStr">
        <is>
          <t>184</t>
        </is>
      </c>
      <c r="D2427" t="inlineStr">
        <is>
          <t>17</t>
        </is>
      </c>
      <c r="E2427" t="inlineStr">
        <is>
          <t>34</t>
        </is>
      </c>
      <c r="F2427" t="inlineStr">
        <is>
          <t>S</t>
        </is>
      </c>
      <c r="G2427" t="inlineStr">
        <is>
          <t>Good</t>
        </is>
      </c>
      <c r="H2427" t="n">
        <v>23.5</v>
      </c>
      <c r="I2427">
        <f>B2427&amp;"|"&amp;F2427&amp;"|"&amp;G2427</f>
        <v/>
      </c>
      <c r="J2427" t="inlineStr">
        <is>
          <t>MVS Sec.17 p.34</t>
        </is>
      </c>
    </row>
    <row r="2428">
      <c r="B2428" t="inlineStr">
        <is>
          <t>Arena Shelters</t>
        </is>
      </c>
      <c r="C2428" t="inlineStr">
        <is>
          <t>184</t>
        </is>
      </c>
      <c r="D2428" t="inlineStr">
        <is>
          <t>17</t>
        </is>
      </c>
      <c r="E2428" t="inlineStr">
        <is>
          <t>34</t>
        </is>
      </c>
      <c r="F2428" t="inlineStr">
        <is>
          <t>S</t>
        </is>
      </c>
      <c r="G2428" t="inlineStr">
        <is>
          <t>Average</t>
        </is>
      </c>
      <c r="H2428" t="n">
        <v>18.1</v>
      </c>
      <c r="I2428">
        <f>B2428&amp;"|"&amp;F2428&amp;"|"&amp;G2428</f>
        <v/>
      </c>
      <c r="J2428" t="inlineStr">
        <is>
          <t>MVS Sec.17 p.34</t>
        </is>
      </c>
    </row>
    <row r="2429">
      <c r="B2429" t="inlineStr">
        <is>
          <t>Arena Shelters</t>
        </is>
      </c>
      <c r="C2429" t="inlineStr">
        <is>
          <t>184</t>
        </is>
      </c>
      <c r="D2429" t="inlineStr">
        <is>
          <t>17</t>
        </is>
      </c>
      <c r="E2429" t="inlineStr">
        <is>
          <t>34</t>
        </is>
      </c>
      <c r="F2429" t="inlineStr">
        <is>
          <t>S</t>
        </is>
      </c>
      <c r="G2429" t="inlineStr">
        <is>
          <t>Low Cost</t>
        </is>
      </c>
      <c r="H2429" t="n">
        <v>13.9</v>
      </c>
      <c r="I2429">
        <f>B2429&amp;"|"&amp;F2429&amp;"|"&amp;G2429</f>
        <v/>
      </c>
      <c r="J2429" t="inlineStr">
        <is>
          <t>MVS Sec.17 p.34</t>
        </is>
      </c>
    </row>
    <row r="2430">
      <c r="B2430" t="inlineStr">
        <is>
          <t>Farm Sun Shelters</t>
        </is>
      </c>
      <c r="C2430" t="inlineStr">
        <is>
          <t>566</t>
        </is>
      </c>
      <c r="D2430" t="inlineStr">
        <is>
          <t>17</t>
        </is>
      </c>
      <c r="E2430" t="inlineStr">
        <is>
          <t>34</t>
        </is>
      </c>
      <c r="F2430" t="inlineStr">
        <is>
          <t>D</t>
        </is>
      </c>
      <c r="G2430" t="inlineStr">
        <is>
          <t>Average</t>
        </is>
      </c>
      <c r="H2430" t="n">
        <v>4.83</v>
      </c>
      <c r="I2430">
        <f>B2430&amp;"|"&amp;F2430&amp;"|"&amp;G2430</f>
        <v/>
      </c>
      <c r="J2430" t="inlineStr">
        <is>
          <t>MVS Sec.17 p.34 (midpoint of 4.03-5.63 range)</t>
        </is>
      </c>
    </row>
    <row r="2431">
      <c r="B2431" t="inlineStr">
        <is>
          <t>Farm Sun Shelters</t>
        </is>
      </c>
      <c r="C2431" t="inlineStr">
        <is>
          <t>566</t>
        </is>
      </c>
      <c r="D2431" t="inlineStr">
        <is>
          <t>17</t>
        </is>
      </c>
      <c r="E2431" t="inlineStr">
        <is>
          <t>34</t>
        </is>
      </c>
      <c r="F2431" t="inlineStr">
        <is>
          <t>D</t>
        </is>
      </c>
      <c r="G2431" t="inlineStr">
        <is>
          <t>Low Cost</t>
        </is>
      </c>
      <c r="H2431" t="n">
        <v>4.21</v>
      </c>
      <c r="I2431">
        <f>B2431&amp;"|"&amp;F2431&amp;"|"&amp;G2431</f>
        <v/>
      </c>
      <c r="J2431" t="inlineStr">
        <is>
          <t>MVS Sec.17 p.34 (midpoint of 3.51-4.9 range)</t>
        </is>
      </c>
    </row>
    <row r="2432">
      <c r="B2432" t="inlineStr">
        <is>
          <t>Farm Sun Shelters</t>
        </is>
      </c>
      <c r="C2432" t="inlineStr">
        <is>
          <t>566</t>
        </is>
      </c>
      <c r="D2432" t="inlineStr">
        <is>
          <t>17</t>
        </is>
      </c>
      <c r="E2432" t="inlineStr">
        <is>
          <t>34</t>
        </is>
      </c>
      <c r="F2432" t="inlineStr">
        <is>
          <t>S</t>
        </is>
      </c>
      <c r="G2432" t="inlineStr">
        <is>
          <t>Average</t>
        </is>
      </c>
      <c r="H2432" t="n">
        <v>5.38</v>
      </c>
      <c r="I2432">
        <f>B2432&amp;"|"&amp;F2432&amp;"|"&amp;G2432</f>
        <v/>
      </c>
      <c r="J2432" t="inlineStr">
        <is>
          <t>MVS Sec.17 p.34 (midpoint of 4.49-6.27 range)</t>
        </is>
      </c>
    </row>
    <row r="2433">
      <c r="B2433" t="inlineStr">
        <is>
          <t>Farm Sun Shelters</t>
        </is>
      </c>
      <c r="C2433" t="inlineStr">
        <is>
          <t>566</t>
        </is>
      </c>
      <c r="D2433" t="inlineStr">
        <is>
          <t>17</t>
        </is>
      </c>
      <c r="E2433" t="inlineStr">
        <is>
          <t>34</t>
        </is>
      </c>
      <c r="F2433" t="inlineStr">
        <is>
          <t>S</t>
        </is>
      </c>
      <c r="G2433" t="inlineStr">
        <is>
          <t>Low Cost</t>
        </is>
      </c>
      <c r="H2433" t="n">
        <v>4.59</v>
      </c>
      <c r="I2433">
        <f>B2433&amp;"|"&amp;F2433&amp;"|"&amp;G2433</f>
        <v/>
      </c>
      <c r="J2433" t="inlineStr">
        <is>
          <t>MVS Sec.17 p.34 (midpoint of 3.83-5.35 range)</t>
        </is>
      </c>
    </row>
    <row r="2434">
      <c r="B2434" t="inlineStr">
        <is>
          <t>Arenas</t>
        </is>
      </c>
      <c r="C2434" t="inlineStr">
        <is>
          <t>428</t>
        </is>
      </c>
      <c r="D2434" t="inlineStr">
        <is>
          <t>17</t>
        </is>
      </c>
      <c r="E2434" t="inlineStr">
        <is>
          <t>35</t>
        </is>
      </c>
      <c r="F2434" t="inlineStr">
        <is>
          <t>C</t>
        </is>
      </c>
      <c r="G2434" t="inlineStr">
        <is>
          <t>Excellent</t>
        </is>
      </c>
      <c r="H2434" t="n">
        <v>85</v>
      </c>
      <c r="I2434">
        <f>B2434&amp;"|"&amp;F2434&amp;"|"&amp;G2434</f>
        <v/>
      </c>
      <c r="J2434" t="inlineStr">
        <is>
          <t>MVS Sec.17 p.35</t>
        </is>
      </c>
    </row>
    <row r="2435">
      <c r="B2435" t="inlineStr">
        <is>
          <t>Arenas</t>
        </is>
      </c>
      <c r="C2435" t="inlineStr">
        <is>
          <t>428</t>
        </is>
      </c>
      <c r="D2435" t="inlineStr">
        <is>
          <t>17</t>
        </is>
      </c>
      <c r="E2435" t="inlineStr">
        <is>
          <t>35</t>
        </is>
      </c>
      <c r="F2435" t="inlineStr">
        <is>
          <t>C</t>
        </is>
      </c>
      <c r="G2435" t="inlineStr">
        <is>
          <t>Good</t>
        </is>
      </c>
      <c r="H2435" t="n">
        <v>57</v>
      </c>
      <c r="I2435">
        <f>B2435&amp;"|"&amp;F2435&amp;"|"&amp;G2435</f>
        <v/>
      </c>
      <c r="J2435" t="inlineStr">
        <is>
          <t>MVS Sec.17 p.35</t>
        </is>
      </c>
    </row>
    <row r="2436">
      <c r="B2436" t="inlineStr">
        <is>
          <t>Arenas</t>
        </is>
      </c>
      <c r="C2436" t="inlineStr">
        <is>
          <t>428</t>
        </is>
      </c>
      <c r="D2436" t="inlineStr">
        <is>
          <t>17</t>
        </is>
      </c>
      <c r="E2436" t="inlineStr">
        <is>
          <t>35</t>
        </is>
      </c>
      <c r="F2436" t="inlineStr">
        <is>
          <t>C</t>
        </is>
      </c>
      <c r="G2436" t="inlineStr">
        <is>
          <t>Average</t>
        </is>
      </c>
      <c r="H2436" t="n">
        <v>38</v>
      </c>
      <c r="I2436">
        <f>B2436&amp;"|"&amp;F2436&amp;"|"&amp;G2436</f>
        <v/>
      </c>
      <c r="J2436" t="inlineStr">
        <is>
          <t>MVS Sec.17 p.35</t>
        </is>
      </c>
    </row>
    <row r="2437">
      <c r="B2437" t="inlineStr">
        <is>
          <t>Arenas</t>
        </is>
      </c>
      <c r="C2437" t="inlineStr">
        <is>
          <t>428</t>
        </is>
      </c>
      <c r="D2437" t="inlineStr">
        <is>
          <t>17</t>
        </is>
      </c>
      <c r="E2437" t="inlineStr">
        <is>
          <t>35</t>
        </is>
      </c>
      <c r="F2437" t="inlineStr">
        <is>
          <t>C</t>
        </is>
      </c>
      <c r="G2437" t="inlineStr">
        <is>
          <t>Low Cost</t>
        </is>
      </c>
      <c r="H2437" t="n">
        <v>25.5</v>
      </c>
      <c r="I2437">
        <f>B2437&amp;"|"&amp;F2437&amp;"|"&amp;G2437</f>
        <v/>
      </c>
      <c r="J2437" t="inlineStr">
        <is>
          <t>MVS Sec.17 p.35</t>
        </is>
      </c>
    </row>
    <row r="2438">
      <c r="B2438" t="inlineStr">
        <is>
          <t>Arenas</t>
        </is>
      </c>
      <c r="C2438" t="inlineStr">
        <is>
          <t>428</t>
        </is>
      </c>
      <c r="D2438" t="inlineStr">
        <is>
          <t>17</t>
        </is>
      </c>
      <c r="E2438" t="inlineStr">
        <is>
          <t>35</t>
        </is>
      </c>
      <c r="F2438" t="inlineStr">
        <is>
          <t>D</t>
        </is>
      </c>
      <c r="G2438" t="inlineStr">
        <is>
          <t>Excellent</t>
        </is>
      </c>
      <c r="H2438" t="n">
        <v>78.5</v>
      </c>
      <c r="I2438">
        <f>B2438&amp;"|"&amp;F2438&amp;"|"&amp;G2438</f>
        <v/>
      </c>
      <c r="J2438" t="inlineStr">
        <is>
          <t>MVS Sec.17 p.35</t>
        </is>
      </c>
    </row>
    <row r="2439">
      <c r="B2439" t="inlineStr">
        <is>
          <t>Arenas</t>
        </is>
      </c>
      <c r="C2439" t="inlineStr">
        <is>
          <t>428</t>
        </is>
      </c>
      <c r="D2439" t="inlineStr">
        <is>
          <t>17</t>
        </is>
      </c>
      <c r="E2439" t="inlineStr">
        <is>
          <t>35</t>
        </is>
      </c>
      <c r="F2439" t="inlineStr">
        <is>
          <t>D</t>
        </is>
      </c>
      <c r="G2439" t="inlineStr">
        <is>
          <t>Good</t>
        </is>
      </c>
      <c r="H2439" t="n">
        <v>45.5</v>
      </c>
      <c r="I2439">
        <f>B2439&amp;"|"&amp;F2439&amp;"|"&amp;G2439</f>
        <v/>
      </c>
      <c r="J2439" t="inlineStr">
        <is>
          <t>MVS Sec.17 p.35</t>
        </is>
      </c>
    </row>
    <row r="2440">
      <c r="B2440" t="inlineStr">
        <is>
          <t>Arenas</t>
        </is>
      </c>
      <c r="C2440" t="inlineStr">
        <is>
          <t>428</t>
        </is>
      </c>
      <c r="D2440" t="inlineStr">
        <is>
          <t>17</t>
        </is>
      </c>
      <c r="E2440" t="inlineStr">
        <is>
          <t>35</t>
        </is>
      </c>
      <c r="F2440" t="inlineStr">
        <is>
          <t>D</t>
        </is>
      </c>
      <c r="G2440" t="inlineStr">
        <is>
          <t>Average</t>
        </is>
      </c>
      <c r="H2440" t="n">
        <v>26.25</v>
      </c>
      <c r="I2440">
        <f>B2440&amp;"|"&amp;F2440&amp;"|"&amp;G2440</f>
        <v/>
      </c>
      <c r="J2440" t="inlineStr">
        <is>
          <t>MVS Sec.17 p.35</t>
        </is>
      </c>
    </row>
    <row r="2441">
      <c r="B2441" t="inlineStr">
        <is>
          <t>Arenas</t>
        </is>
      </c>
      <c r="C2441" t="inlineStr">
        <is>
          <t>428</t>
        </is>
      </c>
      <c r="D2441" t="inlineStr">
        <is>
          <t>17</t>
        </is>
      </c>
      <c r="E2441" t="inlineStr">
        <is>
          <t>35</t>
        </is>
      </c>
      <c r="F2441" t="inlineStr">
        <is>
          <t>D</t>
        </is>
      </c>
      <c r="G2441" t="inlineStr">
        <is>
          <t>Low Cost</t>
        </is>
      </c>
      <c r="H2441" t="n">
        <v>15.2</v>
      </c>
      <c r="I2441">
        <f>B2441&amp;"|"&amp;F2441&amp;"|"&amp;G2441</f>
        <v/>
      </c>
      <c r="J2441" t="inlineStr">
        <is>
          <t>MVS Sec.17 p.35</t>
        </is>
      </c>
    </row>
    <row r="2442">
      <c r="B2442" t="inlineStr">
        <is>
          <t>Arenas</t>
        </is>
      </c>
      <c r="C2442" t="inlineStr">
        <is>
          <t>428</t>
        </is>
      </c>
      <c r="D2442" t="inlineStr">
        <is>
          <t>17</t>
        </is>
      </c>
      <c r="E2442" t="inlineStr">
        <is>
          <t>35</t>
        </is>
      </c>
      <c r="F2442" t="inlineStr">
        <is>
          <t>DPOLE</t>
        </is>
      </c>
      <c r="G2442" t="inlineStr">
        <is>
          <t>Good</t>
        </is>
      </c>
      <c r="H2442" t="n">
        <v>40.75</v>
      </c>
      <c r="I2442">
        <f>B2442&amp;"|"&amp;F2442&amp;"|"&amp;G2442</f>
        <v/>
      </c>
      <c r="J2442" t="inlineStr">
        <is>
          <t>MVS Sec.17 p.35</t>
        </is>
      </c>
    </row>
    <row r="2443">
      <c r="B2443" t="inlineStr">
        <is>
          <t>Arenas</t>
        </is>
      </c>
      <c r="C2443" t="inlineStr">
        <is>
          <t>428</t>
        </is>
      </c>
      <c r="D2443" t="inlineStr">
        <is>
          <t>17</t>
        </is>
      </c>
      <c r="E2443" t="inlineStr">
        <is>
          <t>35</t>
        </is>
      </c>
      <c r="F2443" t="inlineStr">
        <is>
          <t>DPOLE</t>
        </is>
      </c>
      <c r="G2443" t="inlineStr">
        <is>
          <t>Average</t>
        </is>
      </c>
      <c r="H2443" t="n">
        <v>23.4</v>
      </c>
      <c r="I2443">
        <f>B2443&amp;"|"&amp;F2443&amp;"|"&amp;G2443</f>
        <v/>
      </c>
      <c r="J2443" t="inlineStr">
        <is>
          <t>MVS Sec.17 p.35</t>
        </is>
      </c>
    </row>
    <row r="2444">
      <c r="B2444" t="inlineStr">
        <is>
          <t>Arenas</t>
        </is>
      </c>
      <c r="C2444" t="inlineStr">
        <is>
          <t>428</t>
        </is>
      </c>
      <c r="D2444" t="inlineStr">
        <is>
          <t>17</t>
        </is>
      </c>
      <c r="E2444" t="inlineStr">
        <is>
          <t>35</t>
        </is>
      </c>
      <c r="F2444" t="inlineStr">
        <is>
          <t>DPOLE</t>
        </is>
      </c>
      <c r="G2444" t="inlineStr">
        <is>
          <t>Low Cost</t>
        </is>
      </c>
      <c r="H2444" t="n">
        <v>13.45</v>
      </c>
      <c r="I2444">
        <f>B2444&amp;"|"&amp;F2444&amp;"|"&amp;G2444</f>
        <v/>
      </c>
      <c r="J2444" t="inlineStr">
        <is>
          <t>MVS Sec.17 p.35</t>
        </is>
      </c>
    </row>
    <row r="2445">
      <c r="B2445" t="inlineStr">
        <is>
          <t>Arenas</t>
        </is>
      </c>
      <c r="C2445" t="inlineStr">
        <is>
          <t>428</t>
        </is>
      </c>
      <c r="D2445" t="inlineStr">
        <is>
          <t>17</t>
        </is>
      </c>
      <c r="E2445" t="inlineStr">
        <is>
          <t>35</t>
        </is>
      </c>
      <c r="F2445" t="inlineStr">
        <is>
          <t>DPOLE</t>
        </is>
      </c>
      <c r="G2445" t="inlineStr">
        <is>
          <t>Cheap</t>
        </is>
      </c>
      <c r="H2445" t="n">
        <v>12.2</v>
      </c>
      <c r="I2445">
        <f>B2445&amp;"|"&amp;F2445&amp;"|"&amp;G2445</f>
        <v/>
      </c>
      <c r="J2445" t="inlineStr">
        <is>
          <t>MVS Sec.17 p.35</t>
        </is>
      </c>
    </row>
    <row r="2446">
      <c r="B2446" t="inlineStr">
        <is>
          <t>Arenas</t>
        </is>
      </c>
      <c r="C2446" t="inlineStr">
        <is>
          <t>428</t>
        </is>
      </c>
      <c r="D2446" t="inlineStr">
        <is>
          <t>17</t>
        </is>
      </c>
      <c r="E2446" t="inlineStr">
        <is>
          <t>35</t>
        </is>
      </c>
      <c r="F2446" t="inlineStr">
        <is>
          <t>DHOOP</t>
        </is>
      </c>
      <c r="G2446" t="inlineStr">
        <is>
          <t>Cheap</t>
        </is>
      </c>
      <c r="H2446" t="n">
        <v>10.45</v>
      </c>
      <c r="I2446">
        <f>B2446&amp;"|"&amp;F2446&amp;"|"&amp;G2446</f>
        <v/>
      </c>
      <c r="J2446" t="inlineStr">
        <is>
          <t>MVS Sec.17 p.35</t>
        </is>
      </c>
    </row>
    <row r="2447">
      <c r="B2447" t="inlineStr">
        <is>
          <t>Arenas</t>
        </is>
      </c>
      <c r="C2447" t="inlineStr">
        <is>
          <t>428</t>
        </is>
      </c>
      <c r="D2447" t="inlineStr">
        <is>
          <t>17</t>
        </is>
      </c>
      <c r="E2447" t="inlineStr">
        <is>
          <t>35</t>
        </is>
      </c>
      <c r="F2447" t="inlineStr">
        <is>
          <t>S</t>
        </is>
      </c>
      <c r="G2447" t="inlineStr">
        <is>
          <t>Excellent</t>
        </is>
      </c>
      <c r="H2447" t="n">
        <v>78.5</v>
      </c>
      <c r="I2447">
        <f>B2447&amp;"|"&amp;F2447&amp;"|"&amp;G2447</f>
        <v/>
      </c>
      <c r="J2447" t="inlineStr">
        <is>
          <t>MVS Sec.17 p.35</t>
        </is>
      </c>
    </row>
    <row r="2448">
      <c r="B2448" t="inlineStr">
        <is>
          <t>Arenas</t>
        </is>
      </c>
      <c r="C2448" t="inlineStr">
        <is>
          <t>428</t>
        </is>
      </c>
      <c r="D2448" t="inlineStr">
        <is>
          <t>17</t>
        </is>
      </c>
      <c r="E2448" t="inlineStr">
        <is>
          <t>35</t>
        </is>
      </c>
      <c r="F2448" t="inlineStr">
        <is>
          <t>S</t>
        </is>
      </c>
      <c r="G2448" t="inlineStr">
        <is>
          <t>Good</t>
        </is>
      </c>
      <c r="H2448" t="n">
        <v>46.25</v>
      </c>
      <c r="I2448">
        <f>B2448&amp;"|"&amp;F2448&amp;"|"&amp;G2448</f>
        <v/>
      </c>
      <c r="J2448" t="inlineStr">
        <is>
          <t>MVS Sec.17 p.35</t>
        </is>
      </c>
    </row>
    <row r="2449">
      <c r="B2449" t="inlineStr">
        <is>
          <t>Arenas</t>
        </is>
      </c>
      <c r="C2449" t="inlineStr">
        <is>
          <t>428</t>
        </is>
      </c>
      <c r="D2449" t="inlineStr">
        <is>
          <t>17</t>
        </is>
      </c>
      <c r="E2449" t="inlineStr">
        <is>
          <t>35</t>
        </is>
      </c>
      <c r="F2449" t="inlineStr">
        <is>
          <t>S</t>
        </is>
      </c>
      <c r="G2449" t="inlineStr">
        <is>
          <t>Average</t>
        </is>
      </c>
      <c r="H2449" t="n">
        <v>27</v>
      </c>
      <c r="I2449">
        <f>B2449&amp;"|"&amp;F2449&amp;"|"&amp;G2449</f>
        <v/>
      </c>
      <c r="J2449" t="inlineStr">
        <is>
          <t>MVS Sec.17 p.35</t>
        </is>
      </c>
    </row>
    <row r="2450">
      <c r="B2450" t="inlineStr">
        <is>
          <t>Arenas</t>
        </is>
      </c>
      <c r="C2450" t="inlineStr">
        <is>
          <t>428</t>
        </is>
      </c>
      <c r="D2450" t="inlineStr">
        <is>
          <t>17</t>
        </is>
      </c>
      <c r="E2450" t="inlineStr">
        <is>
          <t>35</t>
        </is>
      </c>
      <c r="F2450" t="inlineStr">
        <is>
          <t>S</t>
        </is>
      </c>
      <c r="G2450" t="inlineStr">
        <is>
          <t>Low Cost</t>
        </is>
      </c>
      <c r="H2450" t="n">
        <v>15.95</v>
      </c>
      <c r="I2450">
        <f>B2450&amp;"|"&amp;F2450&amp;"|"&amp;G2450</f>
        <v/>
      </c>
      <c r="J2450" t="inlineStr">
        <is>
          <t>MVS Sec.17 p.35</t>
        </is>
      </c>
    </row>
    <row r="2451">
      <c r="B2451" t="inlineStr">
        <is>
          <t>Arenas</t>
        </is>
      </c>
      <c r="C2451" t="inlineStr">
        <is>
          <t>428</t>
        </is>
      </c>
      <c r="D2451" t="inlineStr">
        <is>
          <t>17</t>
        </is>
      </c>
      <c r="E2451" t="inlineStr">
        <is>
          <t>35</t>
        </is>
      </c>
      <c r="F2451" t="inlineStr">
        <is>
          <t>S</t>
        </is>
      </c>
      <c r="G2451" t="inlineStr">
        <is>
          <t>Cheap</t>
        </is>
      </c>
      <c r="H2451" t="n">
        <v>14.5</v>
      </c>
      <c r="I2451">
        <f>B2451&amp;"|"&amp;F2451&amp;"|"&amp;G2451</f>
        <v/>
      </c>
      <c r="J2451" t="inlineStr">
        <is>
          <t>MVS Sec.17 p.35</t>
        </is>
      </c>
    </row>
    <row r="2452">
      <c r="B2452" t="inlineStr">
        <is>
          <t>Equestrian Lean-Tos</t>
        </is>
      </c>
      <c r="C2452" t="inlineStr">
        <is>
          <t>560</t>
        </is>
      </c>
      <c r="D2452" t="inlineStr">
        <is>
          <t>17</t>
        </is>
      </c>
      <c r="E2452" t="inlineStr">
        <is>
          <t>35</t>
        </is>
      </c>
      <c r="F2452" t="inlineStr">
        <is>
          <t>D</t>
        </is>
      </c>
      <c r="G2452" t="inlineStr">
        <is>
          <t>Average</t>
        </is>
      </c>
      <c r="H2452" t="n">
        <v>23.85</v>
      </c>
      <c r="I2452">
        <f>B2452&amp;"|"&amp;F2452&amp;"|"&amp;G2452</f>
        <v/>
      </c>
      <c r="J2452" t="inlineStr">
        <is>
          <t>MVS Sec.17 p.35</t>
        </is>
      </c>
    </row>
    <row r="2453">
      <c r="B2453" t="inlineStr">
        <is>
          <t>Equestrian Lean-Tos</t>
        </is>
      </c>
      <c r="C2453" t="inlineStr">
        <is>
          <t>560</t>
        </is>
      </c>
      <c r="D2453" t="inlineStr">
        <is>
          <t>17</t>
        </is>
      </c>
      <c r="E2453" t="inlineStr">
        <is>
          <t>35</t>
        </is>
      </c>
      <c r="F2453" t="inlineStr">
        <is>
          <t>D</t>
        </is>
      </c>
      <c r="G2453" t="inlineStr">
        <is>
          <t>Low Cost</t>
        </is>
      </c>
      <c r="H2453" t="n">
        <v>14.4</v>
      </c>
      <c r="I2453">
        <f>B2453&amp;"|"&amp;F2453&amp;"|"&amp;G2453</f>
        <v/>
      </c>
      <c r="J2453" t="inlineStr">
        <is>
          <t>MVS Sec.17 p.35</t>
        </is>
      </c>
    </row>
    <row r="2454">
      <c r="B2454" t="inlineStr">
        <is>
          <t>Equestrian Lean-Tos</t>
        </is>
      </c>
      <c r="C2454" t="inlineStr">
        <is>
          <t>560</t>
        </is>
      </c>
      <c r="D2454" t="inlineStr">
        <is>
          <t>17</t>
        </is>
      </c>
      <c r="E2454" t="inlineStr">
        <is>
          <t>35</t>
        </is>
      </c>
      <c r="F2454" t="inlineStr">
        <is>
          <t>DPOLE</t>
        </is>
      </c>
      <c r="G2454" t="inlineStr">
        <is>
          <t>Average</t>
        </is>
      </c>
      <c r="H2454" t="n">
        <v>22.15</v>
      </c>
      <c r="I2454">
        <f>B2454&amp;"|"&amp;F2454&amp;"|"&amp;G2454</f>
        <v/>
      </c>
      <c r="J2454" t="inlineStr">
        <is>
          <t>MVS Sec.17 p.35</t>
        </is>
      </c>
    </row>
    <row r="2455">
      <c r="B2455" t="inlineStr">
        <is>
          <t>Equestrian Lean-Tos</t>
        </is>
      </c>
      <c r="C2455" t="inlineStr">
        <is>
          <t>560</t>
        </is>
      </c>
      <c r="D2455" t="inlineStr">
        <is>
          <t>17</t>
        </is>
      </c>
      <c r="E2455" t="inlineStr">
        <is>
          <t>35</t>
        </is>
      </c>
      <c r="F2455" t="inlineStr">
        <is>
          <t>DPOLE</t>
        </is>
      </c>
      <c r="G2455" t="inlineStr">
        <is>
          <t>Low Cost</t>
        </is>
      </c>
      <c r="H2455" t="n">
        <v>13.05</v>
      </c>
      <c r="I2455">
        <f>B2455&amp;"|"&amp;F2455&amp;"|"&amp;G2455</f>
        <v/>
      </c>
      <c r="J2455" t="inlineStr">
        <is>
          <t>MVS Sec.17 p.35</t>
        </is>
      </c>
    </row>
    <row r="2456">
      <c r="B2456" t="inlineStr">
        <is>
          <t>Equestrian Lean-Tos</t>
        </is>
      </c>
      <c r="C2456" t="inlineStr">
        <is>
          <t>560</t>
        </is>
      </c>
      <c r="D2456" t="inlineStr">
        <is>
          <t>17</t>
        </is>
      </c>
      <c r="E2456" t="inlineStr">
        <is>
          <t>35</t>
        </is>
      </c>
      <c r="F2456" t="inlineStr">
        <is>
          <t>S</t>
        </is>
      </c>
      <c r="G2456" t="inlineStr">
        <is>
          <t>Average</t>
        </is>
      </c>
      <c r="H2456" t="n">
        <v>24.35</v>
      </c>
      <c r="I2456">
        <f>B2456&amp;"|"&amp;F2456&amp;"|"&amp;G2456</f>
        <v/>
      </c>
      <c r="J2456" t="inlineStr">
        <is>
          <t>MVS Sec.17 p.35</t>
        </is>
      </c>
    </row>
    <row r="2457">
      <c r="B2457" t="inlineStr">
        <is>
          <t>Equestrian Lean-Tos</t>
        </is>
      </c>
      <c r="C2457" t="inlineStr">
        <is>
          <t>560</t>
        </is>
      </c>
      <c r="D2457" t="inlineStr">
        <is>
          <t>17</t>
        </is>
      </c>
      <c r="E2457" t="inlineStr">
        <is>
          <t>35</t>
        </is>
      </c>
      <c r="F2457" t="inlineStr">
        <is>
          <t>S</t>
        </is>
      </c>
      <c r="G2457" t="inlineStr">
        <is>
          <t>Low Cost</t>
        </is>
      </c>
      <c r="H2457" t="n">
        <v>14.95</v>
      </c>
      <c r="I2457">
        <f>B2457&amp;"|"&amp;F2457&amp;"|"&amp;G2457</f>
        <v/>
      </c>
      <c r="J2457" t="inlineStr">
        <is>
          <t>MVS Sec.17 p.35</t>
        </is>
      </c>
    </row>
    <row r="2458">
      <c r="B2458" t="inlineStr">
        <is>
          <t>Stables</t>
        </is>
      </c>
      <c r="C2458" t="inlineStr">
        <is>
          <t>378</t>
        </is>
      </c>
      <c r="D2458" t="inlineStr">
        <is>
          <t>17</t>
        </is>
      </c>
      <c r="E2458" t="inlineStr">
        <is>
          <t>36</t>
        </is>
      </c>
      <c r="F2458" t="inlineStr">
        <is>
          <t>C</t>
        </is>
      </c>
      <c r="G2458" t="inlineStr">
        <is>
          <t>Good</t>
        </is>
      </c>
      <c r="H2458" t="n">
        <v>68</v>
      </c>
      <c r="I2458">
        <f>B2458&amp;"|"&amp;F2458&amp;"|"&amp;G2458</f>
        <v/>
      </c>
      <c r="J2458" t="inlineStr">
        <is>
          <t>MVS Sec.17 p.36</t>
        </is>
      </c>
    </row>
    <row r="2459">
      <c r="B2459" t="inlineStr">
        <is>
          <t>Stables</t>
        </is>
      </c>
      <c r="C2459" t="inlineStr">
        <is>
          <t>378</t>
        </is>
      </c>
      <c r="D2459" t="inlineStr">
        <is>
          <t>17</t>
        </is>
      </c>
      <c r="E2459" t="inlineStr">
        <is>
          <t>36</t>
        </is>
      </c>
      <c r="F2459" t="inlineStr">
        <is>
          <t>C</t>
        </is>
      </c>
      <c r="G2459" t="inlineStr">
        <is>
          <t>Average</t>
        </is>
      </c>
      <c r="H2459" t="n">
        <v>48</v>
      </c>
      <c r="I2459">
        <f>B2459&amp;"|"&amp;F2459&amp;"|"&amp;G2459</f>
        <v/>
      </c>
      <c r="J2459" t="inlineStr">
        <is>
          <t>MVS Sec.17 p.36</t>
        </is>
      </c>
    </row>
    <row r="2460">
      <c r="B2460" t="inlineStr">
        <is>
          <t>Stables</t>
        </is>
      </c>
      <c r="C2460" t="inlineStr">
        <is>
          <t>378</t>
        </is>
      </c>
      <c r="D2460" t="inlineStr">
        <is>
          <t>17</t>
        </is>
      </c>
      <c r="E2460" t="inlineStr">
        <is>
          <t>36</t>
        </is>
      </c>
      <c r="F2460" t="inlineStr">
        <is>
          <t>C</t>
        </is>
      </c>
      <c r="G2460" t="inlineStr">
        <is>
          <t>Low Cost</t>
        </is>
      </c>
      <c r="H2460" t="n">
        <v>34.25</v>
      </c>
      <c r="I2460">
        <f>B2460&amp;"|"&amp;F2460&amp;"|"&amp;G2460</f>
        <v/>
      </c>
      <c r="J2460" t="inlineStr">
        <is>
          <t>MVS Sec.17 p.36</t>
        </is>
      </c>
    </row>
    <row r="2461">
      <c r="B2461" t="inlineStr">
        <is>
          <t>Stables</t>
        </is>
      </c>
      <c r="C2461" t="inlineStr">
        <is>
          <t>378</t>
        </is>
      </c>
      <c r="D2461" t="inlineStr">
        <is>
          <t>17</t>
        </is>
      </c>
      <c r="E2461" t="inlineStr">
        <is>
          <t>36</t>
        </is>
      </c>
      <c r="F2461" t="inlineStr">
        <is>
          <t>D</t>
        </is>
      </c>
      <c r="G2461" t="inlineStr">
        <is>
          <t>Good</t>
        </is>
      </c>
      <c r="H2461" t="n">
        <v>60</v>
      </c>
      <c r="I2461">
        <f>B2461&amp;"|"&amp;F2461&amp;"|"&amp;G2461</f>
        <v/>
      </c>
      <c r="J2461" t="inlineStr">
        <is>
          <t>MVS Sec.17 p.36</t>
        </is>
      </c>
    </row>
    <row r="2462">
      <c r="B2462" t="inlineStr">
        <is>
          <t>Stables</t>
        </is>
      </c>
      <c r="C2462" t="inlineStr">
        <is>
          <t>378</t>
        </is>
      </c>
      <c r="D2462" t="inlineStr">
        <is>
          <t>17</t>
        </is>
      </c>
      <c r="E2462" t="inlineStr">
        <is>
          <t>36</t>
        </is>
      </c>
      <c r="F2462" t="inlineStr">
        <is>
          <t>D</t>
        </is>
      </c>
      <c r="G2462" t="inlineStr">
        <is>
          <t>Average</t>
        </is>
      </c>
      <c r="H2462" t="n">
        <v>38.75</v>
      </c>
      <c r="I2462">
        <f>B2462&amp;"|"&amp;F2462&amp;"|"&amp;G2462</f>
        <v/>
      </c>
      <c r="J2462" t="inlineStr">
        <is>
          <t>MVS Sec.17 p.36</t>
        </is>
      </c>
    </row>
    <row r="2463">
      <c r="B2463" t="inlineStr">
        <is>
          <t>Stables</t>
        </is>
      </c>
      <c r="C2463" t="inlineStr">
        <is>
          <t>378</t>
        </is>
      </c>
      <c r="D2463" t="inlineStr">
        <is>
          <t>17</t>
        </is>
      </c>
      <c r="E2463" t="inlineStr">
        <is>
          <t>36</t>
        </is>
      </c>
      <c r="F2463" t="inlineStr">
        <is>
          <t>D</t>
        </is>
      </c>
      <c r="G2463" t="inlineStr">
        <is>
          <t>Low Cost</t>
        </is>
      </c>
      <c r="H2463" t="n">
        <v>25</v>
      </c>
      <c r="I2463">
        <f>B2463&amp;"|"&amp;F2463&amp;"|"&amp;G2463</f>
        <v/>
      </c>
      <c r="J2463" t="inlineStr">
        <is>
          <t>MVS Sec.17 p.36</t>
        </is>
      </c>
    </row>
    <row r="2464">
      <c r="B2464" t="inlineStr">
        <is>
          <t>Stables</t>
        </is>
      </c>
      <c r="C2464" t="inlineStr">
        <is>
          <t>378</t>
        </is>
      </c>
      <c r="D2464" t="inlineStr">
        <is>
          <t>17</t>
        </is>
      </c>
      <c r="E2464" t="inlineStr">
        <is>
          <t>36</t>
        </is>
      </c>
      <c r="F2464" t="inlineStr">
        <is>
          <t>DPOLE</t>
        </is>
      </c>
      <c r="G2464" t="inlineStr">
        <is>
          <t>Good</t>
        </is>
      </c>
      <c r="H2464" t="n">
        <v>55.5</v>
      </c>
      <c r="I2464">
        <f>B2464&amp;"|"&amp;F2464&amp;"|"&amp;G2464</f>
        <v/>
      </c>
      <c r="J2464" t="inlineStr">
        <is>
          <t>MVS Sec.17 p.36</t>
        </is>
      </c>
    </row>
    <row r="2465">
      <c r="B2465" t="inlineStr">
        <is>
          <t>Stables</t>
        </is>
      </c>
      <c r="C2465" t="inlineStr">
        <is>
          <t>378</t>
        </is>
      </c>
      <c r="D2465" t="inlineStr">
        <is>
          <t>17</t>
        </is>
      </c>
      <c r="E2465" t="inlineStr">
        <is>
          <t>36</t>
        </is>
      </c>
      <c r="F2465" t="inlineStr">
        <is>
          <t>DPOLE</t>
        </is>
      </c>
      <c r="G2465" t="inlineStr">
        <is>
          <t>Average</t>
        </is>
      </c>
      <c r="H2465" t="n">
        <v>36</v>
      </c>
      <c r="I2465">
        <f>B2465&amp;"|"&amp;F2465&amp;"|"&amp;G2465</f>
        <v/>
      </c>
      <c r="J2465" t="inlineStr">
        <is>
          <t>MVS Sec.17 p.36</t>
        </is>
      </c>
    </row>
    <row r="2466">
      <c r="B2466" t="inlineStr">
        <is>
          <t>Stables</t>
        </is>
      </c>
      <c r="C2466" t="inlineStr">
        <is>
          <t>378</t>
        </is>
      </c>
      <c r="D2466" t="inlineStr">
        <is>
          <t>17</t>
        </is>
      </c>
      <c r="E2466" t="inlineStr">
        <is>
          <t>36</t>
        </is>
      </c>
      <c r="F2466" t="inlineStr">
        <is>
          <t>DPOLE</t>
        </is>
      </c>
      <c r="G2466" t="inlineStr">
        <is>
          <t>Low Cost</t>
        </is>
      </c>
      <c r="H2466" t="n">
        <v>23.25</v>
      </c>
      <c r="I2466">
        <f>B2466&amp;"|"&amp;F2466&amp;"|"&amp;G2466</f>
        <v/>
      </c>
      <c r="J2466" t="inlineStr">
        <is>
          <t>MVS Sec.17 p.36</t>
        </is>
      </c>
    </row>
    <row r="2467">
      <c r="B2467" t="inlineStr">
        <is>
          <t>Stables</t>
        </is>
      </c>
      <c r="C2467" t="inlineStr">
        <is>
          <t>378</t>
        </is>
      </c>
      <c r="D2467" t="inlineStr">
        <is>
          <t>17</t>
        </is>
      </c>
      <c r="E2467" t="inlineStr">
        <is>
          <t>36</t>
        </is>
      </c>
      <c r="F2467" t="inlineStr">
        <is>
          <t>DPOLE</t>
        </is>
      </c>
      <c r="G2467" t="inlineStr">
        <is>
          <t>Cheap</t>
        </is>
      </c>
      <c r="H2467" t="n">
        <v>18.4</v>
      </c>
      <c r="I2467">
        <f>B2467&amp;"|"&amp;F2467&amp;"|"&amp;G2467</f>
        <v/>
      </c>
      <c r="J2467" t="inlineStr">
        <is>
          <t>MVS Sec.17 p.36</t>
        </is>
      </c>
    </row>
    <row r="2468">
      <c r="B2468" t="inlineStr">
        <is>
          <t>Stables</t>
        </is>
      </c>
      <c r="C2468" t="inlineStr">
        <is>
          <t>378</t>
        </is>
      </c>
      <c r="D2468" t="inlineStr">
        <is>
          <t>17</t>
        </is>
      </c>
      <c r="E2468" t="inlineStr">
        <is>
          <t>36</t>
        </is>
      </c>
      <c r="F2468" t="inlineStr">
        <is>
          <t>DHOOP</t>
        </is>
      </c>
      <c r="G2468" t="inlineStr">
        <is>
          <t>Average</t>
        </is>
      </c>
      <c r="H2468" t="n">
        <v>12.9</v>
      </c>
      <c r="I2468">
        <f>B2468&amp;"|"&amp;F2468&amp;"|"&amp;G2468</f>
        <v/>
      </c>
      <c r="J2468" t="inlineStr">
        <is>
          <t>MVS Sec.17 p.36</t>
        </is>
      </c>
    </row>
    <row r="2469">
      <c r="B2469" t="inlineStr">
        <is>
          <t>Stables</t>
        </is>
      </c>
      <c r="C2469" t="inlineStr">
        <is>
          <t>378</t>
        </is>
      </c>
      <c r="D2469" t="inlineStr">
        <is>
          <t>17</t>
        </is>
      </c>
      <c r="E2469" t="inlineStr">
        <is>
          <t>36</t>
        </is>
      </c>
      <c r="F2469" t="inlineStr">
        <is>
          <t>DHOOP</t>
        </is>
      </c>
      <c r="G2469" t="inlineStr">
        <is>
          <t>Low Cost</t>
        </is>
      </c>
      <c r="H2469" t="n">
        <v>8.73</v>
      </c>
      <c r="I2469">
        <f>B2469&amp;"|"&amp;F2469&amp;"|"&amp;G2469</f>
        <v/>
      </c>
      <c r="J2469" t="inlineStr">
        <is>
          <t>MVS Sec.17 p.36</t>
        </is>
      </c>
    </row>
    <row r="2470">
      <c r="B2470" t="inlineStr">
        <is>
          <t>Stables</t>
        </is>
      </c>
      <c r="C2470" t="inlineStr">
        <is>
          <t>378</t>
        </is>
      </c>
      <c r="D2470" t="inlineStr">
        <is>
          <t>17</t>
        </is>
      </c>
      <c r="E2470" t="inlineStr">
        <is>
          <t>36</t>
        </is>
      </c>
      <c r="F2470" t="inlineStr">
        <is>
          <t>S</t>
        </is>
      </c>
      <c r="G2470" t="inlineStr">
        <is>
          <t>Good</t>
        </is>
      </c>
      <c r="H2470" t="n">
        <v>59.5</v>
      </c>
      <c r="I2470">
        <f>B2470&amp;"|"&amp;F2470&amp;"|"&amp;G2470</f>
        <v/>
      </c>
      <c r="J2470" t="inlineStr">
        <is>
          <t>MVS Sec.17 p.36</t>
        </is>
      </c>
    </row>
    <row r="2471">
      <c r="B2471" t="inlineStr">
        <is>
          <t>Stables</t>
        </is>
      </c>
      <c r="C2471" t="inlineStr">
        <is>
          <t>378</t>
        </is>
      </c>
      <c r="D2471" t="inlineStr">
        <is>
          <t>17</t>
        </is>
      </c>
      <c r="E2471" t="inlineStr">
        <is>
          <t>36</t>
        </is>
      </c>
      <c r="F2471" t="inlineStr">
        <is>
          <t>S</t>
        </is>
      </c>
      <c r="G2471" t="inlineStr">
        <is>
          <t>Average</t>
        </is>
      </c>
      <c r="H2471" t="n">
        <v>38.75</v>
      </c>
      <c r="I2471">
        <f>B2471&amp;"|"&amp;F2471&amp;"|"&amp;G2471</f>
        <v/>
      </c>
      <c r="J2471" t="inlineStr">
        <is>
          <t>MVS Sec.17 p.36</t>
        </is>
      </c>
    </row>
    <row r="2472">
      <c r="B2472" t="inlineStr">
        <is>
          <t>Stables</t>
        </is>
      </c>
      <c r="C2472" t="inlineStr">
        <is>
          <t>378</t>
        </is>
      </c>
      <c r="D2472" t="inlineStr">
        <is>
          <t>17</t>
        </is>
      </c>
      <c r="E2472" t="inlineStr">
        <is>
          <t>36</t>
        </is>
      </c>
      <c r="F2472" t="inlineStr">
        <is>
          <t>S</t>
        </is>
      </c>
      <c r="G2472" t="inlineStr">
        <is>
          <t>Low Cost</t>
        </is>
      </c>
      <c r="H2472" t="n">
        <v>25.25</v>
      </c>
      <c r="I2472">
        <f>B2472&amp;"|"&amp;F2472&amp;"|"&amp;G2472</f>
        <v/>
      </c>
      <c r="J2472" t="inlineStr">
        <is>
          <t>MVS Sec.17 p.36</t>
        </is>
      </c>
    </row>
    <row r="2473">
      <c r="B2473" t="inlineStr">
        <is>
          <t>High-Value (Estate) Stables – Horse Barns</t>
        </is>
      </c>
      <c r="C2473" t="inlineStr">
        <is>
          <t>559</t>
        </is>
      </c>
      <c r="D2473" t="inlineStr">
        <is>
          <t>17</t>
        </is>
      </c>
      <c r="E2473" t="inlineStr">
        <is>
          <t>36</t>
        </is>
      </c>
      <c r="F2473" t="inlineStr">
        <is>
          <t>C</t>
        </is>
      </c>
      <c r="G2473" t="inlineStr">
        <is>
          <t>Excellent</t>
        </is>
      </c>
      <c r="H2473" t="n">
        <v>286</v>
      </c>
      <c r="I2473">
        <f>B2473&amp;"|"&amp;F2473&amp;"|"&amp;G2473</f>
        <v/>
      </c>
      <c r="J2473" t="inlineStr">
        <is>
          <t>MVS Sec.17 p.36</t>
        </is>
      </c>
    </row>
    <row r="2474">
      <c r="B2474" t="inlineStr">
        <is>
          <t>High-Value (Estate) Stables – Horse Barns</t>
        </is>
      </c>
      <c r="C2474" t="inlineStr">
        <is>
          <t>559</t>
        </is>
      </c>
      <c r="D2474" t="inlineStr">
        <is>
          <t>17</t>
        </is>
      </c>
      <c r="E2474" t="inlineStr">
        <is>
          <t>36</t>
        </is>
      </c>
      <c r="F2474" t="inlineStr">
        <is>
          <t>C</t>
        </is>
      </c>
      <c r="G2474" t="inlineStr">
        <is>
          <t>Good</t>
        </is>
      </c>
      <c r="H2474" t="n">
        <v>199</v>
      </c>
      <c r="I2474">
        <f>B2474&amp;"|"&amp;F2474&amp;"|"&amp;G2474</f>
        <v/>
      </c>
      <c r="J2474" t="inlineStr">
        <is>
          <t>MVS Sec.17 p.36</t>
        </is>
      </c>
    </row>
    <row r="2475">
      <c r="B2475" t="inlineStr">
        <is>
          <t>High-Value (Estate) Stables – Horse Barns</t>
        </is>
      </c>
      <c r="C2475" t="inlineStr">
        <is>
          <t>559</t>
        </is>
      </c>
      <c r="D2475" t="inlineStr">
        <is>
          <t>17</t>
        </is>
      </c>
      <c r="E2475" t="inlineStr">
        <is>
          <t>36</t>
        </is>
      </c>
      <c r="F2475" t="inlineStr">
        <is>
          <t>C</t>
        </is>
      </c>
      <c r="G2475" t="inlineStr">
        <is>
          <t>Average</t>
        </is>
      </c>
      <c r="H2475" t="n">
        <v>139</v>
      </c>
      <c r="I2475">
        <f>B2475&amp;"|"&amp;F2475&amp;"|"&amp;G2475</f>
        <v/>
      </c>
      <c r="J2475" t="inlineStr">
        <is>
          <t>MVS Sec.17 p.36</t>
        </is>
      </c>
    </row>
    <row r="2476">
      <c r="B2476" t="inlineStr">
        <is>
          <t>High-Value (Estate) Stables – Horse Barns</t>
        </is>
      </c>
      <c r="C2476" t="inlineStr">
        <is>
          <t>559</t>
        </is>
      </c>
      <c r="D2476" t="inlineStr">
        <is>
          <t>17</t>
        </is>
      </c>
      <c r="E2476" t="inlineStr">
        <is>
          <t>36</t>
        </is>
      </c>
      <c r="F2476" t="inlineStr">
        <is>
          <t>C</t>
        </is>
      </c>
      <c r="G2476" t="inlineStr">
        <is>
          <t>Low Cost</t>
        </is>
      </c>
      <c r="H2476" t="n">
        <v>97</v>
      </c>
      <c r="I2476">
        <f>B2476&amp;"|"&amp;F2476&amp;"|"&amp;G2476</f>
        <v/>
      </c>
      <c r="J2476" t="inlineStr">
        <is>
          <t>MVS Sec.17 p.36</t>
        </is>
      </c>
    </row>
    <row r="2477">
      <c r="B2477" t="inlineStr">
        <is>
          <t>High-Value (Estate) Stables – Horse Barns</t>
        </is>
      </c>
      <c r="C2477" t="inlineStr">
        <is>
          <t>559</t>
        </is>
      </c>
      <c r="D2477" t="inlineStr">
        <is>
          <t>17</t>
        </is>
      </c>
      <c r="E2477" t="inlineStr">
        <is>
          <t>36</t>
        </is>
      </c>
      <c r="F2477" t="inlineStr">
        <is>
          <t>D</t>
        </is>
      </c>
      <c r="G2477" t="inlineStr">
        <is>
          <t>Excellent</t>
        </is>
      </c>
      <c r="H2477" t="n">
        <v>287</v>
      </c>
      <c r="I2477">
        <f>B2477&amp;"|"&amp;F2477&amp;"|"&amp;G2477</f>
        <v/>
      </c>
      <c r="J2477" t="inlineStr">
        <is>
          <t>MVS Sec.17 p.36</t>
        </is>
      </c>
    </row>
    <row r="2478">
      <c r="B2478" t="inlineStr">
        <is>
          <t>High-Value (Estate) Stables – Horse Barns</t>
        </is>
      </c>
      <c r="C2478" t="inlineStr">
        <is>
          <t>559</t>
        </is>
      </c>
      <c r="D2478" t="inlineStr">
        <is>
          <t>17</t>
        </is>
      </c>
      <c r="E2478" t="inlineStr">
        <is>
          <t>36</t>
        </is>
      </c>
      <c r="F2478" t="inlineStr">
        <is>
          <t>D</t>
        </is>
      </c>
      <c r="G2478" t="inlineStr">
        <is>
          <t>Good</t>
        </is>
      </c>
      <c r="H2478" t="n">
        <v>197</v>
      </c>
      <c r="I2478">
        <f>B2478&amp;"|"&amp;F2478&amp;"|"&amp;G2478</f>
        <v/>
      </c>
      <c r="J2478" t="inlineStr">
        <is>
          <t>MVS Sec.17 p.36</t>
        </is>
      </c>
    </row>
    <row r="2479">
      <c r="B2479" t="inlineStr">
        <is>
          <t>High-Value (Estate) Stables – Horse Barns</t>
        </is>
      </c>
      <c r="C2479" t="inlineStr">
        <is>
          <t>559</t>
        </is>
      </c>
      <c r="D2479" t="inlineStr">
        <is>
          <t>17</t>
        </is>
      </c>
      <c r="E2479" t="inlineStr">
        <is>
          <t>36</t>
        </is>
      </c>
      <c r="F2479" t="inlineStr">
        <is>
          <t>D</t>
        </is>
      </c>
      <c r="G2479" t="inlineStr">
        <is>
          <t>Average</t>
        </is>
      </c>
      <c r="H2479" t="n">
        <v>136</v>
      </c>
      <c r="I2479">
        <f>B2479&amp;"|"&amp;F2479&amp;"|"&amp;G2479</f>
        <v/>
      </c>
      <c r="J2479" t="inlineStr">
        <is>
          <t>MVS Sec.17 p.36</t>
        </is>
      </c>
    </row>
    <row r="2480">
      <c r="B2480" t="inlineStr">
        <is>
          <t>High-Value (Estate) Stables – Horse Barns</t>
        </is>
      </c>
      <c r="C2480" t="inlineStr">
        <is>
          <t>559</t>
        </is>
      </c>
      <c r="D2480" t="inlineStr">
        <is>
          <t>17</t>
        </is>
      </c>
      <c r="E2480" t="inlineStr">
        <is>
          <t>36</t>
        </is>
      </c>
      <c r="F2480" t="inlineStr">
        <is>
          <t>D</t>
        </is>
      </c>
      <c r="G2480" t="inlineStr">
        <is>
          <t>Low Cost</t>
        </is>
      </c>
      <c r="H2480" t="n">
        <v>93.5</v>
      </c>
      <c r="I2480">
        <f>B2480&amp;"|"&amp;F2480&amp;"|"&amp;G2480</f>
        <v/>
      </c>
      <c r="J2480" t="inlineStr">
        <is>
          <t>MVS Sec.17 p.36</t>
        </is>
      </c>
    </row>
    <row r="2481">
      <c r="B2481" t="inlineStr">
        <is>
          <t>High-Value (Estate) Stables – Horse Barns</t>
        </is>
      </c>
      <c r="C2481" t="inlineStr">
        <is>
          <t>559</t>
        </is>
      </c>
      <c r="D2481" t="inlineStr">
        <is>
          <t>17</t>
        </is>
      </c>
      <c r="E2481" t="inlineStr">
        <is>
          <t>36</t>
        </is>
      </c>
      <c r="F2481" t="inlineStr">
        <is>
          <t>DPOLE</t>
        </is>
      </c>
      <c r="G2481" t="inlineStr">
        <is>
          <t>Low Cost</t>
        </is>
      </c>
      <c r="H2481" t="n">
        <v>87</v>
      </c>
      <c r="I2481">
        <f>B2481&amp;"|"&amp;F2481&amp;"|"&amp;G2481</f>
        <v/>
      </c>
      <c r="J2481" t="inlineStr">
        <is>
          <t>MVS Sec.17 p.36</t>
        </is>
      </c>
    </row>
    <row r="2482">
      <c r="B2482" t="inlineStr">
        <is>
          <t>High-Value (Estate) Stables – Horse Barns</t>
        </is>
      </c>
      <c r="C2482" t="inlineStr">
        <is>
          <t>559</t>
        </is>
      </c>
      <c r="D2482" t="inlineStr">
        <is>
          <t>17</t>
        </is>
      </c>
      <c r="E2482" t="inlineStr">
        <is>
          <t>36</t>
        </is>
      </c>
      <c r="F2482" t="inlineStr">
        <is>
          <t>S</t>
        </is>
      </c>
      <c r="G2482" t="inlineStr">
        <is>
          <t>Low Cost</t>
        </is>
      </c>
      <c r="H2482" t="n">
        <v>93</v>
      </c>
      <c r="I2482">
        <f>B2482&amp;"|"&amp;F2482&amp;"|"&amp;G2482</f>
        <v/>
      </c>
      <c r="J2482" t="inlineStr">
        <is>
          <t>MVS Sec.17 p.36</t>
        </is>
      </c>
    </row>
    <row r="2483">
      <c r="B2483" t="inlineStr">
        <is>
          <t>Dairies (Milking Parlors)</t>
        </is>
      </c>
      <c r="C2483" t="inlineStr">
        <is>
          <t>316</t>
        </is>
      </c>
      <c r="D2483" t="inlineStr">
        <is>
          <t>17</t>
        </is>
      </c>
      <c r="E2483" t="inlineStr">
        <is>
          <t>38</t>
        </is>
      </c>
      <c r="F2483" t="inlineStr">
        <is>
          <t>C</t>
        </is>
      </c>
      <c r="G2483" t="inlineStr">
        <is>
          <t>Excellent</t>
        </is>
      </c>
      <c r="H2483" t="n">
        <v>104</v>
      </c>
      <c r="I2483">
        <f>B2483&amp;"|"&amp;F2483&amp;"|"&amp;G2483</f>
        <v/>
      </c>
      <c r="J2483" t="inlineStr">
        <is>
          <t>MVS Sec.17 p.38</t>
        </is>
      </c>
    </row>
    <row r="2484">
      <c r="B2484" t="inlineStr">
        <is>
          <t>Dairies (Milking Parlors)</t>
        </is>
      </c>
      <c r="C2484" t="inlineStr">
        <is>
          <t>316</t>
        </is>
      </c>
      <c r="D2484" t="inlineStr">
        <is>
          <t>17</t>
        </is>
      </c>
      <c r="E2484" t="inlineStr">
        <is>
          <t>38</t>
        </is>
      </c>
      <c r="F2484" t="inlineStr">
        <is>
          <t>C</t>
        </is>
      </c>
      <c r="G2484" t="inlineStr">
        <is>
          <t>Good</t>
        </is>
      </c>
      <c r="H2484" t="n">
        <v>78</v>
      </c>
      <c r="I2484">
        <f>B2484&amp;"|"&amp;F2484&amp;"|"&amp;G2484</f>
        <v/>
      </c>
      <c r="J2484" t="inlineStr">
        <is>
          <t>MVS Sec.17 p.38</t>
        </is>
      </c>
    </row>
    <row r="2485">
      <c r="B2485" t="inlineStr">
        <is>
          <t>Dairies (Milking Parlors)</t>
        </is>
      </c>
      <c r="C2485" t="inlineStr">
        <is>
          <t>316</t>
        </is>
      </c>
      <c r="D2485" t="inlineStr">
        <is>
          <t>17</t>
        </is>
      </c>
      <c r="E2485" t="inlineStr">
        <is>
          <t>38</t>
        </is>
      </c>
      <c r="F2485" t="inlineStr">
        <is>
          <t>C</t>
        </is>
      </c>
      <c r="G2485" t="inlineStr">
        <is>
          <t>Average</t>
        </is>
      </c>
      <c r="H2485" t="n">
        <v>59</v>
      </c>
      <c r="I2485">
        <f>B2485&amp;"|"&amp;F2485&amp;"|"&amp;G2485</f>
        <v/>
      </c>
      <c r="J2485" t="inlineStr">
        <is>
          <t>MVS Sec.17 p.38</t>
        </is>
      </c>
    </row>
    <row r="2486">
      <c r="B2486" t="inlineStr">
        <is>
          <t>Dairies (Milking Parlors)</t>
        </is>
      </c>
      <c r="C2486" t="inlineStr">
        <is>
          <t>316</t>
        </is>
      </c>
      <c r="D2486" t="inlineStr">
        <is>
          <t>17</t>
        </is>
      </c>
      <c r="E2486" t="inlineStr">
        <is>
          <t>38</t>
        </is>
      </c>
      <c r="F2486" t="inlineStr">
        <is>
          <t>C</t>
        </is>
      </c>
      <c r="G2486" t="inlineStr">
        <is>
          <t>Low Cost</t>
        </is>
      </c>
      <c r="H2486" t="n">
        <v>44.5</v>
      </c>
      <c r="I2486">
        <f>B2486&amp;"|"&amp;F2486&amp;"|"&amp;G2486</f>
        <v/>
      </c>
      <c r="J2486" t="inlineStr">
        <is>
          <t>MVS Sec.17 p.38</t>
        </is>
      </c>
    </row>
    <row r="2487">
      <c r="B2487" t="inlineStr">
        <is>
          <t>Dairies (Milking Parlors)</t>
        </is>
      </c>
      <c r="C2487" t="inlineStr">
        <is>
          <t>316</t>
        </is>
      </c>
      <c r="D2487" t="inlineStr">
        <is>
          <t>17</t>
        </is>
      </c>
      <c r="E2487" t="inlineStr">
        <is>
          <t>38</t>
        </is>
      </c>
      <c r="F2487" t="inlineStr">
        <is>
          <t>D</t>
        </is>
      </c>
      <c r="G2487" t="inlineStr">
        <is>
          <t>Excellent</t>
        </is>
      </c>
      <c r="H2487" t="n">
        <v>98</v>
      </c>
      <c r="I2487">
        <f>B2487&amp;"|"&amp;F2487&amp;"|"&amp;G2487</f>
        <v/>
      </c>
      <c r="J2487" t="inlineStr">
        <is>
          <t>MVS Sec.17 p.38</t>
        </is>
      </c>
    </row>
    <row r="2488">
      <c r="B2488" t="inlineStr">
        <is>
          <t>Dairies (Milking Parlors)</t>
        </is>
      </c>
      <c r="C2488" t="inlineStr">
        <is>
          <t>316</t>
        </is>
      </c>
      <c r="D2488" t="inlineStr">
        <is>
          <t>17</t>
        </is>
      </c>
      <c r="E2488" t="inlineStr">
        <is>
          <t>38</t>
        </is>
      </c>
      <c r="F2488" t="inlineStr">
        <is>
          <t>D</t>
        </is>
      </c>
      <c r="G2488" t="inlineStr">
        <is>
          <t>Good</t>
        </is>
      </c>
      <c r="H2488" t="n">
        <v>70.5</v>
      </c>
      <c r="I2488">
        <f>B2488&amp;"|"&amp;F2488&amp;"|"&amp;G2488</f>
        <v/>
      </c>
      <c r="J2488" t="inlineStr">
        <is>
          <t>MVS Sec.17 p.38</t>
        </is>
      </c>
    </row>
    <row r="2489">
      <c r="B2489" t="inlineStr">
        <is>
          <t>Dairies (Milking Parlors)</t>
        </is>
      </c>
      <c r="C2489" t="inlineStr">
        <is>
          <t>316</t>
        </is>
      </c>
      <c r="D2489" t="inlineStr">
        <is>
          <t>17</t>
        </is>
      </c>
      <c r="E2489" t="inlineStr">
        <is>
          <t>38</t>
        </is>
      </c>
      <c r="F2489" t="inlineStr">
        <is>
          <t>D</t>
        </is>
      </c>
      <c r="G2489" t="inlineStr">
        <is>
          <t>Average</t>
        </is>
      </c>
      <c r="H2489" t="n">
        <v>51</v>
      </c>
      <c r="I2489">
        <f>B2489&amp;"|"&amp;F2489&amp;"|"&amp;G2489</f>
        <v/>
      </c>
      <c r="J2489" t="inlineStr">
        <is>
          <t>MVS Sec.17 p.38</t>
        </is>
      </c>
    </row>
    <row r="2490">
      <c r="B2490" t="inlineStr">
        <is>
          <t>Dairies (Milking Parlors)</t>
        </is>
      </c>
      <c r="C2490" t="inlineStr">
        <is>
          <t>316</t>
        </is>
      </c>
      <c r="D2490" t="inlineStr">
        <is>
          <t>17</t>
        </is>
      </c>
      <c r="E2490" t="inlineStr">
        <is>
          <t>38</t>
        </is>
      </c>
      <c r="F2490" t="inlineStr">
        <is>
          <t>D</t>
        </is>
      </c>
      <c r="G2490" t="inlineStr">
        <is>
          <t>Low Cost</t>
        </is>
      </c>
      <c r="H2490" t="n">
        <v>36.75</v>
      </c>
      <c r="I2490">
        <f>B2490&amp;"|"&amp;F2490&amp;"|"&amp;G2490</f>
        <v/>
      </c>
      <c r="J2490" t="inlineStr">
        <is>
          <t>MVS Sec.17 p.38</t>
        </is>
      </c>
    </row>
    <row r="2491">
      <c r="B2491" t="inlineStr">
        <is>
          <t>Dairies (Milking Parlors)</t>
        </is>
      </c>
      <c r="C2491" t="inlineStr">
        <is>
          <t>316</t>
        </is>
      </c>
      <c r="D2491" t="inlineStr">
        <is>
          <t>17</t>
        </is>
      </c>
      <c r="E2491" t="inlineStr">
        <is>
          <t>38</t>
        </is>
      </c>
      <c r="F2491" t="inlineStr">
        <is>
          <t>DPOLE</t>
        </is>
      </c>
      <c r="G2491" t="inlineStr">
        <is>
          <t>Excellent</t>
        </is>
      </c>
      <c r="H2491" t="n">
        <v>89.5</v>
      </c>
      <c r="I2491">
        <f>B2491&amp;"|"&amp;F2491&amp;"|"&amp;G2491</f>
        <v/>
      </c>
      <c r="J2491" t="inlineStr">
        <is>
          <t>MVS Sec.17 p.38</t>
        </is>
      </c>
    </row>
    <row r="2492">
      <c r="B2492" t="inlineStr">
        <is>
          <t>Dairies (Milking Parlors)</t>
        </is>
      </c>
      <c r="C2492" t="inlineStr">
        <is>
          <t>316</t>
        </is>
      </c>
      <c r="D2492" t="inlineStr">
        <is>
          <t>17</t>
        </is>
      </c>
      <c r="E2492" t="inlineStr">
        <is>
          <t>38</t>
        </is>
      </c>
      <c r="F2492" t="inlineStr">
        <is>
          <t>DPOLE</t>
        </is>
      </c>
      <c r="G2492" t="inlineStr">
        <is>
          <t>Good</t>
        </is>
      </c>
      <c r="H2492" t="n">
        <v>64.5</v>
      </c>
      <c r="I2492">
        <f>B2492&amp;"|"&amp;F2492&amp;"|"&amp;G2492</f>
        <v/>
      </c>
      <c r="J2492" t="inlineStr">
        <is>
          <t>MVS Sec.17 p.38</t>
        </is>
      </c>
    </row>
    <row r="2493">
      <c r="B2493" t="inlineStr">
        <is>
          <t>Dairies (Milking Parlors)</t>
        </is>
      </c>
      <c r="C2493" t="inlineStr">
        <is>
          <t>316</t>
        </is>
      </c>
      <c r="D2493" t="inlineStr">
        <is>
          <t>17</t>
        </is>
      </c>
      <c r="E2493" t="inlineStr">
        <is>
          <t>38</t>
        </is>
      </c>
      <c r="F2493" t="inlineStr">
        <is>
          <t>DPOLE</t>
        </is>
      </c>
      <c r="G2493" t="inlineStr">
        <is>
          <t>Average</t>
        </is>
      </c>
      <c r="H2493" t="n">
        <v>47</v>
      </c>
      <c r="I2493">
        <f>B2493&amp;"|"&amp;F2493&amp;"|"&amp;G2493</f>
        <v/>
      </c>
      <c r="J2493" t="inlineStr">
        <is>
          <t>MVS Sec.17 p.38</t>
        </is>
      </c>
    </row>
    <row r="2494">
      <c r="B2494" t="inlineStr">
        <is>
          <t>Dairies (Milking Parlors)</t>
        </is>
      </c>
      <c r="C2494" t="inlineStr">
        <is>
          <t>316</t>
        </is>
      </c>
      <c r="D2494" t="inlineStr">
        <is>
          <t>17</t>
        </is>
      </c>
      <c r="E2494" t="inlineStr">
        <is>
          <t>38</t>
        </is>
      </c>
      <c r="F2494" t="inlineStr">
        <is>
          <t>DPOLE</t>
        </is>
      </c>
      <c r="G2494" t="inlineStr">
        <is>
          <t>Low Cost</t>
        </is>
      </c>
      <c r="H2494" t="n">
        <v>34.25</v>
      </c>
      <c r="I2494">
        <f>B2494&amp;"|"&amp;F2494&amp;"|"&amp;G2494</f>
        <v/>
      </c>
      <c r="J2494" t="inlineStr">
        <is>
          <t>MVS Sec.17 p.38</t>
        </is>
      </c>
    </row>
    <row r="2495">
      <c r="B2495" t="inlineStr">
        <is>
          <t>Dairies (Milking Parlors)</t>
        </is>
      </c>
      <c r="C2495" t="inlineStr">
        <is>
          <t>316</t>
        </is>
      </c>
      <c r="D2495" t="inlineStr">
        <is>
          <t>17</t>
        </is>
      </c>
      <c r="E2495" t="inlineStr">
        <is>
          <t>38</t>
        </is>
      </c>
      <c r="F2495" t="inlineStr">
        <is>
          <t>S</t>
        </is>
      </c>
      <c r="G2495" t="inlineStr">
        <is>
          <t>Excellent</t>
        </is>
      </c>
      <c r="H2495" t="n">
        <v>97</v>
      </c>
      <c r="I2495">
        <f>B2495&amp;"|"&amp;F2495&amp;"|"&amp;G2495</f>
        <v/>
      </c>
      <c r="J2495" t="inlineStr">
        <is>
          <t>MVS Sec.17 p.38</t>
        </is>
      </c>
    </row>
    <row r="2496">
      <c r="B2496" t="inlineStr">
        <is>
          <t>Dairies (Milking Parlors)</t>
        </is>
      </c>
      <c r="C2496" t="inlineStr">
        <is>
          <t>316</t>
        </is>
      </c>
      <c r="D2496" t="inlineStr">
        <is>
          <t>17</t>
        </is>
      </c>
      <c r="E2496" t="inlineStr">
        <is>
          <t>38</t>
        </is>
      </c>
      <c r="F2496" t="inlineStr">
        <is>
          <t>S</t>
        </is>
      </c>
      <c r="G2496" t="inlineStr">
        <is>
          <t>Good</t>
        </is>
      </c>
      <c r="H2496" t="n">
        <v>71</v>
      </c>
      <c r="I2496">
        <f>B2496&amp;"|"&amp;F2496&amp;"|"&amp;G2496</f>
        <v/>
      </c>
      <c r="J2496" t="inlineStr">
        <is>
          <t>MVS Sec.17 p.38</t>
        </is>
      </c>
    </row>
    <row r="2497">
      <c r="B2497" t="inlineStr">
        <is>
          <t>Dairies (Milking Parlors)</t>
        </is>
      </c>
      <c r="C2497" t="inlineStr">
        <is>
          <t>316</t>
        </is>
      </c>
      <c r="D2497" t="inlineStr">
        <is>
          <t>17</t>
        </is>
      </c>
      <c r="E2497" t="inlineStr">
        <is>
          <t>38</t>
        </is>
      </c>
      <c r="F2497" t="inlineStr">
        <is>
          <t>S</t>
        </is>
      </c>
      <c r="G2497" t="inlineStr">
        <is>
          <t>Average</t>
        </is>
      </c>
      <c r="H2497" t="n">
        <v>52</v>
      </c>
      <c r="I2497">
        <f>B2497&amp;"|"&amp;F2497&amp;"|"&amp;G2497</f>
        <v/>
      </c>
      <c r="J2497" t="inlineStr">
        <is>
          <t>MVS Sec.17 p.38</t>
        </is>
      </c>
    </row>
    <row r="2498">
      <c r="B2498" t="inlineStr">
        <is>
          <t>Dairies (Milking Parlors)</t>
        </is>
      </c>
      <c r="C2498" t="inlineStr">
        <is>
          <t>316</t>
        </is>
      </c>
      <c r="D2498" t="inlineStr">
        <is>
          <t>17</t>
        </is>
      </c>
      <c r="E2498" t="inlineStr">
        <is>
          <t>38</t>
        </is>
      </c>
      <c r="F2498" t="inlineStr">
        <is>
          <t>S</t>
        </is>
      </c>
      <c r="G2498" t="inlineStr">
        <is>
          <t>Low Cost</t>
        </is>
      </c>
      <c r="H2498" t="n">
        <v>38.25</v>
      </c>
      <c r="I2498">
        <f>B2498&amp;"|"&amp;F2498&amp;"|"&amp;G2498</f>
        <v/>
      </c>
      <c r="J2498" t="inlineStr">
        <is>
          <t>MVS Sec.17 p.38</t>
        </is>
      </c>
    </row>
    <row r="2499">
      <c r="B2499" t="inlineStr">
        <is>
          <t>Milkhouses</t>
        </is>
      </c>
      <c r="C2499" t="inlineStr">
        <is>
          <t>440</t>
        </is>
      </c>
      <c r="D2499" t="inlineStr">
        <is>
          <t>17</t>
        </is>
      </c>
      <c r="E2499" t="inlineStr">
        <is>
          <t>38</t>
        </is>
      </c>
      <c r="F2499" t="inlineStr">
        <is>
          <t>C</t>
        </is>
      </c>
      <c r="G2499" t="inlineStr">
        <is>
          <t>Good</t>
        </is>
      </c>
      <c r="H2499" t="n">
        <v>86</v>
      </c>
      <c r="I2499">
        <f>B2499&amp;"|"&amp;F2499&amp;"|"&amp;G2499</f>
        <v/>
      </c>
      <c r="J2499" t="inlineStr">
        <is>
          <t>MVS Sec.17 p.38</t>
        </is>
      </c>
    </row>
    <row r="2500">
      <c r="B2500" t="inlineStr">
        <is>
          <t>Milkhouses</t>
        </is>
      </c>
      <c r="C2500" t="inlineStr">
        <is>
          <t>440</t>
        </is>
      </c>
      <c r="D2500" t="inlineStr">
        <is>
          <t>17</t>
        </is>
      </c>
      <c r="E2500" t="inlineStr">
        <is>
          <t>38</t>
        </is>
      </c>
      <c r="F2500" t="inlineStr">
        <is>
          <t>C</t>
        </is>
      </c>
      <c r="G2500" t="inlineStr">
        <is>
          <t>Average</t>
        </is>
      </c>
      <c r="H2500" t="n">
        <v>63</v>
      </c>
      <c r="I2500">
        <f>B2500&amp;"|"&amp;F2500&amp;"|"&amp;G2500</f>
        <v/>
      </c>
      <c r="J2500" t="inlineStr">
        <is>
          <t>MVS Sec.17 p.38</t>
        </is>
      </c>
    </row>
    <row r="2501">
      <c r="B2501" t="inlineStr">
        <is>
          <t>Milkhouses</t>
        </is>
      </c>
      <c r="C2501" t="inlineStr">
        <is>
          <t>440</t>
        </is>
      </c>
      <c r="D2501" t="inlineStr">
        <is>
          <t>17</t>
        </is>
      </c>
      <c r="E2501" t="inlineStr">
        <is>
          <t>38</t>
        </is>
      </c>
      <c r="F2501" t="inlineStr">
        <is>
          <t>D</t>
        </is>
      </c>
      <c r="G2501" t="inlineStr">
        <is>
          <t>Good</t>
        </is>
      </c>
      <c r="H2501" t="n">
        <v>77</v>
      </c>
      <c r="I2501">
        <f>B2501&amp;"|"&amp;F2501&amp;"|"&amp;G2501</f>
        <v/>
      </c>
      <c r="J2501" t="inlineStr">
        <is>
          <t>MVS Sec.17 p.38</t>
        </is>
      </c>
    </row>
    <row r="2502">
      <c r="B2502" t="inlineStr">
        <is>
          <t>Milkhouses</t>
        </is>
      </c>
      <c r="C2502" t="inlineStr">
        <is>
          <t>440</t>
        </is>
      </c>
      <c r="D2502" t="inlineStr">
        <is>
          <t>17</t>
        </is>
      </c>
      <c r="E2502" t="inlineStr">
        <is>
          <t>38</t>
        </is>
      </c>
      <c r="F2502" t="inlineStr">
        <is>
          <t>D</t>
        </is>
      </c>
      <c r="G2502" t="inlineStr">
        <is>
          <t>Average</t>
        </is>
      </c>
      <c r="H2502" t="n">
        <v>56.5</v>
      </c>
      <c r="I2502">
        <f>B2502&amp;"|"&amp;F2502&amp;"|"&amp;G2502</f>
        <v/>
      </c>
      <c r="J2502" t="inlineStr">
        <is>
          <t>MVS Sec.17 p.38</t>
        </is>
      </c>
    </row>
    <row r="2503">
      <c r="B2503" t="inlineStr">
        <is>
          <t>Milkhouse Sheds</t>
        </is>
      </c>
      <c r="C2503" t="inlineStr">
        <is>
          <t>114</t>
        </is>
      </c>
      <c r="D2503" t="inlineStr">
        <is>
          <t>17</t>
        </is>
      </c>
      <c r="E2503" t="inlineStr">
        <is>
          <t>38</t>
        </is>
      </c>
      <c r="F2503" t="inlineStr">
        <is>
          <t>C</t>
        </is>
      </c>
      <c r="G2503" t="inlineStr">
        <is>
          <t>Good</t>
        </is>
      </c>
      <c r="H2503" t="n">
        <v>74</v>
      </c>
      <c r="I2503">
        <f>B2503&amp;"|"&amp;F2503&amp;"|"&amp;G2503</f>
        <v/>
      </c>
      <c r="J2503" t="inlineStr">
        <is>
          <t>MVS Sec.17 p.38</t>
        </is>
      </c>
    </row>
    <row r="2504">
      <c r="B2504" t="inlineStr">
        <is>
          <t>Milkhouse Sheds</t>
        </is>
      </c>
      <c r="C2504" t="inlineStr">
        <is>
          <t>114</t>
        </is>
      </c>
      <c r="D2504" t="inlineStr">
        <is>
          <t>17</t>
        </is>
      </c>
      <c r="E2504" t="inlineStr">
        <is>
          <t>38</t>
        </is>
      </c>
      <c r="F2504" t="inlineStr">
        <is>
          <t>C</t>
        </is>
      </c>
      <c r="G2504" t="inlineStr">
        <is>
          <t>Average</t>
        </is>
      </c>
      <c r="H2504" t="n">
        <v>54.5</v>
      </c>
      <c r="I2504">
        <f>B2504&amp;"|"&amp;F2504&amp;"|"&amp;G2504</f>
        <v/>
      </c>
      <c r="J2504" t="inlineStr">
        <is>
          <t>MVS Sec.17 p.38</t>
        </is>
      </c>
    </row>
    <row r="2505">
      <c r="B2505" t="inlineStr">
        <is>
          <t>Milkhouse Sheds</t>
        </is>
      </c>
      <c r="C2505" t="inlineStr">
        <is>
          <t>114</t>
        </is>
      </c>
      <c r="D2505" t="inlineStr">
        <is>
          <t>17</t>
        </is>
      </c>
      <c r="E2505" t="inlineStr">
        <is>
          <t>38</t>
        </is>
      </c>
      <c r="F2505" t="inlineStr">
        <is>
          <t>D</t>
        </is>
      </c>
      <c r="G2505" t="inlineStr">
        <is>
          <t>Good</t>
        </is>
      </c>
      <c r="H2505" t="n">
        <v>66</v>
      </c>
      <c r="I2505">
        <f>B2505&amp;"|"&amp;F2505&amp;"|"&amp;G2505</f>
        <v/>
      </c>
      <c r="J2505" t="inlineStr">
        <is>
          <t>MVS Sec.17 p.38</t>
        </is>
      </c>
    </row>
    <row r="2506">
      <c r="B2506" t="inlineStr">
        <is>
          <t>Milkhouse Sheds</t>
        </is>
      </c>
      <c r="C2506" t="inlineStr">
        <is>
          <t>114</t>
        </is>
      </c>
      <c r="D2506" t="inlineStr">
        <is>
          <t>17</t>
        </is>
      </c>
      <c r="E2506" t="inlineStr">
        <is>
          <t>38</t>
        </is>
      </c>
      <c r="F2506" t="inlineStr">
        <is>
          <t>D</t>
        </is>
      </c>
      <c r="G2506" t="inlineStr">
        <is>
          <t>Average</t>
        </is>
      </c>
      <c r="H2506" t="n">
        <v>48.25</v>
      </c>
      <c r="I2506">
        <f>B2506&amp;"|"&amp;F2506&amp;"|"&amp;G2506</f>
        <v/>
      </c>
      <c r="J2506" t="inlineStr">
        <is>
          <t>MVS Sec.17 p.38</t>
        </is>
      </c>
    </row>
    <row r="2507">
      <c r="B2507" t="inlineStr">
        <is>
          <t>Hog Barns – Nursery</t>
        </is>
      </c>
      <c r="C2507" t="inlineStr">
        <is>
          <t>112</t>
        </is>
      </c>
      <c r="D2507" t="inlineStr">
        <is>
          <t>17</t>
        </is>
      </c>
      <c r="E2507" t="inlineStr">
        <is>
          <t>40</t>
        </is>
      </c>
      <c r="F2507" t="inlineStr">
        <is>
          <t>C</t>
        </is>
      </c>
      <c r="G2507" t="inlineStr">
        <is>
          <t>Good</t>
        </is>
      </c>
      <c r="H2507" t="n">
        <v>69.5</v>
      </c>
      <c r="I2507">
        <f>B2507&amp;"|"&amp;F2507&amp;"|"&amp;G2507</f>
        <v/>
      </c>
      <c r="J2507" t="inlineStr">
        <is>
          <t>MVS Sec.17 p.40</t>
        </is>
      </c>
    </row>
    <row r="2508">
      <c r="B2508" t="inlineStr">
        <is>
          <t>Hog Barns – Nursery</t>
        </is>
      </c>
      <c r="C2508" t="inlineStr">
        <is>
          <t>112</t>
        </is>
      </c>
      <c r="D2508" t="inlineStr">
        <is>
          <t>17</t>
        </is>
      </c>
      <c r="E2508" t="inlineStr">
        <is>
          <t>40</t>
        </is>
      </c>
      <c r="F2508" t="inlineStr">
        <is>
          <t>C</t>
        </is>
      </c>
      <c r="G2508" t="inlineStr">
        <is>
          <t>Average</t>
        </is>
      </c>
      <c r="H2508" t="n">
        <v>62</v>
      </c>
      <c r="I2508">
        <f>B2508&amp;"|"&amp;F2508&amp;"|"&amp;G2508</f>
        <v/>
      </c>
      <c r="J2508" t="inlineStr">
        <is>
          <t>MVS Sec.17 p.40</t>
        </is>
      </c>
    </row>
    <row r="2509">
      <c r="B2509" t="inlineStr">
        <is>
          <t>Hog Barns – Nursery</t>
        </is>
      </c>
      <c r="C2509" t="inlineStr">
        <is>
          <t>112</t>
        </is>
      </c>
      <c r="D2509" t="inlineStr">
        <is>
          <t>17</t>
        </is>
      </c>
      <c r="E2509" t="inlineStr">
        <is>
          <t>40</t>
        </is>
      </c>
      <c r="F2509" t="inlineStr">
        <is>
          <t>D</t>
        </is>
      </c>
      <c r="G2509" t="inlineStr">
        <is>
          <t>Good</t>
        </is>
      </c>
      <c r="H2509" t="n">
        <v>65.5</v>
      </c>
      <c r="I2509">
        <f>B2509&amp;"|"&amp;F2509&amp;"|"&amp;G2509</f>
        <v/>
      </c>
      <c r="J2509" t="inlineStr">
        <is>
          <t>MVS Sec.17 p.40</t>
        </is>
      </c>
    </row>
    <row r="2510">
      <c r="B2510" t="inlineStr">
        <is>
          <t>Hog Barns – Nursery</t>
        </is>
      </c>
      <c r="C2510" t="inlineStr">
        <is>
          <t>112</t>
        </is>
      </c>
      <c r="D2510" t="inlineStr">
        <is>
          <t>17</t>
        </is>
      </c>
      <c r="E2510" t="inlineStr">
        <is>
          <t>40</t>
        </is>
      </c>
      <c r="F2510" t="inlineStr">
        <is>
          <t>D</t>
        </is>
      </c>
      <c r="G2510" t="inlineStr">
        <is>
          <t>Average</t>
        </is>
      </c>
      <c r="H2510" t="n">
        <v>57</v>
      </c>
      <c r="I2510">
        <f>B2510&amp;"|"&amp;F2510&amp;"|"&amp;G2510</f>
        <v/>
      </c>
      <c r="J2510" t="inlineStr">
        <is>
          <t>MVS Sec.17 p.40</t>
        </is>
      </c>
    </row>
    <row r="2511">
      <c r="B2511" t="inlineStr">
        <is>
          <t>Hog Barns – Nursery</t>
        </is>
      </c>
      <c r="C2511" t="inlineStr">
        <is>
          <t>112</t>
        </is>
      </c>
      <c r="D2511" t="inlineStr">
        <is>
          <t>17</t>
        </is>
      </c>
      <c r="E2511" t="inlineStr">
        <is>
          <t>40</t>
        </is>
      </c>
      <c r="F2511" t="inlineStr">
        <is>
          <t>DPOLE</t>
        </is>
      </c>
      <c r="G2511" t="inlineStr">
        <is>
          <t>Good</t>
        </is>
      </c>
      <c r="H2511" t="n">
        <v>60.5</v>
      </c>
      <c r="I2511">
        <f>B2511&amp;"|"&amp;F2511&amp;"|"&amp;G2511</f>
        <v/>
      </c>
      <c r="J2511" t="inlineStr">
        <is>
          <t>MVS Sec.17 p.40</t>
        </is>
      </c>
    </row>
    <row r="2512">
      <c r="B2512" t="inlineStr">
        <is>
          <t>Hog Barns – Nursery</t>
        </is>
      </c>
      <c r="C2512" t="inlineStr">
        <is>
          <t>112</t>
        </is>
      </c>
      <c r="D2512" t="inlineStr">
        <is>
          <t>17</t>
        </is>
      </c>
      <c r="E2512" t="inlineStr">
        <is>
          <t>40</t>
        </is>
      </c>
      <c r="F2512" t="inlineStr">
        <is>
          <t>DPOLE</t>
        </is>
      </c>
      <c r="G2512" t="inlineStr">
        <is>
          <t>Average</t>
        </is>
      </c>
      <c r="H2512" t="n">
        <v>53</v>
      </c>
      <c r="I2512">
        <f>B2512&amp;"|"&amp;F2512&amp;"|"&amp;G2512</f>
        <v/>
      </c>
      <c r="J2512" t="inlineStr">
        <is>
          <t>MVS Sec.17 p.40</t>
        </is>
      </c>
    </row>
    <row r="2513">
      <c r="B2513" t="inlineStr">
        <is>
          <t>Hog Barns – Nursery</t>
        </is>
      </c>
      <c r="C2513" t="inlineStr">
        <is>
          <t>112</t>
        </is>
      </c>
      <c r="D2513" t="inlineStr">
        <is>
          <t>17</t>
        </is>
      </c>
      <c r="E2513" t="inlineStr">
        <is>
          <t>40</t>
        </is>
      </c>
      <c r="F2513" t="inlineStr">
        <is>
          <t>S</t>
        </is>
      </c>
      <c r="G2513" t="inlineStr">
        <is>
          <t>Good</t>
        </is>
      </c>
      <c r="H2513" t="n">
        <v>65.5</v>
      </c>
      <c r="I2513">
        <f>B2513&amp;"|"&amp;F2513&amp;"|"&amp;G2513</f>
        <v/>
      </c>
      <c r="J2513" t="inlineStr">
        <is>
          <t>MVS Sec.17 p.40</t>
        </is>
      </c>
    </row>
    <row r="2514">
      <c r="B2514" t="inlineStr">
        <is>
          <t>Hog Barns – Nursery</t>
        </is>
      </c>
      <c r="C2514" t="inlineStr">
        <is>
          <t>112</t>
        </is>
      </c>
      <c r="D2514" t="inlineStr">
        <is>
          <t>17</t>
        </is>
      </c>
      <c r="E2514" t="inlineStr">
        <is>
          <t>40</t>
        </is>
      </c>
      <c r="F2514" t="inlineStr">
        <is>
          <t>S</t>
        </is>
      </c>
      <c r="G2514" t="inlineStr">
        <is>
          <t>Average</t>
        </is>
      </c>
      <c r="H2514" t="n">
        <v>57.5</v>
      </c>
      <c r="I2514">
        <f>B2514&amp;"|"&amp;F2514&amp;"|"&amp;G2514</f>
        <v/>
      </c>
      <c r="J2514" t="inlineStr">
        <is>
          <t>MVS Sec.17 p.40</t>
        </is>
      </c>
    </row>
    <row r="2515">
      <c r="B2515" t="inlineStr">
        <is>
          <t>Hog Barns – Breeding/Gestation</t>
        </is>
      </c>
      <c r="C2515" t="inlineStr">
        <is>
          <t>109</t>
        </is>
      </c>
      <c r="D2515" t="inlineStr">
        <is>
          <t>17</t>
        </is>
      </c>
      <c r="E2515" t="inlineStr">
        <is>
          <t>40</t>
        </is>
      </c>
      <c r="F2515" t="inlineStr">
        <is>
          <t>C</t>
        </is>
      </c>
      <c r="G2515" t="inlineStr">
        <is>
          <t>Good</t>
        </is>
      </c>
      <c r="H2515" t="n">
        <v>55.5</v>
      </c>
      <c r="I2515">
        <f>B2515&amp;"|"&amp;F2515&amp;"|"&amp;G2515</f>
        <v/>
      </c>
      <c r="J2515" t="inlineStr">
        <is>
          <t>MVS Sec.17 p.40</t>
        </is>
      </c>
    </row>
    <row r="2516">
      <c r="B2516" t="inlineStr">
        <is>
          <t>Hog Barns – Breeding/Gestation</t>
        </is>
      </c>
      <c r="C2516" t="inlineStr">
        <is>
          <t>109</t>
        </is>
      </c>
      <c r="D2516" t="inlineStr">
        <is>
          <t>17</t>
        </is>
      </c>
      <c r="E2516" t="inlineStr">
        <is>
          <t>40</t>
        </is>
      </c>
      <c r="F2516" t="inlineStr">
        <is>
          <t>C</t>
        </is>
      </c>
      <c r="G2516" t="inlineStr">
        <is>
          <t>Average</t>
        </is>
      </c>
      <c r="H2516" t="n">
        <v>44</v>
      </c>
      <c r="I2516">
        <f>B2516&amp;"|"&amp;F2516&amp;"|"&amp;G2516</f>
        <v/>
      </c>
      <c r="J2516" t="inlineStr">
        <is>
          <t>MVS Sec.17 p.40</t>
        </is>
      </c>
    </row>
    <row r="2517">
      <c r="B2517" t="inlineStr">
        <is>
          <t>Hog Barns – Breeding/Gestation</t>
        </is>
      </c>
      <c r="C2517" t="inlineStr">
        <is>
          <t>109</t>
        </is>
      </c>
      <c r="D2517" t="inlineStr">
        <is>
          <t>17</t>
        </is>
      </c>
      <c r="E2517" t="inlineStr">
        <is>
          <t>40</t>
        </is>
      </c>
      <c r="F2517" t="inlineStr">
        <is>
          <t>C</t>
        </is>
      </c>
      <c r="G2517" t="inlineStr">
        <is>
          <t>Low Cost</t>
        </is>
      </c>
      <c r="H2517" t="n">
        <v>38.25</v>
      </c>
      <c r="I2517">
        <f>B2517&amp;"|"&amp;F2517&amp;"|"&amp;G2517</f>
        <v/>
      </c>
      <c r="J2517" t="inlineStr">
        <is>
          <t>MVS Sec.17 p.40</t>
        </is>
      </c>
    </row>
    <row r="2518">
      <c r="B2518" t="inlineStr">
        <is>
          <t>Hog Barns – Breeding/Gestation</t>
        </is>
      </c>
      <c r="C2518" t="inlineStr">
        <is>
          <t>109</t>
        </is>
      </c>
      <c r="D2518" t="inlineStr">
        <is>
          <t>17</t>
        </is>
      </c>
      <c r="E2518" t="inlineStr">
        <is>
          <t>40</t>
        </is>
      </c>
      <c r="F2518" t="inlineStr">
        <is>
          <t>D</t>
        </is>
      </c>
      <c r="G2518" t="inlineStr">
        <is>
          <t>Good</t>
        </is>
      </c>
      <c r="H2518" t="n">
        <v>49.5</v>
      </c>
      <c r="I2518">
        <f>B2518&amp;"|"&amp;F2518&amp;"|"&amp;G2518</f>
        <v/>
      </c>
      <c r="J2518" t="inlineStr">
        <is>
          <t>MVS Sec.17 p.40</t>
        </is>
      </c>
    </row>
    <row r="2519">
      <c r="B2519" t="inlineStr">
        <is>
          <t>Hog Barns – Breeding/Gestation</t>
        </is>
      </c>
      <c r="C2519" t="inlineStr">
        <is>
          <t>109</t>
        </is>
      </c>
      <c r="D2519" t="inlineStr">
        <is>
          <t>17</t>
        </is>
      </c>
      <c r="E2519" t="inlineStr">
        <is>
          <t>40</t>
        </is>
      </c>
      <c r="F2519" t="inlineStr">
        <is>
          <t>D</t>
        </is>
      </c>
      <c r="G2519" t="inlineStr">
        <is>
          <t>Average</t>
        </is>
      </c>
      <c r="H2519" t="n">
        <v>37.5</v>
      </c>
      <c r="I2519">
        <f>B2519&amp;"|"&amp;F2519&amp;"|"&amp;G2519</f>
        <v/>
      </c>
      <c r="J2519" t="inlineStr">
        <is>
          <t>MVS Sec.17 p.40</t>
        </is>
      </c>
    </row>
    <row r="2520">
      <c r="B2520" t="inlineStr">
        <is>
          <t>Hog Barns – Breeding/Gestation</t>
        </is>
      </c>
      <c r="C2520" t="inlineStr">
        <is>
          <t>109</t>
        </is>
      </c>
      <c r="D2520" t="inlineStr">
        <is>
          <t>17</t>
        </is>
      </c>
      <c r="E2520" t="inlineStr">
        <is>
          <t>40</t>
        </is>
      </c>
      <c r="F2520" t="inlineStr">
        <is>
          <t>D</t>
        </is>
      </c>
      <c r="G2520" t="inlineStr">
        <is>
          <t>Low Cost</t>
        </is>
      </c>
      <c r="H2520" t="n">
        <v>32.25</v>
      </c>
      <c r="I2520">
        <f>B2520&amp;"|"&amp;F2520&amp;"|"&amp;G2520</f>
        <v/>
      </c>
      <c r="J2520" t="inlineStr">
        <is>
          <t>MVS Sec.17 p.40</t>
        </is>
      </c>
    </row>
    <row r="2521">
      <c r="B2521" t="inlineStr">
        <is>
          <t>Hog Barns – Breeding/Gestation</t>
        </is>
      </c>
      <c r="C2521" t="inlineStr">
        <is>
          <t>109</t>
        </is>
      </c>
      <c r="D2521" t="inlineStr">
        <is>
          <t>17</t>
        </is>
      </c>
      <c r="E2521" t="inlineStr">
        <is>
          <t>40</t>
        </is>
      </c>
      <c r="F2521" t="inlineStr">
        <is>
          <t>D</t>
        </is>
      </c>
      <c r="G2521" t="inlineStr">
        <is>
          <t>Cheap</t>
        </is>
      </c>
      <c r="H2521" t="n">
        <v>24.8</v>
      </c>
      <c r="I2521">
        <f>B2521&amp;"|"&amp;F2521&amp;"|"&amp;G2521</f>
        <v/>
      </c>
      <c r="J2521" t="inlineStr">
        <is>
          <t>MVS Sec.17 p.40</t>
        </is>
      </c>
    </row>
    <row r="2522">
      <c r="B2522" t="inlineStr">
        <is>
          <t>Hog Barns – Breeding/Gestation</t>
        </is>
      </c>
      <c r="C2522" t="inlineStr">
        <is>
          <t>109</t>
        </is>
      </c>
      <c r="D2522" t="inlineStr">
        <is>
          <t>17</t>
        </is>
      </c>
      <c r="E2522" t="inlineStr">
        <is>
          <t>40</t>
        </is>
      </c>
      <c r="F2522" t="inlineStr">
        <is>
          <t>DPOLE</t>
        </is>
      </c>
      <c r="G2522" t="inlineStr">
        <is>
          <t>Good</t>
        </is>
      </c>
      <c r="H2522" t="n">
        <v>46.5</v>
      </c>
      <c r="I2522">
        <f>B2522&amp;"|"&amp;F2522&amp;"|"&amp;G2522</f>
        <v/>
      </c>
      <c r="J2522" t="inlineStr">
        <is>
          <t>MVS Sec.17 p.40</t>
        </is>
      </c>
    </row>
    <row r="2523">
      <c r="B2523" t="inlineStr">
        <is>
          <t>Hog Barns – Breeding/Gestation</t>
        </is>
      </c>
      <c r="C2523" t="inlineStr">
        <is>
          <t>109</t>
        </is>
      </c>
      <c r="D2523" t="inlineStr">
        <is>
          <t>17</t>
        </is>
      </c>
      <c r="E2523" t="inlineStr">
        <is>
          <t>40</t>
        </is>
      </c>
      <c r="F2523" t="inlineStr">
        <is>
          <t>DPOLE</t>
        </is>
      </c>
      <c r="G2523" t="inlineStr">
        <is>
          <t>Average</t>
        </is>
      </c>
      <c r="H2523" t="n">
        <v>35.5</v>
      </c>
      <c r="I2523">
        <f>B2523&amp;"|"&amp;F2523&amp;"|"&amp;G2523</f>
        <v/>
      </c>
      <c r="J2523" t="inlineStr">
        <is>
          <t>MVS Sec.17 p.40</t>
        </is>
      </c>
    </row>
    <row r="2524">
      <c r="B2524" t="inlineStr">
        <is>
          <t>Hog Barns – Breeding/Gestation</t>
        </is>
      </c>
      <c r="C2524" t="inlineStr">
        <is>
          <t>109</t>
        </is>
      </c>
      <c r="D2524" t="inlineStr">
        <is>
          <t>17</t>
        </is>
      </c>
      <c r="E2524" t="inlineStr">
        <is>
          <t>40</t>
        </is>
      </c>
      <c r="F2524" t="inlineStr">
        <is>
          <t>DPOLE</t>
        </is>
      </c>
      <c r="G2524" t="inlineStr">
        <is>
          <t>Low Cost</t>
        </is>
      </c>
      <c r="H2524" t="n">
        <v>30.75</v>
      </c>
      <c r="I2524">
        <f>B2524&amp;"|"&amp;F2524&amp;"|"&amp;G2524</f>
        <v/>
      </c>
      <c r="J2524" t="inlineStr">
        <is>
          <t>MVS Sec.17 p.40</t>
        </is>
      </c>
    </row>
    <row r="2525">
      <c r="B2525" t="inlineStr">
        <is>
          <t>Hog Barns – Breeding/Gestation</t>
        </is>
      </c>
      <c r="C2525" t="inlineStr">
        <is>
          <t>109</t>
        </is>
      </c>
      <c r="D2525" t="inlineStr">
        <is>
          <t>17</t>
        </is>
      </c>
      <c r="E2525" t="inlineStr">
        <is>
          <t>40</t>
        </is>
      </c>
      <c r="F2525" t="inlineStr">
        <is>
          <t>DPOLE</t>
        </is>
      </c>
      <c r="G2525" t="inlineStr">
        <is>
          <t>Cheap</t>
        </is>
      </c>
      <c r="H2525" t="n">
        <v>23.95</v>
      </c>
      <c r="I2525">
        <f>B2525&amp;"|"&amp;F2525&amp;"|"&amp;G2525</f>
        <v/>
      </c>
      <c r="J2525" t="inlineStr">
        <is>
          <t>MVS Sec.17 p.40</t>
        </is>
      </c>
    </row>
    <row r="2526">
      <c r="B2526" t="inlineStr">
        <is>
          <t>Hog Barns – Breeding/Gestation</t>
        </is>
      </c>
      <c r="C2526" t="inlineStr">
        <is>
          <t>109</t>
        </is>
      </c>
      <c r="D2526" t="inlineStr">
        <is>
          <t>17</t>
        </is>
      </c>
      <c r="E2526" t="inlineStr">
        <is>
          <t>40</t>
        </is>
      </c>
      <c r="F2526" t="inlineStr">
        <is>
          <t>S</t>
        </is>
      </c>
      <c r="G2526" t="inlineStr">
        <is>
          <t>Good</t>
        </is>
      </c>
      <c r="H2526" t="n">
        <v>49.75</v>
      </c>
      <c r="I2526">
        <f>B2526&amp;"|"&amp;F2526&amp;"|"&amp;G2526</f>
        <v/>
      </c>
      <c r="J2526" t="inlineStr">
        <is>
          <t>MVS Sec.17 p.40</t>
        </is>
      </c>
    </row>
    <row r="2527">
      <c r="B2527" t="inlineStr">
        <is>
          <t>Hog Barns – Breeding/Gestation</t>
        </is>
      </c>
      <c r="C2527" t="inlineStr">
        <is>
          <t>109</t>
        </is>
      </c>
      <c r="D2527" t="inlineStr">
        <is>
          <t>17</t>
        </is>
      </c>
      <c r="E2527" t="inlineStr">
        <is>
          <t>40</t>
        </is>
      </c>
      <c r="F2527" t="inlineStr">
        <is>
          <t>S</t>
        </is>
      </c>
      <c r="G2527" t="inlineStr">
        <is>
          <t>Average</t>
        </is>
      </c>
      <c r="H2527" t="n">
        <v>38</v>
      </c>
      <c r="I2527">
        <f>B2527&amp;"|"&amp;F2527&amp;"|"&amp;G2527</f>
        <v/>
      </c>
      <c r="J2527" t="inlineStr">
        <is>
          <t>MVS Sec.17 p.40</t>
        </is>
      </c>
    </row>
    <row r="2528">
      <c r="B2528" t="inlineStr">
        <is>
          <t>Hog Barns – Breeding/Gestation</t>
        </is>
      </c>
      <c r="C2528" t="inlineStr">
        <is>
          <t>109</t>
        </is>
      </c>
      <c r="D2528" t="inlineStr">
        <is>
          <t>17</t>
        </is>
      </c>
      <c r="E2528" t="inlineStr">
        <is>
          <t>40</t>
        </is>
      </c>
      <c r="F2528" t="inlineStr">
        <is>
          <t>S</t>
        </is>
      </c>
      <c r="G2528" t="inlineStr">
        <is>
          <t>Low Cost</t>
        </is>
      </c>
      <c r="H2528" t="n">
        <v>32.5</v>
      </c>
      <c r="I2528">
        <f>B2528&amp;"|"&amp;F2528&amp;"|"&amp;G2528</f>
        <v/>
      </c>
      <c r="J2528" t="inlineStr">
        <is>
          <t>MVS Sec.17 p.40</t>
        </is>
      </c>
    </row>
    <row r="2529">
      <c r="B2529" t="inlineStr">
        <is>
          <t>Hog Barns – Breeding/Gestation</t>
        </is>
      </c>
      <c r="C2529" t="inlineStr">
        <is>
          <t>109</t>
        </is>
      </c>
      <c r="D2529" t="inlineStr">
        <is>
          <t>17</t>
        </is>
      </c>
      <c r="E2529" t="inlineStr">
        <is>
          <t>40</t>
        </is>
      </c>
      <c r="F2529" t="inlineStr">
        <is>
          <t>S</t>
        </is>
      </c>
      <c r="G2529" t="inlineStr">
        <is>
          <t>Cheap</t>
        </is>
      </c>
      <c r="H2529" t="n">
        <v>25.25</v>
      </c>
      <c r="I2529">
        <f>B2529&amp;"|"&amp;F2529&amp;"|"&amp;G2529</f>
        <v/>
      </c>
      <c r="J2529" t="inlineStr">
        <is>
          <t>MVS Sec.17 p.40</t>
        </is>
      </c>
    </row>
    <row r="2530">
      <c r="B2530" t="inlineStr">
        <is>
          <t>Hog Barns – Farrowing</t>
        </is>
      </c>
      <c r="C2530" t="inlineStr">
        <is>
          <t>110</t>
        </is>
      </c>
      <c r="D2530" t="inlineStr">
        <is>
          <t>17</t>
        </is>
      </c>
      <c r="E2530" t="inlineStr">
        <is>
          <t>41</t>
        </is>
      </c>
      <c r="F2530" t="inlineStr">
        <is>
          <t>C</t>
        </is>
      </c>
      <c r="G2530" t="inlineStr">
        <is>
          <t>Good</t>
        </is>
      </c>
      <c r="H2530" t="n">
        <v>62</v>
      </c>
      <c r="I2530">
        <f>B2530&amp;"|"&amp;F2530&amp;"|"&amp;G2530</f>
        <v/>
      </c>
      <c r="J2530" t="inlineStr">
        <is>
          <t>MVS Sec.17 p.41</t>
        </is>
      </c>
    </row>
    <row r="2531">
      <c r="B2531" t="inlineStr">
        <is>
          <t>Hog Barns – Farrowing</t>
        </is>
      </c>
      <c r="C2531" t="inlineStr">
        <is>
          <t>110</t>
        </is>
      </c>
      <c r="D2531" t="inlineStr">
        <is>
          <t>17</t>
        </is>
      </c>
      <c r="E2531" t="inlineStr">
        <is>
          <t>41</t>
        </is>
      </c>
      <c r="F2531" t="inlineStr">
        <is>
          <t>C</t>
        </is>
      </c>
      <c r="G2531" t="inlineStr">
        <is>
          <t>Average</t>
        </is>
      </c>
      <c r="H2531" t="n">
        <v>50.5</v>
      </c>
      <c r="I2531">
        <f>B2531&amp;"|"&amp;F2531&amp;"|"&amp;G2531</f>
        <v/>
      </c>
      <c r="J2531" t="inlineStr">
        <is>
          <t>MVS Sec.17 p.41</t>
        </is>
      </c>
    </row>
    <row r="2532">
      <c r="B2532" t="inlineStr">
        <is>
          <t>Hog Barns – Farrowing</t>
        </is>
      </c>
      <c r="C2532" t="inlineStr">
        <is>
          <t>110</t>
        </is>
      </c>
      <c r="D2532" t="inlineStr">
        <is>
          <t>17</t>
        </is>
      </c>
      <c r="E2532" t="inlineStr">
        <is>
          <t>41</t>
        </is>
      </c>
      <c r="F2532" t="inlineStr">
        <is>
          <t>C</t>
        </is>
      </c>
      <c r="G2532" t="inlineStr">
        <is>
          <t>Low Cost</t>
        </is>
      </c>
      <c r="H2532" t="n">
        <v>41</v>
      </c>
      <c r="I2532">
        <f>B2532&amp;"|"&amp;F2532&amp;"|"&amp;G2532</f>
        <v/>
      </c>
      <c r="J2532" t="inlineStr">
        <is>
          <t>MVS Sec.17 p.41</t>
        </is>
      </c>
    </row>
    <row r="2533">
      <c r="B2533" t="inlineStr">
        <is>
          <t>Hog Barns – Farrowing</t>
        </is>
      </c>
      <c r="C2533" t="inlineStr">
        <is>
          <t>110</t>
        </is>
      </c>
      <c r="D2533" t="inlineStr">
        <is>
          <t>17</t>
        </is>
      </c>
      <c r="E2533" t="inlineStr">
        <is>
          <t>41</t>
        </is>
      </c>
      <c r="F2533" t="inlineStr">
        <is>
          <t>D</t>
        </is>
      </c>
      <c r="G2533" t="inlineStr">
        <is>
          <t>Good</t>
        </is>
      </c>
      <c r="H2533" t="n">
        <v>57</v>
      </c>
      <c r="I2533">
        <f>B2533&amp;"|"&amp;F2533&amp;"|"&amp;G2533</f>
        <v/>
      </c>
      <c r="J2533" t="inlineStr">
        <is>
          <t>MVS Sec.17 p.41</t>
        </is>
      </c>
    </row>
    <row r="2534">
      <c r="B2534" t="inlineStr">
        <is>
          <t>Hog Barns – Farrowing</t>
        </is>
      </c>
      <c r="C2534" t="inlineStr">
        <is>
          <t>110</t>
        </is>
      </c>
      <c r="D2534" t="inlineStr">
        <is>
          <t>17</t>
        </is>
      </c>
      <c r="E2534" t="inlineStr">
        <is>
          <t>41</t>
        </is>
      </c>
      <c r="F2534" t="inlineStr">
        <is>
          <t>D</t>
        </is>
      </c>
      <c r="G2534" t="inlineStr">
        <is>
          <t>Average</t>
        </is>
      </c>
      <c r="H2534" t="n">
        <v>44.25</v>
      </c>
      <c r="I2534">
        <f>B2534&amp;"|"&amp;F2534&amp;"|"&amp;G2534</f>
        <v/>
      </c>
      <c r="J2534" t="inlineStr">
        <is>
          <t>MVS Sec.17 p.41</t>
        </is>
      </c>
    </row>
    <row r="2535">
      <c r="B2535" t="inlineStr">
        <is>
          <t>Hog Barns – Farrowing</t>
        </is>
      </c>
      <c r="C2535" t="inlineStr">
        <is>
          <t>110</t>
        </is>
      </c>
      <c r="D2535" t="inlineStr">
        <is>
          <t>17</t>
        </is>
      </c>
      <c r="E2535" t="inlineStr">
        <is>
          <t>41</t>
        </is>
      </c>
      <c r="F2535" t="inlineStr">
        <is>
          <t>D</t>
        </is>
      </c>
      <c r="G2535" t="inlineStr">
        <is>
          <t>Low Cost</t>
        </is>
      </c>
      <c r="H2535" t="n">
        <v>34.5</v>
      </c>
      <c r="I2535">
        <f>B2535&amp;"|"&amp;F2535&amp;"|"&amp;G2535</f>
        <v/>
      </c>
      <c r="J2535" t="inlineStr">
        <is>
          <t>MVS Sec.17 p.41</t>
        </is>
      </c>
    </row>
    <row r="2536">
      <c r="B2536" t="inlineStr">
        <is>
          <t>Hog Barns – Farrowing</t>
        </is>
      </c>
      <c r="C2536" t="inlineStr">
        <is>
          <t>110</t>
        </is>
      </c>
      <c r="D2536" t="inlineStr">
        <is>
          <t>17</t>
        </is>
      </c>
      <c r="E2536" t="inlineStr">
        <is>
          <t>41</t>
        </is>
      </c>
      <c r="F2536" t="inlineStr">
        <is>
          <t>DPOLE</t>
        </is>
      </c>
      <c r="G2536" t="inlineStr">
        <is>
          <t>Good</t>
        </is>
      </c>
      <c r="H2536" t="n">
        <v>53</v>
      </c>
      <c r="I2536">
        <f>B2536&amp;"|"&amp;F2536&amp;"|"&amp;G2536</f>
        <v/>
      </c>
      <c r="J2536" t="inlineStr">
        <is>
          <t>MVS Sec.17 p.41</t>
        </is>
      </c>
    </row>
    <row r="2537">
      <c r="B2537" t="inlineStr">
        <is>
          <t>Hog Barns – Farrowing</t>
        </is>
      </c>
      <c r="C2537" t="inlineStr">
        <is>
          <t>110</t>
        </is>
      </c>
      <c r="D2537" t="inlineStr">
        <is>
          <t>17</t>
        </is>
      </c>
      <c r="E2537" t="inlineStr">
        <is>
          <t>41</t>
        </is>
      </c>
      <c r="F2537" t="inlineStr">
        <is>
          <t>DPOLE</t>
        </is>
      </c>
      <c r="G2537" t="inlineStr">
        <is>
          <t>Average</t>
        </is>
      </c>
      <c r="H2537" t="n">
        <v>41.75</v>
      </c>
      <c r="I2537">
        <f>B2537&amp;"|"&amp;F2537&amp;"|"&amp;G2537</f>
        <v/>
      </c>
      <c r="J2537" t="inlineStr">
        <is>
          <t>MVS Sec.17 p.41</t>
        </is>
      </c>
    </row>
    <row r="2538">
      <c r="B2538" t="inlineStr">
        <is>
          <t>Hog Barns – Farrowing</t>
        </is>
      </c>
      <c r="C2538" t="inlineStr">
        <is>
          <t>110</t>
        </is>
      </c>
      <c r="D2538" t="inlineStr">
        <is>
          <t>17</t>
        </is>
      </c>
      <c r="E2538" t="inlineStr">
        <is>
          <t>41</t>
        </is>
      </c>
      <c r="F2538" t="inlineStr">
        <is>
          <t>DPOLE</t>
        </is>
      </c>
      <c r="G2538" t="inlineStr">
        <is>
          <t>Low Cost</t>
        </is>
      </c>
      <c r="H2538" t="n">
        <v>32.75</v>
      </c>
      <c r="I2538">
        <f>B2538&amp;"|"&amp;F2538&amp;"|"&amp;G2538</f>
        <v/>
      </c>
      <c r="J2538" t="inlineStr">
        <is>
          <t>MVS Sec.17 p.41</t>
        </is>
      </c>
    </row>
    <row r="2539">
      <c r="B2539" t="inlineStr">
        <is>
          <t>Hog Barns – Farrowing</t>
        </is>
      </c>
      <c r="C2539" t="inlineStr">
        <is>
          <t>110</t>
        </is>
      </c>
      <c r="D2539" t="inlineStr">
        <is>
          <t>17</t>
        </is>
      </c>
      <c r="E2539" t="inlineStr">
        <is>
          <t>41</t>
        </is>
      </c>
      <c r="F2539" t="inlineStr">
        <is>
          <t>DPOLE</t>
        </is>
      </c>
      <c r="G2539" t="inlineStr">
        <is>
          <t>Cheap</t>
        </is>
      </c>
      <c r="H2539" t="n">
        <v>29.25</v>
      </c>
      <c r="I2539">
        <f>B2539&amp;"|"&amp;F2539&amp;"|"&amp;G2539</f>
        <v/>
      </c>
      <c r="J2539" t="inlineStr">
        <is>
          <t>MVS Sec.17 p.41</t>
        </is>
      </c>
    </row>
    <row r="2540">
      <c r="B2540" t="inlineStr">
        <is>
          <t>Hog Barns – Farrowing</t>
        </is>
      </c>
      <c r="C2540" t="inlineStr">
        <is>
          <t>110</t>
        </is>
      </c>
      <c r="D2540" t="inlineStr">
        <is>
          <t>17</t>
        </is>
      </c>
      <c r="E2540" t="inlineStr">
        <is>
          <t>41</t>
        </is>
      </c>
      <c r="F2540" t="inlineStr">
        <is>
          <t>S</t>
        </is>
      </c>
      <c r="G2540" t="inlineStr">
        <is>
          <t>Good</t>
        </is>
      </c>
      <c r="H2540" t="n">
        <v>57</v>
      </c>
      <c r="I2540">
        <f>B2540&amp;"|"&amp;F2540&amp;"|"&amp;G2540</f>
        <v/>
      </c>
      <c r="J2540" t="inlineStr">
        <is>
          <t>MVS Sec.17 p.41</t>
        </is>
      </c>
    </row>
    <row r="2541">
      <c r="B2541" t="inlineStr">
        <is>
          <t>Hog Barns – Farrowing</t>
        </is>
      </c>
      <c r="C2541" t="inlineStr">
        <is>
          <t>110</t>
        </is>
      </c>
      <c r="D2541" t="inlineStr">
        <is>
          <t>17</t>
        </is>
      </c>
      <c r="E2541" t="inlineStr">
        <is>
          <t>41</t>
        </is>
      </c>
      <c r="F2541" t="inlineStr">
        <is>
          <t>S</t>
        </is>
      </c>
      <c r="G2541" t="inlineStr">
        <is>
          <t>Average</t>
        </is>
      </c>
      <c r="H2541" t="n">
        <v>44.75</v>
      </c>
      <c r="I2541">
        <f>B2541&amp;"|"&amp;F2541&amp;"|"&amp;G2541</f>
        <v/>
      </c>
      <c r="J2541" t="inlineStr">
        <is>
          <t>MVS Sec.17 p.41</t>
        </is>
      </c>
    </row>
    <row r="2542">
      <c r="B2542" t="inlineStr">
        <is>
          <t>Hog Barns – Farrowing</t>
        </is>
      </c>
      <c r="C2542" t="inlineStr">
        <is>
          <t>110</t>
        </is>
      </c>
      <c r="D2542" t="inlineStr">
        <is>
          <t>17</t>
        </is>
      </c>
      <c r="E2542" t="inlineStr">
        <is>
          <t>41</t>
        </is>
      </c>
      <c r="F2542" t="inlineStr">
        <is>
          <t>S</t>
        </is>
      </c>
      <c r="G2542" t="inlineStr">
        <is>
          <t>Low Cost</t>
        </is>
      </c>
      <c r="H2542" t="n">
        <v>35</v>
      </c>
      <c r="I2542">
        <f>B2542&amp;"|"&amp;F2542&amp;"|"&amp;G2542</f>
        <v/>
      </c>
      <c r="J2542" t="inlineStr">
        <is>
          <t>MVS Sec.17 p.41</t>
        </is>
      </c>
    </row>
    <row r="2543">
      <c r="B2543" t="inlineStr">
        <is>
          <t>Hog Barns – Farrowing</t>
        </is>
      </c>
      <c r="C2543" t="inlineStr">
        <is>
          <t>110</t>
        </is>
      </c>
      <c r="D2543" t="inlineStr">
        <is>
          <t>17</t>
        </is>
      </c>
      <c r="E2543" t="inlineStr">
        <is>
          <t>41</t>
        </is>
      </c>
      <c r="F2543" t="inlineStr">
        <is>
          <t>S</t>
        </is>
      </c>
      <c r="G2543" t="inlineStr">
        <is>
          <t>Cheap</t>
        </is>
      </c>
      <c r="H2543" t="n">
        <v>30.75</v>
      </c>
      <c r="I2543">
        <f>B2543&amp;"|"&amp;F2543&amp;"|"&amp;G2543</f>
        <v/>
      </c>
      <c r="J2543" t="inlineStr">
        <is>
          <t>MVS Sec.17 p.41</t>
        </is>
      </c>
    </row>
    <row r="2544">
      <c r="B2544" t="inlineStr">
        <is>
          <t>Hog Barns – Finishing</t>
        </is>
      </c>
      <c r="C2544" t="inlineStr">
        <is>
          <t>111</t>
        </is>
      </c>
      <c r="D2544" t="inlineStr">
        <is>
          <t>17</t>
        </is>
      </c>
      <c r="E2544" t="inlineStr">
        <is>
          <t>41</t>
        </is>
      </c>
      <c r="F2544" t="inlineStr">
        <is>
          <t>C</t>
        </is>
      </c>
      <c r="G2544" t="inlineStr">
        <is>
          <t>Average</t>
        </is>
      </c>
      <c r="H2544" t="n">
        <v>39.25</v>
      </c>
      <c r="I2544">
        <f>B2544&amp;"|"&amp;F2544&amp;"|"&amp;G2544</f>
        <v/>
      </c>
      <c r="J2544" t="inlineStr">
        <is>
          <t>MVS Sec.17 p.41</t>
        </is>
      </c>
    </row>
    <row r="2545">
      <c r="B2545" t="inlineStr">
        <is>
          <t>Hog Barns – Finishing</t>
        </is>
      </c>
      <c r="C2545" t="inlineStr">
        <is>
          <t>111</t>
        </is>
      </c>
      <c r="D2545" t="inlineStr">
        <is>
          <t>17</t>
        </is>
      </c>
      <c r="E2545" t="inlineStr">
        <is>
          <t>41</t>
        </is>
      </c>
      <c r="F2545" t="inlineStr">
        <is>
          <t>C</t>
        </is>
      </c>
      <c r="G2545" t="inlineStr">
        <is>
          <t>Low Cost</t>
        </is>
      </c>
      <c r="H2545" t="n">
        <v>35</v>
      </c>
      <c r="I2545">
        <f>B2545&amp;"|"&amp;F2545&amp;"|"&amp;G2545</f>
        <v/>
      </c>
      <c r="J2545" t="inlineStr">
        <is>
          <t>MVS Sec.17 p.41</t>
        </is>
      </c>
    </row>
    <row r="2546">
      <c r="B2546" t="inlineStr">
        <is>
          <t>Hog Barns – Finishing</t>
        </is>
      </c>
      <c r="C2546" t="inlineStr">
        <is>
          <t>111</t>
        </is>
      </c>
      <c r="D2546" t="inlineStr">
        <is>
          <t>17</t>
        </is>
      </c>
      <c r="E2546" t="inlineStr">
        <is>
          <t>41</t>
        </is>
      </c>
      <c r="F2546" t="inlineStr">
        <is>
          <t>C</t>
        </is>
      </c>
      <c r="G2546" t="inlineStr">
        <is>
          <t>Cheap</t>
        </is>
      </c>
      <c r="H2546" t="n">
        <v>22.35</v>
      </c>
      <c r="I2546">
        <f>B2546&amp;"|"&amp;F2546&amp;"|"&amp;G2546</f>
        <v/>
      </c>
      <c r="J2546" t="inlineStr">
        <is>
          <t>MVS Sec.17 p.41</t>
        </is>
      </c>
    </row>
    <row r="2547">
      <c r="B2547" t="inlineStr">
        <is>
          <t>Hog Barns – Finishing</t>
        </is>
      </c>
      <c r="C2547" t="inlineStr">
        <is>
          <t>111</t>
        </is>
      </c>
      <c r="D2547" t="inlineStr">
        <is>
          <t>17</t>
        </is>
      </c>
      <c r="E2547" t="inlineStr">
        <is>
          <t>41</t>
        </is>
      </c>
      <c r="F2547" t="inlineStr">
        <is>
          <t>D</t>
        </is>
      </c>
      <c r="G2547" t="inlineStr">
        <is>
          <t>Average</t>
        </is>
      </c>
      <c r="H2547" t="n">
        <v>33</v>
      </c>
      <c r="I2547">
        <f>B2547&amp;"|"&amp;F2547&amp;"|"&amp;G2547</f>
        <v/>
      </c>
      <c r="J2547" t="inlineStr">
        <is>
          <t>MVS Sec.17 p.41</t>
        </is>
      </c>
    </row>
    <row r="2548">
      <c r="B2548" t="inlineStr">
        <is>
          <t>Hog Barns – Finishing</t>
        </is>
      </c>
      <c r="C2548" t="inlineStr">
        <is>
          <t>111</t>
        </is>
      </c>
      <c r="D2548" t="inlineStr">
        <is>
          <t>17</t>
        </is>
      </c>
      <c r="E2548" t="inlineStr">
        <is>
          <t>41</t>
        </is>
      </c>
      <c r="F2548" t="inlineStr">
        <is>
          <t>D</t>
        </is>
      </c>
      <c r="G2548" t="inlineStr">
        <is>
          <t>Low Cost</t>
        </is>
      </c>
      <c r="H2548" t="n">
        <v>28.5</v>
      </c>
      <c r="I2548">
        <f>B2548&amp;"|"&amp;F2548&amp;"|"&amp;G2548</f>
        <v/>
      </c>
      <c r="J2548" t="inlineStr">
        <is>
          <t>MVS Sec.17 p.41</t>
        </is>
      </c>
    </row>
    <row r="2549">
      <c r="B2549" t="inlineStr">
        <is>
          <t>Hog Barns – Finishing</t>
        </is>
      </c>
      <c r="C2549" t="inlineStr">
        <is>
          <t>111</t>
        </is>
      </c>
      <c r="D2549" t="inlineStr">
        <is>
          <t>17</t>
        </is>
      </c>
      <c r="E2549" t="inlineStr">
        <is>
          <t>41</t>
        </is>
      </c>
      <c r="F2549" t="inlineStr">
        <is>
          <t>D</t>
        </is>
      </c>
      <c r="G2549" t="inlineStr">
        <is>
          <t>Cheap</t>
        </is>
      </c>
      <c r="H2549" t="n">
        <v>17.45</v>
      </c>
      <c r="I2549">
        <f>B2549&amp;"|"&amp;F2549&amp;"|"&amp;G2549</f>
        <v/>
      </c>
      <c r="J2549" t="inlineStr">
        <is>
          <t>MVS Sec.17 p.41</t>
        </is>
      </c>
    </row>
    <row r="2550">
      <c r="B2550" t="inlineStr">
        <is>
          <t>Hog Barns – Finishing</t>
        </is>
      </c>
      <c r="C2550" t="inlineStr">
        <is>
          <t>111</t>
        </is>
      </c>
      <c r="D2550" t="inlineStr">
        <is>
          <t>17</t>
        </is>
      </c>
      <c r="E2550" t="inlineStr">
        <is>
          <t>41</t>
        </is>
      </c>
      <c r="F2550" t="inlineStr">
        <is>
          <t>DPOLE</t>
        </is>
      </c>
      <c r="G2550" t="inlineStr">
        <is>
          <t>Average</t>
        </is>
      </c>
      <c r="H2550" t="n">
        <v>31.25</v>
      </c>
      <c r="I2550">
        <f>B2550&amp;"|"&amp;F2550&amp;"|"&amp;G2550</f>
        <v/>
      </c>
      <c r="J2550" t="inlineStr">
        <is>
          <t>MVS Sec.17 p.41</t>
        </is>
      </c>
    </row>
    <row r="2551">
      <c r="B2551" t="inlineStr">
        <is>
          <t>Hog Barns – Finishing</t>
        </is>
      </c>
      <c r="C2551" t="inlineStr">
        <is>
          <t>111</t>
        </is>
      </c>
      <c r="D2551" t="inlineStr">
        <is>
          <t>17</t>
        </is>
      </c>
      <c r="E2551" t="inlineStr">
        <is>
          <t>41</t>
        </is>
      </c>
      <c r="F2551" t="inlineStr">
        <is>
          <t>DPOLE</t>
        </is>
      </c>
      <c r="G2551" t="inlineStr">
        <is>
          <t>Low Cost</t>
        </is>
      </c>
      <c r="H2551" t="n">
        <v>27.25</v>
      </c>
      <c r="I2551">
        <f>B2551&amp;"|"&amp;F2551&amp;"|"&amp;G2551</f>
        <v/>
      </c>
      <c r="J2551" t="inlineStr">
        <is>
          <t>MVS Sec.17 p.41</t>
        </is>
      </c>
    </row>
    <row r="2552">
      <c r="B2552" t="inlineStr">
        <is>
          <t>Hog Barns – Finishing</t>
        </is>
      </c>
      <c r="C2552" t="inlineStr">
        <is>
          <t>111</t>
        </is>
      </c>
      <c r="D2552" t="inlineStr">
        <is>
          <t>17</t>
        </is>
      </c>
      <c r="E2552" t="inlineStr">
        <is>
          <t>41</t>
        </is>
      </c>
      <c r="F2552" t="inlineStr">
        <is>
          <t>DPOLE</t>
        </is>
      </c>
      <c r="G2552" t="inlineStr">
        <is>
          <t>Cheap</t>
        </is>
      </c>
      <c r="H2552" t="n">
        <v>16</v>
      </c>
      <c r="I2552">
        <f>B2552&amp;"|"&amp;F2552&amp;"|"&amp;G2552</f>
        <v/>
      </c>
      <c r="J2552" t="inlineStr">
        <is>
          <t>MVS Sec.17 p.41</t>
        </is>
      </c>
    </row>
    <row r="2553">
      <c r="B2553" t="inlineStr">
        <is>
          <t>Hog Barns – Finishing</t>
        </is>
      </c>
      <c r="C2553" t="inlineStr">
        <is>
          <t>111</t>
        </is>
      </c>
      <c r="D2553" t="inlineStr">
        <is>
          <t>17</t>
        </is>
      </c>
      <c r="E2553" t="inlineStr">
        <is>
          <t>41</t>
        </is>
      </c>
      <c r="F2553" t="inlineStr">
        <is>
          <t>S</t>
        </is>
      </c>
      <c r="G2553" t="inlineStr">
        <is>
          <t>Average</t>
        </is>
      </c>
      <c r="H2553" t="n">
        <v>33</v>
      </c>
      <c r="I2553">
        <f>B2553&amp;"|"&amp;F2553&amp;"|"&amp;G2553</f>
        <v/>
      </c>
      <c r="J2553" t="inlineStr">
        <is>
          <t>MVS Sec.17 p.41</t>
        </is>
      </c>
    </row>
    <row r="2554">
      <c r="B2554" t="inlineStr">
        <is>
          <t>Hog Barns – Finishing</t>
        </is>
      </c>
      <c r="C2554" t="inlineStr">
        <is>
          <t>111</t>
        </is>
      </c>
      <c r="D2554" t="inlineStr">
        <is>
          <t>17</t>
        </is>
      </c>
      <c r="E2554" t="inlineStr">
        <is>
          <t>41</t>
        </is>
      </c>
      <c r="F2554" t="inlineStr">
        <is>
          <t>S</t>
        </is>
      </c>
      <c r="G2554" t="inlineStr">
        <is>
          <t>Low Cost</t>
        </is>
      </c>
      <c r="H2554" t="n">
        <v>28.75</v>
      </c>
      <c r="I2554">
        <f>B2554&amp;"|"&amp;F2554&amp;"|"&amp;G2554</f>
        <v/>
      </c>
      <c r="J2554" t="inlineStr">
        <is>
          <t>MVS Sec.17 p.41</t>
        </is>
      </c>
    </row>
    <row r="2555">
      <c r="B2555" t="inlineStr">
        <is>
          <t>Hog Barns – Finishing</t>
        </is>
      </c>
      <c r="C2555" t="inlineStr">
        <is>
          <t>111</t>
        </is>
      </c>
      <c r="D2555" t="inlineStr">
        <is>
          <t>17</t>
        </is>
      </c>
      <c r="E2555" t="inlineStr">
        <is>
          <t>41</t>
        </is>
      </c>
      <c r="F2555" t="inlineStr">
        <is>
          <t>S</t>
        </is>
      </c>
      <c r="G2555" t="inlineStr">
        <is>
          <t>Cheap</t>
        </is>
      </c>
      <c r="H2555" t="n">
        <v>18</v>
      </c>
      <c r="I2555">
        <f>B2555&amp;"|"&amp;F2555&amp;"|"&amp;G2555</f>
        <v/>
      </c>
      <c r="J2555" t="inlineStr">
        <is>
          <t>MVS Sec.17 p.41</t>
        </is>
      </c>
    </row>
    <row r="2556">
      <c r="B2556" t="inlineStr">
        <is>
          <t>Modified Hog Sheds</t>
        </is>
      </c>
      <c r="C2556" t="inlineStr">
        <is>
          <t>429</t>
        </is>
      </c>
      <c r="D2556" t="inlineStr">
        <is>
          <t>17</t>
        </is>
      </c>
      <c r="E2556" t="inlineStr">
        <is>
          <t>42</t>
        </is>
      </c>
      <c r="F2556" t="inlineStr">
        <is>
          <t>C</t>
        </is>
      </c>
      <c r="G2556" t="inlineStr">
        <is>
          <t>Average</t>
        </is>
      </c>
      <c r="H2556" t="n">
        <v>38.75</v>
      </c>
      <c r="I2556">
        <f>B2556&amp;"|"&amp;F2556&amp;"|"&amp;G2556</f>
        <v/>
      </c>
      <c r="J2556" t="inlineStr">
        <is>
          <t>MVS Sec.17 p.42</t>
        </is>
      </c>
    </row>
    <row r="2557">
      <c r="B2557" t="inlineStr">
        <is>
          <t>Modified Hog Sheds</t>
        </is>
      </c>
      <c r="C2557" t="inlineStr">
        <is>
          <t>429</t>
        </is>
      </c>
      <c r="D2557" t="inlineStr">
        <is>
          <t>17</t>
        </is>
      </c>
      <c r="E2557" t="inlineStr">
        <is>
          <t>42</t>
        </is>
      </c>
      <c r="F2557" t="inlineStr">
        <is>
          <t>C</t>
        </is>
      </c>
      <c r="G2557" t="inlineStr">
        <is>
          <t>Low Cost</t>
        </is>
      </c>
      <c r="H2557" t="n">
        <v>34.25</v>
      </c>
      <c r="I2557">
        <f>B2557&amp;"|"&amp;F2557&amp;"|"&amp;G2557</f>
        <v/>
      </c>
      <c r="J2557" t="inlineStr">
        <is>
          <t>MVS Sec.17 p.42</t>
        </is>
      </c>
    </row>
    <row r="2558">
      <c r="B2558" t="inlineStr">
        <is>
          <t>Modified Hog Sheds</t>
        </is>
      </c>
      <c r="C2558" t="inlineStr">
        <is>
          <t>429</t>
        </is>
      </c>
      <c r="D2558" t="inlineStr">
        <is>
          <t>17</t>
        </is>
      </c>
      <c r="E2558" t="inlineStr">
        <is>
          <t>42</t>
        </is>
      </c>
      <c r="F2558" t="inlineStr">
        <is>
          <t>D</t>
        </is>
      </c>
      <c r="G2558" t="inlineStr">
        <is>
          <t>Average</t>
        </is>
      </c>
      <c r="H2558" t="n">
        <v>32.25</v>
      </c>
      <c r="I2558">
        <f>B2558&amp;"|"&amp;F2558&amp;"|"&amp;G2558</f>
        <v/>
      </c>
      <c r="J2558" t="inlineStr">
        <is>
          <t>MVS Sec.17 p.42</t>
        </is>
      </c>
    </row>
    <row r="2559">
      <c r="B2559" t="inlineStr">
        <is>
          <t>Modified Hog Sheds</t>
        </is>
      </c>
      <c r="C2559" t="inlineStr">
        <is>
          <t>429</t>
        </is>
      </c>
      <c r="D2559" t="inlineStr">
        <is>
          <t>17</t>
        </is>
      </c>
      <c r="E2559" t="inlineStr">
        <is>
          <t>42</t>
        </is>
      </c>
      <c r="F2559" t="inlineStr">
        <is>
          <t>D</t>
        </is>
      </c>
      <c r="G2559" t="inlineStr">
        <is>
          <t>Low Cost</t>
        </is>
      </c>
      <c r="H2559" t="n">
        <v>28</v>
      </c>
      <c r="I2559">
        <f>B2559&amp;"|"&amp;F2559&amp;"|"&amp;G2559</f>
        <v/>
      </c>
      <c r="J2559" t="inlineStr">
        <is>
          <t>MVS Sec.17 p.42</t>
        </is>
      </c>
    </row>
    <row r="2560">
      <c r="B2560" t="inlineStr">
        <is>
          <t>Modified Hog Sheds</t>
        </is>
      </c>
      <c r="C2560" t="inlineStr">
        <is>
          <t>429</t>
        </is>
      </c>
      <c r="D2560" t="inlineStr">
        <is>
          <t>17</t>
        </is>
      </c>
      <c r="E2560" t="inlineStr">
        <is>
          <t>42</t>
        </is>
      </c>
      <c r="F2560" t="inlineStr">
        <is>
          <t>DPOLE</t>
        </is>
      </c>
      <c r="G2560" t="inlineStr">
        <is>
          <t>Average</t>
        </is>
      </c>
      <c r="H2560" t="n">
        <v>30.25</v>
      </c>
      <c r="I2560">
        <f>B2560&amp;"|"&amp;F2560&amp;"|"&amp;G2560</f>
        <v/>
      </c>
      <c r="J2560" t="inlineStr">
        <is>
          <t>MVS Sec.17 p.42</t>
        </is>
      </c>
    </row>
    <row r="2561">
      <c r="B2561" t="inlineStr">
        <is>
          <t>Modified Hog Sheds</t>
        </is>
      </c>
      <c r="C2561" t="inlineStr">
        <is>
          <t>429</t>
        </is>
      </c>
      <c r="D2561" t="inlineStr">
        <is>
          <t>17</t>
        </is>
      </c>
      <c r="E2561" t="inlineStr">
        <is>
          <t>42</t>
        </is>
      </c>
      <c r="F2561" t="inlineStr">
        <is>
          <t>DPOLE</t>
        </is>
      </c>
      <c r="G2561" t="inlineStr">
        <is>
          <t>Low Cost</t>
        </is>
      </c>
      <c r="H2561" t="n">
        <v>27</v>
      </c>
      <c r="I2561">
        <f>B2561&amp;"|"&amp;F2561&amp;"|"&amp;G2561</f>
        <v/>
      </c>
      <c r="J2561" t="inlineStr">
        <is>
          <t>MVS Sec.17 p.42</t>
        </is>
      </c>
    </row>
    <row r="2562">
      <c r="B2562" t="inlineStr">
        <is>
          <t>Modified Hog Sheds</t>
        </is>
      </c>
      <c r="C2562" t="inlineStr">
        <is>
          <t>429</t>
        </is>
      </c>
      <c r="D2562" t="inlineStr">
        <is>
          <t>17</t>
        </is>
      </c>
      <c r="E2562" t="inlineStr">
        <is>
          <t>42</t>
        </is>
      </c>
      <c r="F2562" t="inlineStr">
        <is>
          <t>S</t>
        </is>
      </c>
      <c r="G2562" t="inlineStr">
        <is>
          <t>Average</t>
        </is>
      </c>
      <c r="H2562" t="n">
        <v>32.5</v>
      </c>
      <c r="I2562">
        <f>B2562&amp;"|"&amp;F2562&amp;"|"&amp;G2562</f>
        <v/>
      </c>
      <c r="J2562" t="inlineStr">
        <is>
          <t>MVS Sec.17 p.42</t>
        </is>
      </c>
    </row>
    <row r="2563">
      <c r="B2563" t="inlineStr">
        <is>
          <t>Modified Hog Sheds</t>
        </is>
      </c>
      <c r="C2563" t="inlineStr">
        <is>
          <t>429</t>
        </is>
      </c>
      <c r="D2563" t="inlineStr">
        <is>
          <t>17</t>
        </is>
      </c>
      <c r="E2563" t="inlineStr">
        <is>
          <t>42</t>
        </is>
      </c>
      <c r="F2563" t="inlineStr">
        <is>
          <t>S</t>
        </is>
      </c>
      <c r="G2563" t="inlineStr">
        <is>
          <t>Low Cost</t>
        </is>
      </c>
      <c r="H2563" t="n">
        <v>28.5</v>
      </c>
      <c r="I2563">
        <f>B2563&amp;"|"&amp;F2563&amp;"|"&amp;G2563</f>
        <v/>
      </c>
      <c r="J2563" t="inlineStr">
        <is>
          <t>MVS Sec.17 p.42</t>
        </is>
      </c>
    </row>
    <row r="2564">
      <c r="B2564" t="inlineStr">
        <is>
          <t>Hog Sheds</t>
        </is>
      </c>
      <c r="C2564" t="inlineStr">
        <is>
          <t>430</t>
        </is>
      </c>
      <c r="D2564" t="inlineStr">
        <is>
          <t>17</t>
        </is>
      </c>
      <c r="E2564" t="inlineStr">
        <is>
          <t>42</t>
        </is>
      </c>
      <c r="F2564" t="inlineStr">
        <is>
          <t>D</t>
        </is>
      </c>
      <c r="G2564" t="inlineStr">
        <is>
          <t>Average</t>
        </is>
      </c>
      <c r="H2564" t="n">
        <v>25.5</v>
      </c>
      <c r="I2564">
        <f>B2564&amp;"|"&amp;F2564&amp;"|"&amp;G2564</f>
        <v/>
      </c>
      <c r="J2564" t="inlineStr">
        <is>
          <t>MVS Sec.17 p.42</t>
        </is>
      </c>
    </row>
    <row r="2565">
      <c r="B2565" t="inlineStr">
        <is>
          <t>Hog Sheds</t>
        </is>
      </c>
      <c r="C2565" t="inlineStr">
        <is>
          <t>430</t>
        </is>
      </c>
      <c r="D2565" t="inlineStr">
        <is>
          <t>17</t>
        </is>
      </c>
      <c r="E2565" t="inlineStr">
        <is>
          <t>42</t>
        </is>
      </c>
      <c r="F2565" t="inlineStr">
        <is>
          <t>D</t>
        </is>
      </c>
      <c r="G2565" t="inlineStr">
        <is>
          <t>Low Cost</t>
        </is>
      </c>
      <c r="H2565" t="n">
        <v>22</v>
      </c>
      <c r="I2565">
        <f>B2565&amp;"|"&amp;F2565&amp;"|"&amp;G2565</f>
        <v/>
      </c>
      <c r="J2565" t="inlineStr">
        <is>
          <t>MVS Sec.17 p.42</t>
        </is>
      </c>
    </row>
    <row r="2566">
      <c r="B2566" t="inlineStr">
        <is>
          <t>Hog Sheds</t>
        </is>
      </c>
      <c r="C2566" t="inlineStr">
        <is>
          <t>430</t>
        </is>
      </c>
      <c r="D2566" t="inlineStr">
        <is>
          <t>17</t>
        </is>
      </c>
      <c r="E2566" t="inlineStr">
        <is>
          <t>42</t>
        </is>
      </c>
      <c r="F2566" t="inlineStr">
        <is>
          <t>D</t>
        </is>
      </c>
      <c r="G2566" t="inlineStr">
        <is>
          <t>Cheap</t>
        </is>
      </c>
      <c r="H2566" t="n">
        <v>16.25</v>
      </c>
      <c r="I2566">
        <f>B2566&amp;"|"&amp;F2566&amp;"|"&amp;G2566</f>
        <v/>
      </c>
      <c r="J2566" t="inlineStr">
        <is>
          <t>MVS Sec.17 p.42</t>
        </is>
      </c>
    </row>
    <row r="2567">
      <c r="B2567" t="inlineStr">
        <is>
          <t>Hog Sheds</t>
        </is>
      </c>
      <c r="C2567" t="inlineStr">
        <is>
          <t>430</t>
        </is>
      </c>
      <c r="D2567" t="inlineStr">
        <is>
          <t>17</t>
        </is>
      </c>
      <c r="E2567" t="inlineStr">
        <is>
          <t>42</t>
        </is>
      </c>
      <c r="F2567" t="inlineStr">
        <is>
          <t>DPOLE</t>
        </is>
      </c>
      <c r="G2567" t="inlineStr">
        <is>
          <t>Average</t>
        </is>
      </c>
      <c r="H2567" t="n">
        <v>23.6</v>
      </c>
      <c r="I2567">
        <f>B2567&amp;"|"&amp;F2567&amp;"|"&amp;G2567</f>
        <v/>
      </c>
      <c r="J2567" t="inlineStr">
        <is>
          <t>MVS Sec.17 p.42</t>
        </is>
      </c>
    </row>
    <row r="2568">
      <c r="B2568" t="inlineStr">
        <is>
          <t>Hog Sheds</t>
        </is>
      </c>
      <c r="C2568" t="inlineStr">
        <is>
          <t>430</t>
        </is>
      </c>
      <c r="D2568" t="inlineStr">
        <is>
          <t>17</t>
        </is>
      </c>
      <c r="E2568" t="inlineStr">
        <is>
          <t>42</t>
        </is>
      </c>
      <c r="F2568" t="inlineStr">
        <is>
          <t>DPOLE</t>
        </is>
      </c>
      <c r="G2568" t="inlineStr">
        <is>
          <t>Low Cost</t>
        </is>
      </c>
      <c r="H2568" t="n">
        <v>20.3</v>
      </c>
      <c r="I2568">
        <f>B2568&amp;"|"&amp;F2568&amp;"|"&amp;G2568</f>
        <v/>
      </c>
      <c r="J2568" t="inlineStr">
        <is>
          <t>MVS Sec.17 p.42</t>
        </is>
      </c>
    </row>
    <row r="2569">
      <c r="B2569" t="inlineStr">
        <is>
          <t>Hog Sheds</t>
        </is>
      </c>
      <c r="C2569" t="inlineStr">
        <is>
          <t>430</t>
        </is>
      </c>
      <c r="D2569" t="inlineStr">
        <is>
          <t>17</t>
        </is>
      </c>
      <c r="E2569" t="inlineStr">
        <is>
          <t>42</t>
        </is>
      </c>
      <c r="F2569" t="inlineStr">
        <is>
          <t>DPOLE</t>
        </is>
      </c>
      <c r="G2569" t="inlineStr">
        <is>
          <t>Cheap</t>
        </is>
      </c>
      <c r="H2569" t="n">
        <v>14.75</v>
      </c>
      <c r="I2569">
        <f>B2569&amp;"|"&amp;F2569&amp;"|"&amp;G2569</f>
        <v/>
      </c>
      <c r="J2569" t="inlineStr">
        <is>
          <t>MVS Sec.17 p.42</t>
        </is>
      </c>
    </row>
    <row r="2570">
      <c r="B2570" t="inlineStr">
        <is>
          <t>Hog Sheds</t>
        </is>
      </c>
      <c r="C2570" t="inlineStr">
        <is>
          <t>430</t>
        </is>
      </c>
      <c r="D2570" t="inlineStr">
        <is>
          <t>17</t>
        </is>
      </c>
      <c r="E2570" t="inlineStr">
        <is>
          <t>42</t>
        </is>
      </c>
      <c r="F2570" t="inlineStr">
        <is>
          <t>DHOOP</t>
        </is>
      </c>
      <c r="G2570" t="inlineStr">
        <is>
          <t>Average</t>
        </is>
      </c>
      <c r="H2570" t="n">
        <v>15.25</v>
      </c>
      <c r="I2570">
        <f>B2570&amp;"|"&amp;F2570&amp;"|"&amp;G2570</f>
        <v/>
      </c>
      <c r="J2570" t="inlineStr">
        <is>
          <t>MVS Sec.17 p.42</t>
        </is>
      </c>
    </row>
    <row r="2571">
      <c r="B2571" t="inlineStr">
        <is>
          <t>Hog Sheds</t>
        </is>
      </c>
      <c r="C2571" t="inlineStr">
        <is>
          <t>430</t>
        </is>
      </c>
      <c r="D2571" t="inlineStr">
        <is>
          <t>17</t>
        </is>
      </c>
      <c r="E2571" t="inlineStr">
        <is>
          <t>42</t>
        </is>
      </c>
      <c r="F2571" t="inlineStr">
        <is>
          <t>DHOOP</t>
        </is>
      </c>
      <c r="G2571" t="inlineStr">
        <is>
          <t>Low Cost</t>
        </is>
      </c>
      <c r="H2571" t="n">
        <v>12.4</v>
      </c>
      <c r="I2571">
        <f>B2571&amp;"|"&amp;F2571&amp;"|"&amp;G2571</f>
        <v/>
      </c>
      <c r="J2571" t="inlineStr">
        <is>
          <t>MVS Sec.17 p.42</t>
        </is>
      </c>
    </row>
    <row r="2572">
      <c r="B2572" t="inlineStr">
        <is>
          <t>Hog Sheds</t>
        </is>
      </c>
      <c r="C2572" t="inlineStr">
        <is>
          <t>430</t>
        </is>
      </c>
      <c r="D2572" t="inlineStr">
        <is>
          <t>17</t>
        </is>
      </c>
      <c r="E2572" t="inlineStr">
        <is>
          <t>42</t>
        </is>
      </c>
      <c r="F2572" t="inlineStr">
        <is>
          <t>DHOOP</t>
        </is>
      </c>
      <c r="G2572" t="inlineStr">
        <is>
          <t>Cheap</t>
        </is>
      </c>
      <c r="H2572" t="n">
        <v>11.15</v>
      </c>
      <c r="I2572">
        <f>B2572&amp;"|"&amp;F2572&amp;"|"&amp;G2572</f>
        <v/>
      </c>
      <c r="J2572" t="inlineStr">
        <is>
          <t>MVS Sec.17 p.42</t>
        </is>
      </c>
    </row>
    <row r="2573">
      <c r="B2573" t="inlineStr">
        <is>
          <t>Hog Sheds</t>
        </is>
      </c>
      <c r="C2573" t="inlineStr">
        <is>
          <t>430</t>
        </is>
      </c>
      <c r="D2573" t="inlineStr">
        <is>
          <t>17</t>
        </is>
      </c>
      <c r="E2573" t="inlineStr">
        <is>
          <t>42</t>
        </is>
      </c>
      <c r="F2573" t="inlineStr">
        <is>
          <t>S</t>
        </is>
      </c>
      <c r="G2573" t="inlineStr">
        <is>
          <t>Average</t>
        </is>
      </c>
      <c r="H2573" t="n">
        <v>25.75</v>
      </c>
      <c r="I2573">
        <f>B2573&amp;"|"&amp;F2573&amp;"|"&amp;G2573</f>
        <v/>
      </c>
      <c r="J2573" t="inlineStr">
        <is>
          <t>MVS Sec.17 p.42</t>
        </is>
      </c>
    </row>
    <row r="2574">
      <c r="B2574" t="inlineStr">
        <is>
          <t>Hog Sheds</t>
        </is>
      </c>
      <c r="C2574" t="inlineStr">
        <is>
          <t>430</t>
        </is>
      </c>
      <c r="D2574" t="inlineStr">
        <is>
          <t>17</t>
        </is>
      </c>
      <c r="E2574" t="inlineStr">
        <is>
          <t>42</t>
        </is>
      </c>
      <c r="F2574" t="inlineStr">
        <is>
          <t>S</t>
        </is>
      </c>
      <c r="G2574" t="inlineStr">
        <is>
          <t>Low Cost</t>
        </is>
      </c>
      <c r="H2574" t="n">
        <v>22.05</v>
      </c>
      <c r="I2574">
        <f>B2574&amp;"|"&amp;F2574&amp;"|"&amp;G2574</f>
        <v/>
      </c>
      <c r="J2574" t="inlineStr">
        <is>
          <t>MVS Sec.17 p.42</t>
        </is>
      </c>
    </row>
    <row r="2575">
      <c r="B2575" t="inlineStr">
        <is>
          <t>Hog Sheds</t>
        </is>
      </c>
      <c r="C2575" t="inlineStr">
        <is>
          <t>430</t>
        </is>
      </c>
      <c r="D2575" t="inlineStr">
        <is>
          <t>17</t>
        </is>
      </c>
      <c r="E2575" t="inlineStr">
        <is>
          <t>42</t>
        </is>
      </c>
      <c r="F2575" t="inlineStr">
        <is>
          <t>S</t>
        </is>
      </c>
      <c r="G2575" t="inlineStr">
        <is>
          <t>Cheap</t>
        </is>
      </c>
      <c r="H2575" t="n">
        <v>16.5</v>
      </c>
      <c r="I2575">
        <f>B2575&amp;"|"&amp;F2575&amp;"|"&amp;G2575</f>
        <v/>
      </c>
      <c r="J2575" t="inlineStr">
        <is>
          <t>MVS Sec.17 p.42</t>
        </is>
      </c>
    </row>
    <row r="2576">
      <c r="B2576" t="inlineStr">
        <is>
          <t>Hog Sheds</t>
        </is>
      </c>
      <c r="C2576" t="inlineStr">
        <is>
          <t>430</t>
        </is>
      </c>
      <c r="D2576" t="inlineStr">
        <is>
          <t>17</t>
        </is>
      </c>
      <c r="E2576" t="inlineStr">
        <is>
          <t>42</t>
        </is>
      </c>
      <c r="F2576" t="inlineStr">
        <is>
          <t>SSLANT</t>
        </is>
      </c>
      <c r="G2576" t="inlineStr">
        <is>
          <t>Low Cost</t>
        </is>
      </c>
      <c r="H2576" t="n">
        <v>20.6</v>
      </c>
      <c r="I2576">
        <f>B2576&amp;"|"&amp;F2576&amp;"|"&amp;G2576</f>
        <v/>
      </c>
      <c r="J2576" t="inlineStr">
        <is>
          <t>MVS Sec.17 p.42</t>
        </is>
      </c>
    </row>
    <row r="2577">
      <c r="B2577" t="inlineStr">
        <is>
          <t>Hog Sheds</t>
        </is>
      </c>
      <c r="C2577" t="inlineStr">
        <is>
          <t>430</t>
        </is>
      </c>
      <c r="D2577" t="inlineStr">
        <is>
          <t>17</t>
        </is>
      </c>
      <c r="E2577" t="inlineStr">
        <is>
          <t>42</t>
        </is>
      </c>
      <c r="F2577" t="inlineStr">
        <is>
          <t>SSLANT</t>
        </is>
      </c>
      <c r="G2577" t="inlineStr">
        <is>
          <t>Cheap</t>
        </is>
      </c>
      <c r="H2577" t="n">
        <v>15.4</v>
      </c>
      <c r="I2577">
        <f>B2577&amp;"|"&amp;F2577&amp;"|"&amp;G2577</f>
        <v/>
      </c>
      <c r="J2577" t="inlineStr">
        <is>
          <t>MVS Sec.17 p.42</t>
        </is>
      </c>
    </row>
    <row r="2578">
      <c r="B2578" t="inlineStr">
        <is>
          <t>Sheep Barns</t>
        </is>
      </c>
      <c r="C2578" t="inlineStr">
        <is>
          <t>397</t>
        </is>
      </c>
      <c r="D2578" t="inlineStr">
        <is>
          <t>17</t>
        </is>
      </c>
      <c r="E2578" t="inlineStr">
        <is>
          <t>44</t>
        </is>
      </c>
      <c r="F2578" t="inlineStr">
        <is>
          <t>D</t>
        </is>
      </c>
      <c r="G2578" t="inlineStr">
        <is>
          <t>Good</t>
        </is>
      </c>
      <c r="H2578" t="n">
        <v>42.5</v>
      </c>
      <c r="I2578">
        <f>B2578&amp;"|"&amp;F2578&amp;"|"&amp;G2578</f>
        <v/>
      </c>
      <c r="J2578" t="inlineStr">
        <is>
          <t>MVS Sec.17 p.44</t>
        </is>
      </c>
    </row>
    <row r="2579">
      <c r="B2579" t="inlineStr">
        <is>
          <t>Sheep Barns</t>
        </is>
      </c>
      <c r="C2579" t="inlineStr">
        <is>
          <t>397</t>
        </is>
      </c>
      <c r="D2579" t="inlineStr">
        <is>
          <t>17</t>
        </is>
      </c>
      <c r="E2579" t="inlineStr">
        <is>
          <t>44</t>
        </is>
      </c>
      <c r="F2579" t="inlineStr">
        <is>
          <t>D</t>
        </is>
      </c>
      <c r="G2579" t="inlineStr">
        <is>
          <t>Average</t>
        </is>
      </c>
      <c r="H2579" t="n">
        <v>33.25</v>
      </c>
      <c r="I2579">
        <f>B2579&amp;"|"&amp;F2579&amp;"|"&amp;G2579</f>
        <v/>
      </c>
      <c r="J2579" t="inlineStr">
        <is>
          <t>MVS Sec.17 p.44</t>
        </is>
      </c>
    </row>
    <row r="2580">
      <c r="B2580" t="inlineStr">
        <is>
          <t>Sheep Barns</t>
        </is>
      </c>
      <c r="C2580" t="inlineStr">
        <is>
          <t>397</t>
        </is>
      </c>
      <c r="D2580" t="inlineStr">
        <is>
          <t>17</t>
        </is>
      </c>
      <c r="E2580" t="inlineStr">
        <is>
          <t>44</t>
        </is>
      </c>
      <c r="F2580" t="inlineStr">
        <is>
          <t>DPOLE</t>
        </is>
      </c>
      <c r="G2580" t="inlineStr">
        <is>
          <t>Good</t>
        </is>
      </c>
      <c r="H2580" t="n">
        <v>37</v>
      </c>
      <c r="I2580">
        <f>B2580&amp;"|"&amp;F2580&amp;"|"&amp;G2580</f>
        <v/>
      </c>
      <c r="J2580" t="inlineStr">
        <is>
          <t>MVS Sec.17 p.44</t>
        </is>
      </c>
    </row>
    <row r="2581">
      <c r="B2581" t="inlineStr">
        <is>
          <t>Sheep Barns</t>
        </is>
      </c>
      <c r="C2581" t="inlineStr">
        <is>
          <t>397</t>
        </is>
      </c>
      <c r="D2581" t="inlineStr">
        <is>
          <t>17</t>
        </is>
      </c>
      <c r="E2581" t="inlineStr">
        <is>
          <t>44</t>
        </is>
      </c>
      <c r="F2581" t="inlineStr">
        <is>
          <t>DPOLE</t>
        </is>
      </c>
      <c r="G2581" t="inlineStr">
        <is>
          <t>Average</t>
        </is>
      </c>
      <c r="H2581" t="n">
        <v>29</v>
      </c>
      <c r="I2581">
        <f>B2581&amp;"|"&amp;F2581&amp;"|"&amp;G2581</f>
        <v/>
      </c>
      <c r="J2581" t="inlineStr">
        <is>
          <t>MVS Sec.17 p.44</t>
        </is>
      </c>
    </row>
    <row r="2582">
      <c r="B2582" t="inlineStr">
        <is>
          <t>Sheep Barns</t>
        </is>
      </c>
      <c r="C2582" t="inlineStr">
        <is>
          <t>397</t>
        </is>
      </c>
      <c r="D2582" t="inlineStr">
        <is>
          <t>17</t>
        </is>
      </c>
      <c r="E2582" t="inlineStr">
        <is>
          <t>44</t>
        </is>
      </c>
      <c r="F2582" t="inlineStr">
        <is>
          <t>S</t>
        </is>
      </c>
      <c r="G2582" t="inlineStr">
        <is>
          <t>Good</t>
        </is>
      </c>
      <c r="H2582" t="n">
        <v>40.25</v>
      </c>
      <c r="I2582">
        <f>B2582&amp;"|"&amp;F2582&amp;"|"&amp;G2582</f>
        <v/>
      </c>
      <c r="J2582" t="inlineStr">
        <is>
          <t>MVS Sec.17 p.44</t>
        </is>
      </c>
    </row>
    <row r="2583">
      <c r="B2583" t="inlineStr">
        <is>
          <t>Sheep Barns</t>
        </is>
      </c>
      <c r="C2583" t="inlineStr">
        <is>
          <t>397</t>
        </is>
      </c>
      <c r="D2583" t="inlineStr">
        <is>
          <t>17</t>
        </is>
      </c>
      <c r="E2583" t="inlineStr">
        <is>
          <t>44</t>
        </is>
      </c>
      <c r="F2583" t="inlineStr">
        <is>
          <t>S</t>
        </is>
      </c>
      <c r="G2583" t="inlineStr">
        <is>
          <t>Average</t>
        </is>
      </c>
      <c r="H2583" t="n">
        <v>32.5</v>
      </c>
      <c r="I2583">
        <f>B2583&amp;"|"&amp;F2583&amp;"|"&amp;G2583</f>
        <v/>
      </c>
      <c r="J2583" t="inlineStr">
        <is>
          <t>MVS Sec.17 p.44</t>
        </is>
      </c>
    </row>
    <row r="2584">
      <c r="B2584" t="inlineStr">
        <is>
          <t>Sheep Sheds</t>
        </is>
      </c>
      <c r="C2584" t="inlineStr">
        <is>
          <t>120</t>
        </is>
      </c>
      <c r="D2584" t="inlineStr">
        <is>
          <t>17</t>
        </is>
      </c>
      <c r="E2584" t="inlineStr">
        <is>
          <t>44</t>
        </is>
      </c>
      <c r="F2584" t="inlineStr">
        <is>
          <t>D</t>
        </is>
      </c>
      <c r="G2584" t="inlineStr">
        <is>
          <t>Good</t>
        </is>
      </c>
      <c r="H2584" t="n">
        <v>22.9</v>
      </c>
      <c r="I2584">
        <f>B2584&amp;"|"&amp;F2584&amp;"|"&amp;G2584</f>
        <v/>
      </c>
      <c r="J2584" t="inlineStr">
        <is>
          <t>MVS Sec.17 p.44</t>
        </is>
      </c>
    </row>
    <row r="2585">
      <c r="B2585" t="inlineStr">
        <is>
          <t>Sheep Sheds</t>
        </is>
      </c>
      <c r="C2585" t="inlineStr">
        <is>
          <t>120</t>
        </is>
      </c>
      <c r="D2585" t="inlineStr">
        <is>
          <t>17</t>
        </is>
      </c>
      <c r="E2585" t="inlineStr">
        <is>
          <t>44</t>
        </is>
      </c>
      <c r="F2585" t="inlineStr">
        <is>
          <t>D</t>
        </is>
      </c>
      <c r="G2585" t="inlineStr">
        <is>
          <t>Average</t>
        </is>
      </c>
      <c r="H2585" t="n">
        <v>18.3</v>
      </c>
      <c r="I2585">
        <f>B2585&amp;"|"&amp;F2585&amp;"|"&amp;G2585</f>
        <v/>
      </c>
      <c r="J2585" t="inlineStr">
        <is>
          <t>MVS Sec.17 p.44</t>
        </is>
      </c>
    </row>
    <row r="2586">
      <c r="B2586" t="inlineStr">
        <is>
          <t>Sheep Sheds</t>
        </is>
      </c>
      <c r="C2586" t="inlineStr">
        <is>
          <t>120</t>
        </is>
      </c>
      <c r="D2586" t="inlineStr">
        <is>
          <t>17</t>
        </is>
      </c>
      <c r="E2586" t="inlineStr">
        <is>
          <t>44</t>
        </is>
      </c>
      <c r="F2586" t="inlineStr">
        <is>
          <t>D</t>
        </is>
      </c>
      <c r="G2586" t="inlineStr">
        <is>
          <t>Low Cost</t>
        </is>
      </c>
      <c r="H2586" t="n">
        <v>14.6</v>
      </c>
      <c r="I2586">
        <f>B2586&amp;"|"&amp;F2586&amp;"|"&amp;G2586</f>
        <v/>
      </c>
      <c r="J2586" t="inlineStr">
        <is>
          <t>MVS Sec.17 p.44</t>
        </is>
      </c>
    </row>
    <row r="2587">
      <c r="B2587" t="inlineStr">
        <is>
          <t>Sheep Sheds</t>
        </is>
      </c>
      <c r="C2587" t="inlineStr">
        <is>
          <t>120</t>
        </is>
      </c>
      <c r="D2587" t="inlineStr">
        <is>
          <t>17</t>
        </is>
      </c>
      <c r="E2587" t="inlineStr">
        <is>
          <t>44</t>
        </is>
      </c>
      <c r="F2587" t="inlineStr">
        <is>
          <t>D</t>
        </is>
      </c>
      <c r="G2587" t="inlineStr">
        <is>
          <t>Cheap</t>
        </is>
      </c>
      <c r="H2587" t="n">
        <v>13.1</v>
      </c>
      <c r="I2587">
        <f>B2587&amp;"|"&amp;F2587&amp;"|"&amp;G2587</f>
        <v/>
      </c>
      <c r="J2587" t="inlineStr">
        <is>
          <t>MVS Sec.17 p.44</t>
        </is>
      </c>
    </row>
    <row r="2588">
      <c r="B2588" t="inlineStr">
        <is>
          <t>Sheep Sheds</t>
        </is>
      </c>
      <c r="C2588" t="inlineStr">
        <is>
          <t>120</t>
        </is>
      </c>
      <c r="D2588" t="inlineStr">
        <is>
          <t>17</t>
        </is>
      </c>
      <c r="E2588" t="inlineStr">
        <is>
          <t>44</t>
        </is>
      </c>
      <c r="F2588" t="inlineStr">
        <is>
          <t>DPOLE</t>
        </is>
      </c>
      <c r="G2588" t="inlineStr">
        <is>
          <t>Good</t>
        </is>
      </c>
      <c r="H2588" t="n">
        <v>20.85</v>
      </c>
      <c r="I2588">
        <f>B2588&amp;"|"&amp;F2588&amp;"|"&amp;G2588</f>
        <v/>
      </c>
      <c r="J2588" t="inlineStr">
        <is>
          <t>MVS Sec.17 p.44</t>
        </is>
      </c>
    </row>
    <row r="2589">
      <c r="B2589" t="inlineStr">
        <is>
          <t>Sheep Sheds</t>
        </is>
      </c>
      <c r="C2589" t="inlineStr">
        <is>
          <t>120</t>
        </is>
      </c>
      <c r="D2589" t="inlineStr">
        <is>
          <t>17</t>
        </is>
      </c>
      <c r="E2589" t="inlineStr">
        <is>
          <t>44</t>
        </is>
      </c>
      <c r="F2589" t="inlineStr">
        <is>
          <t>DPOLE</t>
        </is>
      </c>
      <c r="G2589" t="inlineStr">
        <is>
          <t>Average</t>
        </is>
      </c>
      <c r="H2589" t="n">
        <v>16.35</v>
      </c>
      <c r="I2589">
        <f>B2589&amp;"|"&amp;F2589&amp;"|"&amp;G2589</f>
        <v/>
      </c>
      <c r="J2589" t="inlineStr">
        <is>
          <t>MVS Sec.17 p.44</t>
        </is>
      </c>
    </row>
    <row r="2590">
      <c r="B2590" t="inlineStr">
        <is>
          <t>Sheep Sheds</t>
        </is>
      </c>
      <c r="C2590" t="inlineStr">
        <is>
          <t>120</t>
        </is>
      </c>
      <c r="D2590" t="inlineStr">
        <is>
          <t>17</t>
        </is>
      </c>
      <c r="E2590" t="inlineStr">
        <is>
          <t>44</t>
        </is>
      </c>
      <c r="F2590" t="inlineStr">
        <is>
          <t>DPOLE</t>
        </is>
      </c>
      <c r="G2590" t="inlineStr">
        <is>
          <t>Low Cost</t>
        </is>
      </c>
      <c r="H2590" t="n">
        <v>12.85</v>
      </c>
      <c r="I2590">
        <f>B2590&amp;"|"&amp;F2590&amp;"|"&amp;G2590</f>
        <v/>
      </c>
      <c r="J2590" t="inlineStr">
        <is>
          <t>MVS Sec.17 p.44</t>
        </is>
      </c>
    </row>
    <row r="2591">
      <c r="B2591" t="inlineStr">
        <is>
          <t>Sheep Sheds</t>
        </is>
      </c>
      <c r="C2591" t="inlineStr">
        <is>
          <t>120</t>
        </is>
      </c>
      <c r="D2591" t="inlineStr">
        <is>
          <t>17</t>
        </is>
      </c>
      <c r="E2591" t="inlineStr">
        <is>
          <t>44</t>
        </is>
      </c>
      <c r="F2591" t="inlineStr">
        <is>
          <t>DPOLE</t>
        </is>
      </c>
      <c r="G2591" t="inlineStr">
        <is>
          <t>Cheap</t>
        </is>
      </c>
      <c r="H2591" t="n">
        <v>11.25</v>
      </c>
      <c r="I2591">
        <f>B2591&amp;"|"&amp;F2591&amp;"|"&amp;G2591</f>
        <v/>
      </c>
      <c r="J2591" t="inlineStr">
        <is>
          <t>MVS Sec.17 p.44</t>
        </is>
      </c>
    </row>
    <row r="2592">
      <c r="B2592" t="inlineStr">
        <is>
          <t>Sheep Sheds</t>
        </is>
      </c>
      <c r="C2592" t="inlineStr">
        <is>
          <t>120</t>
        </is>
      </c>
      <c r="D2592" t="inlineStr">
        <is>
          <t>17</t>
        </is>
      </c>
      <c r="E2592" t="inlineStr">
        <is>
          <t>44</t>
        </is>
      </c>
      <c r="F2592" t="inlineStr">
        <is>
          <t>DHOOP</t>
        </is>
      </c>
      <c r="G2592" t="inlineStr">
        <is>
          <t>Good</t>
        </is>
      </c>
      <c r="H2592" t="n">
        <v>13.35</v>
      </c>
      <c r="I2592">
        <f>B2592&amp;"|"&amp;F2592&amp;"|"&amp;G2592</f>
        <v/>
      </c>
      <c r="J2592" t="inlineStr">
        <is>
          <t>MVS Sec.17 p.44</t>
        </is>
      </c>
    </row>
    <row r="2593">
      <c r="B2593" t="inlineStr">
        <is>
          <t>Sheep Sheds</t>
        </is>
      </c>
      <c r="C2593" t="inlineStr">
        <is>
          <t>120</t>
        </is>
      </c>
      <c r="D2593" t="inlineStr">
        <is>
          <t>17</t>
        </is>
      </c>
      <c r="E2593" t="inlineStr">
        <is>
          <t>44</t>
        </is>
      </c>
      <c r="F2593" t="inlineStr">
        <is>
          <t>DHOOP</t>
        </is>
      </c>
      <c r="G2593" t="inlineStr">
        <is>
          <t>Low Cost</t>
        </is>
      </c>
      <c r="H2593" t="n">
        <v>8.380000000000001</v>
      </c>
      <c r="I2593">
        <f>B2593&amp;"|"&amp;F2593&amp;"|"&amp;G2593</f>
        <v/>
      </c>
      <c r="J2593" t="inlineStr">
        <is>
          <t>MVS Sec.17 p.44</t>
        </is>
      </c>
    </row>
    <row r="2594">
      <c r="B2594" t="inlineStr">
        <is>
          <t>Sheep Sheds</t>
        </is>
      </c>
      <c r="C2594" t="inlineStr">
        <is>
          <t>120</t>
        </is>
      </c>
      <c r="D2594" t="inlineStr">
        <is>
          <t>17</t>
        </is>
      </c>
      <c r="E2594" t="inlineStr">
        <is>
          <t>44</t>
        </is>
      </c>
      <c r="F2594" t="inlineStr">
        <is>
          <t>S</t>
        </is>
      </c>
      <c r="G2594" t="inlineStr">
        <is>
          <t>Good</t>
        </is>
      </c>
      <c r="H2594" t="n">
        <v>23.05</v>
      </c>
      <c r="I2594">
        <f>B2594&amp;"|"&amp;F2594&amp;"|"&amp;G2594</f>
        <v/>
      </c>
      <c r="J2594" t="inlineStr">
        <is>
          <t>MVS Sec.17 p.44</t>
        </is>
      </c>
    </row>
    <row r="2595">
      <c r="B2595" t="inlineStr">
        <is>
          <t>Sheep Sheds</t>
        </is>
      </c>
      <c r="C2595" t="inlineStr">
        <is>
          <t>120</t>
        </is>
      </c>
      <c r="D2595" t="inlineStr">
        <is>
          <t>17</t>
        </is>
      </c>
      <c r="E2595" t="inlineStr">
        <is>
          <t>44</t>
        </is>
      </c>
      <c r="F2595" t="inlineStr">
        <is>
          <t>S</t>
        </is>
      </c>
      <c r="G2595" t="inlineStr">
        <is>
          <t>Average</t>
        </is>
      </c>
      <c r="H2595" t="n">
        <v>18.55</v>
      </c>
      <c r="I2595">
        <f>B2595&amp;"|"&amp;F2595&amp;"|"&amp;G2595</f>
        <v/>
      </c>
      <c r="J2595" t="inlineStr">
        <is>
          <t>MVS Sec.17 p.44</t>
        </is>
      </c>
    </row>
    <row r="2596">
      <c r="B2596" t="inlineStr">
        <is>
          <t>Sheep Sheds</t>
        </is>
      </c>
      <c r="C2596" t="inlineStr">
        <is>
          <t>120</t>
        </is>
      </c>
      <c r="D2596" t="inlineStr">
        <is>
          <t>17</t>
        </is>
      </c>
      <c r="E2596" t="inlineStr">
        <is>
          <t>44</t>
        </is>
      </c>
      <c r="F2596" t="inlineStr">
        <is>
          <t>S</t>
        </is>
      </c>
      <c r="G2596" t="inlineStr">
        <is>
          <t>Low Cost</t>
        </is>
      </c>
      <c r="H2596" t="n">
        <v>14.95</v>
      </c>
      <c r="I2596">
        <f>B2596&amp;"|"&amp;F2596&amp;"|"&amp;G2596</f>
        <v/>
      </c>
      <c r="J2596" t="inlineStr">
        <is>
          <t>MVS Sec.17 p.44</t>
        </is>
      </c>
    </row>
    <row r="2597">
      <c r="B2597" t="inlineStr">
        <is>
          <t>Sheep Sheds</t>
        </is>
      </c>
      <c r="C2597" t="inlineStr">
        <is>
          <t>120</t>
        </is>
      </c>
      <c r="D2597" t="inlineStr">
        <is>
          <t>17</t>
        </is>
      </c>
      <c r="E2597" t="inlineStr">
        <is>
          <t>44</t>
        </is>
      </c>
      <c r="F2597" t="inlineStr">
        <is>
          <t>S</t>
        </is>
      </c>
      <c r="G2597" t="inlineStr">
        <is>
          <t>Cheap</t>
        </is>
      </c>
      <c r="H2597" t="n">
        <v>13.6</v>
      </c>
      <c r="I2597">
        <f>B2597&amp;"|"&amp;F2597&amp;"|"&amp;G2597</f>
        <v/>
      </c>
      <c r="J2597" t="inlineStr">
        <is>
          <t>MVS Sec.17 p.44</t>
        </is>
      </c>
    </row>
    <row r="2598">
      <c r="B2598" t="inlineStr">
        <is>
          <t>Sheep Sheds</t>
        </is>
      </c>
      <c r="C2598" t="inlineStr">
        <is>
          <t>120</t>
        </is>
      </c>
      <c r="D2598" t="inlineStr">
        <is>
          <t>17</t>
        </is>
      </c>
      <c r="E2598" t="inlineStr">
        <is>
          <t>44</t>
        </is>
      </c>
      <c r="F2598" t="inlineStr">
        <is>
          <t>SSLANT</t>
        </is>
      </c>
      <c r="G2598" t="inlineStr">
        <is>
          <t>Average</t>
        </is>
      </c>
      <c r="H2598" t="n">
        <v>17.3</v>
      </c>
      <c r="I2598">
        <f>B2598&amp;"|"&amp;F2598&amp;"|"&amp;G2598</f>
        <v/>
      </c>
      <c r="J2598" t="inlineStr">
        <is>
          <t>MVS Sec.17 p.44</t>
        </is>
      </c>
    </row>
    <row r="2599">
      <c r="B2599" t="inlineStr">
        <is>
          <t>Sheep Sheds</t>
        </is>
      </c>
      <c r="C2599" t="inlineStr">
        <is>
          <t>120</t>
        </is>
      </c>
      <c r="D2599" t="inlineStr">
        <is>
          <t>17</t>
        </is>
      </c>
      <c r="E2599" t="inlineStr">
        <is>
          <t>44</t>
        </is>
      </c>
      <c r="F2599" t="inlineStr">
        <is>
          <t>SSLANT</t>
        </is>
      </c>
      <c r="G2599" t="inlineStr">
        <is>
          <t>Low Cost</t>
        </is>
      </c>
      <c r="H2599" t="n">
        <v>13.75</v>
      </c>
      <c r="I2599">
        <f>B2599&amp;"|"&amp;F2599&amp;"|"&amp;G2599</f>
        <v/>
      </c>
      <c r="J2599" t="inlineStr">
        <is>
          <t>MVS Sec.17 p.44</t>
        </is>
      </c>
    </row>
    <row r="2600">
      <c r="B2600" t="inlineStr">
        <is>
          <t>Poultry Floor Operation – Breeder Houses</t>
        </is>
      </c>
      <c r="C2600" t="inlineStr">
        <is>
          <t>117</t>
        </is>
      </c>
      <c r="D2600" t="inlineStr">
        <is>
          <t>17</t>
        </is>
      </c>
      <c r="E2600" t="inlineStr">
        <is>
          <t>46</t>
        </is>
      </c>
      <c r="F2600" t="inlineStr">
        <is>
          <t>C</t>
        </is>
      </c>
      <c r="G2600" t="inlineStr">
        <is>
          <t>Good</t>
        </is>
      </c>
      <c r="H2600" t="n">
        <v>31</v>
      </c>
      <c r="I2600">
        <f>B2600&amp;"|"&amp;F2600&amp;"|"&amp;G2600</f>
        <v/>
      </c>
      <c r="J2600" t="inlineStr">
        <is>
          <t>MVS Sec.17 p.46</t>
        </is>
      </c>
    </row>
    <row r="2601">
      <c r="B2601" t="inlineStr">
        <is>
          <t>Poultry Floor Operation – Breeder Houses</t>
        </is>
      </c>
      <c r="C2601" t="inlineStr">
        <is>
          <t>117</t>
        </is>
      </c>
      <c r="D2601" t="inlineStr">
        <is>
          <t>17</t>
        </is>
      </c>
      <c r="E2601" t="inlineStr">
        <is>
          <t>46</t>
        </is>
      </c>
      <c r="F2601" t="inlineStr">
        <is>
          <t>C</t>
        </is>
      </c>
      <c r="G2601" t="inlineStr">
        <is>
          <t>Average</t>
        </is>
      </c>
      <c r="H2601" t="n">
        <v>24.05</v>
      </c>
      <c r="I2601">
        <f>B2601&amp;"|"&amp;F2601&amp;"|"&amp;G2601</f>
        <v/>
      </c>
      <c r="J2601" t="inlineStr">
        <is>
          <t>MVS Sec.17 p.46</t>
        </is>
      </c>
    </row>
    <row r="2602">
      <c r="B2602" t="inlineStr">
        <is>
          <t>Poultry Floor Operation – Breeder Houses</t>
        </is>
      </c>
      <c r="C2602" t="inlineStr">
        <is>
          <t>117</t>
        </is>
      </c>
      <c r="D2602" t="inlineStr">
        <is>
          <t>17</t>
        </is>
      </c>
      <c r="E2602" t="inlineStr">
        <is>
          <t>46</t>
        </is>
      </c>
      <c r="F2602" t="inlineStr">
        <is>
          <t>D</t>
        </is>
      </c>
      <c r="G2602" t="inlineStr">
        <is>
          <t>Good</t>
        </is>
      </c>
      <c r="H2602" t="n">
        <v>26</v>
      </c>
      <c r="I2602">
        <f>B2602&amp;"|"&amp;F2602&amp;"|"&amp;G2602</f>
        <v/>
      </c>
      <c r="J2602" t="inlineStr">
        <is>
          <t>MVS Sec.17 p.46</t>
        </is>
      </c>
    </row>
    <row r="2603">
      <c r="B2603" t="inlineStr">
        <is>
          <t>Poultry Floor Operation – Breeder Houses</t>
        </is>
      </c>
      <c r="C2603" t="inlineStr">
        <is>
          <t>117</t>
        </is>
      </c>
      <c r="D2603" t="inlineStr">
        <is>
          <t>17</t>
        </is>
      </c>
      <c r="E2603" t="inlineStr">
        <is>
          <t>46</t>
        </is>
      </c>
      <c r="F2603" t="inlineStr">
        <is>
          <t>D</t>
        </is>
      </c>
      <c r="G2603" t="inlineStr">
        <is>
          <t>Average</t>
        </is>
      </c>
      <c r="H2603" t="n">
        <v>19.65</v>
      </c>
      <c r="I2603">
        <f>B2603&amp;"|"&amp;F2603&amp;"|"&amp;G2603</f>
        <v/>
      </c>
      <c r="J2603" t="inlineStr">
        <is>
          <t>MVS Sec.17 p.46</t>
        </is>
      </c>
    </row>
    <row r="2604">
      <c r="B2604" t="inlineStr">
        <is>
          <t>Poultry Floor Operation – Breeder Houses</t>
        </is>
      </c>
      <c r="C2604" t="inlineStr">
        <is>
          <t>117</t>
        </is>
      </c>
      <c r="D2604" t="inlineStr">
        <is>
          <t>17</t>
        </is>
      </c>
      <c r="E2604" t="inlineStr">
        <is>
          <t>46</t>
        </is>
      </c>
      <c r="F2604" t="inlineStr">
        <is>
          <t>DPOLE</t>
        </is>
      </c>
      <c r="G2604" t="inlineStr">
        <is>
          <t>Good</t>
        </is>
      </c>
      <c r="H2604" t="n">
        <v>20.95</v>
      </c>
      <c r="I2604">
        <f>B2604&amp;"|"&amp;F2604&amp;"|"&amp;G2604</f>
        <v/>
      </c>
      <c r="J2604" t="inlineStr">
        <is>
          <t>MVS Sec.17 p.46</t>
        </is>
      </c>
    </row>
    <row r="2605">
      <c r="B2605" t="inlineStr">
        <is>
          <t>Poultry Floor Operation – Breeder Houses</t>
        </is>
      </c>
      <c r="C2605" t="inlineStr">
        <is>
          <t>117</t>
        </is>
      </c>
      <c r="D2605" t="inlineStr">
        <is>
          <t>17</t>
        </is>
      </c>
      <c r="E2605" t="inlineStr">
        <is>
          <t>46</t>
        </is>
      </c>
      <c r="F2605" t="inlineStr">
        <is>
          <t>DPOLE</t>
        </is>
      </c>
      <c r="G2605" t="inlineStr">
        <is>
          <t>Average</t>
        </is>
      </c>
      <c r="H2605" t="n">
        <v>17.8</v>
      </c>
      <c r="I2605">
        <f>B2605&amp;"|"&amp;F2605&amp;"|"&amp;G2605</f>
        <v/>
      </c>
      <c r="J2605" t="inlineStr">
        <is>
          <t>MVS Sec.17 p.46</t>
        </is>
      </c>
    </row>
    <row r="2606">
      <c r="B2606" t="inlineStr">
        <is>
          <t>Poultry Floor Operation – Breeder Houses</t>
        </is>
      </c>
      <c r="C2606" t="inlineStr">
        <is>
          <t>117</t>
        </is>
      </c>
      <c r="D2606" t="inlineStr">
        <is>
          <t>17</t>
        </is>
      </c>
      <c r="E2606" t="inlineStr">
        <is>
          <t>46</t>
        </is>
      </c>
      <c r="F2606" t="inlineStr">
        <is>
          <t>DPOLE</t>
        </is>
      </c>
      <c r="G2606" t="inlineStr">
        <is>
          <t>Fair</t>
        </is>
      </c>
      <c r="H2606" t="n">
        <v>16.4</v>
      </c>
      <c r="I2606">
        <f>B2606&amp;"|"&amp;F2606&amp;"|"&amp;G2606</f>
        <v/>
      </c>
      <c r="J2606" t="inlineStr">
        <is>
          <t>MVS Sec.17 p.46</t>
        </is>
      </c>
    </row>
    <row r="2607">
      <c r="B2607" t="inlineStr">
        <is>
          <t>Poultry Floor Operation – Breeder Houses</t>
        </is>
      </c>
      <c r="C2607" t="inlineStr">
        <is>
          <t>117</t>
        </is>
      </c>
      <c r="D2607" t="inlineStr">
        <is>
          <t>17</t>
        </is>
      </c>
      <c r="E2607" t="inlineStr">
        <is>
          <t>46</t>
        </is>
      </c>
      <c r="F2607" t="inlineStr">
        <is>
          <t>DPOLE</t>
        </is>
      </c>
      <c r="G2607" t="inlineStr">
        <is>
          <t>Low Cost</t>
        </is>
      </c>
      <c r="H2607" t="n">
        <v>15.15</v>
      </c>
      <c r="I2607">
        <f>B2607&amp;"|"&amp;F2607&amp;"|"&amp;G2607</f>
        <v/>
      </c>
      <c r="J2607" t="inlineStr">
        <is>
          <t>MVS Sec.17 p.46</t>
        </is>
      </c>
    </row>
    <row r="2608">
      <c r="B2608" t="inlineStr">
        <is>
          <t>Poultry Floor Operation – Breeder Houses</t>
        </is>
      </c>
      <c r="C2608" t="inlineStr">
        <is>
          <t>117</t>
        </is>
      </c>
      <c r="D2608" t="inlineStr">
        <is>
          <t>17</t>
        </is>
      </c>
      <c r="E2608" t="inlineStr">
        <is>
          <t>46</t>
        </is>
      </c>
      <c r="F2608" t="inlineStr">
        <is>
          <t>DPOLE</t>
        </is>
      </c>
      <c r="G2608" t="inlineStr">
        <is>
          <t>Cheap</t>
        </is>
      </c>
      <c r="H2608" t="n">
        <v>10.1</v>
      </c>
      <c r="I2608">
        <f>B2608&amp;"|"&amp;F2608&amp;"|"&amp;G2608</f>
        <v/>
      </c>
      <c r="J2608" t="inlineStr">
        <is>
          <t>MVS Sec.17 p.46</t>
        </is>
      </c>
    </row>
    <row r="2609">
      <c r="B2609" t="inlineStr">
        <is>
          <t>Poultry Floor Operation – Breeder Houses</t>
        </is>
      </c>
      <c r="C2609" t="inlineStr">
        <is>
          <t>117</t>
        </is>
      </c>
      <c r="D2609" t="inlineStr">
        <is>
          <t>17</t>
        </is>
      </c>
      <c r="E2609" t="inlineStr">
        <is>
          <t>46</t>
        </is>
      </c>
      <c r="F2609" t="inlineStr">
        <is>
          <t>S</t>
        </is>
      </c>
      <c r="G2609" t="inlineStr">
        <is>
          <t>Good</t>
        </is>
      </c>
      <c r="H2609" t="n">
        <v>22.6</v>
      </c>
      <c r="I2609">
        <f>B2609&amp;"|"&amp;F2609&amp;"|"&amp;G2609</f>
        <v/>
      </c>
      <c r="J2609" t="inlineStr">
        <is>
          <t>MVS Sec.17 p.46</t>
        </is>
      </c>
    </row>
    <row r="2610">
      <c r="B2610" t="inlineStr">
        <is>
          <t>Poultry Floor Operation – Breeder Houses</t>
        </is>
      </c>
      <c r="C2610" t="inlineStr">
        <is>
          <t>117</t>
        </is>
      </c>
      <c r="D2610" t="inlineStr">
        <is>
          <t>17</t>
        </is>
      </c>
      <c r="E2610" t="inlineStr">
        <is>
          <t>46</t>
        </is>
      </c>
      <c r="F2610" t="inlineStr">
        <is>
          <t>S</t>
        </is>
      </c>
      <c r="G2610" t="inlineStr">
        <is>
          <t>Average</t>
        </is>
      </c>
      <c r="H2610" t="n">
        <v>19.55</v>
      </c>
      <c r="I2610">
        <f>B2610&amp;"|"&amp;F2610&amp;"|"&amp;G2610</f>
        <v/>
      </c>
      <c r="J2610" t="inlineStr">
        <is>
          <t>MVS Sec.17 p.46</t>
        </is>
      </c>
    </row>
    <row r="2611">
      <c r="B2611" t="inlineStr">
        <is>
          <t>Poultry Floor Operation – Breeder Houses</t>
        </is>
      </c>
      <c r="C2611" t="inlineStr">
        <is>
          <t>117</t>
        </is>
      </c>
      <c r="D2611" t="inlineStr">
        <is>
          <t>17</t>
        </is>
      </c>
      <c r="E2611" t="inlineStr">
        <is>
          <t>46</t>
        </is>
      </c>
      <c r="F2611" t="inlineStr">
        <is>
          <t>S</t>
        </is>
      </c>
      <c r="G2611" t="inlineStr">
        <is>
          <t>Fair</t>
        </is>
      </c>
      <c r="H2611" t="n">
        <v>18.25</v>
      </c>
      <c r="I2611">
        <f>B2611&amp;"|"&amp;F2611&amp;"|"&amp;G2611</f>
        <v/>
      </c>
      <c r="J2611" t="inlineStr">
        <is>
          <t>MVS Sec.17 p.46</t>
        </is>
      </c>
    </row>
    <row r="2612">
      <c r="B2612" t="inlineStr">
        <is>
          <t>Poultry Floor Operation – Breeder Houses</t>
        </is>
      </c>
      <c r="C2612" t="inlineStr">
        <is>
          <t>117</t>
        </is>
      </c>
      <c r="D2612" t="inlineStr">
        <is>
          <t>17</t>
        </is>
      </c>
      <c r="E2612" t="inlineStr">
        <is>
          <t>46</t>
        </is>
      </c>
      <c r="F2612" t="inlineStr">
        <is>
          <t>S</t>
        </is>
      </c>
      <c r="G2612" t="inlineStr">
        <is>
          <t>Low Cost</t>
        </is>
      </c>
      <c r="H2612" t="n">
        <v>16.95</v>
      </c>
      <c r="I2612">
        <f>B2612&amp;"|"&amp;F2612&amp;"|"&amp;G2612</f>
        <v/>
      </c>
      <c r="J2612" t="inlineStr">
        <is>
          <t>MVS Sec.17 p.46</t>
        </is>
      </c>
    </row>
    <row r="2613">
      <c r="B2613" t="inlineStr">
        <is>
          <t>Poultry Floor Operation – Breeder Houses</t>
        </is>
      </c>
      <c r="C2613" t="inlineStr">
        <is>
          <t>117</t>
        </is>
      </c>
      <c r="D2613" t="inlineStr">
        <is>
          <t>17</t>
        </is>
      </c>
      <c r="E2613" t="inlineStr">
        <is>
          <t>46</t>
        </is>
      </c>
      <c r="F2613" t="inlineStr">
        <is>
          <t>S</t>
        </is>
      </c>
      <c r="G2613" t="inlineStr">
        <is>
          <t>Cheap</t>
        </is>
      </c>
      <c r="H2613" t="n">
        <v>10.8</v>
      </c>
      <c r="I2613">
        <f>B2613&amp;"|"&amp;F2613&amp;"|"&amp;G2613</f>
        <v/>
      </c>
      <c r="J2613" t="inlineStr">
        <is>
          <t>MVS Sec.17 p.46</t>
        </is>
      </c>
    </row>
    <row r="2614">
      <c r="B2614" t="inlineStr">
        <is>
          <t>Poultry Floor Operation – Broiler Houses</t>
        </is>
      </c>
      <c r="C2614" t="inlineStr">
        <is>
          <t>118</t>
        </is>
      </c>
      <c r="D2614" t="inlineStr">
        <is>
          <t>17</t>
        </is>
      </c>
      <c r="E2614" t="inlineStr">
        <is>
          <t>46</t>
        </is>
      </c>
      <c r="F2614" t="inlineStr">
        <is>
          <t>DPOLE</t>
        </is>
      </c>
      <c r="G2614" t="inlineStr">
        <is>
          <t>Good</t>
        </is>
      </c>
      <c r="H2614" t="n">
        <v>19.25</v>
      </c>
      <c r="I2614">
        <f>B2614&amp;"|"&amp;F2614&amp;"|"&amp;G2614</f>
        <v/>
      </c>
      <c r="J2614" t="inlineStr">
        <is>
          <t>MVS Sec.17 p.46</t>
        </is>
      </c>
    </row>
    <row r="2615">
      <c r="B2615" t="inlineStr">
        <is>
          <t>Poultry Floor Operation – Broiler Houses</t>
        </is>
      </c>
      <c r="C2615" t="inlineStr">
        <is>
          <t>118</t>
        </is>
      </c>
      <c r="D2615" t="inlineStr">
        <is>
          <t>17</t>
        </is>
      </c>
      <c r="E2615" t="inlineStr">
        <is>
          <t>46</t>
        </is>
      </c>
      <c r="F2615" t="inlineStr">
        <is>
          <t>DPOLE</t>
        </is>
      </c>
      <c r="G2615" t="inlineStr">
        <is>
          <t>Average</t>
        </is>
      </c>
      <c r="H2615" t="n">
        <v>16.1</v>
      </c>
      <c r="I2615">
        <f>B2615&amp;"|"&amp;F2615&amp;"|"&amp;G2615</f>
        <v/>
      </c>
      <c r="J2615" t="inlineStr">
        <is>
          <t>MVS Sec.17 p.46</t>
        </is>
      </c>
    </row>
    <row r="2616">
      <c r="B2616" t="inlineStr">
        <is>
          <t>Poultry Floor Operation – Broiler Houses</t>
        </is>
      </c>
      <c r="C2616" t="inlineStr">
        <is>
          <t>118</t>
        </is>
      </c>
      <c r="D2616" t="inlineStr">
        <is>
          <t>17</t>
        </is>
      </c>
      <c r="E2616" t="inlineStr">
        <is>
          <t>46</t>
        </is>
      </c>
      <c r="F2616" t="inlineStr">
        <is>
          <t>DPOLE</t>
        </is>
      </c>
      <c r="G2616" t="inlineStr">
        <is>
          <t>Fair</t>
        </is>
      </c>
      <c r="H2616" t="n">
        <v>14.7</v>
      </c>
      <c r="I2616">
        <f>B2616&amp;"|"&amp;F2616&amp;"|"&amp;G2616</f>
        <v/>
      </c>
      <c r="J2616" t="inlineStr">
        <is>
          <t>MVS Sec.17 p.46</t>
        </is>
      </c>
    </row>
    <row r="2617">
      <c r="B2617" t="inlineStr">
        <is>
          <t>Poultry Floor Operation – Broiler Houses</t>
        </is>
      </c>
      <c r="C2617" t="inlineStr">
        <is>
          <t>118</t>
        </is>
      </c>
      <c r="D2617" t="inlineStr">
        <is>
          <t>17</t>
        </is>
      </c>
      <c r="E2617" t="inlineStr">
        <is>
          <t>46</t>
        </is>
      </c>
      <c r="F2617" t="inlineStr">
        <is>
          <t>DPOLE</t>
        </is>
      </c>
      <c r="G2617" t="inlineStr">
        <is>
          <t>Low Cost</t>
        </is>
      </c>
      <c r="H2617" t="n">
        <v>13.45</v>
      </c>
      <c r="I2617">
        <f>B2617&amp;"|"&amp;F2617&amp;"|"&amp;G2617</f>
        <v/>
      </c>
      <c r="J2617" t="inlineStr">
        <is>
          <t>MVS Sec.17 p.46</t>
        </is>
      </c>
    </row>
    <row r="2618">
      <c r="B2618" t="inlineStr">
        <is>
          <t>Poultry Floor Operation – Broiler Houses</t>
        </is>
      </c>
      <c r="C2618" t="inlineStr">
        <is>
          <t>118</t>
        </is>
      </c>
      <c r="D2618" t="inlineStr">
        <is>
          <t>17</t>
        </is>
      </c>
      <c r="E2618" t="inlineStr">
        <is>
          <t>46</t>
        </is>
      </c>
      <c r="F2618" t="inlineStr">
        <is>
          <t>DPOLE</t>
        </is>
      </c>
      <c r="G2618" t="inlineStr">
        <is>
          <t>Cheap</t>
        </is>
      </c>
      <c r="H2618" t="n">
        <v>8.470000000000001</v>
      </c>
      <c r="I2618">
        <f>B2618&amp;"|"&amp;F2618&amp;"|"&amp;G2618</f>
        <v/>
      </c>
      <c r="J2618" t="inlineStr">
        <is>
          <t>MVS Sec.17 p.46</t>
        </is>
      </c>
    </row>
    <row r="2619">
      <c r="B2619" t="inlineStr">
        <is>
          <t>Poultry Floor Operation – Broiler Houses</t>
        </is>
      </c>
      <c r="C2619" t="inlineStr">
        <is>
          <t>118</t>
        </is>
      </c>
      <c r="D2619" t="inlineStr">
        <is>
          <t>17</t>
        </is>
      </c>
      <c r="E2619" t="inlineStr">
        <is>
          <t>46</t>
        </is>
      </c>
      <c r="F2619" t="inlineStr">
        <is>
          <t>S</t>
        </is>
      </c>
      <c r="G2619" t="inlineStr">
        <is>
          <t>Good</t>
        </is>
      </c>
      <c r="H2619" t="n">
        <v>20.9</v>
      </c>
      <c r="I2619">
        <f>B2619&amp;"|"&amp;F2619&amp;"|"&amp;G2619</f>
        <v/>
      </c>
      <c r="J2619" t="inlineStr">
        <is>
          <t>MVS Sec.17 p.46</t>
        </is>
      </c>
    </row>
    <row r="2620">
      <c r="B2620" t="inlineStr">
        <is>
          <t>Poultry Floor Operation – Broiler Houses</t>
        </is>
      </c>
      <c r="C2620" t="inlineStr">
        <is>
          <t>118</t>
        </is>
      </c>
      <c r="D2620" t="inlineStr">
        <is>
          <t>17</t>
        </is>
      </c>
      <c r="E2620" t="inlineStr">
        <is>
          <t>46</t>
        </is>
      </c>
      <c r="F2620" t="inlineStr">
        <is>
          <t>S</t>
        </is>
      </c>
      <c r="G2620" t="inlineStr">
        <is>
          <t>Average</t>
        </is>
      </c>
      <c r="H2620" t="n">
        <v>17.8</v>
      </c>
      <c r="I2620">
        <f>B2620&amp;"|"&amp;F2620&amp;"|"&amp;G2620</f>
        <v/>
      </c>
      <c r="J2620" t="inlineStr">
        <is>
          <t>MVS Sec.17 p.46</t>
        </is>
      </c>
    </row>
    <row r="2621">
      <c r="B2621" t="inlineStr">
        <is>
          <t>Poultry Floor Operation – Broiler Houses</t>
        </is>
      </c>
      <c r="C2621" t="inlineStr">
        <is>
          <t>118</t>
        </is>
      </c>
      <c r="D2621" t="inlineStr">
        <is>
          <t>17</t>
        </is>
      </c>
      <c r="E2621" t="inlineStr">
        <is>
          <t>46</t>
        </is>
      </c>
      <c r="F2621" t="inlineStr">
        <is>
          <t>S</t>
        </is>
      </c>
      <c r="G2621" t="inlineStr">
        <is>
          <t>Fair</t>
        </is>
      </c>
      <c r="H2621" t="n">
        <v>16.5</v>
      </c>
      <c r="I2621">
        <f>B2621&amp;"|"&amp;F2621&amp;"|"&amp;G2621</f>
        <v/>
      </c>
      <c r="J2621" t="inlineStr">
        <is>
          <t>MVS Sec.17 p.46</t>
        </is>
      </c>
    </row>
    <row r="2622">
      <c r="B2622" t="inlineStr">
        <is>
          <t>Poultry Floor Operation – Broiler Houses</t>
        </is>
      </c>
      <c r="C2622" t="inlineStr">
        <is>
          <t>118</t>
        </is>
      </c>
      <c r="D2622" t="inlineStr">
        <is>
          <t>17</t>
        </is>
      </c>
      <c r="E2622" t="inlineStr">
        <is>
          <t>46</t>
        </is>
      </c>
      <c r="F2622" t="inlineStr">
        <is>
          <t>S</t>
        </is>
      </c>
      <c r="G2622" t="inlineStr">
        <is>
          <t>Low Cost</t>
        </is>
      </c>
      <c r="H2622" t="n">
        <v>15.2</v>
      </c>
      <c r="I2622">
        <f>B2622&amp;"|"&amp;F2622&amp;"|"&amp;G2622</f>
        <v/>
      </c>
      <c r="J2622" t="inlineStr">
        <is>
          <t>MVS Sec.17 p.46</t>
        </is>
      </c>
    </row>
    <row r="2623">
      <c r="B2623" t="inlineStr">
        <is>
          <t>Poultry Cage Operation – Enclosed Houses</t>
        </is>
      </c>
      <c r="C2623" t="inlineStr">
        <is>
          <t>474</t>
        </is>
      </c>
      <c r="D2623" t="inlineStr">
        <is>
          <t>17</t>
        </is>
      </c>
      <c r="E2623" t="inlineStr">
        <is>
          <t>47</t>
        </is>
      </c>
      <c r="F2623" t="inlineStr">
        <is>
          <t>C</t>
        </is>
      </c>
      <c r="G2623" t="inlineStr">
        <is>
          <t>Good</t>
        </is>
      </c>
      <c r="H2623" t="n">
        <v>50.5</v>
      </c>
      <c r="I2623">
        <f>B2623&amp;"|"&amp;F2623&amp;"|"&amp;G2623</f>
        <v/>
      </c>
      <c r="J2623" t="inlineStr">
        <is>
          <t>MVS Sec.17 p.47</t>
        </is>
      </c>
    </row>
    <row r="2624">
      <c r="B2624" t="inlineStr">
        <is>
          <t>Poultry Cage Operation – Enclosed Houses</t>
        </is>
      </c>
      <c r="C2624" t="inlineStr">
        <is>
          <t>474</t>
        </is>
      </c>
      <c r="D2624" t="inlineStr">
        <is>
          <t>17</t>
        </is>
      </c>
      <c r="E2624" t="inlineStr">
        <is>
          <t>47</t>
        </is>
      </c>
      <c r="F2624" t="inlineStr">
        <is>
          <t>C</t>
        </is>
      </c>
      <c r="G2624" t="inlineStr">
        <is>
          <t>Average</t>
        </is>
      </c>
      <c r="H2624" t="n">
        <v>36.5</v>
      </c>
      <c r="I2624">
        <f>B2624&amp;"|"&amp;F2624&amp;"|"&amp;G2624</f>
        <v/>
      </c>
      <c r="J2624" t="inlineStr">
        <is>
          <t>MVS Sec.17 p.47</t>
        </is>
      </c>
    </row>
    <row r="2625">
      <c r="B2625" t="inlineStr">
        <is>
          <t>Poultry Cage Operation – Enclosed Houses</t>
        </is>
      </c>
      <c r="C2625" t="inlineStr">
        <is>
          <t>474</t>
        </is>
      </c>
      <c r="D2625" t="inlineStr">
        <is>
          <t>17</t>
        </is>
      </c>
      <c r="E2625" t="inlineStr">
        <is>
          <t>47</t>
        </is>
      </c>
      <c r="F2625" t="inlineStr">
        <is>
          <t>C</t>
        </is>
      </c>
      <c r="G2625" t="inlineStr">
        <is>
          <t>Low Cost</t>
        </is>
      </c>
      <c r="H2625" t="n">
        <v>26.5</v>
      </c>
      <c r="I2625">
        <f>B2625&amp;"|"&amp;F2625&amp;"|"&amp;G2625</f>
        <v/>
      </c>
      <c r="J2625" t="inlineStr">
        <is>
          <t>MVS Sec.17 p.47</t>
        </is>
      </c>
    </row>
    <row r="2626">
      <c r="B2626" t="inlineStr">
        <is>
          <t>Poultry Cage Operation – Enclosed Houses</t>
        </is>
      </c>
      <c r="C2626" t="inlineStr">
        <is>
          <t>474</t>
        </is>
      </c>
      <c r="D2626" t="inlineStr">
        <is>
          <t>17</t>
        </is>
      </c>
      <c r="E2626" t="inlineStr">
        <is>
          <t>47</t>
        </is>
      </c>
      <c r="F2626" t="inlineStr">
        <is>
          <t>D</t>
        </is>
      </c>
      <c r="G2626" t="inlineStr">
        <is>
          <t>Good</t>
        </is>
      </c>
      <c r="H2626" t="n">
        <v>44</v>
      </c>
      <c r="I2626">
        <f>B2626&amp;"|"&amp;F2626&amp;"|"&amp;G2626</f>
        <v/>
      </c>
      <c r="J2626" t="inlineStr">
        <is>
          <t>MVS Sec.17 p.47</t>
        </is>
      </c>
    </row>
    <row r="2627">
      <c r="B2627" t="inlineStr">
        <is>
          <t>Poultry Cage Operation – Enclosed Houses</t>
        </is>
      </c>
      <c r="C2627" t="inlineStr">
        <is>
          <t>474</t>
        </is>
      </c>
      <c r="D2627" t="inlineStr">
        <is>
          <t>17</t>
        </is>
      </c>
      <c r="E2627" t="inlineStr">
        <is>
          <t>47</t>
        </is>
      </c>
      <c r="F2627" t="inlineStr">
        <is>
          <t>D</t>
        </is>
      </c>
      <c r="G2627" t="inlineStr">
        <is>
          <t>Average</t>
        </is>
      </c>
      <c r="H2627" t="n">
        <v>30.75</v>
      </c>
      <c r="I2627">
        <f>B2627&amp;"|"&amp;F2627&amp;"|"&amp;G2627</f>
        <v/>
      </c>
      <c r="J2627" t="inlineStr">
        <is>
          <t>MVS Sec.17 p.47</t>
        </is>
      </c>
    </row>
    <row r="2628">
      <c r="B2628" t="inlineStr">
        <is>
          <t>Poultry Cage Operation – Enclosed Houses</t>
        </is>
      </c>
      <c r="C2628" t="inlineStr">
        <is>
          <t>474</t>
        </is>
      </c>
      <c r="D2628" t="inlineStr">
        <is>
          <t>17</t>
        </is>
      </c>
      <c r="E2628" t="inlineStr">
        <is>
          <t>47</t>
        </is>
      </c>
      <c r="F2628" t="inlineStr">
        <is>
          <t>D</t>
        </is>
      </c>
      <c r="G2628" t="inlineStr">
        <is>
          <t>Low Cost</t>
        </is>
      </c>
      <c r="H2628" t="n">
        <v>21.6</v>
      </c>
      <c r="I2628">
        <f>B2628&amp;"|"&amp;F2628&amp;"|"&amp;G2628</f>
        <v/>
      </c>
      <c r="J2628" t="inlineStr">
        <is>
          <t>MVS Sec.17 p.47</t>
        </is>
      </c>
    </row>
    <row r="2629">
      <c r="B2629" t="inlineStr">
        <is>
          <t>Poultry Cage Operation – Enclosed Houses</t>
        </is>
      </c>
      <c r="C2629" t="inlineStr">
        <is>
          <t>474</t>
        </is>
      </c>
      <c r="D2629" t="inlineStr">
        <is>
          <t>17</t>
        </is>
      </c>
      <c r="E2629" t="inlineStr">
        <is>
          <t>47</t>
        </is>
      </c>
      <c r="F2629" t="inlineStr">
        <is>
          <t>DPOLE</t>
        </is>
      </c>
      <c r="G2629" t="inlineStr">
        <is>
          <t>Good</t>
        </is>
      </c>
      <c r="H2629" t="n">
        <v>40.75</v>
      </c>
      <c r="I2629">
        <f>B2629&amp;"|"&amp;F2629&amp;"|"&amp;G2629</f>
        <v/>
      </c>
      <c r="J2629" t="inlineStr">
        <is>
          <t>MVS Sec.17 p.47</t>
        </is>
      </c>
    </row>
    <row r="2630">
      <c r="B2630" t="inlineStr">
        <is>
          <t>Poultry Cage Operation – Enclosed Houses</t>
        </is>
      </c>
      <c r="C2630" t="inlineStr">
        <is>
          <t>474</t>
        </is>
      </c>
      <c r="D2630" t="inlineStr">
        <is>
          <t>17</t>
        </is>
      </c>
      <c r="E2630" t="inlineStr">
        <is>
          <t>47</t>
        </is>
      </c>
      <c r="F2630" t="inlineStr">
        <is>
          <t>DPOLE</t>
        </is>
      </c>
      <c r="G2630" t="inlineStr">
        <is>
          <t>Average</t>
        </is>
      </c>
      <c r="H2630" t="n">
        <v>28.25</v>
      </c>
      <c r="I2630">
        <f>B2630&amp;"|"&amp;F2630&amp;"|"&amp;G2630</f>
        <v/>
      </c>
      <c r="J2630" t="inlineStr">
        <is>
          <t>MVS Sec.17 p.47</t>
        </is>
      </c>
    </row>
    <row r="2631">
      <c r="B2631" t="inlineStr">
        <is>
          <t>Poultry Cage Operation – Enclosed Houses</t>
        </is>
      </c>
      <c r="C2631" t="inlineStr">
        <is>
          <t>474</t>
        </is>
      </c>
      <c r="D2631" t="inlineStr">
        <is>
          <t>17</t>
        </is>
      </c>
      <c r="E2631" t="inlineStr">
        <is>
          <t>47</t>
        </is>
      </c>
      <c r="F2631" t="inlineStr">
        <is>
          <t>DPOLE</t>
        </is>
      </c>
      <c r="G2631" t="inlineStr">
        <is>
          <t>Low Cost</t>
        </is>
      </c>
      <c r="H2631" t="n">
        <v>19.45</v>
      </c>
      <c r="I2631">
        <f>B2631&amp;"|"&amp;F2631&amp;"|"&amp;G2631</f>
        <v/>
      </c>
      <c r="J2631" t="inlineStr">
        <is>
          <t>MVS Sec.17 p.47</t>
        </is>
      </c>
    </row>
    <row r="2632">
      <c r="B2632" t="inlineStr">
        <is>
          <t>Poultry Cage Operation – Enclosed Houses</t>
        </is>
      </c>
      <c r="C2632" t="inlineStr">
        <is>
          <t>474</t>
        </is>
      </c>
      <c r="D2632" t="inlineStr">
        <is>
          <t>17</t>
        </is>
      </c>
      <c r="E2632" t="inlineStr">
        <is>
          <t>47</t>
        </is>
      </c>
      <c r="F2632" t="inlineStr">
        <is>
          <t>DPOLE</t>
        </is>
      </c>
      <c r="G2632" t="inlineStr">
        <is>
          <t>Cheap</t>
        </is>
      </c>
      <c r="H2632" t="n">
        <v>15.95</v>
      </c>
      <c r="I2632">
        <f>B2632&amp;"|"&amp;F2632&amp;"|"&amp;G2632</f>
        <v/>
      </c>
      <c r="J2632" t="inlineStr">
        <is>
          <t>MVS Sec.17 p.47</t>
        </is>
      </c>
    </row>
    <row r="2633">
      <c r="B2633" t="inlineStr">
        <is>
          <t>Poultry Cage Operation – Enclosed Houses</t>
        </is>
      </c>
      <c r="C2633" t="inlineStr">
        <is>
          <t>474</t>
        </is>
      </c>
      <c r="D2633" t="inlineStr">
        <is>
          <t>17</t>
        </is>
      </c>
      <c r="E2633" t="inlineStr">
        <is>
          <t>47</t>
        </is>
      </c>
      <c r="F2633" t="inlineStr">
        <is>
          <t>S</t>
        </is>
      </c>
      <c r="G2633" t="inlineStr">
        <is>
          <t>Good</t>
        </is>
      </c>
      <c r="H2633" t="n">
        <v>43.5</v>
      </c>
      <c r="I2633">
        <f>B2633&amp;"|"&amp;F2633&amp;"|"&amp;G2633</f>
        <v/>
      </c>
      <c r="J2633" t="inlineStr">
        <is>
          <t>MVS Sec.17 p.47</t>
        </is>
      </c>
    </row>
    <row r="2634">
      <c r="B2634" t="inlineStr">
        <is>
          <t>Poultry Cage Operation – Enclosed Houses</t>
        </is>
      </c>
      <c r="C2634" t="inlineStr">
        <is>
          <t>474</t>
        </is>
      </c>
      <c r="D2634" t="inlineStr">
        <is>
          <t>17</t>
        </is>
      </c>
      <c r="E2634" t="inlineStr">
        <is>
          <t>47</t>
        </is>
      </c>
      <c r="F2634" t="inlineStr">
        <is>
          <t>S</t>
        </is>
      </c>
      <c r="G2634" t="inlineStr">
        <is>
          <t>Average</t>
        </is>
      </c>
      <c r="H2634" t="n">
        <v>30.5</v>
      </c>
      <c r="I2634">
        <f>B2634&amp;"|"&amp;F2634&amp;"|"&amp;G2634</f>
        <v/>
      </c>
      <c r="J2634" t="inlineStr">
        <is>
          <t>MVS Sec.17 p.47</t>
        </is>
      </c>
    </row>
    <row r="2635">
      <c r="B2635" t="inlineStr">
        <is>
          <t>Poultry Cage Operation – Enclosed Houses</t>
        </is>
      </c>
      <c r="C2635" t="inlineStr">
        <is>
          <t>474</t>
        </is>
      </c>
      <c r="D2635" t="inlineStr">
        <is>
          <t>17</t>
        </is>
      </c>
      <c r="E2635" t="inlineStr">
        <is>
          <t>47</t>
        </is>
      </c>
      <c r="F2635" t="inlineStr">
        <is>
          <t>S</t>
        </is>
      </c>
      <c r="G2635" t="inlineStr">
        <is>
          <t>Low Cost</t>
        </is>
      </c>
      <c r="H2635" t="n">
        <v>21.3</v>
      </c>
      <c r="I2635">
        <f>B2635&amp;"|"&amp;F2635&amp;"|"&amp;G2635</f>
        <v/>
      </c>
      <c r="J2635" t="inlineStr">
        <is>
          <t>MVS Sec.17 p.47</t>
        </is>
      </c>
    </row>
    <row r="2636">
      <c r="B2636" t="inlineStr">
        <is>
          <t>Poultry Cage Operation – Enclosed Houses</t>
        </is>
      </c>
      <c r="C2636" t="inlineStr">
        <is>
          <t>474</t>
        </is>
      </c>
      <c r="D2636" t="inlineStr">
        <is>
          <t>17</t>
        </is>
      </c>
      <c r="E2636" t="inlineStr">
        <is>
          <t>47</t>
        </is>
      </c>
      <c r="F2636" t="inlineStr">
        <is>
          <t>S</t>
        </is>
      </c>
      <c r="G2636" t="inlineStr">
        <is>
          <t>Cheap</t>
        </is>
      </c>
      <c r="H2636" t="n">
        <v>17.8</v>
      </c>
      <c r="I2636">
        <f>B2636&amp;"|"&amp;F2636&amp;"|"&amp;G2636</f>
        <v/>
      </c>
      <c r="J2636" t="inlineStr">
        <is>
          <t>MVS Sec.17 p.47</t>
        </is>
      </c>
    </row>
    <row r="2637">
      <c r="B2637" t="inlineStr">
        <is>
          <t>Poultry Cage Operation – Screened Houses</t>
        </is>
      </c>
      <c r="C2637" t="inlineStr">
        <is>
          <t>115</t>
        </is>
      </c>
      <c r="D2637" t="inlineStr">
        <is>
          <t>17</t>
        </is>
      </c>
      <c r="E2637" t="inlineStr">
        <is>
          <t>47</t>
        </is>
      </c>
      <c r="F2637" t="inlineStr">
        <is>
          <t>DPOLE</t>
        </is>
      </c>
      <c r="G2637" t="inlineStr">
        <is>
          <t>Average</t>
        </is>
      </c>
      <c r="H2637" t="n">
        <v>20.05</v>
      </c>
      <c r="I2637">
        <f>B2637&amp;"|"&amp;F2637&amp;"|"&amp;G2637</f>
        <v/>
      </c>
      <c r="J2637" t="inlineStr">
        <is>
          <t>MVS Sec.17 p.47</t>
        </is>
      </c>
    </row>
    <row r="2638">
      <c r="B2638" t="inlineStr">
        <is>
          <t>Poultry Cage Operation – Screened Houses</t>
        </is>
      </c>
      <c r="C2638" t="inlineStr">
        <is>
          <t>115</t>
        </is>
      </c>
      <c r="D2638" t="inlineStr">
        <is>
          <t>17</t>
        </is>
      </c>
      <c r="E2638" t="inlineStr">
        <is>
          <t>47</t>
        </is>
      </c>
      <c r="F2638" t="inlineStr">
        <is>
          <t>DPOLE</t>
        </is>
      </c>
      <c r="G2638" t="inlineStr">
        <is>
          <t>Fair</t>
        </is>
      </c>
      <c r="H2638" t="n">
        <v>18.4</v>
      </c>
      <c r="I2638">
        <f>B2638&amp;"|"&amp;F2638&amp;"|"&amp;G2638</f>
        <v/>
      </c>
      <c r="J2638" t="inlineStr">
        <is>
          <t>MVS Sec.17 p.47</t>
        </is>
      </c>
    </row>
    <row r="2639">
      <c r="B2639" t="inlineStr">
        <is>
          <t>Poultry Cage Operation – Screened Houses</t>
        </is>
      </c>
      <c r="C2639" t="inlineStr">
        <is>
          <t>115</t>
        </is>
      </c>
      <c r="D2639" t="inlineStr">
        <is>
          <t>17</t>
        </is>
      </c>
      <c r="E2639" t="inlineStr">
        <is>
          <t>47</t>
        </is>
      </c>
      <c r="F2639" t="inlineStr">
        <is>
          <t>DPOLE</t>
        </is>
      </c>
      <c r="G2639" t="inlineStr">
        <is>
          <t>Low Cost</t>
        </is>
      </c>
      <c r="H2639" t="n">
        <v>16.9</v>
      </c>
      <c r="I2639">
        <f>B2639&amp;"|"&amp;F2639&amp;"|"&amp;G2639</f>
        <v/>
      </c>
      <c r="J2639" t="inlineStr">
        <is>
          <t>MVS Sec.17 p.47</t>
        </is>
      </c>
    </row>
    <row r="2640">
      <c r="B2640" t="inlineStr">
        <is>
          <t>Poultry Cage Operation – Screened Houses</t>
        </is>
      </c>
      <c r="C2640" t="inlineStr">
        <is>
          <t>115</t>
        </is>
      </c>
      <c r="D2640" t="inlineStr">
        <is>
          <t>17</t>
        </is>
      </c>
      <c r="E2640" t="inlineStr">
        <is>
          <t>47</t>
        </is>
      </c>
      <c r="F2640" t="inlineStr">
        <is>
          <t>DPOLE</t>
        </is>
      </c>
      <c r="G2640" t="inlineStr">
        <is>
          <t>Cheap</t>
        </is>
      </c>
      <c r="H2640" t="n">
        <v>11.1</v>
      </c>
      <c r="I2640">
        <f>B2640&amp;"|"&amp;F2640&amp;"|"&amp;G2640</f>
        <v/>
      </c>
      <c r="J2640" t="inlineStr">
        <is>
          <t>MVS Sec.17 p.47</t>
        </is>
      </c>
    </row>
    <row r="2641">
      <c r="B2641" t="inlineStr">
        <is>
          <t>Poultry Cage Operation – Screened Houses</t>
        </is>
      </c>
      <c r="C2641" t="inlineStr">
        <is>
          <t>115</t>
        </is>
      </c>
      <c r="D2641" t="inlineStr">
        <is>
          <t>17</t>
        </is>
      </c>
      <c r="E2641" t="inlineStr">
        <is>
          <t>47</t>
        </is>
      </c>
      <c r="F2641" t="inlineStr">
        <is>
          <t>S</t>
        </is>
      </c>
      <c r="G2641" t="inlineStr">
        <is>
          <t>Average</t>
        </is>
      </c>
      <c r="H2641" t="n">
        <v>21.85</v>
      </c>
      <c r="I2641">
        <f>B2641&amp;"|"&amp;F2641&amp;"|"&amp;G2641</f>
        <v/>
      </c>
      <c r="J2641" t="inlineStr">
        <is>
          <t>MVS Sec.17 p.47</t>
        </is>
      </c>
    </row>
    <row r="2642">
      <c r="B2642" t="inlineStr">
        <is>
          <t>Poultry Cage Operation – Screened Houses</t>
        </is>
      </c>
      <c r="C2642" t="inlineStr">
        <is>
          <t>115</t>
        </is>
      </c>
      <c r="D2642" t="inlineStr">
        <is>
          <t>17</t>
        </is>
      </c>
      <c r="E2642" t="inlineStr">
        <is>
          <t>47</t>
        </is>
      </c>
      <c r="F2642" t="inlineStr">
        <is>
          <t>S</t>
        </is>
      </c>
      <c r="G2642" t="inlineStr">
        <is>
          <t>Fair</t>
        </is>
      </c>
      <c r="H2642" t="n">
        <v>20.2</v>
      </c>
      <c r="I2642">
        <f>B2642&amp;"|"&amp;F2642&amp;"|"&amp;G2642</f>
        <v/>
      </c>
      <c r="J2642" t="inlineStr">
        <is>
          <t>MVS Sec.17 p.47</t>
        </is>
      </c>
    </row>
    <row r="2643">
      <c r="B2643" t="inlineStr">
        <is>
          <t>Poultry Cage Operation – Screened Houses</t>
        </is>
      </c>
      <c r="C2643" t="inlineStr">
        <is>
          <t>115</t>
        </is>
      </c>
      <c r="D2643" t="inlineStr">
        <is>
          <t>17</t>
        </is>
      </c>
      <c r="E2643" t="inlineStr">
        <is>
          <t>47</t>
        </is>
      </c>
      <c r="F2643" t="inlineStr">
        <is>
          <t>S</t>
        </is>
      </c>
      <c r="G2643" t="inlineStr">
        <is>
          <t>Low Cost</t>
        </is>
      </c>
      <c r="H2643" t="n">
        <v>18.75</v>
      </c>
      <c r="I2643">
        <f>B2643&amp;"|"&amp;F2643&amp;"|"&amp;G2643</f>
        <v/>
      </c>
      <c r="J2643" t="inlineStr">
        <is>
          <t>MVS Sec.17 p.47</t>
        </is>
      </c>
    </row>
    <row r="2644">
      <c r="B2644" t="inlineStr">
        <is>
          <t>Poultry Cage Operation – Screened Houses</t>
        </is>
      </c>
      <c r="C2644" t="inlineStr">
        <is>
          <t>115</t>
        </is>
      </c>
      <c r="D2644" t="inlineStr">
        <is>
          <t>17</t>
        </is>
      </c>
      <c r="E2644" t="inlineStr">
        <is>
          <t>47</t>
        </is>
      </c>
      <c r="F2644" t="inlineStr">
        <is>
          <t>S</t>
        </is>
      </c>
      <c r="G2644" t="inlineStr">
        <is>
          <t>Cheap</t>
        </is>
      </c>
      <c r="H2644" t="n">
        <v>11.8</v>
      </c>
      <c r="I2644">
        <f>B2644&amp;"|"&amp;F2644&amp;"|"&amp;G2644</f>
        <v/>
      </c>
      <c r="J2644" t="inlineStr">
        <is>
          <t>MVS Sec.17 p.47</t>
        </is>
      </c>
    </row>
    <row r="2645">
      <c r="B2645" t="inlineStr">
        <is>
          <t>Farm Labor Housing – Dormitories</t>
        </is>
      </c>
      <c r="C2645" t="inlineStr">
        <is>
          <t>393</t>
        </is>
      </c>
      <c r="D2645" t="inlineStr">
        <is>
          <t>17</t>
        </is>
      </c>
      <c r="E2645" t="inlineStr">
        <is>
          <t>49</t>
        </is>
      </c>
      <c r="F2645" t="inlineStr">
        <is>
          <t>C</t>
        </is>
      </c>
      <c r="G2645" t="inlineStr">
        <is>
          <t>Good</t>
        </is>
      </c>
      <c r="H2645" t="n">
        <v>70.5</v>
      </c>
      <c r="I2645">
        <f>B2645&amp;"|"&amp;F2645&amp;"|"&amp;G2645</f>
        <v/>
      </c>
      <c r="J2645" t="inlineStr">
        <is>
          <t>MVS Sec.17 p.49</t>
        </is>
      </c>
    </row>
    <row r="2646">
      <c r="B2646" t="inlineStr">
        <is>
          <t>Farm Labor Housing – Dormitories</t>
        </is>
      </c>
      <c r="C2646" t="inlineStr">
        <is>
          <t>393</t>
        </is>
      </c>
      <c r="D2646" t="inlineStr">
        <is>
          <t>17</t>
        </is>
      </c>
      <c r="E2646" t="inlineStr">
        <is>
          <t>49</t>
        </is>
      </c>
      <c r="F2646" t="inlineStr">
        <is>
          <t>C</t>
        </is>
      </c>
      <c r="G2646" t="inlineStr">
        <is>
          <t>Average</t>
        </is>
      </c>
      <c r="H2646" t="n">
        <v>55</v>
      </c>
      <c r="I2646">
        <f>B2646&amp;"|"&amp;F2646&amp;"|"&amp;G2646</f>
        <v/>
      </c>
      <c r="J2646" t="inlineStr">
        <is>
          <t>MVS Sec.17 p.49</t>
        </is>
      </c>
    </row>
    <row r="2647">
      <c r="B2647" t="inlineStr">
        <is>
          <t>Farm Labor Housing – Dormitories</t>
        </is>
      </c>
      <c r="C2647" t="inlineStr">
        <is>
          <t>393</t>
        </is>
      </c>
      <c r="D2647" t="inlineStr">
        <is>
          <t>17</t>
        </is>
      </c>
      <c r="E2647" t="inlineStr">
        <is>
          <t>49</t>
        </is>
      </c>
      <c r="F2647" t="inlineStr">
        <is>
          <t>C</t>
        </is>
      </c>
      <c r="G2647" t="inlineStr">
        <is>
          <t>Low Cost</t>
        </is>
      </c>
      <c r="H2647" t="n">
        <v>43</v>
      </c>
      <c r="I2647">
        <f>B2647&amp;"|"&amp;F2647&amp;"|"&amp;G2647</f>
        <v/>
      </c>
      <c r="J2647" t="inlineStr">
        <is>
          <t>MVS Sec.17 p.49</t>
        </is>
      </c>
    </row>
    <row r="2648">
      <c r="B2648" t="inlineStr">
        <is>
          <t>Farm Labor Housing – Dormitories</t>
        </is>
      </c>
      <c r="C2648" t="inlineStr">
        <is>
          <t>393</t>
        </is>
      </c>
      <c r="D2648" t="inlineStr">
        <is>
          <t>17</t>
        </is>
      </c>
      <c r="E2648" t="inlineStr">
        <is>
          <t>49</t>
        </is>
      </c>
      <c r="F2648" t="inlineStr">
        <is>
          <t>D</t>
        </is>
      </c>
      <c r="G2648" t="inlineStr">
        <is>
          <t>Good</t>
        </is>
      </c>
      <c r="H2648" t="n">
        <v>66</v>
      </c>
      <c r="I2648">
        <f>B2648&amp;"|"&amp;F2648&amp;"|"&amp;G2648</f>
        <v/>
      </c>
      <c r="J2648" t="inlineStr">
        <is>
          <t>MVS Sec.17 p.49</t>
        </is>
      </c>
    </row>
    <row r="2649">
      <c r="B2649" t="inlineStr">
        <is>
          <t>Farm Labor Housing – Dormitories</t>
        </is>
      </c>
      <c r="C2649" t="inlineStr">
        <is>
          <t>393</t>
        </is>
      </c>
      <c r="D2649" t="inlineStr">
        <is>
          <t>17</t>
        </is>
      </c>
      <c r="E2649" t="inlineStr">
        <is>
          <t>49</t>
        </is>
      </c>
      <c r="F2649" t="inlineStr">
        <is>
          <t>D</t>
        </is>
      </c>
      <c r="G2649" t="inlineStr">
        <is>
          <t>Average</t>
        </is>
      </c>
      <c r="H2649" t="n">
        <v>49</v>
      </c>
      <c r="I2649">
        <f>B2649&amp;"|"&amp;F2649&amp;"|"&amp;G2649</f>
        <v/>
      </c>
      <c r="J2649" t="inlineStr">
        <is>
          <t>MVS Sec.17 p.49</t>
        </is>
      </c>
    </row>
    <row r="2650">
      <c r="B2650" t="inlineStr">
        <is>
          <t>Farm Labor Housing – Dormitories</t>
        </is>
      </c>
      <c r="C2650" t="inlineStr">
        <is>
          <t>393</t>
        </is>
      </c>
      <c r="D2650" t="inlineStr">
        <is>
          <t>17</t>
        </is>
      </c>
      <c r="E2650" t="inlineStr">
        <is>
          <t>49</t>
        </is>
      </c>
      <c r="F2650" t="inlineStr">
        <is>
          <t>D</t>
        </is>
      </c>
      <c r="G2650" t="inlineStr">
        <is>
          <t>Low Cost</t>
        </is>
      </c>
      <c r="H2650" t="n">
        <v>36.25</v>
      </c>
      <c r="I2650">
        <f>B2650&amp;"|"&amp;F2650&amp;"|"&amp;G2650</f>
        <v/>
      </c>
      <c r="J2650" t="inlineStr">
        <is>
          <t>MVS Sec.17 p.49</t>
        </is>
      </c>
    </row>
    <row r="2651">
      <c r="B2651" t="inlineStr">
        <is>
          <t>Farm Labor Housing – Dormitories</t>
        </is>
      </c>
      <c r="C2651" t="inlineStr">
        <is>
          <t>393</t>
        </is>
      </c>
      <c r="D2651" t="inlineStr">
        <is>
          <t>17</t>
        </is>
      </c>
      <c r="E2651" t="inlineStr">
        <is>
          <t>49</t>
        </is>
      </c>
      <c r="F2651" t="inlineStr">
        <is>
          <t>S</t>
        </is>
      </c>
      <c r="G2651" t="inlineStr">
        <is>
          <t>Good</t>
        </is>
      </c>
      <c r="H2651" t="n">
        <v>67</v>
      </c>
      <c r="I2651">
        <f>B2651&amp;"|"&amp;F2651&amp;"|"&amp;G2651</f>
        <v/>
      </c>
      <c r="J2651" t="inlineStr">
        <is>
          <t>MVS Sec.17 p.49</t>
        </is>
      </c>
    </row>
    <row r="2652">
      <c r="B2652" t="inlineStr">
        <is>
          <t>Farm Labor Housing – Dormitories</t>
        </is>
      </c>
      <c r="C2652" t="inlineStr">
        <is>
          <t>393</t>
        </is>
      </c>
      <c r="D2652" t="inlineStr">
        <is>
          <t>17</t>
        </is>
      </c>
      <c r="E2652" t="inlineStr">
        <is>
          <t>49</t>
        </is>
      </c>
      <c r="F2652" t="inlineStr">
        <is>
          <t>S</t>
        </is>
      </c>
      <c r="G2652" t="inlineStr">
        <is>
          <t>Average</t>
        </is>
      </c>
      <c r="H2652" t="n">
        <v>50.5</v>
      </c>
      <c r="I2652">
        <f>B2652&amp;"|"&amp;F2652&amp;"|"&amp;G2652</f>
        <v/>
      </c>
      <c r="J2652" t="inlineStr">
        <is>
          <t>MVS Sec.17 p.49</t>
        </is>
      </c>
    </row>
    <row r="2653">
      <c r="B2653" t="inlineStr">
        <is>
          <t>Transient Labor Cabins</t>
        </is>
      </c>
      <c r="C2653" t="inlineStr">
        <is>
          <t>394</t>
        </is>
      </c>
      <c r="D2653" t="inlineStr">
        <is>
          <t>17</t>
        </is>
      </c>
      <c r="E2653" t="inlineStr">
        <is>
          <t>49</t>
        </is>
      </c>
      <c r="F2653" t="inlineStr">
        <is>
          <t>D</t>
        </is>
      </c>
      <c r="G2653" t="inlineStr">
        <is>
          <t>Average</t>
        </is>
      </c>
      <c r="H2653" t="n">
        <v>45.75</v>
      </c>
      <c r="I2653">
        <f>B2653&amp;"|"&amp;F2653&amp;"|"&amp;G2653</f>
        <v/>
      </c>
      <c r="J2653" t="inlineStr">
        <is>
          <t>MVS Sec.17 p.49</t>
        </is>
      </c>
    </row>
    <row r="2654">
      <c r="B2654" t="inlineStr">
        <is>
          <t>Hunting Shelters</t>
        </is>
      </c>
      <c r="C2654" t="inlineStr">
        <is>
          <t>155</t>
        </is>
      </c>
      <c r="D2654" t="inlineStr">
        <is>
          <t>17</t>
        </is>
      </c>
      <c r="E2654" t="inlineStr">
        <is>
          <t>49</t>
        </is>
      </c>
      <c r="F2654" t="inlineStr">
        <is>
          <t>D</t>
        </is>
      </c>
      <c r="G2654" t="inlineStr">
        <is>
          <t>Good</t>
        </is>
      </c>
      <c r="H2654" t="n">
        <v>30.5</v>
      </c>
      <c r="I2654">
        <f>B2654&amp;"|"&amp;F2654&amp;"|"&amp;G2654</f>
        <v/>
      </c>
      <c r="J2654" t="inlineStr">
        <is>
          <t>MVS Sec.17 p.49</t>
        </is>
      </c>
    </row>
    <row r="2655">
      <c r="B2655" t="inlineStr">
        <is>
          <t>Hunting Shelters</t>
        </is>
      </c>
      <c r="C2655" t="inlineStr">
        <is>
          <t>155</t>
        </is>
      </c>
      <c r="D2655" t="inlineStr">
        <is>
          <t>17</t>
        </is>
      </c>
      <c r="E2655" t="inlineStr">
        <is>
          <t>49</t>
        </is>
      </c>
      <c r="F2655" t="inlineStr">
        <is>
          <t>D</t>
        </is>
      </c>
      <c r="G2655" t="inlineStr">
        <is>
          <t>Average</t>
        </is>
      </c>
      <c r="H2655" t="n">
        <v>22.55</v>
      </c>
      <c r="I2655">
        <f>B2655&amp;"|"&amp;F2655&amp;"|"&amp;G2655</f>
        <v/>
      </c>
      <c r="J2655" t="inlineStr">
        <is>
          <t>MVS Sec.17 p.49</t>
        </is>
      </c>
    </row>
    <row r="2656">
      <c r="B2656" t="inlineStr">
        <is>
          <t>Hunting Shelters</t>
        </is>
      </c>
      <c r="C2656" t="inlineStr">
        <is>
          <t>155</t>
        </is>
      </c>
      <c r="D2656" t="inlineStr">
        <is>
          <t>17</t>
        </is>
      </c>
      <c r="E2656" t="inlineStr">
        <is>
          <t>49</t>
        </is>
      </c>
      <c r="F2656" t="inlineStr">
        <is>
          <t>D</t>
        </is>
      </c>
      <c r="G2656" t="inlineStr">
        <is>
          <t>Low Cost</t>
        </is>
      </c>
      <c r="H2656" t="n">
        <v>16.65</v>
      </c>
      <c r="I2656">
        <f>B2656&amp;"|"&amp;F2656&amp;"|"&amp;G2656</f>
        <v/>
      </c>
      <c r="J2656" t="inlineStr">
        <is>
          <t>MVS Sec.17 p.49</t>
        </is>
      </c>
    </row>
    <row r="2657">
      <c r="B2657" t="inlineStr">
        <is>
          <t>Hunting Shelters</t>
        </is>
      </c>
      <c r="C2657" t="inlineStr">
        <is>
          <t>155</t>
        </is>
      </c>
      <c r="D2657" t="inlineStr">
        <is>
          <t>17</t>
        </is>
      </c>
      <c r="E2657" t="inlineStr">
        <is>
          <t>49</t>
        </is>
      </c>
      <c r="F2657" t="inlineStr">
        <is>
          <t>D</t>
        </is>
      </c>
      <c r="G2657" t="inlineStr">
        <is>
          <t>Cheap</t>
        </is>
      </c>
      <c r="H2657" t="n">
        <v>12.3</v>
      </c>
      <c r="I2657">
        <f>B2657&amp;"|"&amp;F2657&amp;"|"&amp;G2657</f>
        <v/>
      </c>
      <c r="J2657" t="inlineStr">
        <is>
          <t>MVS Sec.17 p.49</t>
        </is>
      </c>
    </row>
    <row r="2658">
      <c r="B2658" t="inlineStr">
        <is>
          <t>High Schools</t>
        </is>
      </c>
      <c r="C2658" t="inlineStr">
        <is>
          <t>484</t>
        </is>
      </c>
      <c r="D2658" t="inlineStr">
        <is>
          <t>18</t>
        </is>
      </c>
      <c r="E2658" t="inlineStr">
        <is>
          <t>9</t>
        </is>
      </c>
      <c r="F2658" t="inlineStr">
        <is>
          <t>A</t>
        </is>
      </c>
      <c r="G2658" t="inlineStr">
        <is>
          <t>Excellent</t>
        </is>
      </c>
      <c r="H2658" t="n">
        <v>407</v>
      </c>
      <c r="I2658">
        <f>B2658&amp;"|"&amp;F2658&amp;"|"&amp;G2658</f>
        <v/>
      </c>
      <c r="J2658" t="inlineStr">
        <is>
          <t>MVS Sec.18 p.9</t>
        </is>
      </c>
    </row>
    <row r="2659">
      <c r="B2659" t="inlineStr">
        <is>
          <t>High Schools</t>
        </is>
      </c>
      <c r="C2659" t="inlineStr">
        <is>
          <t>484</t>
        </is>
      </c>
      <c r="D2659" t="inlineStr">
        <is>
          <t>18</t>
        </is>
      </c>
      <c r="E2659" t="inlineStr">
        <is>
          <t>9</t>
        </is>
      </c>
      <c r="F2659" t="inlineStr">
        <is>
          <t>A</t>
        </is>
      </c>
      <c r="G2659" t="inlineStr">
        <is>
          <t>Good</t>
        </is>
      </c>
      <c r="H2659" t="n">
        <v>334</v>
      </c>
      <c r="I2659">
        <f>B2659&amp;"|"&amp;F2659&amp;"|"&amp;G2659</f>
        <v/>
      </c>
      <c r="J2659" t="inlineStr">
        <is>
          <t>MVS Sec.18 p.9</t>
        </is>
      </c>
    </row>
    <row r="2660">
      <c r="B2660" t="inlineStr">
        <is>
          <t>High Schools</t>
        </is>
      </c>
      <c r="C2660" t="inlineStr">
        <is>
          <t>484</t>
        </is>
      </c>
      <c r="D2660" t="inlineStr">
        <is>
          <t>18</t>
        </is>
      </c>
      <c r="E2660" t="inlineStr">
        <is>
          <t>9</t>
        </is>
      </c>
      <c r="F2660" t="inlineStr">
        <is>
          <t>A</t>
        </is>
      </c>
      <c r="G2660" t="inlineStr">
        <is>
          <t>Average</t>
        </is>
      </c>
      <c r="H2660" t="n">
        <v>261</v>
      </c>
      <c r="I2660">
        <f>B2660&amp;"|"&amp;F2660&amp;"|"&amp;G2660</f>
        <v/>
      </c>
      <c r="J2660" t="inlineStr">
        <is>
          <t>MVS Sec.18 p.9</t>
        </is>
      </c>
    </row>
    <row r="2661">
      <c r="B2661" t="inlineStr">
        <is>
          <t>High Schools</t>
        </is>
      </c>
      <c r="C2661" t="inlineStr">
        <is>
          <t>484</t>
        </is>
      </c>
      <c r="D2661" t="inlineStr">
        <is>
          <t>18</t>
        </is>
      </c>
      <c r="E2661" t="inlineStr">
        <is>
          <t>9</t>
        </is>
      </c>
      <c r="F2661" t="inlineStr">
        <is>
          <t>B</t>
        </is>
      </c>
      <c r="G2661" t="inlineStr">
        <is>
          <t>Excellent</t>
        </is>
      </c>
      <c r="H2661" t="n">
        <v>372</v>
      </c>
      <c r="I2661">
        <f>B2661&amp;"|"&amp;F2661&amp;"|"&amp;G2661</f>
        <v/>
      </c>
      <c r="J2661" t="inlineStr">
        <is>
          <t>MVS Sec.18 p.9</t>
        </is>
      </c>
    </row>
    <row r="2662">
      <c r="B2662" t="inlineStr">
        <is>
          <t>High Schools</t>
        </is>
      </c>
      <c r="C2662" t="inlineStr">
        <is>
          <t>484</t>
        </is>
      </c>
      <c r="D2662" t="inlineStr">
        <is>
          <t>18</t>
        </is>
      </c>
      <c r="E2662" t="inlineStr">
        <is>
          <t>9</t>
        </is>
      </c>
      <c r="F2662" t="inlineStr">
        <is>
          <t>B</t>
        </is>
      </c>
      <c r="G2662" t="inlineStr">
        <is>
          <t>Good</t>
        </is>
      </c>
      <c r="H2662" t="n">
        <v>307</v>
      </c>
      <c r="I2662">
        <f>B2662&amp;"|"&amp;F2662&amp;"|"&amp;G2662</f>
        <v/>
      </c>
      <c r="J2662" t="inlineStr">
        <is>
          <t>MVS Sec.18 p.9</t>
        </is>
      </c>
    </row>
    <row r="2663">
      <c r="B2663" t="inlineStr">
        <is>
          <t>High Schools</t>
        </is>
      </c>
      <c r="C2663" t="inlineStr">
        <is>
          <t>484</t>
        </is>
      </c>
      <c r="D2663" t="inlineStr">
        <is>
          <t>18</t>
        </is>
      </c>
      <c r="E2663" t="inlineStr">
        <is>
          <t>9</t>
        </is>
      </c>
      <c r="F2663" t="inlineStr">
        <is>
          <t>B</t>
        </is>
      </c>
      <c r="G2663" t="inlineStr">
        <is>
          <t>Average</t>
        </is>
      </c>
      <c r="H2663" t="n">
        <v>241</v>
      </c>
      <c r="I2663">
        <f>B2663&amp;"|"&amp;F2663&amp;"|"&amp;G2663</f>
        <v/>
      </c>
      <c r="J2663" t="inlineStr">
        <is>
          <t>MVS Sec.18 p.9</t>
        </is>
      </c>
    </row>
    <row r="2664">
      <c r="B2664" t="inlineStr">
        <is>
          <t>High Schools</t>
        </is>
      </c>
      <c r="C2664" t="inlineStr">
        <is>
          <t>484</t>
        </is>
      </c>
      <c r="D2664" t="inlineStr">
        <is>
          <t>18</t>
        </is>
      </c>
      <c r="E2664" t="inlineStr">
        <is>
          <t>9</t>
        </is>
      </c>
      <c r="F2664" t="inlineStr">
        <is>
          <t>C</t>
        </is>
      </c>
      <c r="G2664" t="inlineStr">
        <is>
          <t>Excellent</t>
        </is>
      </c>
      <c r="H2664" t="n">
        <v>308</v>
      </c>
      <c r="I2664">
        <f>B2664&amp;"|"&amp;F2664&amp;"|"&amp;G2664</f>
        <v/>
      </c>
      <c r="J2664" t="inlineStr">
        <is>
          <t>MVS Sec.18 p.9</t>
        </is>
      </c>
    </row>
    <row r="2665">
      <c r="B2665" t="inlineStr">
        <is>
          <t>High Schools</t>
        </is>
      </c>
      <c r="C2665" t="inlineStr">
        <is>
          <t>484</t>
        </is>
      </c>
      <c r="D2665" t="inlineStr">
        <is>
          <t>18</t>
        </is>
      </c>
      <c r="E2665" t="inlineStr">
        <is>
          <t>9</t>
        </is>
      </c>
      <c r="F2665" t="inlineStr">
        <is>
          <t>C</t>
        </is>
      </c>
      <c r="G2665" t="inlineStr">
        <is>
          <t>Good</t>
        </is>
      </c>
      <c r="H2665" t="n">
        <v>242</v>
      </c>
      <c r="I2665">
        <f>B2665&amp;"|"&amp;F2665&amp;"|"&amp;G2665</f>
        <v/>
      </c>
      <c r="J2665" t="inlineStr">
        <is>
          <t>MVS Sec.18 p.9</t>
        </is>
      </c>
    </row>
    <row r="2666">
      <c r="B2666" t="inlineStr">
        <is>
          <t>High Schools</t>
        </is>
      </c>
      <c r="C2666" t="inlineStr">
        <is>
          <t>484</t>
        </is>
      </c>
      <c r="D2666" t="inlineStr">
        <is>
          <t>18</t>
        </is>
      </c>
      <c r="E2666" t="inlineStr">
        <is>
          <t>9</t>
        </is>
      </c>
      <c r="F2666" t="inlineStr">
        <is>
          <t>C</t>
        </is>
      </c>
      <c r="G2666" t="inlineStr">
        <is>
          <t>Average</t>
        </is>
      </c>
      <c r="H2666" t="n">
        <v>196</v>
      </c>
      <c r="I2666">
        <f>B2666&amp;"|"&amp;F2666&amp;"|"&amp;G2666</f>
        <v/>
      </c>
      <c r="J2666" t="inlineStr">
        <is>
          <t>MVS Sec.18 p.9</t>
        </is>
      </c>
    </row>
    <row r="2667">
      <c r="B2667" t="inlineStr">
        <is>
          <t>High Schools</t>
        </is>
      </c>
      <c r="C2667" t="inlineStr">
        <is>
          <t>484</t>
        </is>
      </c>
      <c r="D2667" t="inlineStr">
        <is>
          <t>18</t>
        </is>
      </c>
      <c r="E2667" t="inlineStr">
        <is>
          <t>9</t>
        </is>
      </c>
      <c r="F2667" t="inlineStr">
        <is>
          <t>C</t>
        </is>
      </c>
      <c r="G2667" t="inlineStr">
        <is>
          <t>Low Cost</t>
        </is>
      </c>
      <c r="H2667" t="n">
        <v>157</v>
      </c>
      <c r="I2667">
        <f>B2667&amp;"|"&amp;F2667&amp;"|"&amp;G2667</f>
        <v/>
      </c>
      <c r="J2667" t="inlineStr">
        <is>
          <t>MVS Sec.18 p.9</t>
        </is>
      </c>
    </row>
    <row r="2668">
      <c r="B2668" t="inlineStr">
        <is>
          <t>High Schools</t>
        </is>
      </c>
      <c r="C2668" t="inlineStr">
        <is>
          <t>484</t>
        </is>
      </c>
      <c r="D2668" t="inlineStr">
        <is>
          <t>18</t>
        </is>
      </c>
      <c r="E2668" t="inlineStr">
        <is>
          <t>9</t>
        </is>
      </c>
      <c r="F2668" t="inlineStr">
        <is>
          <t>D</t>
        </is>
      </c>
      <c r="G2668" t="inlineStr">
        <is>
          <t>Excellent</t>
        </is>
      </c>
      <c r="H2668" t="n">
        <v>303</v>
      </c>
      <c r="I2668">
        <f>B2668&amp;"|"&amp;F2668&amp;"|"&amp;G2668</f>
        <v/>
      </c>
      <c r="J2668" t="inlineStr">
        <is>
          <t>MVS Sec.18 p.9</t>
        </is>
      </c>
    </row>
    <row r="2669">
      <c r="B2669" t="inlineStr">
        <is>
          <t>High Schools</t>
        </is>
      </c>
      <c r="C2669" t="inlineStr">
        <is>
          <t>484</t>
        </is>
      </c>
      <c r="D2669" t="inlineStr">
        <is>
          <t>18</t>
        </is>
      </c>
      <c r="E2669" t="inlineStr">
        <is>
          <t>9</t>
        </is>
      </c>
      <c r="F2669" t="inlineStr">
        <is>
          <t>D</t>
        </is>
      </c>
      <c r="G2669" t="inlineStr">
        <is>
          <t>Good</t>
        </is>
      </c>
      <c r="H2669" t="n">
        <v>237</v>
      </c>
      <c r="I2669">
        <f>B2669&amp;"|"&amp;F2669&amp;"|"&amp;G2669</f>
        <v/>
      </c>
      <c r="J2669" t="inlineStr">
        <is>
          <t>MVS Sec.18 p.9</t>
        </is>
      </c>
    </row>
    <row r="2670">
      <c r="B2670" t="inlineStr">
        <is>
          <t>High Schools</t>
        </is>
      </c>
      <c r="C2670" t="inlineStr">
        <is>
          <t>484</t>
        </is>
      </c>
      <c r="D2670" t="inlineStr">
        <is>
          <t>18</t>
        </is>
      </c>
      <c r="E2670" t="inlineStr">
        <is>
          <t>9</t>
        </is>
      </c>
      <c r="F2670" t="inlineStr">
        <is>
          <t>D</t>
        </is>
      </c>
      <c r="G2670" t="inlineStr">
        <is>
          <t>Average</t>
        </is>
      </c>
      <c r="H2670" t="n">
        <v>190</v>
      </c>
      <c r="I2670">
        <f>B2670&amp;"|"&amp;F2670&amp;"|"&amp;G2670</f>
        <v/>
      </c>
      <c r="J2670" t="inlineStr">
        <is>
          <t>MVS Sec.18 p.9</t>
        </is>
      </c>
    </row>
    <row r="2671">
      <c r="B2671" t="inlineStr">
        <is>
          <t>High Schools</t>
        </is>
      </c>
      <c r="C2671" t="inlineStr">
        <is>
          <t>484</t>
        </is>
      </c>
      <c r="D2671" t="inlineStr">
        <is>
          <t>18</t>
        </is>
      </c>
      <c r="E2671" t="inlineStr">
        <is>
          <t>9</t>
        </is>
      </c>
      <c r="F2671" t="inlineStr">
        <is>
          <t>D</t>
        </is>
      </c>
      <c r="G2671" t="inlineStr">
        <is>
          <t>Low Cost</t>
        </is>
      </c>
      <c r="H2671" t="n">
        <v>151</v>
      </c>
      <c r="I2671">
        <f>B2671&amp;"|"&amp;F2671&amp;"|"&amp;G2671</f>
        <v/>
      </c>
      <c r="J2671" t="inlineStr">
        <is>
          <t>MVS Sec.18 p.9</t>
        </is>
      </c>
    </row>
    <row r="2672">
      <c r="B2672" t="inlineStr">
        <is>
          <t>High Schools</t>
        </is>
      </c>
      <c r="C2672" t="inlineStr">
        <is>
          <t>484</t>
        </is>
      </c>
      <c r="D2672" t="inlineStr">
        <is>
          <t>18</t>
        </is>
      </c>
      <c r="E2672" t="inlineStr">
        <is>
          <t>9</t>
        </is>
      </c>
      <c r="F2672" t="inlineStr">
        <is>
          <t>DPOLE</t>
        </is>
      </c>
      <c r="G2672" t="inlineStr">
        <is>
          <t>Average</t>
        </is>
      </c>
      <c r="H2672" t="n">
        <v>183</v>
      </c>
      <c r="I2672">
        <f>B2672&amp;"|"&amp;F2672&amp;"|"&amp;G2672</f>
        <v/>
      </c>
      <c r="J2672" t="inlineStr">
        <is>
          <t>MVS Sec.18 p.9</t>
        </is>
      </c>
    </row>
    <row r="2673">
      <c r="B2673" t="inlineStr">
        <is>
          <t>High Schools</t>
        </is>
      </c>
      <c r="C2673" t="inlineStr">
        <is>
          <t>484</t>
        </is>
      </c>
      <c r="D2673" t="inlineStr">
        <is>
          <t>18</t>
        </is>
      </c>
      <c r="E2673" t="inlineStr">
        <is>
          <t>9</t>
        </is>
      </c>
      <c r="F2673" t="inlineStr">
        <is>
          <t>DPOLE</t>
        </is>
      </c>
      <c r="G2673" t="inlineStr">
        <is>
          <t>Low Cost</t>
        </is>
      </c>
      <c r="H2673" t="n">
        <v>145</v>
      </c>
      <c r="I2673">
        <f>B2673&amp;"|"&amp;F2673&amp;"|"&amp;G2673</f>
        <v/>
      </c>
      <c r="J2673" t="inlineStr">
        <is>
          <t>MVS Sec.18 p.9</t>
        </is>
      </c>
    </row>
    <row r="2674">
      <c r="B2674" t="inlineStr">
        <is>
          <t>High Schools</t>
        </is>
      </c>
      <c r="C2674" t="inlineStr">
        <is>
          <t>484</t>
        </is>
      </c>
      <c r="D2674" t="inlineStr">
        <is>
          <t>18</t>
        </is>
      </c>
      <c r="E2674" t="inlineStr">
        <is>
          <t>9</t>
        </is>
      </c>
      <c r="F2674" t="inlineStr">
        <is>
          <t>S</t>
        </is>
      </c>
      <c r="G2674" t="inlineStr">
        <is>
          <t>Good</t>
        </is>
      </c>
      <c r="H2674" t="n">
        <v>232</v>
      </c>
      <c r="I2674">
        <f>B2674&amp;"|"&amp;F2674&amp;"|"&amp;G2674</f>
        <v/>
      </c>
      <c r="J2674" t="inlineStr">
        <is>
          <t>MVS Sec.18 p.9</t>
        </is>
      </c>
    </row>
    <row r="2675">
      <c r="B2675" t="inlineStr">
        <is>
          <t>High Schools</t>
        </is>
      </c>
      <c r="C2675" t="inlineStr">
        <is>
          <t>484</t>
        </is>
      </c>
      <c r="D2675" t="inlineStr">
        <is>
          <t>18</t>
        </is>
      </c>
      <c r="E2675" t="inlineStr">
        <is>
          <t>9</t>
        </is>
      </c>
      <c r="F2675" t="inlineStr">
        <is>
          <t>S</t>
        </is>
      </c>
      <c r="G2675" t="inlineStr">
        <is>
          <t>Average</t>
        </is>
      </c>
      <c r="H2675" t="n">
        <v>185</v>
      </c>
      <c r="I2675">
        <f>B2675&amp;"|"&amp;F2675&amp;"|"&amp;G2675</f>
        <v/>
      </c>
      <c r="J2675" t="inlineStr">
        <is>
          <t>MVS Sec.18 p.9</t>
        </is>
      </c>
    </row>
    <row r="2676">
      <c r="B2676" t="inlineStr">
        <is>
          <t>High Schools</t>
        </is>
      </c>
      <c r="C2676" t="inlineStr">
        <is>
          <t>484</t>
        </is>
      </c>
      <c r="D2676" t="inlineStr">
        <is>
          <t>18</t>
        </is>
      </c>
      <c r="E2676" t="inlineStr">
        <is>
          <t>9</t>
        </is>
      </c>
      <c r="F2676" t="inlineStr">
        <is>
          <t>S</t>
        </is>
      </c>
      <c r="G2676" t="inlineStr">
        <is>
          <t>Low Cost</t>
        </is>
      </c>
      <c r="H2676" t="n">
        <v>146</v>
      </c>
      <c r="I2676">
        <f>B2676&amp;"|"&amp;F2676&amp;"|"&amp;G2676</f>
        <v/>
      </c>
      <c r="J2676" t="inlineStr">
        <is>
          <t>MVS Sec.18 p.9</t>
        </is>
      </c>
    </row>
    <row r="2677">
      <c r="B2677" t="inlineStr">
        <is>
          <t>Middle (Junior High) Schools</t>
        </is>
      </c>
      <c r="C2677" t="inlineStr">
        <is>
          <t>366</t>
        </is>
      </c>
      <c r="D2677" t="inlineStr">
        <is>
          <t>18</t>
        </is>
      </c>
      <c r="E2677" t="inlineStr">
        <is>
          <t>10</t>
        </is>
      </c>
      <c r="F2677" t="inlineStr">
        <is>
          <t>A</t>
        </is>
      </c>
      <c r="G2677" t="inlineStr">
        <is>
          <t>Excellent</t>
        </is>
      </c>
      <c r="H2677" t="n">
        <v>380</v>
      </c>
      <c r="I2677">
        <f>B2677&amp;"|"&amp;F2677&amp;"|"&amp;G2677</f>
        <v/>
      </c>
      <c r="J2677" t="inlineStr">
        <is>
          <t>MVS Sec.18 p.10</t>
        </is>
      </c>
    </row>
    <row r="2678">
      <c r="B2678" t="inlineStr">
        <is>
          <t>Middle (Junior High) Schools</t>
        </is>
      </c>
      <c r="C2678" t="inlineStr">
        <is>
          <t>366</t>
        </is>
      </c>
      <c r="D2678" t="inlineStr">
        <is>
          <t>18</t>
        </is>
      </c>
      <c r="E2678" t="inlineStr">
        <is>
          <t>10</t>
        </is>
      </c>
      <c r="F2678" t="inlineStr">
        <is>
          <t>A</t>
        </is>
      </c>
      <c r="G2678" t="inlineStr">
        <is>
          <t>Good</t>
        </is>
      </c>
      <c r="H2678" t="n">
        <v>316</v>
      </c>
      <c r="I2678">
        <f>B2678&amp;"|"&amp;F2678&amp;"|"&amp;G2678</f>
        <v/>
      </c>
      <c r="J2678" t="inlineStr">
        <is>
          <t>MVS Sec.18 p.10</t>
        </is>
      </c>
    </row>
    <row r="2679">
      <c r="B2679" t="inlineStr">
        <is>
          <t>Middle (Junior High) Schools</t>
        </is>
      </c>
      <c r="C2679" t="inlineStr">
        <is>
          <t>366</t>
        </is>
      </c>
      <c r="D2679" t="inlineStr">
        <is>
          <t>18</t>
        </is>
      </c>
      <c r="E2679" t="inlineStr">
        <is>
          <t>10</t>
        </is>
      </c>
      <c r="F2679" t="inlineStr">
        <is>
          <t>A</t>
        </is>
      </c>
      <c r="G2679" t="inlineStr">
        <is>
          <t>Average</t>
        </is>
      </c>
      <c r="H2679" t="n">
        <v>249</v>
      </c>
      <c r="I2679">
        <f>B2679&amp;"|"&amp;F2679&amp;"|"&amp;G2679</f>
        <v/>
      </c>
      <c r="J2679" t="inlineStr">
        <is>
          <t>MVS Sec.18 p.10</t>
        </is>
      </c>
    </row>
    <row r="2680">
      <c r="B2680" t="inlineStr">
        <is>
          <t>Middle (Junior High) Schools</t>
        </is>
      </c>
      <c r="C2680" t="inlineStr">
        <is>
          <t>366</t>
        </is>
      </c>
      <c r="D2680" t="inlineStr">
        <is>
          <t>18</t>
        </is>
      </c>
      <c r="E2680" t="inlineStr">
        <is>
          <t>10</t>
        </is>
      </c>
      <c r="F2680" t="inlineStr">
        <is>
          <t>B</t>
        </is>
      </c>
      <c r="G2680" t="inlineStr">
        <is>
          <t>Excellent</t>
        </is>
      </c>
      <c r="H2680" t="n">
        <v>347</v>
      </c>
      <c r="I2680">
        <f>B2680&amp;"|"&amp;F2680&amp;"|"&amp;G2680</f>
        <v/>
      </c>
      <c r="J2680" t="inlineStr">
        <is>
          <t>MVS Sec.18 p.10</t>
        </is>
      </c>
    </row>
    <row r="2681">
      <c r="B2681" t="inlineStr">
        <is>
          <t>Middle (Junior High) Schools</t>
        </is>
      </c>
      <c r="C2681" t="inlineStr">
        <is>
          <t>366</t>
        </is>
      </c>
      <c r="D2681" t="inlineStr">
        <is>
          <t>18</t>
        </is>
      </c>
      <c r="E2681" t="inlineStr">
        <is>
          <t>10</t>
        </is>
      </c>
      <c r="F2681" t="inlineStr">
        <is>
          <t>B</t>
        </is>
      </c>
      <c r="G2681" t="inlineStr">
        <is>
          <t>Good</t>
        </is>
      </c>
      <c r="H2681" t="n">
        <v>290</v>
      </c>
      <c r="I2681">
        <f>B2681&amp;"|"&amp;F2681&amp;"|"&amp;G2681</f>
        <v/>
      </c>
      <c r="J2681" t="inlineStr">
        <is>
          <t>MVS Sec.18 p.10</t>
        </is>
      </c>
    </row>
    <row r="2682">
      <c r="B2682" t="inlineStr">
        <is>
          <t>Middle (Junior High) Schools</t>
        </is>
      </c>
      <c r="C2682" t="inlineStr">
        <is>
          <t>366</t>
        </is>
      </c>
      <c r="D2682" t="inlineStr">
        <is>
          <t>18</t>
        </is>
      </c>
      <c r="E2682" t="inlineStr">
        <is>
          <t>10</t>
        </is>
      </c>
      <c r="F2682" t="inlineStr">
        <is>
          <t>B</t>
        </is>
      </c>
      <c r="G2682" t="inlineStr">
        <is>
          <t>Average</t>
        </is>
      </c>
      <c r="H2682" t="n">
        <v>230</v>
      </c>
      <c r="I2682">
        <f>B2682&amp;"|"&amp;F2682&amp;"|"&amp;G2682</f>
        <v/>
      </c>
      <c r="J2682" t="inlineStr">
        <is>
          <t>MVS Sec.18 p.10</t>
        </is>
      </c>
    </row>
    <row r="2683">
      <c r="B2683" t="inlineStr">
        <is>
          <t>Middle (Junior High) Schools</t>
        </is>
      </c>
      <c r="C2683" t="inlineStr">
        <is>
          <t>366</t>
        </is>
      </c>
      <c r="D2683" t="inlineStr">
        <is>
          <t>18</t>
        </is>
      </c>
      <c r="E2683" t="inlineStr">
        <is>
          <t>10</t>
        </is>
      </c>
      <c r="F2683" t="inlineStr">
        <is>
          <t>C</t>
        </is>
      </c>
      <c r="G2683" t="inlineStr">
        <is>
          <t>Excellent</t>
        </is>
      </c>
      <c r="H2683" t="n">
        <v>291</v>
      </c>
      <c r="I2683">
        <f>B2683&amp;"|"&amp;F2683&amp;"|"&amp;G2683</f>
        <v/>
      </c>
      <c r="J2683" t="inlineStr">
        <is>
          <t>MVS Sec.18 p.10</t>
        </is>
      </c>
    </row>
    <row r="2684">
      <c r="B2684" t="inlineStr">
        <is>
          <t>Middle (Junior High) Schools</t>
        </is>
      </c>
      <c r="C2684" t="inlineStr">
        <is>
          <t>366</t>
        </is>
      </c>
      <c r="D2684" t="inlineStr">
        <is>
          <t>18</t>
        </is>
      </c>
      <c r="E2684" t="inlineStr">
        <is>
          <t>10</t>
        </is>
      </c>
      <c r="F2684" t="inlineStr">
        <is>
          <t>C</t>
        </is>
      </c>
      <c r="G2684" t="inlineStr">
        <is>
          <t>Good</t>
        </is>
      </c>
      <c r="H2684" t="n">
        <v>232</v>
      </c>
      <c r="I2684">
        <f>B2684&amp;"|"&amp;F2684&amp;"|"&amp;G2684</f>
        <v/>
      </c>
      <c r="J2684" t="inlineStr">
        <is>
          <t>MVS Sec.18 p.10</t>
        </is>
      </c>
    </row>
    <row r="2685">
      <c r="B2685" t="inlineStr">
        <is>
          <t>Middle (Junior High) Schools</t>
        </is>
      </c>
      <c r="C2685" t="inlineStr">
        <is>
          <t>366</t>
        </is>
      </c>
      <c r="D2685" t="inlineStr">
        <is>
          <t>18</t>
        </is>
      </c>
      <c r="E2685" t="inlineStr">
        <is>
          <t>10</t>
        </is>
      </c>
      <c r="F2685" t="inlineStr">
        <is>
          <t>C</t>
        </is>
      </c>
      <c r="G2685" t="inlineStr">
        <is>
          <t>Average</t>
        </is>
      </c>
      <c r="H2685" t="n">
        <v>190</v>
      </c>
      <c r="I2685">
        <f>B2685&amp;"|"&amp;F2685&amp;"|"&amp;G2685</f>
        <v/>
      </c>
      <c r="J2685" t="inlineStr">
        <is>
          <t>MVS Sec.18 p.10</t>
        </is>
      </c>
    </row>
    <row r="2686">
      <c r="B2686" t="inlineStr">
        <is>
          <t>Middle (Junior High) Schools</t>
        </is>
      </c>
      <c r="C2686" t="inlineStr">
        <is>
          <t>366</t>
        </is>
      </c>
      <c r="D2686" t="inlineStr">
        <is>
          <t>18</t>
        </is>
      </c>
      <c r="E2686" t="inlineStr">
        <is>
          <t>10</t>
        </is>
      </c>
      <c r="F2686" t="inlineStr">
        <is>
          <t>C</t>
        </is>
      </c>
      <c r="G2686" t="inlineStr">
        <is>
          <t>Low Cost</t>
        </is>
      </c>
      <c r="H2686" t="n">
        <v>154</v>
      </c>
      <c r="I2686">
        <f>B2686&amp;"|"&amp;F2686&amp;"|"&amp;G2686</f>
        <v/>
      </c>
      <c r="J2686" t="inlineStr">
        <is>
          <t>MVS Sec.18 p.10</t>
        </is>
      </c>
    </row>
    <row r="2687">
      <c r="B2687" t="inlineStr">
        <is>
          <t>Middle (Junior High) Schools</t>
        </is>
      </c>
      <c r="C2687" t="inlineStr">
        <is>
          <t>366</t>
        </is>
      </c>
      <c r="D2687" t="inlineStr">
        <is>
          <t>18</t>
        </is>
      </c>
      <c r="E2687" t="inlineStr">
        <is>
          <t>10</t>
        </is>
      </c>
      <c r="F2687" t="inlineStr">
        <is>
          <t>D</t>
        </is>
      </c>
      <c r="G2687" t="inlineStr">
        <is>
          <t>Excellent</t>
        </is>
      </c>
      <c r="H2687" t="n">
        <v>285</v>
      </c>
      <c r="I2687">
        <f>B2687&amp;"|"&amp;F2687&amp;"|"&amp;G2687</f>
        <v/>
      </c>
      <c r="J2687" t="inlineStr">
        <is>
          <t>MVS Sec.18 p.10</t>
        </is>
      </c>
    </row>
    <row r="2688">
      <c r="B2688" t="inlineStr">
        <is>
          <t>Middle (Junior High) Schools</t>
        </is>
      </c>
      <c r="C2688" t="inlineStr">
        <is>
          <t>366</t>
        </is>
      </c>
      <c r="D2688" t="inlineStr">
        <is>
          <t>18</t>
        </is>
      </c>
      <c r="E2688" t="inlineStr">
        <is>
          <t>10</t>
        </is>
      </c>
      <c r="F2688" t="inlineStr">
        <is>
          <t>D</t>
        </is>
      </c>
      <c r="G2688" t="inlineStr">
        <is>
          <t>Good</t>
        </is>
      </c>
      <c r="H2688" t="n">
        <v>226</v>
      </c>
      <c r="I2688">
        <f>B2688&amp;"|"&amp;F2688&amp;"|"&amp;G2688</f>
        <v/>
      </c>
      <c r="J2688" t="inlineStr">
        <is>
          <t>MVS Sec.18 p.10</t>
        </is>
      </c>
    </row>
    <row r="2689">
      <c r="B2689" t="inlineStr">
        <is>
          <t>Middle (Junior High) Schools</t>
        </is>
      </c>
      <c r="C2689" t="inlineStr">
        <is>
          <t>366</t>
        </is>
      </c>
      <c r="D2689" t="inlineStr">
        <is>
          <t>18</t>
        </is>
      </c>
      <c r="E2689" t="inlineStr">
        <is>
          <t>10</t>
        </is>
      </c>
      <c r="F2689" t="inlineStr">
        <is>
          <t>D</t>
        </is>
      </c>
      <c r="G2689" t="inlineStr">
        <is>
          <t>Average</t>
        </is>
      </c>
      <c r="H2689" t="n">
        <v>184</v>
      </c>
      <c r="I2689">
        <f>B2689&amp;"|"&amp;F2689&amp;"|"&amp;G2689</f>
        <v/>
      </c>
      <c r="J2689" t="inlineStr">
        <is>
          <t>MVS Sec.18 p.10</t>
        </is>
      </c>
    </row>
    <row r="2690">
      <c r="B2690" t="inlineStr">
        <is>
          <t>Middle (Junior High) Schools</t>
        </is>
      </c>
      <c r="C2690" t="inlineStr">
        <is>
          <t>366</t>
        </is>
      </c>
      <c r="D2690" t="inlineStr">
        <is>
          <t>18</t>
        </is>
      </c>
      <c r="E2690" t="inlineStr">
        <is>
          <t>10</t>
        </is>
      </c>
      <c r="F2690" t="inlineStr">
        <is>
          <t>D</t>
        </is>
      </c>
      <c r="G2690" t="inlineStr">
        <is>
          <t>Low Cost</t>
        </is>
      </c>
      <c r="H2690" t="n">
        <v>149</v>
      </c>
      <c r="I2690">
        <f>B2690&amp;"|"&amp;F2690&amp;"|"&amp;G2690</f>
        <v/>
      </c>
      <c r="J2690" t="inlineStr">
        <is>
          <t>MVS Sec.18 p.10</t>
        </is>
      </c>
    </row>
    <row r="2691">
      <c r="B2691" t="inlineStr">
        <is>
          <t>Middle (Junior High) Schools</t>
        </is>
      </c>
      <c r="C2691" t="inlineStr">
        <is>
          <t>366</t>
        </is>
      </c>
      <c r="D2691" t="inlineStr">
        <is>
          <t>18</t>
        </is>
      </c>
      <c r="E2691" t="inlineStr">
        <is>
          <t>10</t>
        </is>
      </c>
      <c r="F2691" t="inlineStr">
        <is>
          <t>DPOLE</t>
        </is>
      </c>
      <c r="G2691" t="inlineStr">
        <is>
          <t>Average</t>
        </is>
      </c>
      <c r="H2691" t="n">
        <v>178</v>
      </c>
      <c r="I2691">
        <f>B2691&amp;"|"&amp;F2691&amp;"|"&amp;G2691</f>
        <v/>
      </c>
      <c r="J2691" t="inlineStr">
        <is>
          <t>MVS Sec.18 p.10</t>
        </is>
      </c>
    </row>
    <row r="2692">
      <c r="B2692" t="inlineStr">
        <is>
          <t>Middle (Junior High) Schools</t>
        </is>
      </c>
      <c r="C2692" t="inlineStr">
        <is>
          <t>366</t>
        </is>
      </c>
      <c r="D2692" t="inlineStr">
        <is>
          <t>18</t>
        </is>
      </c>
      <c r="E2692" t="inlineStr">
        <is>
          <t>10</t>
        </is>
      </c>
      <c r="F2692" t="inlineStr">
        <is>
          <t>DPOLE</t>
        </is>
      </c>
      <c r="G2692" t="inlineStr">
        <is>
          <t>Low Cost</t>
        </is>
      </c>
      <c r="H2692" t="n">
        <v>143</v>
      </c>
      <c r="I2692">
        <f>B2692&amp;"|"&amp;F2692&amp;"|"&amp;G2692</f>
        <v/>
      </c>
      <c r="J2692" t="inlineStr">
        <is>
          <t>MVS Sec.18 p.10</t>
        </is>
      </c>
    </row>
    <row r="2693">
      <c r="B2693" t="inlineStr">
        <is>
          <t>Middle (Junior High) Schools</t>
        </is>
      </c>
      <c r="C2693" t="inlineStr">
        <is>
          <t>366</t>
        </is>
      </c>
      <c r="D2693" t="inlineStr">
        <is>
          <t>18</t>
        </is>
      </c>
      <c r="E2693" t="inlineStr">
        <is>
          <t>10</t>
        </is>
      </c>
      <c r="F2693" t="inlineStr">
        <is>
          <t>S</t>
        </is>
      </c>
      <c r="G2693" t="inlineStr">
        <is>
          <t>Good</t>
        </is>
      </c>
      <c r="H2693" t="n">
        <v>223</v>
      </c>
      <c r="I2693">
        <f>B2693&amp;"|"&amp;F2693&amp;"|"&amp;G2693</f>
        <v/>
      </c>
      <c r="J2693" t="inlineStr">
        <is>
          <t>MVS Sec.18 p.10</t>
        </is>
      </c>
    </row>
    <row r="2694">
      <c r="B2694" t="inlineStr">
        <is>
          <t>Middle (Junior High) Schools</t>
        </is>
      </c>
      <c r="C2694" t="inlineStr">
        <is>
          <t>366</t>
        </is>
      </c>
      <c r="D2694" t="inlineStr">
        <is>
          <t>18</t>
        </is>
      </c>
      <c r="E2694" t="inlineStr">
        <is>
          <t>10</t>
        </is>
      </c>
      <c r="F2694" t="inlineStr">
        <is>
          <t>S</t>
        </is>
      </c>
      <c r="G2694" t="inlineStr">
        <is>
          <t>Average</t>
        </is>
      </c>
      <c r="H2694" t="n">
        <v>180</v>
      </c>
      <c r="I2694">
        <f>B2694&amp;"|"&amp;F2694&amp;"|"&amp;G2694</f>
        <v/>
      </c>
      <c r="J2694" t="inlineStr">
        <is>
          <t>MVS Sec.18 p.10</t>
        </is>
      </c>
    </row>
    <row r="2695">
      <c r="B2695" t="inlineStr">
        <is>
          <t>Middle (Junior High) Schools</t>
        </is>
      </c>
      <c r="C2695" t="inlineStr">
        <is>
          <t>366</t>
        </is>
      </c>
      <c r="D2695" t="inlineStr">
        <is>
          <t>18</t>
        </is>
      </c>
      <c r="E2695" t="inlineStr">
        <is>
          <t>10</t>
        </is>
      </c>
      <c r="F2695" t="inlineStr">
        <is>
          <t>S</t>
        </is>
      </c>
      <c r="G2695" t="inlineStr">
        <is>
          <t>Low Cost</t>
        </is>
      </c>
      <c r="H2695" t="n">
        <v>144</v>
      </c>
      <c r="I2695">
        <f>B2695&amp;"|"&amp;F2695&amp;"|"&amp;G2695</f>
        <v/>
      </c>
      <c r="J2695" t="inlineStr">
        <is>
          <t>MVS Sec.18 p.10</t>
        </is>
      </c>
    </row>
    <row r="2696">
      <c r="B2696" t="inlineStr">
        <is>
          <t>Elementary Schools</t>
        </is>
      </c>
      <c r="C2696" t="inlineStr">
        <is>
          <t>365</t>
        </is>
      </c>
      <c r="D2696" t="inlineStr">
        <is>
          <t>18</t>
        </is>
      </c>
      <c r="E2696" t="inlineStr">
        <is>
          <t>11</t>
        </is>
      </c>
      <c r="F2696" t="inlineStr">
        <is>
          <t>A-B</t>
        </is>
      </c>
      <c r="G2696" t="inlineStr">
        <is>
          <t>Excellent</t>
        </is>
      </c>
      <c r="H2696" t="n">
        <v>391</v>
      </c>
      <c r="I2696">
        <f>B2696&amp;"|"&amp;F2696&amp;"|"&amp;G2696</f>
        <v/>
      </c>
      <c r="J2696" t="inlineStr">
        <is>
          <t>MVS Sec.18 p.11</t>
        </is>
      </c>
    </row>
    <row r="2697">
      <c r="B2697" t="inlineStr">
        <is>
          <t>Elementary Schools</t>
        </is>
      </c>
      <c r="C2697" t="inlineStr">
        <is>
          <t>365</t>
        </is>
      </c>
      <c r="D2697" t="inlineStr">
        <is>
          <t>18</t>
        </is>
      </c>
      <c r="E2697" t="inlineStr">
        <is>
          <t>11</t>
        </is>
      </c>
      <c r="F2697" t="inlineStr">
        <is>
          <t>A-B</t>
        </is>
      </c>
      <c r="G2697" t="inlineStr">
        <is>
          <t>Good</t>
        </is>
      </c>
      <c r="H2697" t="n">
        <v>309</v>
      </c>
      <c r="I2697">
        <f>B2697&amp;"|"&amp;F2697&amp;"|"&amp;G2697</f>
        <v/>
      </c>
      <c r="J2697" t="inlineStr">
        <is>
          <t>MVS Sec.18 p.11</t>
        </is>
      </c>
    </row>
    <row r="2698">
      <c r="B2698" t="inlineStr">
        <is>
          <t>Elementary Schools</t>
        </is>
      </c>
      <c r="C2698" t="inlineStr">
        <is>
          <t>365</t>
        </is>
      </c>
      <c r="D2698" t="inlineStr">
        <is>
          <t>18</t>
        </is>
      </c>
      <c r="E2698" t="inlineStr">
        <is>
          <t>11</t>
        </is>
      </c>
      <c r="F2698" t="inlineStr">
        <is>
          <t>A-B</t>
        </is>
      </c>
      <c r="G2698" t="inlineStr">
        <is>
          <t>Average</t>
        </is>
      </c>
      <c r="H2698" t="n">
        <v>255</v>
      </c>
      <c r="I2698">
        <f>B2698&amp;"|"&amp;F2698&amp;"|"&amp;G2698</f>
        <v/>
      </c>
      <c r="J2698" t="inlineStr">
        <is>
          <t>MVS Sec.18 p.11</t>
        </is>
      </c>
    </row>
    <row r="2699">
      <c r="B2699" t="inlineStr">
        <is>
          <t>Elementary Schools</t>
        </is>
      </c>
      <c r="C2699" t="inlineStr">
        <is>
          <t>365</t>
        </is>
      </c>
      <c r="D2699" t="inlineStr">
        <is>
          <t>18</t>
        </is>
      </c>
      <c r="E2699" t="inlineStr">
        <is>
          <t>11</t>
        </is>
      </c>
      <c r="F2699" t="inlineStr">
        <is>
          <t>C</t>
        </is>
      </c>
      <c r="G2699" t="inlineStr">
        <is>
          <t>Excellent</t>
        </is>
      </c>
      <c r="H2699" t="n">
        <v>329</v>
      </c>
      <c r="I2699">
        <f>B2699&amp;"|"&amp;F2699&amp;"|"&amp;G2699</f>
        <v/>
      </c>
      <c r="J2699" t="inlineStr">
        <is>
          <t>MVS Sec.18 p.11</t>
        </is>
      </c>
    </row>
    <row r="2700">
      <c r="B2700" t="inlineStr">
        <is>
          <t>Elementary Schools</t>
        </is>
      </c>
      <c r="C2700" t="inlineStr">
        <is>
          <t>365</t>
        </is>
      </c>
      <c r="D2700" t="inlineStr">
        <is>
          <t>18</t>
        </is>
      </c>
      <c r="E2700" t="inlineStr">
        <is>
          <t>11</t>
        </is>
      </c>
      <c r="F2700" t="inlineStr">
        <is>
          <t>C</t>
        </is>
      </c>
      <c r="G2700" t="inlineStr">
        <is>
          <t>Good</t>
        </is>
      </c>
      <c r="H2700" t="n">
        <v>256</v>
      </c>
      <c r="I2700">
        <f>B2700&amp;"|"&amp;F2700&amp;"|"&amp;G2700</f>
        <v/>
      </c>
      <c r="J2700" t="inlineStr">
        <is>
          <t>MVS Sec.18 p.11</t>
        </is>
      </c>
    </row>
    <row r="2701">
      <c r="B2701" t="inlineStr">
        <is>
          <t>Elementary Schools</t>
        </is>
      </c>
      <c r="C2701" t="inlineStr">
        <is>
          <t>365</t>
        </is>
      </c>
      <c r="D2701" t="inlineStr">
        <is>
          <t>18</t>
        </is>
      </c>
      <c r="E2701" t="inlineStr">
        <is>
          <t>11</t>
        </is>
      </c>
      <c r="F2701" t="inlineStr">
        <is>
          <t>C</t>
        </is>
      </c>
      <c r="G2701" t="inlineStr">
        <is>
          <t>Average</t>
        </is>
      </c>
      <c r="H2701" t="n">
        <v>199</v>
      </c>
      <c r="I2701">
        <f>B2701&amp;"|"&amp;F2701&amp;"|"&amp;G2701</f>
        <v/>
      </c>
      <c r="J2701" t="inlineStr">
        <is>
          <t>MVS Sec.18 p.11</t>
        </is>
      </c>
    </row>
    <row r="2702">
      <c r="B2702" t="inlineStr">
        <is>
          <t>Elementary Schools</t>
        </is>
      </c>
      <c r="C2702" t="inlineStr">
        <is>
          <t>365</t>
        </is>
      </c>
      <c r="D2702" t="inlineStr">
        <is>
          <t>18</t>
        </is>
      </c>
      <c r="E2702" t="inlineStr">
        <is>
          <t>11</t>
        </is>
      </c>
      <c r="F2702" t="inlineStr">
        <is>
          <t>C</t>
        </is>
      </c>
      <c r="G2702" t="inlineStr">
        <is>
          <t>Low Cost</t>
        </is>
      </c>
      <c r="H2702" t="n">
        <v>158</v>
      </c>
      <c r="I2702">
        <f>B2702&amp;"|"&amp;F2702&amp;"|"&amp;G2702</f>
        <v/>
      </c>
      <c r="J2702" t="inlineStr">
        <is>
          <t>MVS Sec.18 p.11</t>
        </is>
      </c>
    </row>
    <row r="2703">
      <c r="B2703" t="inlineStr">
        <is>
          <t>Elementary Schools</t>
        </is>
      </c>
      <c r="C2703" t="inlineStr">
        <is>
          <t>365</t>
        </is>
      </c>
      <c r="D2703" t="inlineStr">
        <is>
          <t>18</t>
        </is>
      </c>
      <c r="E2703" t="inlineStr">
        <is>
          <t>11</t>
        </is>
      </c>
      <c r="F2703" t="inlineStr">
        <is>
          <t>D</t>
        </is>
      </c>
      <c r="G2703" t="inlineStr">
        <is>
          <t>Excellent</t>
        </is>
      </c>
      <c r="H2703" t="n">
        <v>323</v>
      </c>
      <c r="I2703">
        <f>B2703&amp;"|"&amp;F2703&amp;"|"&amp;G2703</f>
        <v/>
      </c>
      <c r="J2703" t="inlineStr">
        <is>
          <t>MVS Sec.18 p.11</t>
        </is>
      </c>
    </row>
    <row r="2704">
      <c r="B2704" t="inlineStr">
        <is>
          <t>Elementary Schools</t>
        </is>
      </c>
      <c r="C2704" t="inlineStr">
        <is>
          <t>365</t>
        </is>
      </c>
      <c r="D2704" t="inlineStr">
        <is>
          <t>18</t>
        </is>
      </c>
      <c r="E2704" t="inlineStr">
        <is>
          <t>11</t>
        </is>
      </c>
      <c r="F2704" t="inlineStr">
        <is>
          <t>D</t>
        </is>
      </c>
      <c r="G2704" t="inlineStr">
        <is>
          <t>Good</t>
        </is>
      </c>
      <c r="H2704" t="n">
        <v>250</v>
      </c>
      <c r="I2704">
        <f>B2704&amp;"|"&amp;F2704&amp;"|"&amp;G2704</f>
        <v/>
      </c>
      <c r="J2704" t="inlineStr">
        <is>
          <t>MVS Sec.18 p.11</t>
        </is>
      </c>
    </row>
    <row r="2705">
      <c r="B2705" t="inlineStr">
        <is>
          <t>Elementary Schools</t>
        </is>
      </c>
      <c r="C2705" t="inlineStr">
        <is>
          <t>365</t>
        </is>
      </c>
      <c r="D2705" t="inlineStr">
        <is>
          <t>18</t>
        </is>
      </c>
      <c r="E2705" t="inlineStr">
        <is>
          <t>11</t>
        </is>
      </c>
      <c r="F2705" t="inlineStr">
        <is>
          <t>D</t>
        </is>
      </c>
      <c r="G2705" t="inlineStr">
        <is>
          <t>Average</t>
        </is>
      </c>
      <c r="H2705" t="n">
        <v>193</v>
      </c>
      <c r="I2705">
        <f>B2705&amp;"|"&amp;F2705&amp;"|"&amp;G2705</f>
        <v/>
      </c>
      <c r="J2705" t="inlineStr">
        <is>
          <t>MVS Sec.18 p.11</t>
        </is>
      </c>
    </row>
    <row r="2706">
      <c r="B2706" t="inlineStr">
        <is>
          <t>Elementary Schools</t>
        </is>
      </c>
      <c r="C2706" t="inlineStr">
        <is>
          <t>365</t>
        </is>
      </c>
      <c r="D2706" t="inlineStr">
        <is>
          <t>18</t>
        </is>
      </c>
      <c r="E2706" t="inlineStr">
        <is>
          <t>11</t>
        </is>
      </c>
      <c r="F2706" t="inlineStr">
        <is>
          <t>D</t>
        </is>
      </c>
      <c r="G2706" t="inlineStr">
        <is>
          <t>Low Cost</t>
        </is>
      </c>
      <c r="H2706" t="n">
        <v>152</v>
      </c>
      <c r="I2706">
        <f>B2706&amp;"|"&amp;F2706&amp;"|"&amp;G2706</f>
        <v/>
      </c>
      <c r="J2706" t="inlineStr">
        <is>
          <t>MVS Sec.18 p.11</t>
        </is>
      </c>
    </row>
    <row r="2707">
      <c r="B2707" t="inlineStr">
        <is>
          <t>Elementary Schools</t>
        </is>
      </c>
      <c r="C2707" t="inlineStr">
        <is>
          <t>365</t>
        </is>
      </c>
      <c r="D2707" t="inlineStr">
        <is>
          <t>18</t>
        </is>
      </c>
      <c r="E2707" t="inlineStr">
        <is>
          <t>11</t>
        </is>
      </c>
      <c r="F2707" t="inlineStr">
        <is>
          <t>DPOLE</t>
        </is>
      </c>
      <c r="G2707" t="inlineStr">
        <is>
          <t>Average</t>
        </is>
      </c>
      <c r="H2707" t="n">
        <v>186</v>
      </c>
      <c r="I2707">
        <f>B2707&amp;"|"&amp;F2707&amp;"|"&amp;G2707</f>
        <v/>
      </c>
      <c r="J2707" t="inlineStr">
        <is>
          <t>MVS Sec.18 p.11</t>
        </is>
      </c>
    </row>
    <row r="2708">
      <c r="B2708" t="inlineStr">
        <is>
          <t>Elementary Schools</t>
        </is>
      </c>
      <c r="C2708" t="inlineStr">
        <is>
          <t>365</t>
        </is>
      </c>
      <c r="D2708" t="inlineStr">
        <is>
          <t>18</t>
        </is>
      </c>
      <c r="E2708" t="inlineStr">
        <is>
          <t>11</t>
        </is>
      </c>
      <c r="F2708" t="inlineStr">
        <is>
          <t>DPOLE</t>
        </is>
      </c>
      <c r="G2708" t="inlineStr">
        <is>
          <t>Low Cost</t>
        </is>
      </c>
      <c r="H2708" t="n">
        <v>146</v>
      </c>
      <c r="I2708">
        <f>B2708&amp;"|"&amp;F2708&amp;"|"&amp;G2708</f>
        <v/>
      </c>
      <c r="J2708" t="inlineStr">
        <is>
          <t>MVS Sec.18 p.11</t>
        </is>
      </c>
    </row>
    <row r="2709">
      <c r="B2709" t="inlineStr">
        <is>
          <t>Elementary Schools</t>
        </is>
      </c>
      <c r="C2709" t="inlineStr">
        <is>
          <t>365</t>
        </is>
      </c>
      <c r="D2709" t="inlineStr">
        <is>
          <t>18</t>
        </is>
      </c>
      <c r="E2709" t="inlineStr">
        <is>
          <t>11</t>
        </is>
      </c>
      <c r="F2709" t="inlineStr">
        <is>
          <t>S</t>
        </is>
      </c>
      <c r="G2709" t="inlineStr">
        <is>
          <t>Good</t>
        </is>
      </c>
      <c r="H2709" t="n">
        <v>246</v>
      </c>
      <c r="I2709">
        <f>B2709&amp;"|"&amp;F2709&amp;"|"&amp;G2709</f>
        <v/>
      </c>
      <c r="J2709" t="inlineStr">
        <is>
          <t>MVS Sec.18 p.11</t>
        </is>
      </c>
    </row>
    <row r="2710">
      <c r="B2710" t="inlineStr">
        <is>
          <t>Elementary Schools</t>
        </is>
      </c>
      <c r="C2710" t="inlineStr">
        <is>
          <t>365</t>
        </is>
      </c>
      <c r="D2710" t="inlineStr">
        <is>
          <t>18</t>
        </is>
      </c>
      <c r="E2710" t="inlineStr">
        <is>
          <t>11</t>
        </is>
      </c>
      <c r="F2710" t="inlineStr">
        <is>
          <t>S</t>
        </is>
      </c>
      <c r="G2710" t="inlineStr">
        <is>
          <t>Average</t>
        </is>
      </c>
      <c r="H2710" t="n">
        <v>187</v>
      </c>
      <c r="I2710">
        <f>B2710&amp;"|"&amp;F2710&amp;"|"&amp;G2710</f>
        <v/>
      </c>
      <c r="J2710" t="inlineStr">
        <is>
          <t>MVS Sec.18 p.11</t>
        </is>
      </c>
    </row>
    <row r="2711">
      <c r="B2711" t="inlineStr">
        <is>
          <t>Elementary Schools</t>
        </is>
      </c>
      <c r="C2711" t="inlineStr">
        <is>
          <t>365</t>
        </is>
      </c>
      <c r="D2711" t="inlineStr">
        <is>
          <t>18</t>
        </is>
      </c>
      <c r="E2711" t="inlineStr">
        <is>
          <t>11</t>
        </is>
      </c>
      <c r="F2711" t="inlineStr">
        <is>
          <t>S</t>
        </is>
      </c>
      <c r="G2711" t="inlineStr">
        <is>
          <t>Low Cost</t>
        </is>
      </c>
      <c r="H2711" t="n">
        <v>147</v>
      </c>
      <c r="I2711">
        <f>B2711&amp;"|"&amp;F2711&amp;"|"&amp;G2711</f>
        <v/>
      </c>
      <c r="J2711" t="inlineStr">
        <is>
          <t>MVS Sec.18 p.11</t>
        </is>
      </c>
    </row>
    <row r="2712">
      <c r="B2712" t="inlineStr">
        <is>
          <t>Vocational Schools</t>
        </is>
      </c>
      <c r="C2712" t="inlineStr">
        <is>
          <t>487</t>
        </is>
      </c>
      <c r="D2712" t="inlineStr">
        <is>
          <t>18</t>
        </is>
      </c>
      <c r="E2712" t="inlineStr">
        <is>
          <t>12</t>
        </is>
      </c>
      <c r="F2712" t="inlineStr">
        <is>
          <t>A</t>
        </is>
      </c>
      <c r="G2712" t="inlineStr">
        <is>
          <t>Good</t>
        </is>
      </c>
      <c r="H2712" t="n">
        <v>320</v>
      </c>
      <c r="I2712">
        <f>B2712&amp;"|"&amp;F2712&amp;"|"&amp;G2712</f>
        <v/>
      </c>
      <c r="J2712" t="inlineStr">
        <is>
          <t>MVS Sec.18 p.12</t>
        </is>
      </c>
    </row>
    <row r="2713">
      <c r="B2713" t="inlineStr">
        <is>
          <t>Vocational Schools</t>
        </is>
      </c>
      <c r="C2713" t="inlineStr">
        <is>
          <t>487</t>
        </is>
      </c>
      <c r="D2713" t="inlineStr">
        <is>
          <t>18</t>
        </is>
      </c>
      <c r="E2713" t="inlineStr">
        <is>
          <t>12</t>
        </is>
      </c>
      <c r="F2713" t="inlineStr">
        <is>
          <t>A</t>
        </is>
      </c>
      <c r="G2713" t="inlineStr">
        <is>
          <t>Average</t>
        </is>
      </c>
      <c r="H2713" t="n">
        <v>242</v>
      </c>
      <c r="I2713">
        <f>B2713&amp;"|"&amp;F2713&amp;"|"&amp;G2713</f>
        <v/>
      </c>
      <c r="J2713" t="inlineStr">
        <is>
          <t>MVS Sec.18 p.12</t>
        </is>
      </c>
    </row>
    <row r="2714">
      <c r="B2714" t="inlineStr">
        <is>
          <t>Vocational Schools</t>
        </is>
      </c>
      <c r="C2714" t="inlineStr">
        <is>
          <t>487</t>
        </is>
      </c>
      <c r="D2714" t="inlineStr">
        <is>
          <t>18</t>
        </is>
      </c>
      <c r="E2714" t="inlineStr">
        <is>
          <t>12</t>
        </is>
      </c>
      <c r="F2714" t="inlineStr">
        <is>
          <t>B</t>
        </is>
      </c>
      <c r="G2714" t="inlineStr">
        <is>
          <t>Good</t>
        </is>
      </c>
      <c r="H2714" t="n">
        <v>293</v>
      </c>
      <c r="I2714">
        <f>B2714&amp;"|"&amp;F2714&amp;"|"&amp;G2714</f>
        <v/>
      </c>
      <c r="J2714" t="inlineStr">
        <is>
          <t>MVS Sec.18 p.12</t>
        </is>
      </c>
    </row>
    <row r="2715">
      <c r="B2715" t="inlineStr">
        <is>
          <t>Vocational Schools</t>
        </is>
      </c>
      <c r="C2715" t="inlineStr">
        <is>
          <t>487</t>
        </is>
      </c>
      <c r="D2715" t="inlineStr">
        <is>
          <t>18</t>
        </is>
      </c>
      <c r="E2715" t="inlineStr">
        <is>
          <t>12</t>
        </is>
      </c>
      <c r="F2715" t="inlineStr">
        <is>
          <t>B</t>
        </is>
      </c>
      <c r="G2715" t="inlineStr">
        <is>
          <t>Average</t>
        </is>
      </c>
      <c r="H2715" t="n">
        <v>222</v>
      </c>
      <c r="I2715">
        <f>B2715&amp;"|"&amp;F2715&amp;"|"&amp;G2715</f>
        <v/>
      </c>
      <c r="J2715" t="inlineStr">
        <is>
          <t>MVS Sec.18 p.12</t>
        </is>
      </c>
    </row>
    <row r="2716">
      <c r="B2716" t="inlineStr">
        <is>
          <t>Vocational Schools</t>
        </is>
      </c>
      <c r="C2716" t="inlineStr">
        <is>
          <t>487</t>
        </is>
      </c>
      <c r="D2716" t="inlineStr">
        <is>
          <t>18</t>
        </is>
      </c>
      <c r="E2716" t="inlineStr">
        <is>
          <t>12</t>
        </is>
      </c>
      <c r="F2716" t="inlineStr">
        <is>
          <t>C</t>
        </is>
      </c>
      <c r="G2716" t="inlineStr">
        <is>
          <t>Excellent</t>
        </is>
      </c>
      <c r="H2716" t="n">
        <v>304</v>
      </c>
      <c r="I2716">
        <f>B2716&amp;"|"&amp;F2716&amp;"|"&amp;G2716</f>
        <v/>
      </c>
      <c r="J2716" t="inlineStr">
        <is>
          <t>MVS Sec.18 p.12</t>
        </is>
      </c>
    </row>
    <row r="2717">
      <c r="B2717" t="inlineStr">
        <is>
          <t>Vocational Schools</t>
        </is>
      </c>
      <c r="C2717" t="inlineStr">
        <is>
          <t>487</t>
        </is>
      </c>
      <c r="D2717" t="inlineStr">
        <is>
          <t>18</t>
        </is>
      </c>
      <c r="E2717" t="inlineStr">
        <is>
          <t>12</t>
        </is>
      </c>
      <c r="F2717" t="inlineStr">
        <is>
          <t>C</t>
        </is>
      </c>
      <c r="G2717" t="inlineStr">
        <is>
          <t>Good</t>
        </is>
      </c>
      <c r="H2717" t="n">
        <v>228</v>
      </c>
      <c r="I2717">
        <f>B2717&amp;"|"&amp;F2717&amp;"|"&amp;G2717</f>
        <v/>
      </c>
      <c r="J2717" t="inlineStr">
        <is>
          <t>MVS Sec.18 p.12</t>
        </is>
      </c>
    </row>
    <row r="2718">
      <c r="B2718" t="inlineStr">
        <is>
          <t>Vocational Schools</t>
        </is>
      </c>
      <c r="C2718" t="inlineStr">
        <is>
          <t>487</t>
        </is>
      </c>
      <c r="D2718" t="inlineStr">
        <is>
          <t>18</t>
        </is>
      </c>
      <c r="E2718" t="inlineStr">
        <is>
          <t>12</t>
        </is>
      </c>
      <c r="F2718" t="inlineStr">
        <is>
          <t>C</t>
        </is>
      </c>
      <c r="G2718" t="inlineStr">
        <is>
          <t>Average</t>
        </is>
      </c>
      <c r="H2718" t="n">
        <v>170</v>
      </c>
      <c r="I2718">
        <f>B2718&amp;"|"&amp;F2718&amp;"|"&amp;G2718</f>
        <v/>
      </c>
      <c r="J2718" t="inlineStr">
        <is>
          <t>MVS Sec.18 p.12</t>
        </is>
      </c>
    </row>
    <row r="2719">
      <c r="B2719" t="inlineStr">
        <is>
          <t>Vocational Schools</t>
        </is>
      </c>
      <c r="C2719" t="inlineStr">
        <is>
          <t>487</t>
        </is>
      </c>
      <c r="D2719" t="inlineStr">
        <is>
          <t>18</t>
        </is>
      </c>
      <c r="E2719" t="inlineStr">
        <is>
          <t>12</t>
        </is>
      </c>
      <c r="F2719" t="inlineStr">
        <is>
          <t>C</t>
        </is>
      </c>
      <c r="G2719" t="inlineStr">
        <is>
          <t>Low Cost</t>
        </is>
      </c>
      <c r="H2719" t="n">
        <v>131</v>
      </c>
      <c r="I2719">
        <f>B2719&amp;"|"&amp;F2719&amp;"|"&amp;G2719</f>
        <v/>
      </c>
      <c r="J2719" t="inlineStr">
        <is>
          <t>MVS Sec.18 p.12</t>
        </is>
      </c>
    </row>
    <row r="2720">
      <c r="B2720" t="inlineStr">
        <is>
          <t>Vocational Schools</t>
        </is>
      </c>
      <c r="C2720" t="inlineStr">
        <is>
          <t>487</t>
        </is>
      </c>
      <c r="D2720" t="inlineStr">
        <is>
          <t>18</t>
        </is>
      </c>
      <c r="E2720" t="inlineStr">
        <is>
          <t>12</t>
        </is>
      </c>
      <c r="F2720" t="inlineStr">
        <is>
          <t>D</t>
        </is>
      </c>
      <c r="G2720" t="inlineStr">
        <is>
          <t>Excellent</t>
        </is>
      </c>
      <c r="H2720" t="n">
        <v>300</v>
      </c>
      <c r="I2720">
        <f>B2720&amp;"|"&amp;F2720&amp;"|"&amp;G2720</f>
        <v/>
      </c>
      <c r="J2720" t="inlineStr">
        <is>
          <t>MVS Sec.18 p.12</t>
        </is>
      </c>
    </row>
    <row r="2721">
      <c r="B2721" t="inlineStr">
        <is>
          <t>Vocational Schools</t>
        </is>
      </c>
      <c r="C2721" t="inlineStr">
        <is>
          <t>487</t>
        </is>
      </c>
      <c r="D2721" t="inlineStr">
        <is>
          <t>18</t>
        </is>
      </c>
      <c r="E2721" t="inlineStr">
        <is>
          <t>12</t>
        </is>
      </c>
      <c r="F2721" t="inlineStr">
        <is>
          <t>D</t>
        </is>
      </c>
      <c r="G2721" t="inlineStr">
        <is>
          <t>Good</t>
        </is>
      </c>
      <c r="H2721" t="n">
        <v>223</v>
      </c>
      <c r="I2721">
        <f>B2721&amp;"|"&amp;F2721&amp;"|"&amp;G2721</f>
        <v/>
      </c>
      <c r="J2721" t="inlineStr">
        <is>
          <t>MVS Sec.18 p.12</t>
        </is>
      </c>
    </row>
    <row r="2722">
      <c r="B2722" t="inlineStr">
        <is>
          <t>Vocational Schools</t>
        </is>
      </c>
      <c r="C2722" t="inlineStr">
        <is>
          <t>487</t>
        </is>
      </c>
      <c r="D2722" t="inlineStr">
        <is>
          <t>18</t>
        </is>
      </c>
      <c r="E2722" t="inlineStr">
        <is>
          <t>12</t>
        </is>
      </c>
      <c r="F2722" t="inlineStr">
        <is>
          <t>D</t>
        </is>
      </c>
      <c r="G2722" t="inlineStr">
        <is>
          <t>Average</t>
        </is>
      </c>
      <c r="H2722" t="n">
        <v>165</v>
      </c>
      <c r="I2722">
        <f>B2722&amp;"|"&amp;F2722&amp;"|"&amp;G2722</f>
        <v/>
      </c>
      <c r="J2722" t="inlineStr">
        <is>
          <t>MVS Sec.18 p.12</t>
        </is>
      </c>
    </row>
    <row r="2723">
      <c r="B2723" t="inlineStr">
        <is>
          <t>Vocational Schools</t>
        </is>
      </c>
      <c r="C2723" t="inlineStr">
        <is>
          <t>487</t>
        </is>
      </c>
      <c r="D2723" t="inlineStr">
        <is>
          <t>18</t>
        </is>
      </c>
      <c r="E2723" t="inlineStr">
        <is>
          <t>12</t>
        </is>
      </c>
      <c r="F2723" t="inlineStr">
        <is>
          <t>D</t>
        </is>
      </c>
      <c r="G2723" t="inlineStr">
        <is>
          <t>Low Cost</t>
        </is>
      </c>
      <c r="H2723" t="n">
        <v>126</v>
      </c>
      <c r="I2723">
        <f>B2723&amp;"|"&amp;F2723&amp;"|"&amp;G2723</f>
        <v/>
      </c>
      <c r="J2723" t="inlineStr">
        <is>
          <t>MVS Sec.18 p.12</t>
        </is>
      </c>
    </row>
    <row r="2724">
      <c r="B2724" t="inlineStr">
        <is>
          <t>Vocational Schools</t>
        </is>
      </c>
      <c r="C2724" t="inlineStr">
        <is>
          <t>487</t>
        </is>
      </c>
      <c r="D2724" t="inlineStr">
        <is>
          <t>18</t>
        </is>
      </c>
      <c r="E2724" t="inlineStr">
        <is>
          <t>12</t>
        </is>
      </c>
      <c r="F2724" t="inlineStr">
        <is>
          <t>DPOLE</t>
        </is>
      </c>
      <c r="G2724" t="inlineStr">
        <is>
          <t>Good</t>
        </is>
      </c>
      <c r="H2724" t="n">
        <v>214</v>
      </c>
      <c r="I2724">
        <f>B2724&amp;"|"&amp;F2724&amp;"|"&amp;G2724</f>
        <v/>
      </c>
      <c r="J2724" t="inlineStr">
        <is>
          <t>MVS Sec.18 p.12</t>
        </is>
      </c>
    </row>
    <row r="2725">
      <c r="B2725" t="inlineStr">
        <is>
          <t>Vocational Schools</t>
        </is>
      </c>
      <c r="C2725" t="inlineStr">
        <is>
          <t>487</t>
        </is>
      </c>
      <c r="D2725" t="inlineStr">
        <is>
          <t>18</t>
        </is>
      </c>
      <c r="E2725" t="inlineStr">
        <is>
          <t>12</t>
        </is>
      </c>
      <c r="F2725" t="inlineStr">
        <is>
          <t>DPOLE</t>
        </is>
      </c>
      <c r="G2725" t="inlineStr">
        <is>
          <t>Average</t>
        </is>
      </c>
      <c r="H2725" t="n">
        <v>157</v>
      </c>
      <c r="I2725">
        <f>B2725&amp;"|"&amp;F2725&amp;"|"&amp;G2725</f>
        <v/>
      </c>
      <c r="J2725" t="inlineStr">
        <is>
          <t>MVS Sec.18 p.12</t>
        </is>
      </c>
    </row>
    <row r="2726">
      <c r="B2726" t="inlineStr">
        <is>
          <t>Vocational Schools</t>
        </is>
      </c>
      <c r="C2726" t="inlineStr">
        <is>
          <t>487</t>
        </is>
      </c>
      <c r="D2726" t="inlineStr">
        <is>
          <t>18</t>
        </is>
      </c>
      <c r="E2726" t="inlineStr">
        <is>
          <t>12</t>
        </is>
      </c>
      <c r="F2726" t="inlineStr">
        <is>
          <t>DPOLE</t>
        </is>
      </c>
      <c r="G2726" t="inlineStr">
        <is>
          <t>Low Cost</t>
        </is>
      </c>
      <c r="H2726" t="n">
        <v>119</v>
      </c>
      <c r="I2726">
        <f>B2726&amp;"|"&amp;F2726&amp;"|"&amp;G2726</f>
        <v/>
      </c>
      <c r="J2726" t="inlineStr">
        <is>
          <t>MVS Sec.18 p.12</t>
        </is>
      </c>
    </row>
    <row r="2727">
      <c r="B2727" t="inlineStr">
        <is>
          <t>Vocational Schools</t>
        </is>
      </c>
      <c r="C2727" t="inlineStr">
        <is>
          <t>487</t>
        </is>
      </c>
      <c r="D2727" t="inlineStr">
        <is>
          <t>18</t>
        </is>
      </c>
      <c r="E2727" t="inlineStr">
        <is>
          <t>12</t>
        </is>
      </c>
      <c r="F2727" t="inlineStr">
        <is>
          <t>S</t>
        </is>
      </c>
      <c r="G2727" t="inlineStr">
        <is>
          <t>Good</t>
        </is>
      </c>
      <c r="H2727" t="n">
        <v>217</v>
      </c>
      <c r="I2727">
        <f>B2727&amp;"|"&amp;F2727&amp;"|"&amp;G2727</f>
        <v/>
      </c>
      <c r="J2727" t="inlineStr">
        <is>
          <t>MVS Sec.18 p.12</t>
        </is>
      </c>
    </row>
    <row r="2728">
      <c r="B2728" t="inlineStr">
        <is>
          <t>Vocational Schools</t>
        </is>
      </c>
      <c r="C2728" t="inlineStr">
        <is>
          <t>487</t>
        </is>
      </c>
      <c r="D2728" t="inlineStr">
        <is>
          <t>18</t>
        </is>
      </c>
      <c r="E2728" t="inlineStr">
        <is>
          <t>12</t>
        </is>
      </c>
      <c r="F2728" t="inlineStr">
        <is>
          <t>S</t>
        </is>
      </c>
      <c r="G2728" t="inlineStr">
        <is>
          <t>Average</t>
        </is>
      </c>
      <c r="H2728" t="n">
        <v>159</v>
      </c>
      <c r="I2728">
        <f>B2728&amp;"|"&amp;F2728&amp;"|"&amp;G2728</f>
        <v/>
      </c>
      <c r="J2728" t="inlineStr">
        <is>
          <t>MVS Sec.18 p.12</t>
        </is>
      </c>
    </row>
    <row r="2729">
      <c r="B2729" t="inlineStr">
        <is>
          <t>Vocational Schools</t>
        </is>
      </c>
      <c r="C2729" t="inlineStr">
        <is>
          <t>487</t>
        </is>
      </c>
      <c r="D2729" t="inlineStr">
        <is>
          <t>18</t>
        </is>
      </c>
      <c r="E2729" t="inlineStr">
        <is>
          <t>12</t>
        </is>
      </c>
      <c r="F2729" t="inlineStr">
        <is>
          <t>S</t>
        </is>
      </c>
      <c r="G2729" t="inlineStr">
        <is>
          <t>Low Cost</t>
        </is>
      </c>
      <c r="H2729" t="n">
        <v>121</v>
      </c>
      <c r="I2729">
        <f>B2729&amp;"|"&amp;F2729&amp;"|"&amp;G2729</f>
        <v/>
      </c>
      <c r="J2729" t="inlineStr">
        <is>
          <t>MVS Sec.18 p.12</t>
        </is>
      </c>
    </row>
    <row r="2730">
      <c r="B2730" t="inlineStr">
        <is>
          <t>Alternative (High) Schools</t>
        </is>
      </c>
      <c r="C2730" t="inlineStr">
        <is>
          <t>156</t>
        </is>
      </c>
      <c r="D2730" t="inlineStr">
        <is>
          <t>18</t>
        </is>
      </c>
      <c r="E2730" t="inlineStr">
        <is>
          <t>13</t>
        </is>
      </c>
      <c r="F2730" t="inlineStr">
        <is>
          <t>A-B</t>
        </is>
      </c>
      <c r="G2730" t="inlineStr">
        <is>
          <t>Average</t>
        </is>
      </c>
      <c r="H2730" t="n">
        <v>255</v>
      </c>
      <c r="I2730">
        <f>B2730&amp;"|"&amp;F2730&amp;"|"&amp;G2730</f>
        <v/>
      </c>
      <c r="J2730" t="inlineStr">
        <is>
          <t>MVS Sec.18 p.13</t>
        </is>
      </c>
    </row>
    <row r="2731">
      <c r="B2731" t="inlineStr">
        <is>
          <t>Alternative (High) Schools</t>
        </is>
      </c>
      <c r="C2731" t="inlineStr">
        <is>
          <t>156</t>
        </is>
      </c>
      <c r="D2731" t="inlineStr">
        <is>
          <t>18</t>
        </is>
      </c>
      <c r="E2731" t="inlineStr">
        <is>
          <t>13</t>
        </is>
      </c>
      <c r="F2731" t="inlineStr">
        <is>
          <t>C</t>
        </is>
      </c>
      <c r="G2731" t="inlineStr">
        <is>
          <t>Excellent</t>
        </is>
      </c>
      <c r="H2731" t="n">
        <v>313</v>
      </c>
      <c r="I2731">
        <f>B2731&amp;"|"&amp;F2731&amp;"|"&amp;G2731</f>
        <v/>
      </c>
      <c r="J2731" t="inlineStr">
        <is>
          <t>MVS Sec.18 p.13</t>
        </is>
      </c>
    </row>
    <row r="2732">
      <c r="B2732" t="inlineStr">
        <is>
          <t>Alternative (High) Schools</t>
        </is>
      </c>
      <c r="C2732" t="inlineStr">
        <is>
          <t>156</t>
        </is>
      </c>
      <c r="D2732" t="inlineStr">
        <is>
          <t>18</t>
        </is>
      </c>
      <c r="E2732" t="inlineStr">
        <is>
          <t>13</t>
        </is>
      </c>
      <c r="F2732" t="inlineStr">
        <is>
          <t>C</t>
        </is>
      </c>
      <c r="G2732" t="inlineStr">
        <is>
          <t>Good</t>
        </is>
      </c>
      <c r="H2732" t="n">
        <v>248</v>
      </c>
      <c r="I2732">
        <f>B2732&amp;"|"&amp;F2732&amp;"|"&amp;G2732</f>
        <v/>
      </c>
      <c r="J2732" t="inlineStr">
        <is>
          <t>MVS Sec.18 p.13</t>
        </is>
      </c>
    </row>
    <row r="2733">
      <c r="B2733" t="inlineStr">
        <is>
          <t>Alternative (High) Schools</t>
        </is>
      </c>
      <c r="C2733" t="inlineStr">
        <is>
          <t>156</t>
        </is>
      </c>
      <c r="D2733" t="inlineStr">
        <is>
          <t>18</t>
        </is>
      </c>
      <c r="E2733" t="inlineStr">
        <is>
          <t>13</t>
        </is>
      </c>
      <c r="F2733" t="inlineStr">
        <is>
          <t>C</t>
        </is>
      </c>
      <c r="G2733" t="inlineStr">
        <is>
          <t>Average</t>
        </is>
      </c>
      <c r="H2733" t="n">
        <v>195</v>
      </c>
      <c r="I2733">
        <f>B2733&amp;"|"&amp;F2733&amp;"|"&amp;G2733</f>
        <v/>
      </c>
      <c r="J2733" t="inlineStr">
        <is>
          <t>MVS Sec.18 p.13</t>
        </is>
      </c>
    </row>
    <row r="2734">
      <c r="B2734" t="inlineStr">
        <is>
          <t>Alternative (High) Schools</t>
        </is>
      </c>
      <c r="C2734" t="inlineStr">
        <is>
          <t>156</t>
        </is>
      </c>
      <c r="D2734" t="inlineStr">
        <is>
          <t>18</t>
        </is>
      </c>
      <c r="E2734" t="inlineStr">
        <is>
          <t>13</t>
        </is>
      </c>
      <c r="F2734" t="inlineStr">
        <is>
          <t>D</t>
        </is>
      </c>
      <c r="G2734" t="inlineStr">
        <is>
          <t>Excellent</t>
        </is>
      </c>
      <c r="H2734" t="n">
        <v>308</v>
      </c>
      <c r="I2734">
        <f>B2734&amp;"|"&amp;F2734&amp;"|"&amp;G2734</f>
        <v/>
      </c>
      <c r="J2734" t="inlineStr">
        <is>
          <t>MVS Sec.18 p.13</t>
        </is>
      </c>
    </row>
    <row r="2735">
      <c r="B2735" t="inlineStr">
        <is>
          <t>Alternative (High) Schools</t>
        </is>
      </c>
      <c r="C2735" t="inlineStr">
        <is>
          <t>156</t>
        </is>
      </c>
      <c r="D2735" t="inlineStr">
        <is>
          <t>18</t>
        </is>
      </c>
      <c r="E2735" t="inlineStr">
        <is>
          <t>13</t>
        </is>
      </c>
      <c r="F2735" t="inlineStr">
        <is>
          <t>D</t>
        </is>
      </c>
      <c r="G2735" t="inlineStr">
        <is>
          <t>Good</t>
        </is>
      </c>
      <c r="H2735" t="n">
        <v>242</v>
      </c>
      <c r="I2735">
        <f>B2735&amp;"|"&amp;F2735&amp;"|"&amp;G2735</f>
        <v/>
      </c>
      <c r="J2735" t="inlineStr">
        <is>
          <t>MVS Sec.18 p.13</t>
        </is>
      </c>
    </row>
    <row r="2736">
      <c r="B2736" t="inlineStr">
        <is>
          <t>Alternative (High) Schools</t>
        </is>
      </c>
      <c r="C2736" t="inlineStr">
        <is>
          <t>156</t>
        </is>
      </c>
      <c r="D2736" t="inlineStr">
        <is>
          <t>18</t>
        </is>
      </c>
      <c r="E2736" t="inlineStr">
        <is>
          <t>13</t>
        </is>
      </c>
      <c r="F2736" t="inlineStr">
        <is>
          <t>D</t>
        </is>
      </c>
      <c r="G2736" t="inlineStr">
        <is>
          <t>Average</t>
        </is>
      </c>
      <c r="H2736" t="n">
        <v>189</v>
      </c>
      <c r="I2736">
        <f>B2736&amp;"|"&amp;F2736&amp;"|"&amp;G2736</f>
        <v/>
      </c>
      <c r="J2736" t="inlineStr">
        <is>
          <t>MVS Sec.18 p.13</t>
        </is>
      </c>
    </row>
    <row r="2737">
      <c r="B2737" t="inlineStr">
        <is>
          <t>Alternative (High) Schools</t>
        </is>
      </c>
      <c r="C2737" t="inlineStr">
        <is>
          <t>156</t>
        </is>
      </c>
      <c r="D2737" t="inlineStr">
        <is>
          <t>18</t>
        </is>
      </c>
      <c r="E2737" t="inlineStr">
        <is>
          <t>13</t>
        </is>
      </c>
      <c r="F2737" t="inlineStr">
        <is>
          <t>DPOLE</t>
        </is>
      </c>
      <c r="G2737" t="inlineStr">
        <is>
          <t>Average</t>
        </is>
      </c>
      <c r="H2737" t="n">
        <v>183</v>
      </c>
      <c r="I2737">
        <f>B2737&amp;"|"&amp;F2737&amp;"|"&amp;G2737</f>
        <v/>
      </c>
      <c r="J2737" t="inlineStr">
        <is>
          <t>MVS Sec.18 p.13</t>
        </is>
      </c>
    </row>
    <row r="2738">
      <c r="B2738" t="inlineStr">
        <is>
          <t>Alternative (High) Schools</t>
        </is>
      </c>
      <c r="C2738" t="inlineStr">
        <is>
          <t>156</t>
        </is>
      </c>
      <c r="D2738" t="inlineStr">
        <is>
          <t>18</t>
        </is>
      </c>
      <c r="E2738" t="inlineStr">
        <is>
          <t>13</t>
        </is>
      </c>
      <c r="F2738" t="inlineStr">
        <is>
          <t>S</t>
        </is>
      </c>
      <c r="G2738" t="inlineStr">
        <is>
          <t>Good</t>
        </is>
      </c>
      <c r="H2738" t="n">
        <v>238</v>
      </c>
      <c r="I2738">
        <f>B2738&amp;"|"&amp;F2738&amp;"|"&amp;G2738</f>
        <v/>
      </c>
      <c r="J2738" t="inlineStr">
        <is>
          <t>MVS Sec.18 p.13</t>
        </is>
      </c>
    </row>
    <row r="2739">
      <c r="B2739" t="inlineStr">
        <is>
          <t>Alternative (High) Schools</t>
        </is>
      </c>
      <c r="C2739" t="inlineStr">
        <is>
          <t>156</t>
        </is>
      </c>
      <c r="D2739" t="inlineStr">
        <is>
          <t>18</t>
        </is>
      </c>
      <c r="E2739" t="inlineStr">
        <is>
          <t>13</t>
        </is>
      </c>
      <c r="F2739" t="inlineStr">
        <is>
          <t>S</t>
        </is>
      </c>
      <c r="G2739" t="inlineStr">
        <is>
          <t>Average</t>
        </is>
      </c>
      <c r="H2739" t="n">
        <v>184</v>
      </c>
      <c r="I2739">
        <f>B2739&amp;"|"&amp;F2739&amp;"|"&amp;G2739</f>
        <v/>
      </c>
      <c r="J2739" t="inlineStr">
        <is>
          <t>MVS Sec.18 p.13</t>
        </is>
      </c>
    </row>
    <row r="2740">
      <c r="B2740" t="inlineStr">
        <is>
          <t>Day Care Centers</t>
        </is>
      </c>
      <c r="C2740" t="inlineStr">
        <is>
          <t>426</t>
        </is>
      </c>
      <c r="D2740" t="inlineStr">
        <is>
          <t>18</t>
        </is>
      </c>
      <c r="E2740" t="inlineStr">
        <is>
          <t>13</t>
        </is>
      </c>
      <c r="F2740" t="inlineStr">
        <is>
          <t>A-B</t>
        </is>
      </c>
      <c r="G2740" t="inlineStr">
        <is>
          <t>Average</t>
        </is>
      </c>
      <c r="H2740" t="n">
        <v>229</v>
      </c>
      <c r="I2740">
        <f>B2740&amp;"|"&amp;F2740&amp;"|"&amp;G2740</f>
        <v/>
      </c>
      <c r="J2740" t="inlineStr">
        <is>
          <t>MVS Sec.18 p.13</t>
        </is>
      </c>
    </row>
    <row r="2741">
      <c r="B2741" t="inlineStr">
        <is>
          <t>Day Care Centers</t>
        </is>
      </c>
      <c r="C2741" t="inlineStr">
        <is>
          <t>426</t>
        </is>
      </c>
      <c r="D2741" t="inlineStr">
        <is>
          <t>18</t>
        </is>
      </c>
      <c r="E2741" t="inlineStr">
        <is>
          <t>13</t>
        </is>
      </c>
      <c r="F2741" t="inlineStr">
        <is>
          <t>C</t>
        </is>
      </c>
      <c r="G2741" t="inlineStr">
        <is>
          <t>Excellent</t>
        </is>
      </c>
      <c r="H2741" t="n">
        <v>294</v>
      </c>
      <c r="I2741">
        <f>B2741&amp;"|"&amp;F2741&amp;"|"&amp;G2741</f>
        <v/>
      </c>
      <c r="J2741" t="inlineStr">
        <is>
          <t>MVS Sec.18 p.13</t>
        </is>
      </c>
    </row>
    <row r="2742">
      <c r="B2742" t="inlineStr">
        <is>
          <t>Day Care Centers</t>
        </is>
      </c>
      <c r="C2742" t="inlineStr">
        <is>
          <t>426</t>
        </is>
      </c>
      <c r="D2742" t="inlineStr">
        <is>
          <t>18</t>
        </is>
      </c>
      <c r="E2742" t="inlineStr">
        <is>
          <t>13</t>
        </is>
      </c>
      <c r="F2742" t="inlineStr">
        <is>
          <t>C</t>
        </is>
      </c>
      <c r="G2742" t="inlineStr">
        <is>
          <t>Good</t>
        </is>
      </c>
      <c r="H2742" t="n">
        <v>225</v>
      </c>
      <c r="I2742">
        <f>B2742&amp;"|"&amp;F2742&amp;"|"&amp;G2742</f>
        <v/>
      </c>
      <c r="J2742" t="inlineStr">
        <is>
          <t>MVS Sec.18 p.13</t>
        </is>
      </c>
    </row>
    <row r="2743">
      <c r="B2743" t="inlineStr">
        <is>
          <t>Day Care Centers</t>
        </is>
      </c>
      <c r="C2743" t="inlineStr">
        <is>
          <t>426</t>
        </is>
      </c>
      <c r="D2743" t="inlineStr">
        <is>
          <t>18</t>
        </is>
      </c>
      <c r="E2743" t="inlineStr">
        <is>
          <t>13</t>
        </is>
      </c>
      <c r="F2743" t="inlineStr">
        <is>
          <t>C</t>
        </is>
      </c>
      <c r="G2743" t="inlineStr">
        <is>
          <t>Average</t>
        </is>
      </c>
      <c r="H2743" t="n">
        <v>173</v>
      </c>
      <c r="I2743">
        <f>B2743&amp;"|"&amp;F2743&amp;"|"&amp;G2743</f>
        <v/>
      </c>
      <c r="J2743" t="inlineStr">
        <is>
          <t>MVS Sec.18 p.13</t>
        </is>
      </c>
    </row>
    <row r="2744">
      <c r="B2744" t="inlineStr">
        <is>
          <t>Day Care Centers</t>
        </is>
      </c>
      <c r="C2744" t="inlineStr">
        <is>
          <t>426</t>
        </is>
      </c>
      <c r="D2744" t="inlineStr">
        <is>
          <t>18</t>
        </is>
      </c>
      <c r="E2744" t="inlineStr">
        <is>
          <t>13</t>
        </is>
      </c>
      <c r="F2744" t="inlineStr">
        <is>
          <t>C</t>
        </is>
      </c>
      <c r="G2744" t="inlineStr">
        <is>
          <t>Low Cost</t>
        </is>
      </c>
      <c r="H2744" t="n">
        <v>128</v>
      </c>
      <c r="I2744">
        <f>B2744&amp;"|"&amp;F2744&amp;"|"&amp;G2744</f>
        <v/>
      </c>
      <c r="J2744" t="inlineStr">
        <is>
          <t>MVS Sec.18 p.13</t>
        </is>
      </c>
    </row>
    <row r="2745">
      <c r="B2745" t="inlineStr">
        <is>
          <t>Day Care Centers</t>
        </is>
      </c>
      <c r="C2745" t="inlineStr">
        <is>
          <t>426</t>
        </is>
      </c>
      <c r="D2745" t="inlineStr">
        <is>
          <t>18</t>
        </is>
      </c>
      <c r="E2745" t="inlineStr">
        <is>
          <t>13</t>
        </is>
      </c>
      <c r="F2745" t="inlineStr">
        <is>
          <t>D</t>
        </is>
      </c>
      <c r="G2745" t="inlineStr">
        <is>
          <t>Excellent</t>
        </is>
      </c>
      <c r="H2745" t="n">
        <v>290</v>
      </c>
      <c r="I2745">
        <f>B2745&amp;"|"&amp;F2745&amp;"|"&amp;G2745</f>
        <v/>
      </c>
      <c r="J2745" t="inlineStr">
        <is>
          <t>MVS Sec.18 p.13</t>
        </is>
      </c>
    </row>
    <row r="2746">
      <c r="B2746" t="inlineStr">
        <is>
          <t>Day Care Centers</t>
        </is>
      </c>
      <c r="C2746" t="inlineStr">
        <is>
          <t>426</t>
        </is>
      </c>
      <c r="D2746" t="inlineStr">
        <is>
          <t>18</t>
        </is>
      </c>
      <c r="E2746" t="inlineStr">
        <is>
          <t>13</t>
        </is>
      </c>
      <c r="F2746" t="inlineStr">
        <is>
          <t>D</t>
        </is>
      </c>
      <c r="G2746" t="inlineStr">
        <is>
          <t>Good</t>
        </is>
      </c>
      <c r="H2746" t="n">
        <v>220</v>
      </c>
      <c r="I2746">
        <f>B2746&amp;"|"&amp;F2746&amp;"|"&amp;G2746</f>
        <v/>
      </c>
      <c r="J2746" t="inlineStr">
        <is>
          <t>MVS Sec.18 p.13</t>
        </is>
      </c>
    </row>
    <row r="2747">
      <c r="B2747" t="inlineStr">
        <is>
          <t>Day Care Centers</t>
        </is>
      </c>
      <c r="C2747" t="inlineStr">
        <is>
          <t>426</t>
        </is>
      </c>
      <c r="D2747" t="inlineStr">
        <is>
          <t>18</t>
        </is>
      </c>
      <c r="E2747" t="inlineStr">
        <is>
          <t>13</t>
        </is>
      </c>
      <c r="F2747" t="inlineStr">
        <is>
          <t>D</t>
        </is>
      </c>
      <c r="G2747" t="inlineStr">
        <is>
          <t>Average</t>
        </is>
      </c>
      <c r="H2747" t="n">
        <v>168</v>
      </c>
      <c r="I2747">
        <f>B2747&amp;"|"&amp;F2747&amp;"|"&amp;G2747</f>
        <v/>
      </c>
      <c r="J2747" t="inlineStr">
        <is>
          <t>MVS Sec.18 p.13</t>
        </is>
      </c>
    </row>
    <row r="2748">
      <c r="B2748" t="inlineStr">
        <is>
          <t>Day Care Centers</t>
        </is>
      </c>
      <c r="C2748" t="inlineStr">
        <is>
          <t>426</t>
        </is>
      </c>
      <c r="D2748" t="inlineStr">
        <is>
          <t>18</t>
        </is>
      </c>
      <c r="E2748" t="inlineStr">
        <is>
          <t>13</t>
        </is>
      </c>
      <c r="F2748" t="inlineStr">
        <is>
          <t>D</t>
        </is>
      </c>
      <c r="G2748" t="inlineStr">
        <is>
          <t>Low Cost</t>
        </is>
      </c>
      <c r="H2748" t="n">
        <v>122</v>
      </c>
      <c r="I2748">
        <f>B2748&amp;"|"&amp;F2748&amp;"|"&amp;G2748</f>
        <v/>
      </c>
      <c r="J2748" t="inlineStr">
        <is>
          <t>MVS Sec.18 p.13</t>
        </is>
      </c>
    </row>
    <row r="2749">
      <c r="B2749" t="inlineStr">
        <is>
          <t>Day Care Centers</t>
        </is>
      </c>
      <c r="C2749" t="inlineStr">
        <is>
          <t>426</t>
        </is>
      </c>
      <c r="D2749" t="inlineStr">
        <is>
          <t>18</t>
        </is>
      </c>
      <c r="E2749" t="inlineStr">
        <is>
          <t>13</t>
        </is>
      </c>
      <c r="F2749" t="inlineStr">
        <is>
          <t>DPOLE</t>
        </is>
      </c>
      <c r="G2749" t="inlineStr">
        <is>
          <t>Average</t>
        </is>
      </c>
      <c r="H2749" t="n">
        <v>160</v>
      </c>
      <c r="I2749">
        <f>B2749&amp;"|"&amp;F2749&amp;"|"&amp;G2749</f>
        <v/>
      </c>
      <c r="J2749" t="inlineStr">
        <is>
          <t>MVS Sec.18 p.13</t>
        </is>
      </c>
    </row>
    <row r="2750">
      <c r="B2750" t="inlineStr">
        <is>
          <t>Day Care Centers</t>
        </is>
      </c>
      <c r="C2750" t="inlineStr">
        <is>
          <t>426</t>
        </is>
      </c>
      <c r="D2750" t="inlineStr">
        <is>
          <t>18</t>
        </is>
      </c>
      <c r="E2750" t="inlineStr">
        <is>
          <t>13</t>
        </is>
      </c>
      <c r="F2750" t="inlineStr">
        <is>
          <t>DPOLE</t>
        </is>
      </c>
      <c r="G2750" t="inlineStr">
        <is>
          <t>Low Cost</t>
        </is>
      </c>
      <c r="H2750" t="n">
        <v>116</v>
      </c>
      <c r="I2750">
        <f>B2750&amp;"|"&amp;F2750&amp;"|"&amp;G2750</f>
        <v/>
      </c>
      <c r="J2750" t="inlineStr">
        <is>
          <t>MVS Sec.18 p.13</t>
        </is>
      </c>
    </row>
    <row r="2751">
      <c r="B2751" t="inlineStr">
        <is>
          <t>Day Care Centers</t>
        </is>
      </c>
      <c r="C2751" t="inlineStr">
        <is>
          <t>426</t>
        </is>
      </c>
      <c r="D2751" t="inlineStr">
        <is>
          <t>18</t>
        </is>
      </c>
      <c r="E2751" t="inlineStr">
        <is>
          <t>13</t>
        </is>
      </c>
      <c r="F2751" t="inlineStr">
        <is>
          <t>S</t>
        </is>
      </c>
      <c r="G2751" t="inlineStr">
        <is>
          <t>Average</t>
        </is>
      </c>
      <c r="H2751" t="n">
        <v>162</v>
      </c>
      <c r="I2751">
        <f>B2751&amp;"|"&amp;F2751&amp;"|"&amp;G2751</f>
        <v/>
      </c>
      <c r="J2751" t="inlineStr">
        <is>
          <t>MVS Sec.18 p.13</t>
        </is>
      </c>
    </row>
    <row r="2752">
      <c r="B2752" t="inlineStr">
        <is>
          <t>Day Care Centers</t>
        </is>
      </c>
      <c r="C2752" t="inlineStr">
        <is>
          <t>426</t>
        </is>
      </c>
      <c r="D2752" t="inlineStr">
        <is>
          <t>18</t>
        </is>
      </c>
      <c r="E2752" t="inlineStr">
        <is>
          <t>13</t>
        </is>
      </c>
      <c r="F2752" t="inlineStr">
        <is>
          <t>S</t>
        </is>
      </c>
      <c r="G2752" t="inlineStr">
        <is>
          <t>Low Cost</t>
        </is>
      </c>
      <c r="H2752" t="n">
        <v>118</v>
      </c>
      <c r="I2752">
        <f>B2752&amp;"|"&amp;F2752&amp;"|"&amp;G2752</f>
        <v/>
      </c>
      <c r="J2752" t="inlineStr">
        <is>
          <t>MVS Sec.18 p.13</t>
        </is>
      </c>
    </row>
    <row r="2753">
      <c r="B2753" t="inlineStr">
        <is>
          <t>Classrooms</t>
        </is>
      </c>
      <c r="C2753" t="inlineStr">
        <is>
          <t>356</t>
        </is>
      </c>
      <c r="D2753" t="inlineStr">
        <is>
          <t>18</t>
        </is>
      </c>
      <c r="E2753" t="inlineStr">
        <is>
          <t>14</t>
        </is>
      </c>
      <c r="F2753" t="inlineStr">
        <is>
          <t>A-B</t>
        </is>
      </c>
      <c r="G2753" t="inlineStr">
        <is>
          <t>Excellent</t>
        </is>
      </c>
      <c r="H2753" t="n">
        <v>357</v>
      </c>
      <c r="I2753">
        <f>B2753&amp;"|"&amp;F2753&amp;"|"&amp;G2753</f>
        <v/>
      </c>
      <c r="J2753" t="inlineStr">
        <is>
          <t>MVS Sec.18 p.14</t>
        </is>
      </c>
    </row>
    <row r="2754">
      <c r="B2754" t="inlineStr">
        <is>
          <t>Classrooms</t>
        </is>
      </c>
      <c r="C2754" t="inlineStr">
        <is>
          <t>356</t>
        </is>
      </c>
      <c r="D2754" t="inlineStr">
        <is>
          <t>18</t>
        </is>
      </c>
      <c r="E2754" t="inlineStr">
        <is>
          <t>14</t>
        </is>
      </c>
      <c r="F2754" t="inlineStr">
        <is>
          <t>A-B</t>
        </is>
      </c>
      <c r="G2754" t="inlineStr">
        <is>
          <t>Good</t>
        </is>
      </c>
      <c r="H2754" t="n">
        <v>291</v>
      </c>
      <c r="I2754">
        <f>B2754&amp;"|"&amp;F2754&amp;"|"&amp;G2754</f>
        <v/>
      </c>
      <c r="J2754" t="inlineStr">
        <is>
          <t>MVS Sec.18 p.14</t>
        </is>
      </c>
    </row>
    <row r="2755">
      <c r="B2755" t="inlineStr">
        <is>
          <t>Classrooms</t>
        </is>
      </c>
      <c r="C2755" t="inlineStr">
        <is>
          <t>356</t>
        </is>
      </c>
      <c r="D2755" t="inlineStr">
        <is>
          <t>18</t>
        </is>
      </c>
      <c r="E2755" t="inlineStr">
        <is>
          <t>14</t>
        </is>
      </c>
      <c r="F2755" t="inlineStr">
        <is>
          <t>A-B</t>
        </is>
      </c>
      <c r="G2755" t="inlineStr">
        <is>
          <t>Average</t>
        </is>
      </c>
      <c r="H2755" t="n">
        <v>224</v>
      </c>
      <c r="I2755">
        <f>B2755&amp;"|"&amp;F2755&amp;"|"&amp;G2755</f>
        <v/>
      </c>
      <c r="J2755" t="inlineStr">
        <is>
          <t>MVS Sec.18 p.14</t>
        </is>
      </c>
    </row>
    <row r="2756">
      <c r="B2756" t="inlineStr">
        <is>
          <t>Classrooms</t>
        </is>
      </c>
      <c r="C2756" t="inlineStr">
        <is>
          <t>356</t>
        </is>
      </c>
      <c r="D2756" t="inlineStr">
        <is>
          <t>18</t>
        </is>
      </c>
      <c r="E2756" t="inlineStr">
        <is>
          <t>14</t>
        </is>
      </c>
      <c r="F2756" t="inlineStr">
        <is>
          <t>A-B</t>
        </is>
      </c>
      <c r="G2756" t="inlineStr">
        <is>
          <t>Low Cost</t>
        </is>
      </c>
      <c r="H2756" t="n">
        <v>172</v>
      </c>
      <c r="I2756">
        <f>B2756&amp;"|"&amp;F2756&amp;"|"&amp;G2756</f>
        <v/>
      </c>
      <c r="J2756" t="inlineStr">
        <is>
          <t>MVS Sec.18 p.14</t>
        </is>
      </c>
    </row>
    <row r="2757">
      <c r="B2757" t="inlineStr">
        <is>
          <t>Classrooms</t>
        </is>
      </c>
      <c r="C2757" t="inlineStr">
        <is>
          <t>356</t>
        </is>
      </c>
      <c r="D2757" t="inlineStr">
        <is>
          <t>18</t>
        </is>
      </c>
      <c r="E2757" t="inlineStr">
        <is>
          <t>14</t>
        </is>
      </c>
      <c r="F2757" t="inlineStr">
        <is>
          <t>C</t>
        </is>
      </c>
      <c r="G2757" t="inlineStr">
        <is>
          <t>Excellent</t>
        </is>
      </c>
      <c r="H2757" t="n">
        <v>288</v>
      </c>
      <c r="I2757">
        <f>B2757&amp;"|"&amp;F2757&amp;"|"&amp;G2757</f>
        <v/>
      </c>
      <c r="J2757" t="inlineStr">
        <is>
          <t>MVS Sec.18 p.14</t>
        </is>
      </c>
    </row>
    <row r="2758">
      <c r="B2758" t="inlineStr">
        <is>
          <t>Classrooms</t>
        </is>
      </c>
      <c r="C2758" t="inlineStr">
        <is>
          <t>356</t>
        </is>
      </c>
      <c r="D2758" t="inlineStr">
        <is>
          <t>18</t>
        </is>
      </c>
      <c r="E2758" t="inlineStr">
        <is>
          <t>14</t>
        </is>
      </c>
      <c r="F2758" t="inlineStr">
        <is>
          <t>C</t>
        </is>
      </c>
      <c r="G2758" t="inlineStr">
        <is>
          <t>Good</t>
        </is>
      </c>
      <c r="H2758" t="n">
        <v>223</v>
      </c>
      <c r="I2758">
        <f>B2758&amp;"|"&amp;F2758&amp;"|"&amp;G2758</f>
        <v/>
      </c>
      <c r="J2758" t="inlineStr">
        <is>
          <t>MVS Sec.18 p.14</t>
        </is>
      </c>
    </row>
    <row r="2759">
      <c r="B2759" t="inlineStr">
        <is>
          <t>Classrooms</t>
        </is>
      </c>
      <c r="C2759" t="inlineStr">
        <is>
          <t>356</t>
        </is>
      </c>
      <c r="D2759" t="inlineStr">
        <is>
          <t>18</t>
        </is>
      </c>
      <c r="E2759" t="inlineStr">
        <is>
          <t>14</t>
        </is>
      </c>
      <c r="F2759" t="inlineStr">
        <is>
          <t>C</t>
        </is>
      </c>
      <c r="G2759" t="inlineStr">
        <is>
          <t>Average</t>
        </is>
      </c>
      <c r="H2759" t="n">
        <v>171</v>
      </c>
      <c r="I2759">
        <f>B2759&amp;"|"&amp;F2759&amp;"|"&amp;G2759</f>
        <v/>
      </c>
      <c r="J2759" t="inlineStr">
        <is>
          <t>MVS Sec.18 p.14</t>
        </is>
      </c>
    </row>
    <row r="2760">
      <c r="B2760" t="inlineStr">
        <is>
          <t>Classrooms</t>
        </is>
      </c>
      <c r="C2760" t="inlineStr">
        <is>
          <t>356</t>
        </is>
      </c>
      <c r="D2760" t="inlineStr">
        <is>
          <t>18</t>
        </is>
      </c>
      <c r="E2760" t="inlineStr">
        <is>
          <t>14</t>
        </is>
      </c>
      <c r="F2760" t="inlineStr">
        <is>
          <t>C</t>
        </is>
      </c>
      <c r="G2760" t="inlineStr">
        <is>
          <t>Low Cost</t>
        </is>
      </c>
      <c r="H2760" t="n">
        <v>136</v>
      </c>
      <c r="I2760">
        <f>B2760&amp;"|"&amp;F2760&amp;"|"&amp;G2760</f>
        <v/>
      </c>
      <c r="J2760" t="inlineStr">
        <is>
          <t>MVS Sec.18 p.14</t>
        </is>
      </c>
    </row>
    <row r="2761">
      <c r="B2761" t="inlineStr">
        <is>
          <t>Classrooms</t>
        </is>
      </c>
      <c r="C2761" t="inlineStr">
        <is>
          <t>356</t>
        </is>
      </c>
      <c r="D2761" t="inlineStr">
        <is>
          <t>18</t>
        </is>
      </c>
      <c r="E2761" t="inlineStr">
        <is>
          <t>14</t>
        </is>
      </c>
      <c r="F2761" t="inlineStr">
        <is>
          <t>C</t>
        </is>
      </c>
      <c r="G2761" t="inlineStr">
        <is>
          <t>Cheap</t>
        </is>
      </c>
      <c r="H2761" t="n">
        <v>98</v>
      </c>
      <c r="I2761">
        <f>B2761&amp;"|"&amp;F2761&amp;"|"&amp;G2761</f>
        <v/>
      </c>
      <c r="J2761" t="inlineStr">
        <is>
          <t>MVS Sec.18 p.14</t>
        </is>
      </c>
    </row>
    <row r="2762">
      <c r="B2762" t="inlineStr">
        <is>
          <t>Classrooms</t>
        </is>
      </c>
      <c r="C2762" t="inlineStr">
        <is>
          <t>356</t>
        </is>
      </c>
      <c r="D2762" t="inlineStr">
        <is>
          <t>18</t>
        </is>
      </c>
      <c r="E2762" t="inlineStr">
        <is>
          <t>14</t>
        </is>
      </c>
      <c r="F2762" t="inlineStr">
        <is>
          <t>D</t>
        </is>
      </c>
      <c r="G2762" t="inlineStr">
        <is>
          <t>Excellent</t>
        </is>
      </c>
      <c r="H2762" t="n">
        <v>283</v>
      </c>
      <c r="I2762">
        <f>B2762&amp;"|"&amp;F2762&amp;"|"&amp;G2762</f>
        <v/>
      </c>
      <c r="J2762" t="inlineStr">
        <is>
          <t>MVS Sec.18 p.14</t>
        </is>
      </c>
    </row>
    <row r="2763">
      <c r="B2763" t="inlineStr">
        <is>
          <t>Classrooms</t>
        </is>
      </c>
      <c r="C2763" t="inlineStr">
        <is>
          <t>356</t>
        </is>
      </c>
      <c r="D2763" t="inlineStr">
        <is>
          <t>18</t>
        </is>
      </c>
      <c r="E2763" t="inlineStr">
        <is>
          <t>14</t>
        </is>
      </c>
      <c r="F2763" t="inlineStr">
        <is>
          <t>D</t>
        </is>
      </c>
      <c r="G2763" t="inlineStr">
        <is>
          <t>Good</t>
        </is>
      </c>
      <c r="H2763" t="n">
        <v>217</v>
      </c>
      <c r="I2763">
        <f>B2763&amp;"|"&amp;F2763&amp;"|"&amp;G2763</f>
        <v/>
      </c>
      <c r="J2763" t="inlineStr">
        <is>
          <t>MVS Sec.18 p.14</t>
        </is>
      </c>
    </row>
    <row r="2764">
      <c r="B2764" t="inlineStr">
        <is>
          <t>Classrooms</t>
        </is>
      </c>
      <c r="C2764" t="inlineStr">
        <is>
          <t>356</t>
        </is>
      </c>
      <c r="D2764" t="inlineStr">
        <is>
          <t>18</t>
        </is>
      </c>
      <c r="E2764" t="inlineStr">
        <is>
          <t>14</t>
        </is>
      </c>
      <c r="F2764" t="inlineStr">
        <is>
          <t>D</t>
        </is>
      </c>
      <c r="G2764" t="inlineStr">
        <is>
          <t>Average</t>
        </is>
      </c>
      <c r="H2764" t="n">
        <v>166</v>
      </c>
      <c r="I2764">
        <f>B2764&amp;"|"&amp;F2764&amp;"|"&amp;G2764</f>
        <v/>
      </c>
      <c r="J2764" t="inlineStr">
        <is>
          <t>MVS Sec.18 p.14</t>
        </is>
      </c>
    </row>
    <row r="2765">
      <c r="B2765" t="inlineStr">
        <is>
          <t>Classrooms</t>
        </is>
      </c>
      <c r="C2765" t="inlineStr">
        <is>
          <t>356</t>
        </is>
      </c>
      <c r="D2765" t="inlineStr">
        <is>
          <t>18</t>
        </is>
      </c>
      <c r="E2765" t="inlineStr">
        <is>
          <t>14</t>
        </is>
      </c>
      <c r="F2765" t="inlineStr">
        <is>
          <t>D</t>
        </is>
      </c>
      <c r="G2765" t="inlineStr">
        <is>
          <t>Low Cost</t>
        </is>
      </c>
      <c r="H2765" t="n">
        <v>130</v>
      </c>
      <c r="I2765">
        <f>B2765&amp;"|"&amp;F2765&amp;"|"&amp;G2765</f>
        <v/>
      </c>
      <c r="J2765" t="inlineStr">
        <is>
          <t>MVS Sec.18 p.14</t>
        </is>
      </c>
    </row>
    <row r="2766">
      <c r="B2766" t="inlineStr">
        <is>
          <t>Classrooms</t>
        </is>
      </c>
      <c r="C2766" t="inlineStr">
        <is>
          <t>356</t>
        </is>
      </c>
      <c r="D2766" t="inlineStr">
        <is>
          <t>18</t>
        </is>
      </c>
      <c r="E2766" t="inlineStr">
        <is>
          <t>14</t>
        </is>
      </c>
      <c r="F2766" t="inlineStr">
        <is>
          <t>D</t>
        </is>
      </c>
      <c r="G2766" t="inlineStr">
        <is>
          <t>Cheap</t>
        </is>
      </c>
      <c r="H2766" t="n">
        <v>93</v>
      </c>
      <c r="I2766">
        <f>B2766&amp;"|"&amp;F2766&amp;"|"&amp;G2766</f>
        <v/>
      </c>
      <c r="J2766" t="inlineStr">
        <is>
          <t>MVS Sec.18 p.14</t>
        </is>
      </c>
    </row>
    <row r="2767">
      <c r="B2767" t="inlineStr">
        <is>
          <t>Classrooms</t>
        </is>
      </c>
      <c r="C2767" t="inlineStr">
        <is>
          <t>356</t>
        </is>
      </c>
      <c r="D2767" t="inlineStr">
        <is>
          <t>18</t>
        </is>
      </c>
      <c r="E2767" t="inlineStr">
        <is>
          <t>14</t>
        </is>
      </c>
      <c r="F2767" t="inlineStr">
        <is>
          <t>DPOLE</t>
        </is>
      </c>
      <c r="G2767" t="inlineStr">
        <is>
          <t>Good</t>
        </is>
      </c>
      <c r="H2767" t="n">
        <v>210</v>
      </c>
      <c r="I2767">
        <f>B2767&amp;"|"&amp;F2767&amp;"|"&amp;G2767</f>
        <v/>
      </c>
      <c r="J2767" t="inlineStr">
        <is>
          <t>MVS Sec.18 p.14</t>
        </is>
      </c>
    </row>
    <row r="2768">
      <c r="B2768" t="inlineStr">
        <is>
          <t>Classrooms</t>
        </is>
      </c>
      <c r="C2768" t="inlineStr">
        <is>
          <t>356</t>
        </is>
      </c>
      <c r="D2768" t="inlineStr">
        <is>
          <t>18</t>
        </is>
      </c>
      <c r="E2768" t="inlineStr">
        <is>
          <t>14</t>
        </is>
      </c>
      <c r="F2768" t="inlineStr">
        <is>
          <t>DPOLE</t>
        </is>
      </c>
      <c r="G2768" t="inlineStr">
        <is>
          <t>Average</t>
        </is>
      </c>
      <c r="H2768" t="n">
        <v>159</v>
      </c>
      <c r="I2768">
        <f>B2768&amp;"|"&amp;F2768&amp;"|"&amp;G2768</f>
        <v/>
      </c>
      <c r="J2768" t="inlineStr">
        <is>
          <t>MVS Sec.18 p.14</t>
        </is>
      </c>
    </row>
    <row r="2769">
      <c r="B2769" t="inlineStr">
        <is>
          <t>Classrooms</t>
        </is>
      </c>
      <c r="C2769" t="inlineStr">
        <is>
          <t>356</t>
        </is>
      </c>
      <c r="D2769" t="inlineStr">
        <is>
          <t>18</t>
        </is>
      </c>
      <c r="E2769" t="inlineStr">
        <is>
          <t>14</t>
        </is>
      </c>
      <c r="F2769" t="inlineStr">
        <is>
          <t>DPOLE</t>
        </is>
      </c>
      <c r="G2769" t="inlineStr">
        <is>
          <t>Low Cost</t>
        </is>
      </c>
      <c r="H2769" t="n">
        <v>124</v>
      </c>
      <c r="I2769">
        <f>B2769&amp;"|"&amp;F2769&amp;"|"&amp;G2769</f>
        <v/>
      </c>
      <c r="J2769" t="inlineStr">
        <is>
          <t>MVS Sec.18 p.14</t>
        </is>
      </c>
    </row>
    <row r="2770">
      <c r="B2770" t="inlineStr">
        <is>
          <t>Classrooms</t>
        </is>
      </c>
      <c r="C2770" t="inlineStr">
        <is>
          <t>356</t>
        </is>
      </c>
      <c r="D2770" t="inlineStr">
        <is>
          <t>18</t>
        </is>
      </c>
      <c r="E2770" t="inlineStr">
        <is>
          <t>14</t>
        </is>
      </c>
      <c r="F2770" t="inlineStr">
        <is>
          <t>DPOLE</t>
        </is>
      </c>
      <c r="G2770" t="inlineStr">
        <is>
          <t>Cheap</t>
        </is>
      </c>
      <c r="H2770" t="n">
        <v>87.5</v>
      </c>
      <c r="I2770">
        <f>B2770&amp;"|"&amp;F2770&amp;"|"&amp;G2770</f>
        <v/>
      </c>
      <c r="J2770" t="inlineStr">
        <is>
          <t>MVS Sec.18 p.14</t>
        </is>
      </c>
    </row>
    <row r="2771">
      <c r="B2771" t="inlineStr">
        <is>
          <t>Classrooms</t>
        </is>
      </c>
      <c r="C2771" t="inlineStr">
        <is>
          <t>356</t>
        </is>
      </c>
      <c r="D2771" t="inlineStr">
        <is>
          <t>18</t>
        </is>
      </c>
      <c r="E2771" t="inlineStr">
        <is>
          <t>14</t>
        </is>
      </c>
      <c r="F2771" t="inlineStr">
        <is>
          <t>S</t>
        </is>
      </c>
      <c r="G2771" t="inlineStr">
        <is>
          <t>Good</t>
        </is>
      </c>
      <c r="H2771" t="n">
        <v>212</v>
      </c>
      <c r="I2771">
        <f>B2771&amp;"|"&amp;F2771&amp;"|"&amp;G2771</f>
        <v/>
      </c>
      <c r="J2771" t="inlineStr">
        <is>
          <t>MVS Sec.18 p.14</t>
        </is>
      </c>
    </row>
    <row r="2772">
      <c r="B2772" t="inlineStr">
        <is>
          <t>Classrooms</t>
        </is>
      </c>
      <c r="C2772" t="inlineStr">
        <is>
          <t>356</t>
        </is>
      </c>
      <c r="D2772" t="inlineStr">
        <is>
          <t>18</t>
        </is>
      </c>
      <c r="E2772" t="inlineStr">
        <is>
          <t>14</t>
        </is>
      </c>
      <c r="F2772" t="inlineStr">
        <is>
          <t>S</t>
        </is>
      </c>
      <c r="G2772" t="inlineStr">
        <is>
          <t>Average</t>
        </is>
      </c>
      <c r="H2772" t="n">
        <v>160</v>
      </c>
      <c r="I2772">
        <f>B2772&amp;"|"&amp;F2772&amp;"|"&amp;G2772</f>
        <v/>
      </c>
      <c r="J2772" t="inlineStr">
        <is>
          <t>MVS Sec.18 p.14</t>
        </is>
      </c>
    </row>
    <row r="2773">
      <c r="B2773" t="inlineStr">
        <is>
          <t>Classrooms</t>
        </is>
      </c>
      <c r="C2773" t="inlineStr">
        <is>
          <t>356</t>
        </is>
      </c>
      <c r="D2773" t="inlineStr">
        <is>
          <t>18</t>
        </is>
      </c>
      <c r="E2773" t="inlineStr">
        <is>
          <t>14</t>
        </is>
      </c>
      <c r="F2773" t="inlineStr">
        <is>
          <t>S</t>
        </is>
      </c>
      <c r="G2773" t="inlineStr">
        <is>
          <t>Low Cost</t>
        </is>
      </c>
      <c r="H2773" t="n">
        <v>125</v>
      </c>
      <c r="I2773">
        <f>B2773&amp;"|"&amp;F2773&amp;"|"&amp;G2773</f>
        <v/>
      </c>
      <c r="J2773" t="inlineStr">
        <is>
          <t>MVS Sec.18 p.14</t>
        </is>
      </c>
    </row>
    <row r="2774">
      <c r="B2774" t="inlineStr">
        <is>
          <t>Classrooms</t>
        </is>
      </c>
      <c r="C2774" t="inlineStr">
        <is>
          <t>356</t>
        </is>
      </c>
      <c r="D2774" t="inlineStr">
        <is>
          <t>18</t>
        </is>
      </c>
      <c r="E2774" t="inlineStr">
        <is>
          <t>14</t>
        </is>
      </c>
      <c r="F2774" t="inlineStr">
        <is>
          <t>S</t>
        </is>
      </c>
      <c r="G2774" t="inlineStr">
        <is>
          <t>Cheap</t>
        </is>
      </c>
      <c r="H2774" t="n">
        <v>88</v>
      </c>
      <c r="I2774">
        <f>B2774&amp;"|"&amp;F2774&amp;"|"&amp;G2774</f>
        <v/>
      </c>
      <c r="J2774" t="inlineStr">
        <is>
          <t>MVS Sec.18 p.14</t>
        </is>
      </c>
    </row>
    <row r="2775">
      <c r="B2775" t="inlineStr">
        <is>
          <t>Special Education Classrooms</t>
        </is>
      </c>
      <c r="C2775" t="inlineStr">
        <is>
          <t>158</t>
        </is>
      </c>
      <c r="D2775" t="inlineStr">
        <is>
          <t>18</t>
        </is>
      </c>
      <c r="E2775" t="inlineStr">
        <is>
          <t>15</t>
        </is>
      </c>
      <c r="F2775" t="inlineStr">
        <is>
          <t>A-B</t>
        </is>
      </c>
      <c r="G2775" t="inlineStr">
        <is>
          <t>Good</t>
        </is>
      </c>
      <c r="H2775" t="n">
        <v>324</v>
      </c>
      <c r="I2775">
        <f>B2775&amp;"|"&amp;F2775&amp;"|"&amp;G2775</f>
        <v/>
      </c>
      <c r="J2775" t="inlineStr">
        <is>
          <t>MVS Sec.18 p.15</t>
        </is>
      </c>
    </row>
    <row r="2776">
      <c r="B2776" t="inlineStr">
        <is>
          <t>Special Education Classrooms</t>
        </is>
      </c>
      <c r="C2776" t="inlineStr">
        <is>
          <t>158</t>
        </is>
      </c>
      <c r="D2776" t="inlineStr">
        <is>
          <t>18</t>
        </is>
      </c>
      <c r="E2776" t="inlineStr">
        <is>
          <t>15</t>
        </is>
      </c>
      <c r="F2776" t="inlineStr">
        <is>
          <t>A-B</t>
        </is>
      </c>
      <c r="G2776" t="inlineStr">
        <is>
          <t>Average</t>
        </is>
      </c>
      <c r="H2776" t="n">
        <v>242</v>
      </c>
      <c r="I2776">
        <f>B2776&amp;"|"&amp;F2776&amp;"|"&amp;G2776</f>
        <v/>
      </c>
      <c r="J2776" t="inlineStr">
        <is>
          <t>MVS Sec.18 p.15</t>
        </is>
      </c>
    </row>
    <row r="2777">
      <c r="B2777" t="inlineStr">
        <is>
          <t>Special Education Classrooms</t>
        </is>
      </c>
      <c r="C2777" t="inlineStr">
        <is>
          <t>158</t>
        </is>
      </c>
      <c r="D2777" t="inlineStr">
        <is>
          <t>18</t>
        </is>
      </c>
      <c r="E2777" t="inlineStr">
        <is>
          <t>15</t>
        </is>
      </c>
      <c r="F2777" t="inlineStr">
        <is>
          <t>C</t>
        </is>
      </c>
      <c r="G2777" t="inlineStr">
        <is>
          <t>Excellent</t>
        </is>
      </c>
      <c r="H2777" t="n">
        <v>321</v>
      </c>
      <c r="I2777">
        <f>B2777&amp;"|"&amp;F2777&amp;"|"&amp;G2777</f>
        <v/>
      </c>
      <c r="J2777" t="inlineStr">
        <is>
          <t>MVS Sec.18 p.15</t>
        </is>
      </c>
    </row>
    <row r="2778">
      <c r="B2778" t="inlineStr">
        <is>
          <t>Special Education Classrooms</t>
        </is>
      </c>
      <c r="C2778" t="inlineStr">
        <is>
          <t>158</t>
        </is>
      </c>
      <c r="D2778" t="inlineStr">
        <is>
          <t>18</t>
        </is>
      </c>
      <c r="E2778" t="inlineStr">
        <is>
          <t>15</t>
        </is>
      </c>
      <c r="F2778" t="inlineStr">
        <is>
          <t>C</t>
        </is>
      </c>
      <c r="G2778" t="inlineStr">
        <is>
          <t>Good</t>
        </is>
      </c>
      <c r="H2778" t="n">
        <v>242</v>
      </c>
      <c r="I2778">
        <f>B2778&amp;"|"&amp;F2778&amp;"|"&amp;G2778</f>
        <v/>
      </c>
      <c r="J2778" t="inlineStr">
        <is>
          <t>MVS Sec.18 p.15</t>
        </is>
      </c>
    </row>
    <row r="2779">
      <c r="B2779" t="inlineStr">
        <is>
          <t>Special Education Classrooms</t>
        </is>
      </c>
      <c r="C2779" t="inlineStr">
        <is>
          <t>158</t>
        </is>
      </c>
      <c r="D2779" t="inlineStr">
        <is>
          <t>18</t>
        </is>
      </c>
      <c r="E2779" t="inlineStr">
        <is>
          <t>15</t>
        </is>
      </c>
      <c r="F2779" t="inlineStr">
        <is>
          <t>C</t>
        </is>
      </c>
      <c r="G2779" t="inlineStr">
        <is>
          <t>Average</t>
        </is>
      </c>
      <c r="H2779" t="n">
        <v>181</v>
      </c>
      <c r="I2779">
        <f>B2779&amp;"|"&amp;F2779&amp;"|"&amp;G2779</f>
        <v/>
      </c>
      <c r="J2779" t="inlineStr">
        <is>
          <t>MVS Sec.18 p.15</t>
        </is>
      </c>
    </row>
    <row r="2780">
      <c r="B2780" t="inlineStr">
        <is>
          <t>Special Education Classrooms</t>
        </is>
      </c>
      <c r="C2780" t="inlineStr">
        <is>
          <t>158</t>
        </is>
      </c>
      <c r="D2780" t="inlineStr">
        <is>
          <t>18</t>
        </is>
      </c>
      <c r="E2780" t="inlineStr">
        <is>
          <t>15</t>
        </is>
      </c>
      <c r="F2780" t="inlineStr">
        <is>
          <t>D</t>
        </is>
      </c>
      <c r="G2780" t="inlineStr">
        <is>
          <t>Excellent</t>
        </is>
      </c>
      <c r="H2780" t="n">
        <v>317</v>
      </c>
      <c r="I2780">
        <f>B2780&amp;"|"&amp;F2780&amp;"|"&amp;G2780</f>
        <v/>
      </c>
      <c r="J2780" t="inlineStr">
        <is>
          <t>MVS Sec.18 p.15</t>
        </is>
      </c>
    </row>
    <row r="2781">
      <c r="B2781" t="inlineStr">
        <is>
          <t>Special Education Classrooms</t>
        </is>
      </c>
      <c r="C2781" t="inlineStr">
        <is>
          <t>158</t>
        </is>
      </c>
      <c r="D2781" t="inlineStr">
        <is>
          <t>18</t>
        </is>
      </c>
      <c r="E2781" t="inlineStr">
        <is>
          <t>15</t>
        </is>
      </c>
      <c r="F2781" t="inlineStr">
        <is>
          <t>D</t>
        </is>
      </c>
      <c r="G2781" t="inlineStr">
        <is>
          <t>Good</t>
        </is>
      </c>
      <c r="H2781" t="n">
        <v>237</v>
      </c>
      <c r="I2781">
        <f>B2781&amp;"|"&amp;F2781&amp;"|"&amp;G2781</f>
        <v/>
      </c>
      <c r="J2781" t="inlineStr">
        <is>
          <t>MVS Sec.18 p.15</t>
        </is>
      </c>
    </row>
    <row r="2782">
      <c r="B2782" t="inlineStr">
        <is>
          <t>Special Education Classrooms</t>
        </is>
      </c>
      <c r="C2782" t="inlineStr">
        <is>
          <t>158</t>
        </is>
      </c>
      <c r="D2782" t="inlineStr">
        <is>
          <t>18</t>
        </is>
      </c>
      <c r="E2782" t="inlineStr">
        <is>
          <t>15</t>
        </is>
      </c>
      <c r="F2782" t="inlineStr">
        <is>
          <t>D</t>
        </is>
      </c>
      <c r="G2782" t="inlineStr">
        <is>
          <t>Average</t>
        </is>
      </c>
      <c r="H2782" t="n">
        <v>176</v>
      </c>
      <c r="I2782">
        <f>B2782&amp;"|"&amp;F2782&amp;"|"&amp;G2782</f>
        <v/>
      </c>
      <c r="J2782" t="inlineStr">
        <is>
          <t>MVS Sec.18 p.15</t>
        </is>
      </c>
    </row>
    <row r="2783">
      <c r="B2783" t="inlineStr">
        <is>
          <t>Special Education Classrooms</t>
        </is>
      </c>
      <c r="C2783" t="inlineStr">
        <is>
          <t>158</t>
        </is>
      </c>
      <c r="D2783" t="inlineStr">
        <is>
          <t>18</t>
        </is>
      </c>
      <c r="E2783" t="inlineStr">
        <is>
          <t>15</t>
        </is>
      </c>
      <c r="F2783" t="inlineStr">
        <is>
          <t>DPOLE</t>
        </is>
      </c>
      <c r="G2783" t="inlineStr">
        <is>
          <t>Good</t>
        </is>
      </c>
      <c r="H2783" t="n">
        <v>230</v>
      </c>
      <c r="I2783">
        <f>B2783&amp;"|"&amp;F2783&amp;"|"&amp;G2783</f>
        <v/>
      </c>
      <c r="J2783" t="inlineStr">
        <is>
          <t>MVS Sec.18 p.15</t>
        </is>
      </c>
    </row>
    <row r="2784">
      <c r="B2784" t="inlineStr">
        <is>
          <t>Special Education Classrooms</t>
        </is>
      </c>
      <c r="C2784" t="inlineStr">
        <is>
          <t>158</t>
        </is>
      </c>
      <c r="D2784" t="inlineStr">
        <is>
          <t>18</t>
        </is>
      </c>
      <c r="E2784" t="inlineStr">
        <is>
          <t>15</t>
        </is>
      </c>
      <c r="F2784" t="inlineStr">
        <is>
          <t>DPOLE</t>
        </is>
      </c>
      <c r="G2784" t="inlineStr">
        <is>
          <t>Average</t>
        </is>
      </c>
      <c r="H2784" t="n">
        <v>169</v>
      </c>
      <c r="I2784">
        <f>B2784&amp;"|"&amp;F2784&amp;"|"&amp;G2784</f>
        <v/>
      </c>
      <c r="J2784" t="inlineStr">
        <is>
          <t>MVS Sec.18 p.15</t>
        </is>
      </c>
    </row>
    <row r="2785">
      <c r="B2785" t="inlineStr">
        <is>
          <t>Special Education Classrooms</t>
        </is>
      </c>
      <c r="C2785" t="inlineStr">
        <is>
          <t>158</t>
        </is>
      </c>
      <c r="D2785" t="inlineStr">
        <is>
          <t>18</t>
        </is>
      </c>
      <c r="E2785" t="inlineStr">
        <is>
          <t>15</t>
        </is>
      </c>
      <c r="F2785" t="inlineStr">
        <is>
          <t>S</t>
        </is>
      </c>
      <c r="G2785" t="inlineStr">
        <is>
          <t>Good</t>
        </is>
      </c>
      <c r="H2785" t="n">
        <v>232</v>
      </c>
      <c r="I2785">
        <f>B2785&amp;"|"&amp;F2785&amp;"|"&amp;G2785</f>
        <v/>
      </c>
      <c r="J2785" t="inlineStr">
        <is>
          <t>MVS Sec.18 p.15</t>
        </is>
      </c>
    </row>
    <row r="2786">
      <c r="B2786" t="inlineStr">
        <is>
          <t>Special Education Classrooms</t>
        </is>
      </c>
      <c r="C2786" t="inlineStr">
        <is>
          <t>158</t>
        </is>
      </c>
      <c r="D2786" t="inlineStr">
        <is>
          <t>18</t>
        </is>
      </c>
      <c r="E2786" t="inlineStr">
        <is>
          <t>15</t>
        </is>
      </c>
      <c r="F2786" t="inlineStr">
        <is>
          <t>S</t>
        </is>
      </c>
      <c r="G2786" t="inlineStr">
        <is>
          <t>Average</t>
        </is>
      </c>
      <c r="H2786" t="n">
        <v>171</v>
      </c>
      <c r="I2786">
        <f>B2786&amp;"|"&amp;F2786&amp;"|"&amp;G2786</f>
        <v/>
      </c>
      <c r="J2786" t="inlineStr">
        <is>
          <t>MVS Sec.18 p.15</t>
        </is>
      </c>
    </row>
    <row r="2787">
      <c r="B2787" t="inlineStr">
        <is>
          <t>Relocatable Classrooms</t>
        </is>
      </c>
      <c r="C2787" t="inlineStr">
        <is>
          <t>598</t>
        </is>
      </c>
      <c r="D2787" t="inlineStr">
        <is>
          <t>18</t>
        </is>
      </c>
      <c r="E2787" t="inlineStr">
        <is>
          <t>15</t>
        </is>
      </c>
      <c r="F2787" t="inlineStr">
        <is>
          <t>D</t>
        </is>
      </c>
      <c r="G2787" t="inlineStr">
        <is>
          <t>Excellent</t>
        </is>
      </c>
      <c r="H2787" t="n">
        <v>198</v>
      </c>
      <c r="I2787">
        <f>B2787&amp;"|"&amp;F2787&amp;"|"&amp;G2787</f>
        <v/>
      </c>
      <c r="J2787" t="inlineStr">
        <is>
          <t>MVS Sec.18 p.15</t>
        </is>
      </c>
    </row>
    <row r="2788">
      <c r="B2788" t="inlineStr">
        <is>
          <t>Relocatable Classrooms</t>
        </is>
      </c>
      <c r="C2788" t="inlineStr">
        <is>
          <t>598</t>
        </is>
      </c>
      <c r="D2788" t="inlineStr">
        <is>
          <t>18</t>
        </is>
      </c>
      <c r="E2788" t="inlineStr">
        <is>
          <t>15</t>
        </is>
      </c>
      <c r="F2788" t="inlineStr">
        <is>
          <t>D</t>
        </is>
      </c>
      <c r="G2788" t="inlineStr">
        <is>
          <t>Good</t>
        </is>
      </c>
      <c r="H2788" t="n">
        <v>158</v>
      </c>
      <c r="I2788">
        <f>B2788&amp;"|"&amp;F2788&amp;"|"&amp;G2788</f>
        <v/>
      </c>
      <c r="J2788" t="inlineStr">
        <is>
          <t>MVS Sec.18 p.15</t>
        </is>
      </c>
    </row>
    <row r="2789">
      <c r="B2789" t="inlineStr">
        <is>
          <t>Relocatable Classrooms</t>
        </is>
      </c>
      <c r="C2789" t="inlineStr">
        <is>
          <t>598</t>
        </is>
      </c>
      <c r="D2789" t="inlineStr">
        <is>
          <t>18</t>
        </is>
      </c>
      <c r="E2789" t="inlineStr">
        <is>
          <t>15</t>
        </is>
      </c>
      <c r="F2789" t="inlineStr">
        <is>
          <t>D</t>
        </is>
      </c>
      <c r="G2789" t="inlineStr">
        <is>
          <t>Average</t>
        </is>
      </c>
      <c r="H2789" t="n">
        <v>131</v>
      </c>
      <c r="I2789">
        <f>B2789&amp;"|"&amp;F2789&amp;"|"&amp;G2789</f>
        <v/>
      </c>
      <c r="J2789" t="inlineStr">
        <is>
          <t>MVS Sec.18 p.15</t>
        </is>
      </c>
    </row>
    <row r="2790">
      <c r="B2790" t="inlineStr">
        <is>
          <t>Relocatable Classrooms</t>
        </is>
      </c>
      <c r="C2790" t="inlineStr">
        <is>
          <t>598</t>
        </is>
      </c>
      <c r="D2790" t="inlineStr">
        <is>
          <t>18</t>
        </is>
      </c>
      <c r="E2790" t="inlineStr">
        <is>
          <t>15</t>
        </is>
      </c>
      <c r="F2790" t="inlineStr">
        <is>
          <t>D</t>
        </is>
      </c>
      <c r="G2790" t="inlineStr">
        <is>
          <t>Low Cost</t>
        </is>
      </c>
      <c r="H2790" t="n">
        <v>109</v>
      </c>
      <c r="I2790">
        <f>B2790&amp;"|"&amp;F2790&amp;"|"&amp;G2790</f>
        <v/>
      </c>
      <c r="J2790" t="inlineStr">
        <is>
          <t>MVS Sec.18 p.15</t>
        </is>
      </c>
    </row>
    <row r="2791">
      <c r="B2791" t="inlineStr">
        <is>
          <t>Relocatable Classrooms</t>
        </is>
      </c>
      <c r="C2791" t="inlineStr">
        <is>
          <t>598</t>
        </is>
      </c>
      <c r="D2791" t="inlineStr">
        <is>
          <t>18</t>
        </is>
      </c>
      <c r="E2791" t="inlineStr">
        <is>
          <t>15</t>
        </is>
      </c>
      <c r="F2791" t="inlineStr">
        <is>
          <t>D</t>
        </is>
      </c>
      <c r="G2791" t="inlineStr">
        <is>
          <t>Cheap</t>
        </is>
      </c>
      <c r="H2791" t="n">
        <v>82</v>
      </c>
      <c r="I2791">
        <f>B2791&amp;"|"&amp;F2791&amp;"|"&amp;G2791</f>
        <v/>
      </c>
      <c r="J2791" t="inlineStr">
        <is>
          <t>MVS Sec.18 p.15</t>
        </is>
      </c>
    </row>
    <row r="2792">
      <c r="B2792" t="inlineStr">
        <is>
          <t>Manual Arts (Shop) Buildings</t>
        </is>
      </c>
      <c r="C2792" t="inlineStr">
        <is>
          <t>361</t>
        </is>
      </c>
      <c r="D2792" t="inlineStr">
        <is>
          <t>18</t>
        </is>
      </c>
      <c r="E2792" t="inlineStr">
        <is>
          <t>16</t>
        </is>
      </c>
      <c r="F2792" t="inlineStr">
        <is>
          <t>A-B</t>
        </is>
      </c>
      <c r="G2792" t="inlineStr">
        <is>
          <t>Average</t>
        </is>
      </c>
      <c r="H2792" t="n">
        <v>204</v>
      </c>
      <c r="I2792">
        <f>B2792&amp;"|"&amp;F2792&amp;"|"&amp;G2792</f>
        <v/>
      </c>
      <c r="J2792" t="inlineStr">
        <is>
          <t>MVS Sec.18 p.16</t>
        </is>
      </c>
    </row>
    <row r="2793">
      <c r="B2793" t="inlineStr">
        <is>
          <t>Manual Arts (Shop) Buildings</t>
        </is>
      </c>
      <c r="C2793" t="inlineStr">
        <is>
          <t>361</t>
        </is>
      </c>
      <c r="D2793" t="inlineStr">
        <is>
          <t>18</t>
        </is>
      </c>
      <c r="E2793" t="inlineStr">
        <is>
          <t>16</t>
        </is>
      </c>
      <c r="F2793" t="inlineStr">
        <is>
          <t>A-B</t>
        </is>
      </c>
      <c r="G2793" t="inlineStr">
        <is>
          <t>Low Cost</t>
        </is>
      </c>
      <c r="H2793" t="n">
        <v>153</v>
      </c>
      <c r="I2793">
        <f>B2793&amp;"|"&amp;F2793&amp;"|"&amp;G2793</f>
        <v/>
      </c>
      <c r="J2793" t="inlineStr">
        <is>
          <t>MVS Sec.18 p.16</t>
        </is>
      </c>
    </row>
    <row r="2794">
      <c r="B2794" t="inlineStr">
        <is>
          <t>Manual Arts (Shop) Buildings</t>
        </is>
      </c>
      <c r="C2794" t="inlineStr">
        <is>
          <t>361</t>
        </is>
      </c>
      <c r="D2794" t="inlineStr">
        <is>
          <t>18</t>
        </is>
      </c>
      <c r="E2794" t="inlineStr">
        <is>
          <t>16</t>
        </is>
      </c>
      <c r="F2794" t="inlineStr">
        <is>
          <t>C</t>
        </is>
      </c>
      <c r="G2794" t="inlineStr">
        <is>
          <t>Good</t>
        </is>
      </c>
      <c r="H2794" t="n">
        <v>207</v>
      </c>
      <c r="I2794">
        <f>B2794&amp;"|"&amp;F2794&amp;"|"&amp;G2794</f>
        <v/>
      </c>
      <c r="J2794" t="inlineStr">
        <is>
          <t>MVS Sec.18 p.16</t>
        </is>
      </c>
    </row>
    <row r="2795">
      <c r="B2795" t="inlineStr">
        <is>
          <t>Manual Arts (Shop) Buildings</t>
        </is>
      </c>
      <c r="C2795" t="inlineStr">
        <is>
          <t>361</t>
        </is>
      </c>
      <c r="D2795" t="inlineStr">
        <is>
          <t>18</t>
        </is>
      </c>
      <c r="E2795" t="inlineStr">
        <is>
          <t>16</t>
        </is>
      </c>
      <c r="F2795" t="inlineStr">
        <is>
          <t>C</t>
        </is>
      </c>
      <c r="G2795" t="inlineStr">
        <is>
          <t>Average</t>
        </is>
      </c>
      <c r="H2795" t="n">
        <v>155</v>
      </c>
      <c r="I2795">
        <f>B2795&amp;"|"&amp;F2795&amp;"|"&amp;G2795</f>
        <v/>
      </c>
      <c r="J2795" t="inlineStr">
        <is>
          <t>MVS Sec.18 p.16</t>
        </is>
      </c>
    </row>
    <row r="2796">
      <c r="B2796" t="inlineStr">
        <is>
          <t>Manual Arts (Shop) Buildings</t>
        </is>
      </c>
      <c r="C2796" t="inlineStr">
        <is>
          <t>361</t>
        </is>
      </c>
      <c r="D2796" t="inlineStr">
        <is>
          <t>18</t>
        </is>
      </c>
      <c r="E2796" t="inlineStr">
        <is>
          <t>16</t>
        </is>
      </c>
      <c r="F2796" t="inlineStr">
        <is>
          <t>C</t>
        </is>
      </c>
      <c r="G2796" t="inlineStr">
        <is>
          <t>Low Cost</t>
        </is>
      </c>
      <c r="H2796" t="n">
        <v>110</v>
      </c>
      <c r="I2796">
        <f>B2796&amp;"|"&amp;F2796&amp;"|"&amp;G2796</f>
        <v/>
      </c>
      <c r="J2796" t="inlineStr">
        <is>
          <t>MVS Sec.18 p.16</t>
        </is>
      </c>
    </row>
    <row r="2797">
      <c r="B2797" t="inlineStr">
        <is>
          <t>Manual Arts (Shop) Buildings</t>
        </is>
      </c>
      <c r="C2797" t="inlineStr">
        <is>
          <t>361</t>
        </is>
      </c>
      <c r="D2797" t="inlineStr">
        <is>
          <t>18</t>
        </is>
      </c>
      <c r="E2797" t="inlineStr">
        <is>
          <t>16</t>
        </is>
      </c>
      <c r="F2797" t="inlineStr">
        <is>
          <t>D</t>
        </is>
      </c>
      <c r="G2797" t="inlineStr">
        <is>
          <t>Good</t>
        </is>
      </c>
      <c r="H2797" t="n">
        <v>200</v>
      </c>
      <c r="I2797">
        <f>B2797&amp;"|"&amp;F2797&amp;"|"&amp;G2797</f>
        <v/>
      </c>
      <c r="J2797" t="inlineStr">
        <is>
          <t>MVS Sec.18 p.16</t>
        </is>
      </c>
    </row>
    <row r="2798">
      <c r="B2798" t="inlineStr">
        <is>
          <t>Manual Arts (Shop) Buildings</t>
        </is>
      </c>
      <c r="C2798" t="inlineStr">
        <is>
          <t>361</t>
        </is>
      </c>
      <c r="D2798" t="inlineStr">
        <is>
          <t>18</t>
        </is>
      </c>
      <c r="E2798" t="inlineStr">
        <is>
          <t>16</t>
        </is>
      </c>
      <c r="F2798" t="inlineStr">
        <is>
          <t>D</t>
        </is>
      </c>
      <c r="G2798" t="inlineStr">
        <is>
          <t>Average</t>
        </is>
      </c>
      <c r="H2798" t="n">
        <v>149</v>
      </c>
      <c r="I2798">
        <f>B2798&amp;"|"&amp;F2798&amp;"|"&amp;G2798</f>
        <v/>
      </c>
      <c r="J2798" t="inlineStr">
        <is>
          <t>MVS Sec.18 p.16</t>
        </is>
      </c>
    </row>
    <row r="2799">
      <c r="B2799" t="inlineStr">
        <is>
          <t>Manual Arts (Shop) Buildings</t>
        </is>
      </c>
      <c r="C2799" t="inlineStr">
        <is>
          <t>361</t>
        </is>
      </c>
      <c r="D2799" t="inlineStr">
        <is>
          <t>18</t>
        </is>
      </c>
      <c r="E2799" t="inlineStr">
        <is>
          <t>16</t>
        </is>
      </c>
      <c r="F2799" t="inlineStr">
        <is>
          <t>D</t>
        </is>
      </c>
      <c r="G2799" t="inlineStr">
        <is>
          <t>Low Cost</t>
        </is>
      </c>
      <c r="H2799" t="n">
        <v>104</v>
      </c>
      <c r="I2799">
        <f>B2799&amp;"|"&amp;F2799&amp;"|"&amp;G2799</f>
        <v/>
      </c>
      <c r="J2799" t="inlineStr">
        <is>
          <t>MVS Sec.18 p.16</t>
        </is>
      </c>
    </row>
    <row r="2800">
      <c r="B2800" t="inlineStr">
        <is>
          <t>Manual Arts (Shop) Buildings</t>
        </is>
      </c>
      <c r="C2800" t="inlineStr">
        <is>
          <t>361</t>
        </is>
      </c>
      <c r="D2800" t="inlineStr">
        <is>
          <t>18</t>
        </is>
      </c>
      <c r="E2800" t="inlineStr">
        <is>
          <t>16</t>
        </is>
      </c>
      <c r="F2800" t="inlineStr">
        <is>
          <t>DPOLE</t>
        </is>
      </c>
      <c r="G2800" t="inlineStr">
        <is>
          <t>Average</t>
        </is>
      </c>
      <c r="H2800" t="n">
        <v>129</v>
      </c>
      <c r="I2800">
        <f>B2800&amp;"|"&amp;F2800&amp;"|"&amp;G2800</f>
        <v/>
      </c>
      <c r="J2800" t="inlineStr">
        <is>
          <t>MVS Sec.18 p.16</t>
        </is>
      </c>
    </row>
    <row r="2801">
      <c r="B2801" t="inlineStr">
        <is>
          <t>Manual Arts (Shop) Buildings</t>
        </is>
      </c>
      <c r="C2801" t="inlineStr">
        <is>
          <t>361</t>
        </is>
      </c>
      <c r="D2801" t="inlineStr">
        <is>
          <t>18</t>
        </is>
      </c>
      <c r="E2801" t="inlineStr">
        <is>
          <t>16</t>
        </is>
      </c>
      <c r="F2801" t="inlineStr">
        <is>
          <t>DPOLE</t>
        </is>
      </c>
      <c r="G2801" t="inlineStr">
        <is>
          <t>Low Cost</t>
        </is>
      </c>
      <c r="H2801" t="n">
        <v>89</v>
      </c>
      <c r="I2801">
        <f>B2801&amp;"|"&amp;F2801&amp;"|"&amp;G2801</f>
        <v/>
      </c>
      <c r="J2801" t="inlineStr">
        <is>
          <t>MVS Sec.18 p.16</t>
        </is>
      </c>
    </row>
    <row r="2802">
      <c r="B2802" t="inlineStr">
        <is>
          <t>Manual Arts (Shop) Buildings</t>
        </is>
      </c>
      <c r="C2802" t="inlineStr">
        <is>
          <t>361</t>
        </is>
      </c>
      <c r="D2802" t="inlineStr">
        <is>
          <t>18</t>
        </is>
      </c>
      <c r="E2802" t="inlineStr">
        <is>
          <t>16</t>
        </is>
      </c>
      <c r="F2802" t="inlineStr">
        <is>
          <t>S</t>
        </is>
      </c>
      <c r="G2802" t="inlineStr">
        <is>
          <t>Average</t>
        </is>
      </c>
      <c r="H2802" t="n">
        <v>131</v>
      </c>
      <c r="I2802">
        <f>B2802&amp;"|"&amp;F2802&amp;"|"&amp;G2802</f>
        <v/>
      </c>
      <c r="J2802" t="inlineStr">
        <is>
          <t>MVS Sec.18 p.16</t>
        </is>
      </c>
    </row>
    <row r="2803">
      <c r="B2803" t="inlineStr">
        <is>
          <t>Manual Arts (Shop) Buildings</t>
        </is>
      </c>
      <c r="C2803" t="inlineStr">
        <is>
          <t>361</t>
        </is>
      </c>
      <c r="D2803" t="inlineStr">
        <is>
          <t>18</t>
        </is>
      </c>
      <c r="E2803" t="inlineStr">
        <is>
          <t>16</t>
        </is>
      </c>
      <c r="F2803" t="inlineStr">
        <is>
          <t>S</t>
        </is>
      </c>
      <c r="G2803" t="inlineStr">
        <is>
          <t>Low Cost</t>
        </is>
      </c>
      <c r="H2803" t="n">
        <v>90.5</v>
      </c>
      <c r="I2803">
        <f>B2803&amp;"|"&amp;F2803&amp;"|"&amp;G2803</f>
        <v/>
      </c>
      <c r="J2803" t="inlineStr">
        <is>
          <t>MVS Sec.18 p.16</t>
        </is>
      </c>
    </row>
    <row r="2804">
      <c r="B2804" t="inlineStr">
        <is>
          <t>Lecture Classrooms</t>
        </is>
      </c>
      <c r="C2804" t="inlineStr">
        <is>
          <t>359</t>
        </is>
      </c>
      <c r="D2804" t="inlineStr">
        <is>
          <t>18</t>
        </is>
      </c>
      <c r="E2804" t="inlineStr">
        <is>
          <t>16</t>
        </is>
      </c>
      <c r="F2804" t="inlineStr">
        <is>
          <t>A-B</t>
        </is>
      </c>
      <c r="G2804" t="inlineStr">
        <is>
          <t>Average</t>
        </is>
      </c>
      <c r="H2804" t="n">
        <v>247</v>
      </c>
      <c r="I2804">
        <f>B2804&amp;"|"&amp;F2804&amp;"|"&amp;G2804</f>
        <v/>
      </c>
      <c r="J2804" t="inlineStr">
        <is>
          <t>MVS Sec.18 p.16</t>
        </is>
      </c>
    </row>
    <row r="2805">
      <c r="B2805" t="inlineStr">
        <is>
          <t>Lecture Classrooms</t>
        </is>
      </c>
      <c r="C2805" t="inlineStr">
        <is>
          <t>359</t>
        </is>
      </c>
      <c r="D2805" t="inlineStr">
        <is>
          <t>18</t>
        </is>
      </c>
      <c r="E2805" t="inlineStr">
        <is>
          <t>16</t>
        </is>
      </c>
      <c r="F2805" t="inlineStr">
        <is>
          <t>C</t>
        </is>
      </c>
      <c r="G2805" t="inlineStr">
        <is>
          <t>Good</t>
        </is>
      </c>
      <c r="H2805" t="n">
        <v>262</v>
      </c>
      <c r="I2805">
        <f>B2805&amp;"|"&amp;F2805&amp;"|"&amp;G2805</f>
        <v/>
      </c>
      <c r="J2805" t="inlineStr">
        <is>
          <t>MVS Sec.18 p.16</t>
        </is>
      </c>
    </row>
    <row r="2806">
      <c r="B2806" t="inlineStr">
        <is>
          <t>Lecture Classrooms</t>
        </is>
      </c>
      <c r="C2806" t="inlineStr">
        <is>
          <t>359</t>
        </is>
      </c>
      <c r="D2806" t="inlineStr">
        <is>
          <t>18</t>
        </is>
      </c>
      <c r="E2806" t="inlineStr">
        <is>
          <t>16</t>
        </is>
      </c>
      <c r="F2806" t="inlineStr">
        <is>
          <t>C</t>
        </is>
      </c>
      <c r="G2806" t="inlineStr">
        <is>
          <t>Average</t>
        </is>
      </c>
      <c r="H2806" t="n">
        <v>188</v>
      </c>
      <c r="I2806">
        <f>B2806&amp;"|"&amp;F2806&amp;"|"&amp;G2806</f>
        <v/>
      </c>
      <c r="J2806" t="inlineStr">
        <is>
          <t>MVS Sec.18 p.16</t>
        </is>
      </c>
    </row>
    <row r="2807">
      <c r="B2807" t="inlineStr">
        <is>
          <t>Lecture Classrooms</t>
        </is>
      </c>
      <c r="C2807" t="inlineStr">
        <is>
          <t>359</t>
        </is>
      </c>
      <c r="D2807" t="inlineStr">
        <is>
          <t>18</t>
        </is>
      </c>
      <c r="E2807" t="inlineStr">
        <is>
          <t>16</t>
        </is>
      </c>
      <c r="F2807" t="inlineStr">
        <is>
          <t>D</t>
        </is>
      </c>
      <c r="G2807" t="inlineStr">
        <is>
          <t>Good</t>
        </is>
      </c>
      <c r="H2807" t="n">
        <v>233</v>
      </c>
      <c r="I2807">
        <f>B2807&amp;"|"&amp;F2807&amp;"|"&amp;G2807</f>
        <v/>
      </c>
      <c r="J2807" t="inlineStr">
        <is>
          <t>MVS Sec.18 p.16</t>
        </is>
      </c>
    </row>
    <row r="2808">
      <c r="B2808" t="inlineStr">
        <is>
          <t>Lecture Classrooms</t>
        </is>
      </c>
      <c r="C2808" t="inlineStr">
        <is>
          <t>359</t>
        </is>
      </c>
      <c r="D2808" t="inlineStr">
        <is>
          <t>18</t>
        </is>
      </c>
      <c r="E2808" t="inlineStr">
        <is>
          <t>16</t>
        </is>
      </c>
      <c r="F2808" t="inlineStr">
        <is>
          <t>D</t>
        </is>
      </c>
      <c r="G2808" t="inlineStr">
        <is>
          <t>Average</t>
        </is>
      </c>
      <c r="H2808" t="n">
        <v>173</v>
      </c>
      <c r="I2808">
        <f>B2808&amp;"|"&amp;F2808&amp;"|"&amp;G2808</f>
        <v/>
      </c>
      <c r="J2808" t="inlineStr">
        <is>
          <t>MVS Sec.18 p.16</t>
        </is>
      </c>
    </row>
    <row r="2809">
      <c r="B2809" t="inlineStr">
        <is>
          <t>Lecture Classrooms</t>
        </is>
      </c>
      <c r="C2809" t="inlineStr">
        <is>
          <t>359</t>
        </is>
      </c>
      <c r="D2809" t="inlineStr">
        <is>
          <t>18</t>
        </is>
      </c>
      <c r="E2809" t="inlineStr">
        <is>
          <t>16</t>
        </is>
      </c>
      <c r="F2809" t="inlineStr">
        <is>
          <t>S</t>
        </is>
      </c>
      <c r="G2809" t="inlineStr">
        <is>
          <t>Average</t>
        </is>
      </c>
      <c r="H2809" t="n">
        <v>168</v>
      </c>
      <c r="I2809">
        <f>B2809&amp;"|"&amp;F2809&amp;"|"&amp;G2809</f>
        <v/>
      </c>
      <c r="J2809" t="inlineStr">
        <is>
          <t>MVS Sec.18 p.16</t>
        </is>
      </c>
    </row>
    <row r="2810">
      <c r="B2810" t="inlineStr">
        <is>
          <t>Multipurpose Buildings</t>
        </is>
      </c>
      <c r="C2810" t="inlineStr">
        <is>
          <t>362</t>
        </is>
      </c>
      <c r="D2810" t="inlineStr">
        <is>
          <t>18</t>
        </is>
      </c>
      <c r="E2810" t="inlineStr">
        <is>
          <t>17</t>
        </is>
      </c>
      <c r="F2810" t="inlineStr">
        <is>
          <t>A-B</t>
        </is>
      </c>
      <c r="G2810" t="inlineStr">
        <is>
          <t>Good</t>
        </is>
      </c>
      <c r="H2810" t="n">
        <v>316</v>
      </c>
      <c r="I2810">
        <f>B2810&amp;"|"&amp;F2810&amp;"|"&amp;G2810</f>
        <v/>
      </c>
      <c r="J2810" t="inlineStr">
        <is>
          <t>MVS Sec.18 p.17</t>
        </is>
      </c>
    </row>
    <row r="2811">
      <c r="B2811" t="inlineStr">
        <is>
          <t>Multipurpose Buildings</t>
        </is>
      </c>
      <c r="C2811" t="inlineStr">
        <is>
          <t>362</t>
        </is>
      </c>
      <c r="D2811" t="inlineStr">
        <is>
          <t>18</t>
        </is>
      </c>
      <c r="E2811" t="inlineStr">
        <is>
          <t>17</t>
        </is>
      </c>
      <c r="F2811" t="inlineStr">
        <is>
          <t>A-B</t>
        </is>
      </c>
      <c r="G2811" t="inlineStr">
        <is>
          <t>Average</t>
        </is>
      </c>
      <c r="H2811" t="n">
        <v>237</v>
      </c>
      <c r="I2811">
        <f>B2811&amp;"|"&amp;F2811&amp;"|"&amp;G2811</f>
        <v/>
      </c>
      <c r="J2811" t="inlineStr">
        <is>
          <t>MVS Sec.18 p.17</t>
        </is>
      </c>
    </row>
    <row r="2812">
      <c r="B2812" t="inlineStr">
        <is>
          <t>Multipurpose Buildings</t>
        </is>
      </c>
      <c r="C2812" t="inlineStr">
        <is>
          <t>362</t>
        </is>
      </c>
      <c r="D2812" t="inlineStr">
        <is>
          <t>18</t>
        </is>
      </c>
      <c r="E2812" t="inlineStr">
        <is>
          <t>17</t>
        </is>
      </c>
      <c r="F2812" t="inlineStr">
        <is>
          <t>C</t>
        </is>
      </c>
      <c r="G2812" t="inlineStr">
        <is>
          <t>Excellent</t>
        </is>
      </c>
      <c r="H2812" t="n">
        <v>317</v>
      </c>
      <c r="I2812">
        <f>B2812&amp;"|"&amp;F2812&amp;"|"&amp;G2812</f>
        <v/>
      </c>
      <c r="J2812" t="inlineStr">
        <is>
          <t>MVS Sec.18 p.17</t>
        </is>
      </c>
    </row>
    <row r="2813">
      <c r="B2813" t="inlineStr">
        <is>
          <t>Multipurpose Buildings</t>
        </is>
      </c>
      <c r="C2813" t="inlineStr">
        <is>
          <t>362</t>
        </is>
      </c>
      <c r="D2813" t="inlineStr">
        <is>
          <t>18</t>
        </is>
      </c>
      <c r="E2813" t="inlineStr">
        <is>
          <t>17</t>
        </is>
      </c>
      <c r="F2813" t="inlineStr">
        <is>
          <t>C</t>
        </is>
      </c>
      <c r="G2813" t="inlineStr">
        <is>
          <t>Good</t>
        </is>
      </c>
      <c r="H2813" t="n">
        <v>233</v>
      </c>
      <c r="I2813">
        <f>B2813&amp;"|"&amp;F2813&amp;"|"&amp;G2813</f>
        <v/>
      </c>
      <c r="J2813" t="inlineStr">
        <is>
          <t>MVS Sec.18 p.17</t>
        </is>
      </c>
    </row>
    <row r="2814">
      <c r="B2814" t="inlineStr">
        <is>
          <t>Multipurpose Buildings</t>
        </is>
      </c>
      <c r="C2814" t="inlineStr">
        <is>
          <t>362</t>
        </is>
      </c>
      <c r="D2814" t="inlineStr">
        <is>
          <t>18</t>
        </is>
      </c>
      <c r="E2814" t="inlineStr">
        <is>
          <t>17</t>
        </is>
      </c>
      <c r="F2814" t="inlineStr">
        <is>
          <t>C</t>
        </is>
      </c>
      <c r="G2814" t="inlineStr">
        <is>
          <t>Average</t>
        </is>
      </c>
      <c r="H2814" t="n">
        <v>175</v>
      </c>
      <c r="I2814">
        <f>B2814&amp;"|"&amp;F2814&amp;"|"&amp;G2814</f>
        <v/>
      </c>
      <c r="J2814" t="inlineStr">
        <is>
          <t>MVS Sec.18 p.17</t>
        </is>
      </c>
    </row>
    <row r="2815">
      <c r="B2815" t="inlineStr">
        <is>
          <t>Multipurpose Buildings</t>
        </is>
      </c>
      <c r="C2815" t="inlineStr">
        <is>
          <t>362</t>
        </is>
      </c>
      <c r="D2815" t="inlineStr">
        <is>
          <t>18</t>
        </is>
      </c>
      <c r="E2815" t="inlineStr">
        <is>
          <t>17</t>
        </is>
      </c>
      <c r="F2815" t="inlineStr">
        <is>
          <t>C</t>
        </is>
      </c>
      <c r="G2815" t="inlineStr">
        <is>
          <t>Low Cost</t>
        </is>
      </c>
      <c r="H2815" t="n">
        <v>126</v>
      </c>
      <c r="I2815">
        <f>B2815&amp;"|"&amp;F2815&amp;"|"&amp;G2815</f>
        <v/>
      </c>
      <c r="J2815" t="inlineStr">
        <is>
          <t>MVS Sec.18 p.17</t>
        </is>
      </c>
    </row>
    <row r="2816">
      <c r="B2816" t="inlineStr">
        <is>
          <t>Multipurpose Buildings</t>
        </is>
      </c>
      <c r="C2816" t="inlineStr">
        <is>
          <t>362</t>
        </is>
      </c>
      <c r="D2816" t="inlineStr">
        <is>
          <t>18</t>
        </is>
      </c>
      <c r="E2816" t="inlineStr">
        <is>
          <t>17</t>
        </is>
      </c>
      <c r="F2816" t="inlineStr">
        <is>
          <t>D</t>
        </is>
      </c>
      <c r="G2816" t="inlineStr">
        <is>
          <t>Good</t>
        </is>
      </c>
      <c r="H2816" t="n">
        <v>228</v>
      </c>
      <c r="I2816">
        <f>B2816&amp;"|"&amp;F2816&amp;"|"&amp;G2816</f>
        <v/>
      </c>
      <c r="J2816" t="inlineStr">
        <is>
          <t>MVS Sec.18 p.17</t>
        </is>
      </c>
    </row>
    <row r="2817">
      <c r="B2817" t="inlineStr">
        <is>
          <t>Multipurpose Buildings</t>
        </is>
      </c>
      <c r="C2817" t="inlineStr">
        <is>
          <t>362</t>
        </is>
      </c>
      <c r="D2817" t="inlineStr">
        <is>
          <t>18</t>
        </is>
      </c>
      <c r="E2817" t="inlineStr">
        <is>
          <t>17</t>
        </is>
      </c>
      <c r="F2817" t="inlineStr">
        <is>
          <t>D</t>
        </is>
      </c>
      <c r="G2817" t="inlineStr">
        <is>
          <t>Average</t>
        </is>
      </c>
      <c r="H2817" t="n">
        <v>170</v>
      </c>
      <c r="I2817">
        <f>B2817&amp;"|"&amp;F2817&amp;"|"&amp;G2817</f>
        <v/>
      </c>
      <c r="J2817" t="inlineStr">
        <is>
          <t>MVS Sec.18 p.17</t>
        </is>
      </c>
    </row>
    <row r="2818">
      <c r="B2818" t="inlineStr">
        <is>
          <t>Multipurpose Buildings</t>
        </is>
      </c>
      <c r="C2818" t="inlineStr">
        <is>
          <t>362</t>
        </is>
      </c>
      <c r="D2818" t="inlineStr">
        <is>
          <t>18</t>
        </is>
      </c>
      <c r="E2818" t="inlineStr">
        <is>
          <t>17</t>
        </is>
      </c>
      <c r="F2818" t="inlineStr">
        <is>
          <t>D</t>
        </is>
      </c>
      <c r="G2818" t="inlineStr">
        <is>
          <t>Low Cost</t>
        </is>
      </c>
      <c r="H2818" t="n">
        <v>121</v>
      </c>
      <c r="I2818">
        <f>B2818&amp;"|"&amp;F2818&amp;"|"&amp;G2818</f>
        <v/>
      </c>
      <c r="J2818" t="inlineStr">
        <is>
          <t>MVS Sec.18 p.17</t>
        </is>
      </c>
    </row>
    <row r="2819">
      <c r="B2819" t="inlineStr">
        <is>
          <t>Multipurpose Buildings</t>
        </is>
      </c>
      <c r="C2819" t="inlineStr">
        <is>
          <t>362</t>
        </is>
      </c>
      <c r="D2819" t="inlineStr">
        <is>
          <t>18</t>
        </is>
      </c>
      <c r="E2819" t="inlineStr">
        <is>
          <t>17</t>
        </is>
      </c>
      <c r="F2819" t="inlineStr">
        <is>
          <t>DPOLE</t>
        </is>
      </c>
      <c r="G2819" t="inlineStr">
        <is>
          <t>Average</t>
        </is>
      </c>
      <c r="H2819" t="n">
        <v>163</v>
      </c>
      <c r="I2819">
        <f>B2819&amp;"|"&amp;F2819&amp;"|"&amp;G2819</f>
        <v/>
      </c>
      <c r="J2819" t="inlineStr">
        <is>
          <t>MVS Sec.18 p.17</t>
        </is>
      </c>
    </row>
    <row r="2820">
      <c r="B2820" t="inlineStr">
        <is>
          <t>Multipurpose Buildings</t>
        </is>
      </c>
      <c r="C2820" t="inlineStr">
        <is>
          <t>362</t>
        </is>
      </c>
      <c r="D2820" t="inlineStr">
        <is>
          <t>18</t>
        </is>
      </c>
      <c r="E2820" t="inlineStr">
        <is>
          <t>17</t>
        </is>
      </c>
      <c r="F2820" t="inlineStr">
        <is>
          <t>DPOLE</t>
        </is>
      </c>
      <c r="G2820" t="inlineStr">
        <is>
          <t>Low Cost</t>
        </is>
      </c>
      <c r="H2820" t="n">
        <v>115</v>
      </c>
      <c r="I2820">
        <f>B2820&amp;"|"&amp;F2820&amp;"|"&amp;G2820</f>
        <v/>
      </c>
      <c r="J2820" t="inlineStr">
        <is>
          <t>MVS Sec.18 p.17</t>
        </is>
      </c>
    </row>
    <row r="2821">
      <c r="B2821" t="inlineStr">
        <is>
          <t>Multipurpose Buildings</t>
        </is>
      </c>
      <c r="C2821" t="inlineStr">
        <is>
          <t>362</t>
        </is>
      </c>
      <c r="D2821" t="inlineStr">
        <is>
          <t>18</t>
        </is>
      </c>
      <c r="E2821" t="inlineStr">
        <is>
          <t>17</t>
        </is>
      </c>
      <c r="F2821" t="inlineStr">
        <is>
          <t>S</t>
        </is>
      </c>
      <c r="G2821" t="inlineStr">
        <is>
          <t>Average</t>
        </is>
      </c>
      <c r="H2821" t="n">
        <v>164</v>
      </c>
      <c r="I2821">
        <f>B2821&amp;"|"&amp;F2821&amp;"|"&amp;G2821</f>
        <v/>
      </c>
      <c r="J2821" t="inlineStr">
        <is>
          <t>MVS Sec.18 p.17</t>
        </is>
      </c>
    </row>
    <row r="2822">
      <c r="B2822" t="inlineStr">
        <is>
          <t>Multipurpose Buildings</t>
        </is>
      </c>
      <c r="C2822" t="inlineStr">
        <is>
          <t>362</t>
        </is>
      </c>
      <c r="D2822" t="inlineStr">
        <is>
          <t>18</t>
        </is>
      </c>
      <c r="E2822" t="inlineStr">
        <is>
          <t>17</t>
        </is>
      </c>
      <c r="F2822" t="inlineStr">
        <is>
          <t>S</t>
        </is>
      </c>
      <c r="G2822" t="inlineStr">
        <is>
          <t>Low Cost</t>
        </is>
      </c>
      <c r="H2822" t="n">
        <v>116</v>
      </c>
      <c r="I2822">
        <f>B2822&amp;"|"&amp;F2822&amp;"|"&amp;G2822</f>
        <v/>
      </c>
      <c r="J2822" t="inlineStr">
        <is>
          <t>MVS Sec.18 p.17</t>
        </is>
      </c>
    </row>
    <row r="2823">
      <c r="B2823" t="inlineStr">
        <is>
          <t>Laboratory Classrooms</t>
        </is>
      </c>
      <c r="C2823" t="inlineStr">
        <is>
          <t>364</t>
        </is>
      </c>
      <c r="D2823" t="inlineStr">
        <is>
          <t>18</t>
        </is>
      </c>
      <c r="E2823" t="inlineStr">
        <is>
          <t>17</t>
        </is>
      </c>
      <c r="F2823" t="inlineStr">
        <is>
          <t>A-B</t>
        </is>
      </c>
      <c r="G2823" t="inlineStr">
        <is>
          <t>Good</t>
        </is>
      </c>
      <c r="H2823" t="n">
        <v>328</v>
      </c>
      <c r="I2823">
        <f>B2823&amp;"|"&amp;F2823&amp;"|"&amp;G2823</f>
        <v/>
      </c>
      <c r="J2823" t="inlineStr">
        <is>
          <t>MVS Sec.18 p.17</t>
        </is>
      </c>
    </row>
    <row r="2824">
      <c r="B2824" t="inlineStr">
        <is>
          <t>Laboratory Classrooms</t>
        </is>
      </c>
      <c r="C2824" t="inlineStr">
        <is>
          <t>364</t>
        </is>
      </c>
      <c r="D2824" t="inlineStr">
        <is>
          <t>18</t>
        </is>
      </c>
      <c r="E2824" t="inlineStr">
        <is>
          <t>17</t>
        </is>
      </c>
      <c r="F2824" t="inlineStr">
        <is>
          <t>A-B</t>
        </is>
      </c>
      <c r="G2824" t="inlineStr">
        <is>
          <t>Average</t>
        </is>
      </c>
      <c r="H2824" t="n">
        <v>246</v>
      </c>
      <c r="I2824">
        <f>B2824&amp;"|"&amp;F2824&amp;"|"&amp;G2824</f>
        <v/>
      </c>
      <c r="J2824" t="inlineStr">
        <is>
          <t>MVS Sec.18 p.17</t>
        </is>
      </c>
    </row>
    <row r="2825">
      <c r="B2825" t="inlineStr">
        <is>
          <t>Laboratory Classrooms</t>
        </is>
      </c>
      <c r="C2825" t="inlineStr">
        <is>
          <t>364</t>
        </is>
      </c>
      <c r="D2825" t="inlineStr">
        <is>
          <t>18</t>
        </is>
      </c>
      <c r="E2825" t="inlineStr">
        <is>
          <t>17</t>
        </is>
      </c>
      <c r="F2825" t="inlineStr">
        <is>
          <t>C</t>
        </is>
      </c>
      <c r="G2825" t="inlineStr">
        <is>
          <t>Excellent</t>
        </is>
      </c>
      <c r="H2825" t="n">
        <v>312</v>
      </c>
      <c r="I2825">
        <f>B2825&amp;"|"&amp;F2825&amp;"|"&amp;G2825</f>
        <v/>
      </c>
      <c r="J2825" t="inlineStr">
        <is>
          <t>MVS Sec.18 p.17</t>
        </is>
      </c>
    </row>
    <row r="2826">
      <c r="B2826" t="inlineStr">
        <is>
          <t>Laboratory Classrooms</t>
        </is>
      </c>
      <c r="C2826" t="inlineStr">
        <is>
          <t>364</t>
        </is>
      </c>
      <c r="D2826" t="inlineStr">
        <is>
          <t>18</t>
        </is>
      </c>
      <c r="E2826" t="inlineStr">
        <is>
          <t>17</t>
        </is>
      </c>
      <c r="F2826" t="inlineStr">
        <is>
          <t>C</t>
        </is>
      </c>
      <c r="G2826" t="inlineStr">
        <is>
          <t>Good</t>
        </is>
      </c>
      <c r="H2826" t="n">
        <v>246</v>
      </c>
      <c r="I2826">
        <f>B2826&amp;"|"&amp;F2826&amp;"|"&amp;G2826</f>
        <v/>
      </c>
      <c r="J2826" t="inlineStr">
        <is>
          <t>MVS Sec.18 p.17</t>
        </is>
      </c>
    </row>
    <row r="2827">
      <c r="B2827" t="inlineStr">
        <is>
          <t>Laboratory Classrooms</t>
        </is>
      </c>
      <c r="C2827" t="inlineStr">
        <is>
          <t>364</t>
        </is>
      </c>
      <c r="D2827" t="inlineStr">
        <is>
          <t>18</t>
        </is>
      </c>
      <c r="E2827" t="inlineStr">
        <is>
          <t>17</t>
        </is>
      </c>
      <c r="F2827" t="inlineStr">
        <is>
          <t>C</t>
        </is>
      </c>
      <c r="G2827" t="inlineStr">
        <is>
          <t>Average</t>
        </is>
      </c>
      <c r="H2827" t="n">
        <v>184</v>
      </c>
      <c r="I2827">
        <f>B2827&amp;"|"&amp;F2827&amp;"|"&amp;G2827</f>
        <v/>
      </c>
      <c r="J2827" t="inlineStr">
        <is>
          <t>MVS Sec.18 p.17</t>
        </is>
      </c>
    </row>
    <row r="2828">
      <c r="B2828" t="inlineStr">
        <is>
          <t>Laboratory Classrooms</t>
        </is>
      </c>
      <c r="C2828" t="inlineStr">
        <is>
          <t>364</t>
        </is>
      </c>
      <c r="D2828" t="inlineStr">
        <is>
          <t>18</t>
        </is>
      </c>
      <c r="E2828" t="inlineStr">
        <is>
          <t>17</t>
        </is>
      </c>
      <c r="F2828" t="inlineStr">
        <is>
          <t>D</t>
        </is>
      </c>
      <c r="G2828" t="inlineStr">
        <is>
          <t>Excellent</t>
        </is>
      </c>
      <c r="H2828" t="n">
        <v>308</v>
      </c>
      <c r="I2828">
        <f>B2828&amp;"|"&amp;F2828&amp;"|"&amp;G2828</f>
        <v/>
      </c>
      <c r="J2828" t="inlineStr">
        <is>
          <t>MVS Sec.18 p.17</t>
        </is>
      </c>
    </row>
    <row r="2829">
      <c r="B2829" t="inlineStr">
        <is>
          <t>Laboratory Classrooms</t>
        </is>
      </c>
      <c r="C2829" t="inlineStr">
        <is>
          <t>364</t>
        </is>
      </c>
      <c r="D2829" t="inlineStr">
        <is>
          <t>18</t>
        </is>
      </c>
      <c r="E2829" t="inlineStr">
        <is>
          <t>17</t>
        </is>
      </c>
      <c r="F2829" t="inlineStr">
        <is>
          <t>D</t>
        </is>
      </c>
      <c r="G2829" t="inlineStr">
        <is>
          <t>Good</t>
        </is>
      </c>
      <c r="H2829" t="n">
        <v>240</v>
      </c>
      <c r="I2829">
        <f>B2829&amp;"|"&amp;F2829&amp;"|"&amp;G2829</f>
        <v/>
      </c>
      <c r="J2829" t="inlineStr">
        <is>
          <t>MVS Sec.18 p.17</t>
        </is>
      </c>
    </row>
    <row r="2830">
      <c r="B2830" t="inlineStr">
        <is>
          <t>Laboratory Classrooms</t>
        </is>
      </c>
      <c r="C2830" t="inlineStr">
        <is>
          <t>364</t>
        </is>
      </c>
      <c r="D2830" t="inlineStr">
        <is>
          <t>18</t>
        </is>
      </c>
      <c r="E2830" t="inlineStr">
        <is>
          <t>17</t>
        </is>
      </c>
      <c r="F2830" t="inlineStr">
        <is>
          <t>D</t>
        </is>
      </c>
      <c r="G2830" t="inlineStr">
        <is>
          <t>Average</t>
        </is>
      </c>
      <c r="H2830" t="n">
        <v>178</v>
      </c>
      <c r="I2830">
        <f>B2830&amp;"|"&amp;F2830&amp;"|"&amp;G2830</f>
        <v/>
      </c>
      <c r="J2830" t="inlineStr">
        <is>
          <t>MVS Sec.18 p.17</t>
        </is>
      </c>
    </row>
    <row r="2831">
      <c r="B2831" t="inlineStr">
        <is>
          <t>Laboratory Classrooms</t>
        </is>
      </c>
      <c r="C2831" t="inlineStr">
        <is>
          <t>364</t>
        </is>
      </c>
      <c r="D2831" t="inlineStr">
        <is>
          <t>18</t>
        </is>
      </c>
      <c r="E2831" t="inlineStr">
        <is>
          <t>17</t>
        </is>
      </c>
      <c r="F2831" t="inlineStr">
        <is>
          <t>DPOLE</t>
        </is>
      </c>
      <c r="G2831" t="inlineStr">
        <is>
          <t>Average</t>
        </is>
      </c>
      <c r="H2831" t="n">
        <v>172</v>
      </c>
      <c r="I2831">
        <f>B2831&amp;"|"&amp;F2831&amp;"|"&amp;G2831</f>
        <v/>
      </c>
      <c r="J2831" t="inlineStr">
        <is>
          <t>MVS Sec.18 p.17</t>
        </is>
      </c>
    </row>
    <row r="2832">
      <c r="B2832" t="inlineStr">
        <is>
          <t>Laboratory Classrooms</t>
        </is>
      </c>
      <c r="C2832" t="inlineStr">
        <is>
          <t>364</t>
        </is>
      </c>
      <c r="D2832" t="inlineStr">
        <is>
          <t>18</t>
        </is>
      </c>
      <c r="E2832" t="inlineStr">
        <is>
          <t>17</t>
        </is>
      </c>
      <c r="F2832" t="inlineStr">
        <is>
          <t>S</t>
        </is>
      </c>
      <c r="G2832" t="inlineStr">
        <is>
          <t>Good</t>
        </is>
      </c>
      <c r="H2832" t="n">
        <v>235</v>
      </c>
      <c r="I2832">
        <f>B2832&amp;"|"&amp;F2832&amp;"|"&amp;G2832</f>
        <v/>
      </c>
      <c r="J2832" t="inlineStr">
        <is>
          <t>MVS Sec.18 p.17</t>
        </is>
      </c>
    </row>
    <row r="2833">
      <c r="B2833" t="inlineStr">
        <is>
          <t>Laboratory Classrooms</t>
        </is>
      </c>
      <c r="C2833" t="inlineStr">
        <is>
          <t>364</t>
        </is>
      </c>
      <c r="D2833" t="inlineStr">
        <is>
          <t>18</t>
        </is>
      </c>
      <c r="E2833" t="inlineStr">
        <is>
          <t>17</t>
        </is>
      </c>
      <c r="F2833" t="inlineStr">
        <is>
          <t>S</t>
        </is>
      </c>
      <c r="G2833" t="inlineStr">
        <is>
          <t>Average</t>
        </is>
      </c>
      <c r="H2833" t="n">
        <v>173</v>
      </c>
      <c r="I2833">
        <f>B2833&amp;"|"&amp;F2833&amp;"|"&amp;G2833</f>
        <v/>
      </c>
      <c r="J2833" t="inlineStr">
        <is>
          <t>MVS Sec.18 p.17</t>
        </is>
      </c>
    </row>
    <row r="2834">
      <c r="B2834" t="inlineStr">
        <is>
          <t>Elementary and Secondary Media Centers (Libraries)</t>
        </is>
      </c>
      <c r="C2834" t="inlineStr">
        <is>
          <t>360</t>
        </is>
      </c>
      <c r="D2834" t="inlineStr">
        <is>
          <t>18</t>
        </is>
      </c>
      <c r="E2834" t="inlineStr">
        <is>
          <t>18</t>
        </is>
      </c>
      <c r="F2834" t="inlineStr">
        <is>
          <t>A-B</t>
        </is>
      </c>
      <c r="G2834" t="inlineStr">
        <is>
          <t>Good</t>
        </is>
      </c>
      <c r="H2834" t="n">
        <v>322</v>
      </c>
      <c r="I2834">
        <f>B2834&amp;"|"&amp;F2834&amp;"|"&amp;G2834</f>
        <v/>
      </c>
      <c r="J2834" t="inlineStr">
        <is>
          <t>MVS Sec.18 p.18</t>
        </is>
      </c>
    </row>
    <row r="2835">
      <c r="B2835" t="inlineStr">
        <is>
          <t>Elementary and Secondary Media Centers (Libraries)</t>
        </is>
      </c>
      <c r="C2835" t="inlineStr">
        <is>
          <t>360</t>
        </is>
      </c>
      <c r="D2835" t="inlineStr">
        <is>
          <t>18</t>
        </is>
      </c>
      <c r="E2835" t="inlineStr">
        <is>
          <t>18</t>
        </is>
      </c>
      <c r="F2835" t="inlineStr">
        <is>
          <t>A-B</t>
        </is>
      </c>
      <c r="G2835" t="inlineStr">
        <is>
          <t>Average</t>
        </is>
      </c>
      <c r="H2835" t="n">
        <v>240</v>
      </c>
      <c r="I2835">
        <f>B2835&amp;"|"&amp;F2835&amp;"|"&amp;G2835</f>
        <v/>
      </c>
      <c r="J2835" t="inlineStr">
        <is>
          <t>MVS Sec.18 p.18</t>
        </is>
      </c>
    </row>
    <row r="2836">
      <c r="B2836" t="inlineStr">
        <is>
          <t>Elementary and Secondary Media Centers (Libraries)</t>
        </is>
      </c>
      <c r="C2836" t="inlineStr">
        <is>
          <t>360</t>
        </is>
      </c>
      <c r="D2836" t="inlineStr">
        <is>
          <t>18</t>
        </is>
      </c>
      <c r="E2836" t="inlineStr">
        <is>
          <t>18</t>
        </is>
      </c>
      <c r="F2836" t="inlineStr">
        <is>
          <t>A-B</t>
        </is>
      </c>
      <c r="G2836" t="inlineStr">
        <is>
          <t>Low Cost</t>
        </is>
      </c>
      <c r="H2836" t="n">
        <v>184</v>
      </c>
      <c r="I2836">
        <f>B2836&amp;"|"&amp;F2836&amp;"|"&amp;G2836</f>
        <v/>
      </c>
      <c r="J2836" t="inlineStr">
        <is>
          <t>MVS Sec.18 p.18</t>
        </is>
      </c>
    </row>
    <row r="2837">
      <c r="B2837" t="inlineStr">
        <is>
          <t>Elementary and Secondary Media Centers (Libraries)</t>
        </is>
      </c>
      <c r="C2837" t="inlineStr">
        <is>
          <t>360</t>
        </is>
      </c>
      <c r="D2837" t="inlineStr">
        <is>
          <t>18</t>
        </is>
      </c>
      <c r="E2837" t="inlineStr">
        <is>
          <t>18</t>
        </is>
      </c>
      <c r="F2837" t="inlineStr">
        <is>
          <t>C</t>
        </is>
      </c>
      <c r="G2837" t="inlineStr">
        <is>
          <t>Excellent</t>
        </is>
      </c>
      <c r="H2837" t="n">
        <v>315</v>
      </c>
      <c r="I2837">
        <f>B2837&amp;"|"&amp;F2837&amp;"|"&amp;G2837</f>
        <v/>
      </c>
      <c r="J2837" t="inlineStr">
        <is>
          <t>MVS Sec.18 p.18</t>
        </is>
      </c>
    </row>
    <row r="2838">
      <c r="B2838" t="inlineStr">
        <is>
          <t>Elementary and Secondary Media Centers (Libraries)</t>
        </is>
      </c>
      <c r="C2838" t="inlineStr">
        <is>
          <t>360</t>
        </is>
      </c>
      <c r="D2838" t="inlineStr">
        <is>
          <t>18</t>
        </is>
      </c>
      <c r="E2838" t="inlineStr">
        <is>
          <t>18</t>
        </is>
      </c>
      <c r="F2838" t="inlineStr">
        <is>
          <t>C</t>
        </is>
      </c>
      <c r="G2838" t="inlineStr">
        <is>
          <t>Good</t>
        </is>
      </c>
      <c r="H2838" t="n">
        <v>241</v>
      </c>
      <c r="I2838">
        <f>B2838&amp;"|"&amp;F2838&amp;"|"&amp;G2838</f>
        <v/>
      </c>
      <c r="J2838" t="inlineStr">
        <is>
          <t>MVS Sec.18 p.18</t>
        </is>
      </c>
    </row>
    <row r="2839">
      <c r="B2839" t="inlineStr">
        <is>
          <t>Elementary and Secondary Media Centers (Libraries)</t>
        </is>
      </c>
      <c r="C2839" t="inlineStr">
        <is>
          <t>360</t>
        </is>
      </c>
      <c r="D2839" t="inlineStr">
        <is>
          <t>18</t>
        </is>
      </c>
      <c r="E2839" t="inlineStr">
        <is>
          <t>18</t>
        </is>
      </c>
      <c r="F2839" t="inlineStr">
        <is>
          <t>C</t>
        </is>
      </c>
      <c r="G2839" t="inlineStr">
        <is>
          <t>Average</t>
        </is>
      </c>
      <c r="H2839" t="n">
        <v>182</v>
      </c>
      <c r="I2839">
        <f>B2839&amp;"|"&amp;F2839&amp;"|"&amp;G2839</f>
        <v/>
      </c>
      <c r="J2839" t="inlineStr">
        <is>
          <t>MVS Sec.18 p.18</t>
        </is>
      </c>
    </row>
    <row r="2840">
      <c r="B2840" t="inlineStr">
        <is>
          <t>Elementary and Secondary Media Centers (Libraries)</t>
        </is>
      </c>
      <c r="C2840" t="inlineStr">
        <is>
          <t>360</t>
        </is>
      </c>
      <c r="D2840" t="inlineStr">
        <is>
          <t>18</t>
        </is>
      </c>
      <c r="E2840" t="inlineStr">
        <is>
          <t>18</t>
        </is>
      </c>
      <c r="F2840" t="inlineStr">
        <is>
          <t>C</t>
        </is>
      </c>
      <c r="G2840" t="inlineStr">
        <is>
          <t>Low Cost</t>
        </is>
      </c>
      <c r="H2840" t="n">
        <v>138</v>
      </c>
      <c r="I2840">
        <f>B2840&amp;"|"&amp;F2840&amp;"|"&amp;G2840</f>
        <v/>
      </c>
      <c r="J2840" t="inlineStr">
        <is>
          <t>MVS Sec.18 p.18</t>
        </is>
      </c>
    </row>
    <row r="2841">
      <c r="B2841" t="inlineStr">
        <is>
          <t>Elementary and Secondary Media Centers (Libraries)</t>
        </is>
      </c>
      <c r="C2841" t="inlineStr">
        <is>
          <t>360</t>
        </is>
      </c>
      <c r="D2841" t="inlineStr">
        <is>
          <t>18</t>
        </is>
      </c>
      <c r="E2841" t="inlineStr">
        <is>
          <t>18</t>
        </is>
      </c>
      <c r="F2841" t="inlineStr">
        <is>
          <t>D</t>
        </is>
      </c>
      <c r="G2841" t="inlineStr">
        <is>
          <t>Excellent</t>
        </is>
      </c>
      <c r="H2841" t="n">
        <v>313</v>
      </c>
      <c r="I2841">
        <f>B2841&amp;"|"&amp;F2841&amp;"|"&amp;G2841</f>
        <v/>
      </c>
      <c r="J2841" t="inlineStr">
        <is>
          <t>MVS Sec.18 p.18</t>
        </is>
      </c>
    </row>
    <row r="2842">
      <c r="B2842" t="inlineStr">
        <is>
          <t>Elementary and Secondary Media Centers (Libraries)</t>
        </is>
      </c>
      <c r="C2842" t="inlineStr">
        <is>
          <t>360</t>
        </is>
      </c>
      <c r="D2842" t="inlineStr">
        <is>
          <t>18</t>
        </is>
      </c>
      <c r="E2842" t="inlineStr">
        <is>
          <t>18</t>
        </is>
      </c>
      <c r="F2842" t="inlineStr">
        <is>
          <t>D</t>
        </is>
      </c>
      <c r="G2842" t="inlineStr">
        <is>
          <t>Good</t>
        </is>
      </c>
      <c r="H2842" t="n">
        <v>236</v>
      </c>
      <c r="I2842">
        <f>B2842&amp;"|"&amp;F2842&amp;"|"&amp;G2842</f>
        <v/>
      </c>
      <c r="J2842" t="inlineStr">
        <is>
          <t>MVS Sec.18 p.18</t>
        </is>
      </c>
    </row>
    <row r="2843">
      <c r="B2843" t="inlineStr">
        <is>
          <t>Elementary and Secondary Media Centers (Libraries)</t>
        </is>
      </c>
      <c r="C2843" t="inlineStr">
        <is>
          <t>360</t>
        </is>
      </c>
      <c r="D2843" t="inlineStr">
        <is>
          <t>18</t>
        </is>
      </c>
      <c r="E2843" t="inlineStr">
        <is>
          <t>18</t>
        </is>
      </c>
      <c r="F2843" t="inlineStr">
        <is>
          <t>D</t>
        </is>
      </c>
      <c r="G2843" t="inlineStr">
        <is>
          <t>Average</t>
        </is>
      </c>
      <c r="H2843" t="n">
        <v>176</v>
      </c>
      <c r="I2843">
        <f>B2843&amp;"|"&amp;F2843&amp;"|"&amp;G2843</f>
        <v/>
      </c>
      <c r="J2843" t="inlineStr">
        <is>
          <t>MVS Sec.18 p.18</t>
        </is>
      </c>
    </row>
    <row r="2844">
      <c r="B2844" t="inlineStr">
        <is>
          <t>Elementary and Secondary Media Centers (Libraries)</t>
        </is>
      </c>
      <c r="C2844" t="inlineStr">
        <is>
          <t>360</t>
        </is>
      </c>
      <c r="D2844" t="inlineStr">
        <is>
          <t>18</t>
        </is>
      </c>
      <c r="E2844" t="inlineStr">
        <is>
          <t>18</t>
        </is>
      </c>
      <c r="F2844" t="inlineStr">
        <is>
          <t>D</t>
        </is>
      </c>
      <c r="G2844" t="inlineStr">
        <is>
          <t>Low Cost</t>
        </is>
      </c>
      <c r="H2844" t="n">
        <v>133</v>
      </c>
      <c r="I2844">
        <f>B2844&amp;"|"&amp;F2844&amp;"|"&amp;G2844</f>
        <v/>
      </c>
      <c r="J2844" t="inlineStr">
        <is>
          <t>MVS Sec.18 p.18</t>
        </is>
      </c>
    </row>
    <row r="2845">
      <c r="B2845" t="inlineStr">
        <is>
          <t>Elementary and Secondary Media Centers (Libraries)</t>
        </is>
      </c>
      <c r="C2845" t="inlineStr">
        <is>
          <t>360</t>
        </is>
      </c>
      <c r="D2845" t="inlineStr">
        <is>
          <t>18</t>
        </is>
      </c>
      <c r="E2845" t="inlineStr">
        <is>
          <t>18</t>
        </is>
      </c>
      <c r="F2845" t="inlineStr">
        <is>
          <t>DPOLE</t>
        </is>
      </c>
      <c r="G2845" t="inlineStr">
        <is>
          <t>Average</t>
        </is>
      </c>
      <c r="H2845" t="n">
        <v>169</v>
      </c>
      <c r="I2845">
        <f>B2845&amp;"|"&amp;F2845&amp;"|"&amp;G2845</f>
        <v/>
      </c>
      <c r="J2845" t="inlineStr">
        <is>
          <t>MVS Sec.18 p.18</t>
        </is>
      </c>
    </row>
    <row r="2846">
      <c r="B2846" t="inlineStr">
        <is>
          <t>Elementary and Secondary Media Centers (Libraries)</t>
        </is>
      </c>
      <c r="C2846" t="inlineStr">
        <is>
          <t>360</t>
        </is>
      </c>
      <c r="D2846" t="inlineStr">
        <is>
          <t>18</t>
        </is>
      </c>
      <c r="E2846" t="inlineStr">
        <is>
          <t>18</t>
        </is>
      </c>
      <c r="F2846" t="inlineStr">
        <is>
          <t>DPOLE</t>
        </is>
      </c>
      <c r="G2846" t="inlineStr">
        <is>
          <t>Low Cost</t>
        </is>
      </c>
      <c r="H2846" t="n">
        <v>127</v>
      </c>
      <c r="I2846">
        <f>B2846&amp;"|"&amp;F2846&amp;"|"&amp;G2846</f>
        <v/>
      </c>
      <c r="J2846" t="inlineStr">
        <is>
          <t>MVS Sec.18 p.18</t>
        </is>
      </c>
    </row>
    <row r="2847">
      <c r="B2847" t="inlineStr">
        <is>
          <t>Elementary and Secondary Media Centers (Libraries)</t>
        </is>
      </c>
      <c r="C2847" t="inlineStr">
        <is>
          <t>360</t>
        </is>
      </c>
      <c r="D2847" t="inlineStr">
        <is>
          <t>18</t>
        </is>
      </c>
      <c r="E2847" t="inlineStr">
        <is>
          <t>18</t>
        </is>
      </c>
      <c r="F2847" t="inlineStr">
        <is>
          <t>S</t>
        </is>
      </c>
      <c r="G2847" t="inlineStr">
        <is>
          <t>Good</t>
        </is>
      </c>
      <c r="H2847" t="n">
        <v>231</v>
      </c>
      <c r="I2847">
        <f>B2847&amp;"|"&amp;F2847&amp;"|"&amp;G2847</f>
        <v/>
      </c>
      <c r="J2847" t="inlineStr">
        <is>
          <t>MVS Sec.18 p.18</t>
        </is>
      </c>
    </row>
    <row r="2848">
      <c r="B2848" t="inlineStr">
        <is>
          <t>Elementary and Secondary Media Centers (Libraries)</t>
        </is>
      </c>
      <c r="C2848" t="inlineStr">
        <is>
          <t>360</t>
        </is>
      </c>
      <c r="D2848" t="inlineStr">
        <is>
          <t>18</t>
        </is>
      </c>
      <c r="E2848" t="inlineStr">
        <is>
          <t>18</t>
        </is>
      </c>
      <c r="F2848" t="inlineStr">
        <is>
          <t>S</t>
        </is>
      </c>
      <c r="G2848" t="inlineStr">
        <is>
          <t>Average</t>
        </is>
      </c>
      <c r="H2848" t="n">
        <v>171</v>
      </c>
      <c r="I2848">
        <f>B2848&amp;"|"&amp;F2848&amp;"|"&amp;G2848</f>
        <v/>
      </c>
      <c r="J2848" t="inlineStr">
        <is>
          <t>MVS Sec.18 p.18</t>
        </is>
      </c>
    </row>
    <row r="2849">
      <c r="B2849" t="inlineStr">
        <is>
          <t>Elementary and Secondary Media Centers (Libraries)</t>
        </is>
      </c>
      <c r="C2849" t="inlineStr">
        <is>
          <t>360</t>
        </is>
      </c>
      <c r="D2849" t="inlineStr">
        <is>
          <t>18</t>
        </is>
      </c>
      <c r="E2849" t="inlineStr">
        <is>
          <t>18</t>
        </is>
      </c>
      <c r="F2849" t="inlineStr">
        <is>
          <t>S</t>
        </is>
      </c>
      <c r="G2849" t="inlineStr">
        <is>
          <t>Low Cost</t>
        </is>
      </c>
      <c r="H2849" t="n">
        <v>128</v>
      </c>
      <c r="I2849">
        <f>B2849&amp;"|"&amp;F2849&amp;"|"&amp;G2849</f>
        <v/>
      </c>
      <c r="J2849" t="inlineStr">
        <is>
          <t>MVS Sec.18 p.18</t>
        </is>
      </c>
    </row>
    <row r="2850">
      <c r="B2850" t="inlineStr">
        <is>
          <t>Academic (College) Libraries</t>
        </is>
      </c>
      <c r="C2850" t="inlineStr">
        <is>
          <t>372</t>
        </is>
      </c>
      <c r="D2850" t="inlineStr">
        <is>
          <t>18</t>
        </is>
      </c>
      <c r="E2850" t="inlineStr">
        <is>
          <t>19</t>
        </is>
      </c>
      <c r="F2850" t="inlineStr">
        <is>
          <t>A-B</t>
        </is>
      </c>
      <c r="G2850" t="inlineStr">
        <is>
          <t>Excellent</t>
        </is>
      </c>
      <c r="H2850" t="n">
        <v>456</v>
      </c>
      <c r="I2850">
        <f>B2850&amp;"|"&amp;F2850&amp;"|"&amp;G2850</f>
        <v/>
      </c>
      <c r="J2850" t="inlineStr">
        <is>
          <t>MVS Sec.18 p.19</t>
        </is>
      </c>
    </row>
    <row r="2851">
      <c r="B2851" t="inlineStr">
        <is>
          <t>Academic (College) Libraries</t>
        </is>
      </c>
      <c r="C2851" t="inlineStr">
        <is>
          <t>372</t>
        </is>
      </c>
      <c r="D2851" t="inlineStr">
        <is>
          <t>18</t>
        </is>
      </c>
      <c r="E2851" t="inlineStr">
        <is>
          <t>19</t>
        </is>
      </c>
      <c r="F2851" t="inlineStr">
        <is>
          <t>A-B</t>
        </is>
      </c>
      <c r="G2851" t="inlineStr">
        <is>
          <t>Good</t>
        </is>
      </c>
      <c r="H2851" t="n">
        <v>354</v>
      </c>
      <c r="I2851">
        <f>B2851&amp;"|"&amp;F2851&amp;"|"&amp;G2851</f>
        <v/>
      </c>
      <c r="J2851" t="inlineStr">
        <is>
          <t>MVS Sec.18 p.19</t>
        </is>
      </c>
    </row>
    <row r="2852">
      <c r="B2852" t="inlineStr">
        <is>
          <t>Academic (College) Libraries</t>
        </is>
      </c>
      <c r="C2852" t="inlineStr">
        <is>
          <t>372</t>
        </is>
      </c>
      <c r="D2852" t="inlineStr">
        <is>
          <t>18</t>
        </is>
      </c>
      <c r="E2852" t="inlineStr">
        <is>
          <t>19</t>
        </is>
      </c>
      <c r="F2852" t="inlineStr">
        <is>
          <t>A-B</t>
        </is>
      </c>
      <c r="G2852" t="inlineStr">
        <is>
          <t>Average</t>
        </is>
      </c>
      <c r="H2852" t="n">
        <v>262</v>
      </c>
      <c r="I2852">
        <f>B2852&amp;"|"&amp;F2852&amp;"|"&amp;G2852</f>
        <v/>
      </c>
      <c r="J2852" t="inlineStr">
        <is>
          <t>MVS Sec.18 p.19</t>
        </is>
      </c>
    </row>
    <row r="2853">
      <c r="B2853" t="inlineStr">
        <is>
          <t>Academic (College) Libraries</t>
        </is>
      </c>
      <c r="C2853" t="inlineStr">
        <is>
          <t>372</t>
        </is>
      </c>
      <c r="D2853" t="inlineStr">
        <is>
          <t>18</t>
        </is>
      </c>
      <c r="E2853" t="inlineStr">
        <is>
          <t>19</t>
        </is>
      </c>
      <c r="F2853" t="inlineStr">
        <is>
          <t>A-B</t>
        </is>
      </c>
      <c r="G2853" t="inlineStr">
        <is>
          <t>Low Cost</t>
        </is>
      </c>
      <c r="H2853" t="n">
        <v>202</v>
      </c>
      <c r="I2853">
        <f>B2853&amp;"|"&amp;F2853&amp;"|"&amp;G2853</f>
        <v/>
      </c>
      <c r="J2853" t="inlineStr">
        <is>
          <t>MVS Sec.18 p.19</t>
        </is>
      </c>
    </row>
    <row r="2854">
      <c r="B2854" t="inlineStr">
        <is>
          <t>Academic (College) Libraries</t>
        </is>
      </c>
      <c r="C2854" t="inlineStr">
        <is>
          <t>372</t>
        </is>
      </c>
      <c r="D2854" t="inlineStr">
        <is>
          <t>18</t>
        </is>
      </c>
      <c r="E2854" t="inlineStr">
        <is>
          <t>19</t>
        </is>
      </c>
      <c r="F2854" t="inlineStr">
        <is>
          <t>C</t>
        </is>
      </c>
      <c r="G2854" t="inlineStr">
        <is>
          <t>Excellent</t>
        </is>
      </c>
      <c r="H2854" t="n">
        <v>354</v>
      </c>
      <c r="I2854">
        <f>B2854&amp;"|"&amp;F2854&amp;"|"&amp;G2854</f>
        <v/>
      </c>
      <c r="J2854" t="inlineStr">
        <is>
          <t>MVS Sec.18 p.19</t>
        </is>
      </c>
    </row>
    <row r="2855">
      <c r="B2855" t="inlineStr">
        <is>
          <t>Academic (College) Libraries</t>
        </is>
      </c>
      <c r="C2855" t="inlineStr">
        <is>
          <t>372</t>
        </is>
      </c>
      <c r="D2855" t="inlineStr">
        <is>
          <t>18</t>
        </is>
      </c>
      <c r="E2855" t="inlineStr">
        <is>
          <t>19</t>
        </is>
      </c>
      <c r="F2855" t="inlineStr">
        <is>
          <t>C</t>
        </is>
      </c>
      <c r="G2855" t="inlineStr">
        <is>
          <t>Good</t>
        </is>
      </c>
      <c r="H2855" t="n">
        <v>261</v>
      </c>
      <c r="I2855">
        <f>B2855&amp;"|"&amp;F2855&amp;"|"&amp;G2855</f>
        <v/>
      </c>
      <c r="J2855" t="inlineStr">
        <is>
          <t>MVS Sec.18 p.19</t>
        </is>
      </c>
    </row>
    <row r="2856">
      <c r="B2856" t="inlineStr">
        <is>
          <t>Academic (College) Libraries</t>
        </is>
      </c>
      <c r="C2856" t="inlineStr">
        <is>
          <t>372</t>
        </is>
      </c>
      <c r="D2856" t="inlineStr">
        <is>
          <t>18</t>
        </is>
      </c>
      <c r="E2856" t="inlineStr">
        <is>
          <t>19</t>
        </is>
      </c>
      <c r="F2856" t="inlineStr">
        <is>
          <t>C</t>
        </is>
      </c>
      <c r="G2856" t="inlineStr">
        <is>
          <t>Average</t>
        </is>
      </c>
      <c r="H2856" t="n">
        <v>197</v>
      </c>
      <c r="I2856">
        <f>B2856&amp;"|"&amp;F2856&amp;"|"&amp;G2856</f>
        <v/>
      </c>
      <c r="J2856" t="inlineStr">
        <is>
          <t>MVS Sec.18 p.19</t>
        </is>
      </c>
    </row>
    <row r="2857">
      <c r="B2857" t="inlineStr">
        <is>
          <t>Academic (College) Libraries</t>
        </is>
      </c>
      <c r="C2857" t="inlineStr">
        <is>
          <t>372</t>
        </is>
      </c>
      <c r="D2857" t="inlineStr">
        <is>
          <t>18</t>
        </is>
      </c>
      <c r="E2857" t="inlineStr">
        <is>
          <t>19</t>
        </is>
      </c>
      <c r="F2857" t="inlineStr">
        <is>
          <t>C</t>
        </is>
      </c>
      <c r="G2857" t="inlineStr">
        <is>
          <t>Low Cost</t>
        </is>
      </c>
      <c r="H2857" t="n">
        <v>147</v>
      </c>
      <c r="I2857">
        <f>B2857&amp;"|"&amp;F2857&amp;"|"&amp;G2857</f>
        <v/>
      </c>
      <c r="J2857" t="inlineStr">
        <is>
          <t>MVS Sec.18 p.19</t>
        </is>
      </c>
    </row>
    <row r="2858">
      <c r="B2858" t="inlineStr">
        <is>
          <t>Academic (College) Libraries</t>
        </is>
      </c>
      <c r="C2858" t="inlineStr">
        <is>
          <t>372</t>
        </is>
      </c>
      <c r="D2858" t="inlineStr">
        <is>
          <t>18</t>
        </is>
      </c>
      <c r="E2858" t="inlineStr">
        <is>
          <t>19</t>
        </is>
      </c>
      <c r="F2858" t="inlineStr">
        <is>
          <t>D</t>
        </is>
      </c>
      <c r="G2858" t="inlineStr">
        <is>
          <t>Excellent</t>
        </is>
      </c>
      <c r="H2858" t="n">
        <v>349</v>
      </c>
      <c r="I2858">
        <f>B2858&amp;"|"&amp;F2858&amp;"|"&amp;G2858</f>
        <v/>
      </c>
      <c r="J2858" t="inlineStr">
        <is>
          <t>MVS Sec.18 p.19</t>
        </is>
      </c>
    </row>
    <row r="2859">
      <c r="B2859" t="inlineStr">
        <is>
          <t>Academic (College) Libraries</t>
        </is>
      </c>
      <c r="C2859" t="inlineStr">
        <is>
          <t>372</t>
        </is>
      </c>
      <c r="D2859" t="inlineStr">
        <is>
          <t>18</t>
        </is>
      </c>
      <c r="E2859" t="inlineStr">
        <is>
          <t>19</t>
        </is>
      </c>
      <c r="F2859" t="inlineStr">
        <is>
          <t>D</t>
        </is>
      </c>
      <c r="G2859" t="inlineStr">
        <is>
          <t>Good</t>
        </is>
      </c>
      <c r="H2859" t="n">
        <v>256</v>
      </c>
      <c r="I2859">
        <f>B2859&amp;"|"&amp;F2859&amp;"|"&amp;G2859</f>
        <v/>
      </c>
      <c r="J2859" t="inlineStr">
        <is>
          <t>MVS Sec.18 p.19</t>
        </is>
      </c>
    </row>
    <row r="2860">
      <c r="B2860" t="inlineStr">
        <is>
          <t>Academic (College) Libraries</t>
        </is>
      </c>
      <c r="C2860" t="inlineStr">
        <is>
          <t>372</t>
        </is>
      </c>
      <c r="D2860" t="inlineStr">
        <is>
          <t>18</t>
        </is>
      </c>
      <c r="E2860" t="inlineStr">
        <is>
          <t>19</t>
        </is>
      </c>
      <c r="F2860" t="inlineStr">
        <is>
          <t>D</t>
        </is>
      </c>
      <c r="G2860" t="inlineStr">
        <is>
          <t>Average</t>
        </is>
      </c>
      <c r="H2860" t="n">
        <v>191</v>
      </c>
      <c r="I2860">
        <f>B2860&amp;"|"&amp;F2860&amp;"|"&amp;G2860</f>
        <v/>
      </c>
      <c r="J2860" t="inlineStr">
        <is>
          <t>MVS Sec.18 p.19</t>
        </is>
      </c>
    </row>
    <row r="2861">
      <c r="B2861" t="inlineStr">
        <is>
          <t>Academic (College) Libraries</t>
        </is>
      </c>
      <c r="C2861" t="inlineStr">
        <is>
          <t>372</t>
        </is>
      </c>
      <c r="D2861" t="inlineStr">
        <is>
          <t>18</t>
        </is>
      </c>
      <c r="E2861" t="inlineStr">
        <is>
          <t>19</t>
        </is>
      </c>
      <c r="F2861" t="inlineStr">
        <is>
          <t>D</t>
        </is>
      </c>
      <c r="G2861" t="inlineStr">
        <is>
          <t>Low Cost</t>
        </is>
      </c>
      <c r="H2861" t="n">
        <v>142</v>
      </c>
      <c r="I2861">
        <f>B2861&amp;"|"&amp;F2861&amp;"|"&amp;G2861</f>
        <v/>
      </c>
      <c r="J2861" t="inlineStr">
        <is>
          <t>MVS Sec.18 p.19</t>
        </is>
      </c>
    </row>
    <row r="2862">
      <c r="B2862" t="inlineStr">
        <is>
          <t>Academic (College) Libraries</t>
        </is>
      </c>
      <c r="C2862" t="inlineStr">
        <is>
          <t>372</t>
        </is>
      </c>
      <c r="D2862" t="inlineStr">
        <is>
          <t>18</t>
        </is>
      </c>
      <c r="E2862" t="inlineStr">
        <is>
          <t>19</t>
        </is>
      </c>
      <c r="F2862" t="inlineStr">
        <is>
          <t>S</t>
        </is>
      </c>
      <c r="G2862" t="inlineStr">
        <is>
          <t>Good</t>
        </is>
      </c>
      <c r="H2862" t="n">
        <v>248</v>
      </c>
      <c r="I2862">
        <f>B2862&amp;"|"&amp;F2862&amp;"|"&amp;G2862</f>
        <v/>
      </c>
      <c r="J2862" t="inlineStr">
        <is>
          <t>MVS Sec.18 p.19</t>
        </is>
      </c>
    </row>
    <row r="2863">
      <c r="B2863" t="inlineStr">
        <is>
          <t>Academic (College) Libraries</t>
        </is>
      </c>
      <c r="C2863" t="inlineStr">
        <is>
          <t>372</t>
        </is>
      </c>
      <c r="D2863" t="inlineStr">
        <is>
          <t>18</t>
        </is>
      </c>
      <c r="E2863" t="inlineStr">
        <is>
          <t>19</t>
        </is>
      </c>
      <c r="F2863" t="inlineStr">
        <is>
          <t>S</t>
        </is>
      </c>
      <c r="G2863" t="inlineStr">
        <is>
          <t>Average</t>
        </is>
      </c>
      <c r="H2863" t="n">
        <v>184</v>
      </c>
      <c r="I2863">
        <f>B2863&amp;"|"&amp;F2863&amp;"|"&amp;G2863</f>
        <v/>
      </c>
      <c r="J2863" t="inlineStr">
        <is>
          <t>MVS Sec.18 p.19</t>
        </is>
      </c>
    </row>
    <row r="2864">
      <c r="B2864" t="inlineStr">
        <is>
          <t>Academic (College) Libraries</t>
        </is>
      </c>
      <c r="C2864" t="inlineStr">
        <is>
          <t>372</t>
        </is>
      </c>
      <c r="D2864" t="inlineStr">
        <is>
          <t>18</t>
        </is>
      </c>
      <c r="E2864" t="inlineStr">
        <is>
          <t>19</t>
        </is>
      </c>
      <c r="F2864" t="inlineStr">
        <is>
          <t>S</t>
        </is>
      </c>
      <c r="G2864" t="inlineStr">
        <is>
          <t>Low Cost</t>
        </is>
      </c>
      <c r="H2864" t="n">
        <v>136</v>
      </c>
      <c r="I2864">
        <f>B2864&amp;"|"&amp;F2864&amp;"|"&amp;G2864</f>
        <v/>
      </c>
      <c r="J2864" t="inlineStr">
        <is>
          <t>MVS Sec.18 p.19</t>
        </is>
      </c>
    </row>
    <row r="2865">
      <c r="B2865" t="inlineStr">
        <is>
          <t>Fine Arts Buildings</t>
        </is>
      </c>
      <c r="C2865" t="inlineStr">
        <is>
          <t>355</t>
        </is>
      </c>
      <c r="D2865" t="inlineStr">
        <is>
          <t>18</t>
        </is>
      </c>
      <c r="E2865" t="inlineStr">
        <is>
          <t>20</t>
        </is>
      </c>
      <c r="F2865" t="inlineStr">
        <is>
          <t>A-B</t>
        </is>
      </c>
      <c r="G2865" t="inlineStr">
        <is>
          <t>Good</t>
        </is>
      </c>
      <c r="H2865" t="n">
        <v>340</v>
      </c>
      <c r="I2865">
        <f>B2865&amp;"|"&amp;F2865&amp;"|"&amp;G2865</f>
        <v/>
      </c>
      <c r="J2865" t="inlineStr">
        <is>
          <t>MVS Sec.18 p.20</t>
        </is>
      </c>
    </row>
    <row r="2866">
      <c r="B2866" t="inlineStr">
        <is>
          <t>Fine Arts Buildings</t>
        </is>
      </c>
      <c r="C2866" t="inlineStr">
        <is>
          <t>355</t>
        </is>
      </c>
      <c r="D2866" t="inlineStr">
        <is>
          <t>18</t>
        </is>
      </c>
      <c r="E2866" t="inlineStr">
        <is>
          <t>20</t>
        </is>
      </c>
      <c r="F2866" t="inlineStr">
        <is>
          <t>A-B</t>
        </is>
      </c>
      <c r="G2866" t="inlineStr">
        <is>
          <t>Average</t>
        </is>
      </c>
      <c r="H2866" t="n">
        <v>250</v>
      </c>
      <c r="I2866">
        <f>B2866&amp;"|"&amp;F2866&amp;"|"&amp;G2866</f>
        <v/>
      </c>
      <c r="J2866" t="inlineStr">
        <is>
          <t>MVS Sec.18 p.20</t>
        </is>
      </c>
    </row>
    <row r="2867">
      <c r="B2867" t="inlineStr">
        <is>
          <t>Fine Arts Buildings</t>
        </is>
      </c>
      <c r="C2867" t="inlineStr">
        <is>
          <t>355</t>
        </is>
      </c>
      <c r="D2867" t="inlineStr">
        <is>
          <t>18</t>
        </is>
      </c>
      <c r="E2867" t="inlineStr">
        <is>
          <t>20</t>
        </is>
      </c>
      <c r="F2867" t="inlineStr">
        <is>
          <t>C</t>
        </is>
      </c>
      <c r="G2867" t="inlineStr">
        <is>
          <t>Excellent</t>
        </is>
      </c>
      <c r="H2867" t="n">
        <v>342</v>
      </c>
      <c r="I2867">
        <f>B2867&amp;"|"&amp;F2867&amp;"|"&amp;G2867</f>
        <v/>
      </c>
      <c r="J2867" t="inlineStr">
        <is>
          <t>MVS Sec.18 p.20</t>
        </is>
      </c>
    </row>
    <row r="2868">
      <c r="B2868" t="inlineStr">
        <is>
          <t>Fine Arts Buildings</t>
        </is>
      </c>
      <c r="C2868" t="inlineStr">
        <is>
          <t>355</t>
        </is>
      </c>
      <c r="D2868" t="inlineStr">
        <is>
          <t>18</t>
        </is>
      </c>
      <c r="E2868" t="inlineStr">
        <is>
          <t>20</t>
        </is>
      </c>
      <c r="F2868" t="inlineStr">
        <is>
          <t>C</t>
        </is>
      </c>
      <c r="G2868" t="inlineStr">
        <is>
          <t>Good</t>
        </is>
      </c>
      <c r="H2868" t="n">
        <v>252</v>
      </c>
      <c r="I2868">
        <f>B2868&amp;"|"&amp;F2868&amp;"|"&amp;G2868</f>
        <v/>
      </c>
      <c r="J2868" t="inlineStr">
        <is>
          <t>MVS Sec.18 p.20</t>
        </is>
      </c>
    </row>
    <row r="2869">
      <c r="B2869" t="inlineStr">
        <is>
          <t>Fine Arts Buildings</t>
        </is>
      </c>
      <c r="C2869" t="inlineStr">
        <is>
          <t>355</t>
        </is>
      </c>
      <c r="D2869" t="inlineStr">
        <is>
          <t>18</t>
        </is>
      </c>
      <c r="E2869" t="inlineStr">
        <is>
          <t>20</t>
        </is>
      </c>
      <c r="F2869" t="inlineStr">
        <is>
          <t>C</t>
        </is>
      </c>
      <c r="G2869" t="inlineStr">
        <is>
          <t>Average</t>
        </is>
      </c>
      <c r="H2869" t="n">
        <v>191</v>
      </c>
      <c r="I2869">
        <f>B2869&amp;"|"&amp;F2869&amp;"|"&amp;G2869</f>
        <v/>
      </c>
      <c r="J2869" t="inlineStr">
        <is>
          <t>MVS Sec.18 p.20</t>
        </is>
      </c>
    </row>
    <row r="2870">
      <c r="B2870" t="inlineStr">
        <is>
          <t>Fine Arts Buildings</t>
        </is>
      </c>
      <c r="C2870" t="inlineStr">
        <is>
          <t>355</t>
        </is>
      </c>
      <c r="D2870" t="inlineStr">
        <is>
          <t>18</t>
        </is>
      </c>
      <c r="E2870" t="inlineStr">
        <is>
          <t>20</t>
        </is>
      </c>
      <c r="F2870" t="inlineStr">
        <is>
          <t>C</t>
        </is>
      </c>
      <c r="G2870" t="inlineStr">
        <is>
          <t>Low Cost</t>
        </is>
      </c>
      <c r="H2870" t="n">
        <v>143</v>
      </c>
      <c r="I2870">
        <f>B2870&amp;"|"&amp;F2870&amp;"|"&amp;G2870</f>
        <v/>
      </c>
      <c r="J2870" t="inlineStr">
        <is>
          <t>MVS Sec.18 p.20</t>
        </is>
      </c>
    </row>
    <row r="2871">
      <c r="B2871" t="inlineStr">
        <is>
          <t>Fine Arts Buildings</t>
        </is>
      </c>
      <c r="C2871" t="inlineStr">
        <is>
          <t>355</t>
        </is>
      </c>
      <c r="D2871" t="inlineStr">
        <is>
          <t>18</t>
        </is>
      </c>
      <c r="E2871" t="inlineStr">
        <is>
          <t>20</t>
        </is>
      </c>
      <c r="F2871" t="inlineStr">
        <is>
          <t>D</t>
        </is>
      </c>
      <c r="G2871" t="inlineStr">
        <is>
          <t>Good</t>
        </is>
      </c>
      <c r="H2871" t="n">
        <v>247</v>
      </c>
      <c r="I2871">
        <f>B2871&amp;"|"&amp;F2871&amp;"|"&amp;G2871</f>
        <v/>
      </c>
      <c r="J2871" t="inlineStr">
        <is>
          <t>MVS Sec.18 p.20</t>
        </is>
      </c>
    </row>
    <row r="2872">
      <c r="B2872" t="inlineStr">
        <is>
          <t>Fine Arts Buildings</t>
        </is>
      </c>
      <c r="C2872" t="inlineStr">
        <is>
          <t>355</t>
        </is>
      </c>
      <c r="D2872" t="inlineStr">
        <is>
          <t>18</t>
        </is>
      </c>
      <c r="E2872" t="inlineStr">
        <is>
          <t>20</t>
        </is>
      </c>
      <c r="F2872" t="inlineStr">
        <is>
          <t>D</t>
        </is>
      </c>
      <c r="G2872" t="inlineStr">
        <is>
          <t>Average</t>
        </is>
      </c>
      <c r="H2872" t="n">
        <v>185</v>
      </c>
      <c r="I2872">
        <f>B2872&amp;"|"&amp;F2872&amp;"|"&amp;G2872</f>
        <v/>
      </c>
      <c r="J2872" t="inlineStr">
        <is>
          <t>MVS Sec.18 p.20</t>
        </is>
      </c>
    </row>
    <row r="2873">
      <c r="B2873" t="inlineStr">
        <is>
          <t>Fine Arts Buildings</t>
        </is>
      </c>
      <c r="C2873" t="inlineStr">
        <is>
          <t>355</t>
        </is>
      </c>
      <c r="D2873" t="inlineStr">
        <is>
          <t>18</t>
        </is>
      </c>
      <c r="E2873" t="inlineStr">
        <is>
          <t>20</t>
        </is>
      </c>
      <c r="F2873" t="inlineStr">
        <is>
          <t>D</t>
        </is>
      </c>
      <c r="G2873" t="inlineStr">
        <is>
          <t>Low Cost</t>
        </is>
      </c>
      <c r="H2873" t="n">
        <v>137</v>
      </c>
      <c r="I2873">
        <f>B2873&amp;"|"&amp;F2873&amp;"|"&amp;G2873</f>
        <v/>
      </c>
      <c r="J2873" t="inlineStr">
        <is>
          <t>MVS Sec.18 p.20</t>
        </is>
      </c>
    </row>
    <row r="2874">
      <c r="B2874" t="inlineStr">
        <is>
          <t>Fine Arts Buildings</t>
        </is>
      </c>
      <c r="C2874" t="inlineStr">
        <is>
          <t>355</t>
        </is>
      </c>
      <c r="D2874" t="inlineStr">
        <is>
          <t>18</t>
        </is>
      </c>
      <c r="E2874" t="inlineStr">
        <is>
          <t>20</t>
        </is>
      </c>
      <c r="F2874" t="inlineStr">
        <is>
          <t>DPOLE</t>
        </is>
      </c>
      <c r="G2874" t="inlineStr">
        <is>
          <t>Average</t>
        </is>
      </c>
      <c r="H2874" t="n">
        <v>178</v>
      </c>
      <c r="I2874">
        <f>B2874&amp;"|"&amp;F2874&amp;"|"&amp;G2874</f>
        <v/>
      </c>
      <c r="J2874" t="inlineStr">
        <is>
          <t>MVS Sec.18 p.20</t>
        </is>
      </c>
    </row>
    <row r="2875">
      <c r="B2875" t="inlineStr">
        <is>
          <t>Fine Arts Buildings</t>
        </is>
      </c>
      <c r="C2875" t="inlineStr">
        <is>
          <t>355</t>
        </is>
      </c>
      <c r="D2875" t="inlineStr">
        <is>
          <t>18</t>
        </is>
      </c>
      <c r="E2875" t="inlineStr">
        <is>
          <t>20</t>
        </is>
      </c>
      <c r="F2875" t="inlineStr">
        <is>
          <t>DPOLE</t>
        </is>
      </c>
      <c r="G2875" t="inlineStr">
        <is>
          <t>Low Cost</t>
        </is>
      </c>
      <c r="H2875" t="n">
        <v>131</v>
      </c>
      <c r="I2875">
        <f>B2875&amp;"|"&amp;F2875&amp;"|"&amp;G2875</f>
        <v/>
      </c>
      <c r="J2875" t="inlineStr">
        <is>
          <t>MVS Sec.18 p.20</t>
        </is>
      </c>
    </row>
    <row r="2876">
      <c r="B2876" t="inlineStr">
        <is>
          <t>Fine Arts Buildings</t>
        </is>
      </c>
      <c r="C2876" t="inlineStr">
        <is>
          <t>355</t>
        </is>
      </c>
      <c r="D2876" t="inlineStr">
        <is>
          <t>18</t>
        </is>
      </c>
      <c r="E2876" t="inlineStr">
        <is>
          <t>20</t>
        </is>
      </c>
      <c r="F2876" t="inlineStr">
        <is>
          <t>S</t>
        </is>
      </c>
      <c r="G2876" t="inlineStr">
        <is>
          <t>Good</t>
        </is>
      </c>
      <c r="H2876" t="n">
        <v>243</v>
      </c>
      <c r="I2876">
        <f>B2876&amp;"|"&amp;F2876&amp;"|"&amp;G2876</f>
        <v/>
      </c>
      <c r="J2876" t="inlineStr">
        <is>
          <t>MVS Sec.18 p.20</t>
        </is>
      </c>
    </row>
    <row r="2877">
      <c r="B2877" t="inlineStr">
        <is>
          <t>Fine Arts Buildings</t>
        </is>
      </c>
      <c r="C2877" t="inlineStr">
        <is>
          <t>355</t>
        </is>
      </c>
      <c r="D2877" t="inlineStr">
        <is>
          <t>18</t>
        </is>
      </c>
      <c r="E2877" t="inlineStr">
        <is>
          <t>20</t>
        </is>
      </c>
      <c r="F2877" t="inlineStr">
        <is>
          <t>S</t>
        </is>
      </c>
      <c r="G2877" t="inlineStr">
        <is>
          <t>Average</t>
        </is>
      </c>
      <c r="H2877" t="n">
        <v>181</v>
      </c>
      <c r="I2877">
        <f>B2877&amp;"|"&amp;F2877&amp;"|"&amp;G2877</f>
        <v/>
      </c>
      <c r="J2877" t="inlineStr">
        <is>
          <t>MVS Sec.18 p.20</t>
        </is>
      </c>
    </row>
    <row r="2878">
      <c r="B2878" t="inlineStr">
        <is>
          <t>Fine Arts Buildings</t>
        </is>
      </c>
      <c r="C2878" t="inlineStr">
        <is>
          <t>355</t>
        </is>
      </c>
      <c r="D2878" t="inlineStr">
        <is>
          <t>18</t>
        </is>
      </c>
      <c r="E2878" t="inlineStr">
        <is>
          <t>20</t>
        </is>
      </c>
      <c r="F2878" t="inlineStr">
        <is>
          <t>S</t>
        </is>
      </c>
      <c r="G2878" t="inlineStr">
        <is>
          <t>Low Cost</t>
        </is>
      </c>
      <c r="H2878" t="n">
        <v>133</v>
      </c>
      <c r="I2878">
        <f>B2878&amp;"|"&amp;F2878&amp;"|"&amp;G2878</f>
        <v/>
      </c>
      <c r="J2878" t="inlineStr">
        <is>
          <t>MVS Sec.18 p.20</t>
        </is>
      </c>
    </row>
    <row r="2879">
      <c r="B2879" t="inlineStr">
        <is>
          <t>Book Stores</t>
        </is>
      </c>
      <c r="C2879" t="inlineStr">
        <is>
          <t>488</t>
        </is>
      </c>
      <c r="D2879" t="inlineStr">
        <is>
          <t>18</t>
        </is>
      </c>
      <c r="E2879" t="inlineStr">
        <is>
          <t>20</t>
        </is>
      </c>
      <c r="F2879" t="inlineStr">
        <is>
          <t>A-B</t>
        </is>
      </c>
      <c r="G2879" t="inlineStr">
        <is>
          <t>Average</t>
        </is>
      </c>
      <c r="H2879" t="n">
        <v>168</v>
      </c>
      <c r="I2879">
        <f>B2879&amp;"|"&amp;F2879&amp;"|"&amp;G2879</f>
        <v/>
      </c>
      <c r="J2879" t="inlineStr">
        <is>
          <t>MVS Sec.18 p.20</t>
        </is>
      </c>
    </row>
    <row r="2880">
      <c r="B2880" t="inlineStr">
        <is>
          <t>Book Stores</t>
        </is>
      </c>
      <c r="C2880" t="inlineStr">
        <is>
          <t>488</t>
        </is>
      </c>
      <c r="D2880" t="inlineStr">
        <is>
          <t>18</t>
        </is>
      </c>
      <c r="E2880" t="inlineStr">
        <is>
          <t>20</t>
        </is>
      </c>
      <c r="F2880" t="inlineStr">
        <is>
          <t>A-B</t>
        </is>
      </c>
      <c r="G2880" t="inlineStr">
        <is>
          <t>Low Cost</t>
        </is>
      </c>
      <c r="H2880" t="n">
        <v>130</v>
      </c>
      <c r="I2880">
        <f>B2880&amp;"|"&amp;F2880&amp;"|"&amp;G2880</f>
        <v/>
      </c>
      <c r="J2880" t="inlineStr">
        <is>
          <t>MVS Sec.18 p.20</t>
        </is>
      </c>
    </row>
    <row r="2881">
      <c r="B2881" t="inlineStr">
        <is>
          <t>Book Stores</t>
        </is>
      </c>
      <c r="C2881" t="inlineStr">
        <is>
          <t>488</t>
        </is>
      </c>
      <c r="D2881" t="inlineStr">
        <is>
          <t>18</t>
        </is>
      </c>
      <c r="E2881" t="inlineStr">
        <is>
          <t>20</t>
        </is>
      </c>
      <c r="F2881" t="inlineStr">
        <is>
          <t>C</t>
        </is>
      </c>
      <c r="G2881" t="inlineStr">
        <is>
          <t>Good</t>
        </is>
      </c>
      <c r="H2881" t="n">
        <v>172</v>
      </c>
      <c r="I2881">
        <f>B2881&amp;"|"&amp;F2881&amp;"|"&amp;G2881</f>
        <v/>
      </c>
      <c r="J2881" t="inlineStr">
        <is>
          <t>MVS Sec.18 p.20</t>
        </is>
      </c>
    </row>
    <row r="2882">
      <c r="B2882" t="inlineStr">
        <is>
          <t>Book Stores</t>
        </is>
      </c>
      <c r="C2882" t="inlineStr">
        <is>
          <t>488</t>
        </is>
      </c>
      <c r="D2882" t="inlineStr">
        <is>
          <t>18</t>
        </is>
      </c>
      <c r="E2882" t="inlineStr">
        <is>
          <t>20</t>
        </is>
      </c>
      <c r="F2882" t="inlineStr">
        <is>
          <t>C</t>
        </is>
      </c>
      <c r="G2882" t="inlineStr">
        <is>
          <t>Average</t>
        </is>
      </c>
      <c r="H2882" t="n">
        <v>132</v>
      </c>
      <c r="I2882">
        <f>B2882&amp;"|"&amp;F2882&amp;"|"&amp;G2882</f>
        <v/>
      </c>
      <c r="J2882" t="inlineStr">
        <is>
          <t>MVS Sec.18 p.20</t>
        </is>
      </c>
    </row>
    <row r="2883">
      <c r="B2883" t="inlineStr">
        <is>
          <t>Book Stores</t>
        </is>
      </c>
      <c r="C2883" t="inlineStr">
        <is>
          <t>488</t>
        </is>
      </c>
      <c r="D2883" t="inlineStr">
        <is>
          <t>18</t>
        </is>
      </c>
      <c r="E2883" t="inlineStr">
        <is>
          <t>20</t>
        </is>
      </c>
      <c r="F2883" t="inlineStr">
        <is>
          <t>C</t>
        </is>
      </c>
      <c r="G2883" t="inlineStr">
        <is>
          <t>Low Cost</t>
        </is>
      </c>
      <c r="H2883" t="n">
        <v>102</v>
      </c>
      <c r="I2883">
        <f>B2883&amp;"|"&amp;F2883&amp;"|"&amp;G2883</f>
        <v/>
      </c>
      <c r="J2883" t="inlineStr">
        <is>
          <t>MVS Sec.18 p.20</t>
        </is>
      </c>
    </row>
    <row r="2884">
      <c r="B2884" t="inlineStr">
        <is>
          <t>Book Stores</t>
        </is>
      </c>
      <c r="C2884" t="inlineStr">
        <is>
          <t>488</t>
        </is>
      </c>
      <c r="D2884" t="inlineStr">
        <is>
          <t>18</t>
        </is>
      </c>
      <c r="E2884" t="inlineStr">
        <is>
          <t>20</t>
        </is>
      </c>
      <c r="F2884" t="inlineStr">
        <is>
          <t>D</t>
        </is>
      </c>
      <c r="G2884" t="inlineStr">
        <is>
          <t>Good</t>
        </is>
      </c>
      <c r="H2884" t="n">
        <v>168</v>
      </c>
      <c r="I2884">
        <f>B2884&amp;"|"&amp;F2884&amp;"|"&amp;G2884</f>
        <v/>
      </c>
      <c r="J2884" t="inlineStr">
        <is>
          <t>MVS Sec.18 p.20</t>
        </is>
      </c>
    </row>
    <row r="2885">
      <c r="B2885" t="inlineStr">
        <is>
          <t>Book Stores</t>
        </is>
      </c>
      <c r="C2885" t="inlineStr">
        <is>
          <t>488</t>
        </is>
      </c>
      <c r="D2885" t="inlineStr">
        <is>
          <t>18</t>
        </is>
      </c>
      <c r="E2885" t="inlineStr">
        <is>
          <t>20</t>
        </is>
      </c>
      <c r="F2885" t="inlineStr">
        <is>
          <t>D</t>
        </is>
      </c>
      <c r="G2885" t="inlineStr">
        <is>
          <t>Average</t>
        </is>
      </c>
      <c r="H2885" t="n">
        <v>127</v>
      </c>
      <c r="I2885">
        <f>B2885&amp;"|"&amp;F2885&amp;"|"&amp;G2885</f>
        <v/>
      </c>
      <c r="J2885" t="inlineStr">
        <is>
          <t>MVS Sec.18 p.20</t>
        </is>
      </c>
    </row>
    <row r="2886">
      <c r="B2886" t="inlineStr">
        <is>
          <t>Book Stores</t>
        </is>
      </c>
      <c r="C2886" t="inlineStr">
        <is>
          <t>488</t>
        </is>
      </c>
      <c r="D2886" t="inlineStr">
        <is>
          <t>18</t>
        </is>
      </c>
      <c r="E2886" t="inlineStr">
        <is>
          <t>20</t>
        </is>
      </c>
      <c r="F2886" t="inlineStr">
        <is>
          <t>D</t>
        </is>
      </c>
      <c r="G2886" t="inlineStr">
        <is>
          <t>Low Cost</t>
        </is>
      </c>
      <c r="H2886" t="n">
        <v>97</v>
      </c>
      <c r="I2886">
        <f>B2886&amp;"|"&amp;F2886&amp;"|"&amp;G2886</f>
        <v/>
      </c>
      <c r="J2886" t="inlineStr">
        <is>
          <t>MVS Sec.18 p.20</t>
        </is>
      </c>
    </row>
    <row r="2887">
      <c r="B2887" t="inlineStr">
        <is>
          <t>Book Stores</t>
        </is>
      </c>
      <c r="C2887" t="inlineStr">
        <is>
          <t>488</t>
        </is>
      </c>
      <c r="D2887" t="inlineStr">
        <is>
          <t>18</t>
        </is>
      </c>
      <c r="E2887" t="inlineStr">
        <is>
          <t>20</t>
        </is>
      </c>
      <c r="F2887" t="inlineStr">
        <is>
          <t>DPOLE</t>
        </is>
      </c>
      <c r="G2887" t="inlineStr">
        <is>
          <t>Low Cost</t>
        </is>
      </c>
      <c r="H2887" t="n">
        <v>89</v>
      </c>
      <c r="I2887">
        <f>B2887&amp;"|"&amp;F2887&amp;"|"&amp;G2887</f>
        <v/>
      </c>
      <c r="J2887" t="inlineStr">
        <is>
          <t>MVS Sec.18 p.20</t>
        </is>
      </c>
    </row>
    <row r="2888">
      <c r="B2888" t="inlineStr">
        <is>
          <t>Book Stores</t>
        </is>
      </c>
      <c r="C2888" t="inlineStr">
        <is>
          <t>488</t>
        </is>
      </c>
      <c r="D2888" t="inlineStr">
        <is>
          <t>18</t>
        </is>
      </c>
      <c r="E2888" t="inlineStr">
        <is>
          <t>20</t>
        </is>
      </c>
      <c r="F2888" t="inlineStr">
        <is>
          <t>S</t>
        </is>
      </c>
      <c r="G2888" t="inlineStr">
        <is>
          <t>Low Cost</t>
        </is>
      </c>
      <c r="H2888" t="n">
        <v>90.5</v>
      </c>
      <c r="I2888">
        <f>B2888&amp;"|"&amp;F2888&amp;"|"&amp;G2888</f>
        <v/>
      </c>
      <c r="J2888" t="inlineStr">
        <is>
          <t>MVS Sec.18 p.20</t>
        </is>
      </c>
    </row>
    <row r="2889">
      <c r="B2889" t="inlineStr">
        <is>
          <t>Restroom Buildings</t>
        </is>
      </c>
      <c r="C2889" t="inlineStr">
        <is>
          <t>432</t>
        </is>
      </c>
      <c r="D2889" t="inlineStr">
        <is>
          <t>18</t>
        </is>
      </c>
      <c r="E2889" t="inlineStr">
        <is>
          <t>21</t>
        </is>
      </c>
      <c r="F2889" t="inlineStr">
        <is>
          <t>A-B</t>
        </is>
      </c>
      <c r="G2889" t="inlineStr">
        <is>
          <t>Average</t>
        </is>
      </c>
      <c r="H2889" t="n">
        <v>270</v>
      </c>
      <c r="I2889">
        <f>B2889&amp;"|"&amp;F2889&amp;"|"&amp;G2889</f>
        <v/>
      </c>
      <c r="J2889" t="inlineStr">
        <is>
          <t>MVS Sec.18 p.21</t>
        </is>
      </c>
    </row>
    <row r="2890">
      <c r="B2890" t="inlineStr">
        <is>
          <t>Restroom Buildings</t>
        </is>
      </c>
      <c r="C2890" t="inlineStr">
        <is>
          <t>432</t>
        </is>
      </c>
      <c r="D2890" t="inlineStr">
        <is>
          <t>18</t>
        </is>
      </c>
      <c r="E2890" t="inlineStr">
        <is>
          <t>21</t>
        </is>
      </c>
      <c r="F2890" t="inlineStr">
        <is>
          <t>C</t>
        </is>
      </c>
      <c r="G2890" t="inlineStr">
        <is>
          <t>Excellent</t>
        </is>
      </c>
      <c r="H2890" t="n">
        <v>392</v>
      </c>
      <c r="I2890">
        <f>B2890&amp;"|"&amp;F2890&amp;"|"&amp;G2890</f>
        <v/>
      </c>
      <c r="J2890" t="inlineStr">
        <is>
          <t>MVS Sec.18 p.21</t>
        </is>
      </c>
    </row>
    <row r="2891">
      <c r="B2891" t="inlineStr">
        <is>
          <t>Restroom Buildings</t>
        </is>
      </c>
      <c r="C2891" t="inlineStr">
        <is>
          <t>432</t>
        </is>
      </c>
      <c r="D2891" t="inlineStr">
        <is>
          <t>18</t>
        </is>
      </c>
      <c r="E2891" t="inlineStr">
        <is>
          <t>21</t>
        </is>
      </c>
      <c r="F2891" t="inlineStr">
        <is>
          <t>C</t>
        </is>
      </c>
      <c r="G2891" t="inlineStr">
        <is>
          <t>Good</t>
        </is>
      </c>
      <c r="H2891" t="n">
        <v>286</v>
      </c>
      <c r="I2891">
        <f>B2891&amp;"|"&amp;F2891&amp;"|"&amp;G2891</f>
        <v/>
      </c>
      <c r="J2891" t="inlineStr">
        <is>
          <t>MVS Sec.18 p.21</t>
        </is>
      </c>
    </row>
    <row r="2892">
      <c r="B2892" t="inlineStr">
        <is>
          <t>Restroom Buildings</t>
        </is>
      </c>
      <c r="C2892" t="inlineStr">
        <is>
          <t>432</t>
        </is>
      </c>
      <c r="D2892" t="inlineStr">
        <is>
          <t>18</t>
        </is>
      </c>
      <c r="E2892" t="inlineStr">
        <is>
          <t>21</t>
        </is>
      </c>
      <c r="F2892" t="inlineStr">
        <is>
          <t>C</t>
        </is>
      </c>
      <c r="G2892" t="inlineStr">
        <is>
          <t>Average</t>
        </is>
      </c>
      <c r="H2892" t="n">
        <v>209</v>
      </c>
      <c r="I2892">
        <f>B2892&amp;"|"&amp;F2892&amp;"|"&amp;G2892</f>
        <v/>
      </c>
      <c r="J2892" t="inlineStr">
        <is>
          <t>MVS Sec.18 p.21</t>
        </is>
      </c>
    </row>
    <row r="2893">
      <c r="B2893" t="inlineStr">
        <is>
          <t>Restroom Buildings</t>
        </is>
      </c>
      <c r="C2893" t="inlineStr">
        <is>
          <t>432</t>
        </is>
      </c>
      <c r="D2893" t="inlineStr">
        <is>
          <t>18</t>
        </is>
      </c>
      <c r="E2893" t="inlineStr">
        <is>
          <t>21</t>
        </is>
      </c>
      <c r="F2893" t="inlineStr">
        <is>
          <t>C</t>
        </is>
      </c>
      <c r="G2893" t="inlineStr">
        <is>
          <t>Low Cost</t>
        </is>
      </c>
      <c r="H2893" t="n">
        <v>153</v>
      </c>
      <c r="I2893">
        <f>B2893&amp;"|"&amp;F2893&amp;"|"&amp;G2893</f>
        <v/>
      </c>
      <c r="J2893" t="inlineStr">
        <is>
          <t>MVS Sec.18 p.21</t>
        </is>
      </c>
    </row>
    <row r="2894">
      <c r="B2894" t="inlineStr">
        <is>
          <t>Restroom Buildings</t>
        </is>
      </c>
      <c r="C2894" t="inlineStr">
        <is>
          <t>432</t>
        </is>
      </c>
      <c r="D2894" t="inlineStr">
        <is>
          <t>18</t>
        </is>
      </c>
      <c r="E2894" t="inlineStr">
        <is>
          <t>21</t>
        </is>
      </c>
      <c r="F2894" t="inlineStr">
        <is>
          <t>C</t>
        </is>
      </c>
      <c r="G2894" t="inlineStr">
        <is>
          <t>Cheap</t>
        </is>
      </c>
      <c r="H2894" t="n">
        <v>109</v>
      </c>
      <c r="I2894">
        <f>B2894&amp;"|"&amp;F2894&amp;"|"&amp;G2894</f>
        <v/>
      </c>
      <c r="J2894" t="inlineStr">
        <is>
          <t>MVS Sec.18 p.21</t>
        </is>
      </c>
    </row>
    <row r="2895">
      <c r="B2895" t="inlineStr">
        <is>
          <t>Restroom Buildings</t>
        </is>
      </c>
      <c r="C2895" t="inlineStr">
        <is>
          <t>432</t>
        </is>
      </c>
      <c r="D2895" t="inlineStr">
        <is>
          <t>18</t>
        </is>
      </c>
      <c r="E2895" t="inlineStr">
        <is>
          <t>21</t>
        </is>
      </c>
      <c r="F2895" t="inlineStr">
        <is>
          <t>D</t>
        </is>
      </c>
      <c r="G2895" t="inlineStr">
        <is>
          <t>Excellent</t>
        </is>
      </c>
      <c r="H2895" t="n">
        <v>364</v>
      </c>
      <c r="I2895">
        <f>B2895&amp;"|"&amp;F2895&amp;"|"&amp;G2895</f>
        <v/>
      </c>
      <c r="J2895" t="inlineStr">
        <is>
          <t>MVS Sec.18 p.21</t>
        </is>
      </c>
    </row>
    <row r="2896">
      <c r="B2896" t="inlineStr">
        <is>
          <t>Restroom Buildings</t>
        </is>
      </c>
      <c r="C2896" t="inlineStr">
        <is>
          <t>432</t>
        </is>
      </c>
      <c r="D2896" t="inlineStr">
        <is>
          <t>18</t>
        </is>
      </c>
      <c r="E2896" t="inlineStr">
        <is>
          <t>21</t>
        </is>
      </c>
      <c r="F2896" t="inlineStr">
        <is>
          <t>D</t>
        </is>
      </c>
      <c r="G2896" t="inlineStr">
        <is>
          <t>Good</t>
        </is>
      </c>
      <c r="H2896" t="n">
        <v>269</v>
      </c>
      <c r="I2896">
        <f>B2896&amp;"|"&amp;F2896&amp;"|"&amp;G2896</f>
        <v/>
      </c>
      <c r="J2896" t="inlineStr">
        <is>
          <t>MVS Sec.18 p.21</t>
        </is>
      </c>
    </row>
    <row r="2897">
      <c r="B2897" t="inlineStr">
        <is>
          <t>Restroom Buildings</t>
        </is>
      </c>
      <c r="C2897" t="inlineStr">
        <is>
          <t>432</t>
        </is>
      </c>
      <c r="D2897" t="inlineStr">
        <is>
          <t>18</t>
        </is>
      </c>
      <c r="E2897" t="inlineStr">
        <is>
          <t>21</t>
        </is>
      </c>
      <c r="F2897" t="inlineStr">
        <is>
          <t>D</t>
        </is>
      </c>
      <c r="G2897" t="inlineStr">
        <is>
          <t>Average</t>
        </is>
      </c>
      <c r="H2897" t="n">
        <v>198</v>
      </c>
      <c r="I2897">
        <f>B2897&amp;"|"&amp;F2897&amp;"|"&amp;G2897</f>
        <v/>
      </c>
      <c r="J2897" t="inlineStr">
        <is>
          <t>MVS Sec.18 p.21</t>
        </is>
      </c>
    </row>
    <row r="2898">
      <c r="B2898" t="inlineStr">
        <is>
          <t>Restroom Buildings</t>
        </is>
      </c>
      <c r="C2898" t="inlineStr">
        <is>
          <t>432</t>
        </is>
      </c>
      <c r="D2898" t="inlineStr">
        <is>
          <t>18</t>
        </is>
      </c>
      <c r="E2898" t="inlineStr">
        <is>
          <t>21</t>
        </is>
      </c>
      <c r="F2898" t="inlineStr">
        <is>
          <t>D</t>
        </is>
      </c>
      <c r="G2898" t="inlineStr">
        <is>
          <t>Low Cost</t>
        </is>
      </c>
      <c r="H2898" t="n">
        <v>146</v>
      </c>
      <c r="I2898">
        <f>B2898&amp;"|"&amp;F2898&amp;"|"&amp;G2898</f>
        <v/>
      </c>
      <c r="J2898" t="inlineStr">
        <is>
          <t>MVS Sec.18 p.21</t>
        </is>
      </c>
    </row>
    <row r="2899">
      <c r="B2899" t="inlineStr">
        <is>
          <t>Restroom Buildings</t>
        </is>
      </c>
      <c r="C2899" t="inlineStr">
        <is>
          <t>432</t>
        </is>
      </c>
      <c r="D2899" t="inlineStr">
        <is>
          <t>18</t>
        </is>
      </c>
      <c r="E2899" t="inlineStr">
        <is>
          <t>21</t>
        </is>
      </c>
      <c r="F2899" t="inlineStr">
        <is>
          <t>D</t>
        </is>
      </c>
      <c r="G2899" t="inlineStr">
        <is>
          <t>Cheap</t>
        </is>
      </c>
      <c r="H2899" t="n">
        <v>105</v>
      </c>
      <c r="I2899">
        <f>B2899&amp;"|"&amp;F2899&amp;"|"&amp;G2899</f>
        <v/>
      </c>
      <c r="J2899" t="inlineStr">
        <is>
          <t>MVS Sec.18 p.21</t>
        </is>
      </c>
    </row>
    <row r="2900">
      <c r="B2900" t="inlineStr">
        <is>
          <t>Restroom Buildings</t>
        </is>
      </c>
      <c r="C2900" t="inlineStr">
        <is>
          <t>432</t>
        </is>
      </c>
      <c r="D2900" t="inlineStr">
        <is>
          <t>18</t>
        </is>
      </c>
      <c r="E2900" t="inlineStr">
        <is>
          <t>21</t>
        </is>
      </c>
      <c r="F2900" t="inlineStr">
        <is>
          <t>DPOLE</t>
        </is>
      </c>
      <c r="G2900" t="inlineStr">
        <is>
          <t>Low Cost</t>
        </is>
      </c>
      <c r="H2900" t="n">
        <v>139</v>
      </c>
      <c r="I2900">
        <f>B2900&amp;"|"&amp;F2900&amp;"|"&amp;G2900</f>
        <v/>
      </c>
      <c r="J2900" t="inlineStr">
        <is>
          <t>MVS Sec.18 p.21</t>
        </is>
      </c>
    </row>
    <row r="2901">
      <c r="B2901" t="inlineStr">
        <is>
          <t>Restroom Buildings</t>
        </is>
      </c>
      <c r="C2901" t="inlineStr">
        <is>
          <t>432</t>
        </is>
      </c>
      <c r="D2901" t="inlineStr">
        <is>
          <t>18</t>
        </is>
      </c>
      <c r="E2901" t="inlineStr">
        <is>
          <t>21</t>
        </is>
      </c>
      <c r="F2901" t="inlineStr">
        <is>
          <t>DPOLE</t>
        </is>
      </c>
      <c r="G2901" t="inlineStr">
        <is>
          <t>Cheap</t>
        </is>
      </c>
      <c r="H2901" t="n">
        <v>107</v>
      </c>
      <c r="I2901">
        <f>B2901&amp;"|"&amp;F2901&amp;"|"&amp;G2901</f>
        <v/>
      </c>
      <c r="J2901" t="inlineStr">
        <is>
          <t>MVS Sec.18 p.21</t>
        </is>
      </c>
    </row>
    <row r="2902">
      <c r="B2902" t="inlineStr">
        <is>
          <t>Restroom Buildings</t>
        </is>
      </c>
      <c r="C2902" t="inlineStr">
        <is>
          <t>432</t>
        </is>
      </c>
      <c r="D2902" t="inlineStr">
        <is>
          <t>18</t>
        </is>
      </c>
      <c r="E2902" t="inlineStr">
        <is>
          <t>21</t>
        </is>
      </c>
      <c r="F2902" t="inlineStr">
        <is>
          <t>S</t>
        </is>
      </c>
      <c r="G2902" t="inlineStr">
        <is>
          <t>Low Cost</t>
        </is>
      </c>
      <c r="H2902" t="n">
        <v>139</v>
      </c>
      <c r="I2902">
        <f>B2902&amp;"|"&amp;F2902&amp;"|"&amp;G2902</f>
        <v/>
      </c>
      <c r="J2902" t="inlineStr">
        <is>
          <t>MVS Sec.18 p.21</t>
        </is>
      </c>
    </row>
    <row r="2903">
      <c r="B2903" t="inlineStr">
        <is>
          <t>Restroom Buildings</t>
        </is>
      </c>
      <c r="C2903" t="inlineStr">
        <is>
          <t>432</t>
        </is>
      </c>
      <c r="D2903" t="inlineStr">
        <is>
          <t>18</t>
        </is>
      </c>
      <c r="E2903" t="inlineStr">
        <is>
          <t>21</t>
        </is>
      </c>
      <c r="F2903" t="inlineStr">
        <is>
          <t>S</t>
        </is>
      </c>
      <c r="G2903" t="inlineStr">
        <is>
          <t>Cheap</t>
        </is>
      </c>
      <c r="H2903" t="n">
        <v>106</v>
      </c>
      <c r="I2903">
        <f>B2903&amp;"|"&amp;F2903&amp;"|"&amp;G2903</f>
        <v/>
      </c>
      <c r="J2903" t="inlineStr">
        <is>
          <t>MVS Sec.18 p.21</t>
        </is>
      </c>
    </row>
    <row r="2904">
      <c r="B2904" t="inlineStr">
        <is>
          <t>Maintenance (Storage) Buildings</t>
        </is>
      </c>
      <c r="C2904" t="inlineStr">
        <is>
          <t>157</t>
        </is>
      </c>
      <c r="D2904" t="inlineStr">
        <is>
          <t>18</t>
        </is>
      </c>
      <c r="E2904" t="inlineStr">
        <is>
          <t>21</t>
        </is>
      </c>
      <c r="F2904" t="inlineStr">
        <is>
          <t>C</t>
        </is>
      </c>
      <c r="G2904" t="inlineStr">
        <is>
          <t>Good</t>
        </is>
      </c>
      <c r="H2904" t="n">
        <v>109</v>
      </c>
      <c r="I2904">
        <f>B2904&amp;"|"&amp;F2904&amp;"|"&amp;G2904</f>
        <v/>
      </c>
      <c r="J2904" t="inlineStr">
        <is>
          <t>MVS Sec.18 p.21</t>
        </is>
      </c>
    </row>
    <row r="2905">
      <c r="B2905" t="inlineStr">
        <is>
          <t>Maintenance (Storage) Buildings</t>
        </is>
      </c>
      <c r="C2905" t="inlineStr">
        <is>
          <t>157</t>
        </is>
      </c>
      <c r="D2905" t="inlineStr">
        <is>
          <t>18</t>
        </is>
      </c>
      <c r="E2905" t="inlineStr">
        <is>
          <t>21</t>
        </is>
      </c>
      <c r="F2905" t="inlineStr">
        <is>
          <t>C</t>
        </is>
      </c>
      <c r="G2905" t="inlineStr">
        <is>
          <t>Average</t>
        </is>
      </c>
      <c r="H2905" t="n">
        <v>75.5</v>
      </c>
      <c r="I2905">
        <f>B2905&amp;"|"&amp;F2905&amp;"|"&amp;G2905</f>
        <v/>
      </c>
      <c r="J2905" t="inlineStr">
        <is>
          <t>MVS Sec.18 p.21</t>
        </is>
      </c>
    </row>
    <row r="2906">
      <c r="B2906" t="inlineStr">
        <is>
          <t>Maintenance (Storage) Buildings</t>
        </is>
      </c>
      <c r="C2906" t="inlineStr">
        <is>
          <t>157</t>
        </is>
      </c>
      <c r="D2906" t="inlineStr">
        <is>
          <t>18</t>
        </is>
      </c>
      <c r="E2906" t="inlineStr">
        <is>
          <t>21</t>
        </is>
      </c>
      <c r="F2906" t="inlineStr">
        <is>
          <t>D</t>
        </is>
      </c>
      <c r="G2906" t="inlineStr">
        <is>
          <t>Good</t>
        </is>
      </c>
      <c r="H2906" t="n">
        <v>100</v>
      </c>
      <c r="I2906">
        <f>B2906&amp;"|"&amp;F2906&amp;"|"&amp;G2906</f>
        <v/>
      </c>
      <c r="J2906" t="inlineStr">
        <is>
          <t>MVS Sec.18 p.21</t>
        </is>
      </c>
    </row>
    <row r="2907">
      <c r="B2907" t="inlineStr">
        <is>
          <t>Maintenance (Storage) Buildings</t>
        </is>
      </c>
      <c r="C2907" t="inlineStr">
        <is>
          <t>157</t>
        </is>
      </c>
      <c r="D2907" t="inlineStr">
        <is>
          <t>18</t>
        </is>
      </c>
      <c r="E2907" t="inlineStr">
        <is>
          <t>21</t>
        </is>
      </c>
      <c r="F2907" t="inlineStr">
        <is>
          <t>D</t>
        </is>
      </c>
      <c r="G2907" t="inlineStr">
        <is>
          <t>Average</t>
        </is>
      </c>
      <c r="H2907" t="n">
        <v>66</v>
      </c>
      <c r="I2907">
        <f>B2907&amp;"|"&amp;F2907&amp;"|"&amp;G2907</f>
        <v/>
      </c>
      <c r="J2907" t="inlineStr">
        <is>
          <t>MVS Sec.18 p.21</t>
        </is>
      </c>
    </row>
    <row r="2908">
      <c r="B2908" t="inlineStr">
        <is>
          <t>Maintenance (Storage) Buildings</t>
        </is>
      </c>
      <c r="C2908" t="inlineStr">
        <is>
          <t>157</t>
        </is>
      </c>
      <c r="D2908" t="inlineStr">
        <is>
          <t>18</t>
        </is>
      </c>
      <c r="E2908" t="inlineStr">
        <is>
          <t>21</t>
        </is>
      </c>
      <c r="F2908" t="inlineStr">
        <is>
          <t>DPOLE</t>
        </is>
      </c>
      <c r="G2908" t="inlineStr">
        <is>
          <t>Good</t>
        </is>
      </c>
      <c r="H2908" t="n">
        <v>89</v>
      </c>
      <c r="I2908">
        <f>B2908&amp;"|"&amp;F2908&amp;"|"&amp;G2908</f>
        <v/>
      </c>
      <c r="J2908" t="inlineStr">
        <is>
          <t>MVS Sec.18 p.21</t>
        </is>
      </c>
    </row>
    <row r="2909">
      <c r="B2909" t="inlineStr">
        <is>
          <t>Maintenance (Storage) Buildings</t>
        </is>
      </c>
      <c r="C2909" t="inlineStr">
        <is>
          <t>157</t>
        </is>
      </c>
      <c r="D2909" t="inlineStr">
        <is>
          <t>18</t>
        </is>
      </c>
      <c r="E2909" t="inlineStr">
        <is>
          <t>21</t>
        </is>
      </c>
      <c r="F2909" t="inlineStr">
        <is>
          <t>DPOLE</t>
        </is>
      </c>
      <c r="G2909" t="inlineStr">
        <is>
          <t>Average</t>
        </is>
      </c>
      <c r="H2909" t="n">
        <v>57.5</v>
      </c>
      <c r="I2909">
        <f>B2909&amp;"|"&amp;F2909&amp;"|"&amp;G2909</f>
        <v/>
      </c>
      <c r="J2909" t="inlineStr">
        <is>
          <t>MVS Sec.18 p.21</t>
        </is>
      </c>
    </row>
    <row r="2910">
      <c r="B2910" t="inlineStr">
        <is>
          <t>Maintenance (Storage) Buildings</t>
        </is>
      </c>
      <c r="C2910" t="inlineStr">
        <is>
          <t>157</t>
        </is>
      </c>
      <c r="D2910" t="inlineStr">
        <is>
          <t>18</t>
        </is>
      </c>
      <c r="E2910" t="inlineStr">
        <is>
          <t>21</t>
        </is>
      </c>
      <c r="F2910" t="inlineStr">
        <is>
          <t>S</t>
        </is>
      </c>
      <c r="G2910" t="inlineStr">
        <is>
          <t>Good</t>
        </is>
      </c>
      <c r="H2910" t="n">
        <v>93</v>
      </c>
      <c r="I2910">
        <f>B2910&amp;"|"&amp;F2910&amp;"|"&amp;G2910</f>
        <v/>
      </c>
      <c r="J2910" t="inlineStr">
        <is>
          <t>MVS Sec.18 p.21</t>
        </is>
      </c>
    </row>
    <row r="2911">
      <c r="B2911" t="inlineStr">
        <is>
          <t>Maintenance (Storage) Buildings</t>
        </is>
      </c>
      <c r="C2911" t="inlineStr">
        <is>
          <t>157</t>
        </is>
      </c>
      <c r="D2911" t="inlineStr">
        <is>
          <t>18</t>
        </is>
      </c>
      <c r="E2911" t="inlineStr">
        <is>
          <t>21</t>
        </is>
      </c>
      <c r="F2911" t="inlineStr">
        <is>
          <t>S</t>
        </is>
      </c>
      <c r="G2911" t="inlineStr">
        <is>
          <t>Average</t>
        </is>
      </c>
      <c r="H2911" t="n">
        <v>61.5</v>
      </c>
      <c r="I2911">
        <f>B2911&amp;"|"&amp;F2911&amp;"|"&amp;G2911</f>
        <v/>
      </c>
      <c r="J2911" t="inlineStr">
        <is>
          <t>MVS Sec.18 p.21</t>
        </is>
      </c>
    </row>
    <row r="2912">
      <c r="B2912" t="inlineStr">
        <is>
          <t>Natatoriums</t>
        </is>
      </c>
      <c r="C2912" t="inlineStr">
        <is>
          <t>485</t>
        </is>
      </c>
      <c r="D2912" t="inlineStr">
        <is>
          <t>18</t>
        </is>
      </c>
      <c r="E2912" t="inlineStr">
        <is>
          <t>22</t>
        </is>
      </c>
      <c r="F2912" t="inlineStr">
        <is>
          <t>A-B</t>
        </is>
      </c>
      <c r="G2912" t="inlineStr">
        <is>
          <t>Good</t>
        </is>
      </c>
      <c r="H2912" t="n">
        <v>319</v>
      </c>
      <c r="I2912">
        <f>B2912&amp;"|"&amp;F2912&amp;"|"&amp;G2912</f>
        <v/>
      </c>
      <c r="J2912" t="inlineStr">
        <is>
          <t>MVS Sec.18 p.22</t>
        </is>
      </c>
    </row>
    <row r="2913">
      <c r="B2913" t="inlineStr">
        <is>
          <t>Natatoriums</t>
        </is>
      </c>
      <c r="C2913" t="inlineStr">
        <is>
          <t>485</t>
        </is>
      </c>
      <c r="D2913" t="inlineStr">
        <is>
          <t>18</t>
        </is>
      </c>
      <c r="E2913" t="inlineStr">
        <is>
          <t>22</t>
        </is>
      </c>
      <c r="F2913" t="inlineStr">
        <is>
          <t>A-B</t>
        </is>
      </c>
      <c r="G2913" t="inlineStr">
        <is>
          <t>Average</t>
        </is>
      </c>
      <c r="H2913" t="n">
        <v>234</v>
      </c>
      <c r="I2913">
        <f>B2913&amp;"|"&amp;F2913&amp;"|"&amp;G2913</f>
        <v/>
      </c>
      <c r="J2913" t="inlineStr">
        <is>
          <t>MVS Sec.18 p.22</t>
        </is>
      </c>
    </row>
    <row r="2914">
      <c r="B2914" t="inlineStr">
        <is>
          <t>Natatoriums</t>
        </is>
      </c>
      <c r="C2914" t="inlineStr">
        <is>
          <t>485</t>
        </is>
      </c>
      <c r="D2914" t="inlineStr">
        <is>
          <t>18</t>
        </is>
      </c>
      <c r="E2914" t="inlineStr">
        <is>
          <t>22</t>
        </is>
      </c>
      <c r="F2914" t="inlineStr">
        <is>
          <t>C</t>
        </is>
      </c>
      <c r="G2914" t="inlineStr">
        <is>
          <t>Good</t>
        </is>
      </c>
      <c r="H2914" t="n">
        <v>236</v>
      </c>
      <c r="I2914">
        <f>B2914&amp;"|"&amp;F2914&amp;"|"&amp;G2914</f>
        <v/>
      </c>
      <c r="J2914" t="inlineStr">
        <is>
          <t>MVS Sec.18 p.22</t>
        </is>
      </c>
    </row>
    <row r="2915">
      <c r="B2915" t="inlineStr">
        <is>
          <t>Natatoriums</t>
        </is>
      </c>
      <c r="C2915" t="inlineStr">
        <is>
          <t>485</t>
        </is>
      </c>
      <c r="D2915" t="inlineStr">
        <is>
          <t>18</t>
        </is>
      </c>
      <c r="E2915" t="inlineStr">
        <is>
          <t>22</t>
        </is>
      </c>
      <c r="F2915" t="inlineStr">
        <is>
          <t>C</t>
        </is>
      </c>
      <c r="G2915" t="inlineStr">
        <is>
          <t>Average</t>
        </is>
      </c>
      <c r="H2915" t="n">
        <v>170</v>
      </c>
      <c r="I2915">
        <f>B2915&amp;"|"&amp;F2915&amp;"|"&amp;G2915</f>
        <v/>
      </c>
      <c r="J2915" t="inlineStr">
        <is>
          <t>MVS Sec.18 p.22</t>
        </is>
      </c>
    </row>
    <row r="2916">
      <c r="B2916" t="inlineStr">
        <is>
          <t>Natatoriums</t>
        </is>
      </c>
      <c r="C2916" t="inlineStr">
        <is>
          <t>485</t>
        </is>
      </c>
      <c r="D2916" t="inlineStr">
        <is>
          <t>18</t>
        </is>
      </c>
      <c r="E2916" t="inlineStr">
        <is>
          <t>22</t>
        </is>
      </c>
      <c r="F2916" t="inlineStr">
        <is>
          <t>C</t>
        </is>
      </c>
      <c r="G2916" t="inlineStr">
        <is>
          <t>Low Cost</t>
        </is>
      </c>
      <c r="H2916" t="n">
        <v>124</v>
      </c>
      <c r="I2916">
        <f>B2916&amp;"|"&amp;F2916&amp;"|"&amp;G2916</f>
        <v/>
      </c>
      <c r="J2916" t="inlineStr">
        <is>
          <t>MVS Sec.18 p.22</t>
        </is>
      </c>
    </row>
    <row r="2917">
      <c r="B2917" t="inlineStr">
        <is>
          <t>Natatoriums</t>
        </is>
      </c>
      <c r="C2917" t="inlineStr">
        <is>
          <t>485</t>
        </is>
      </c>
      <c r="D2917" t="inlineStr">
        <is>
          <t>18</t>
        </is>
      </c>
      <c r="E2917" t="inlineStr">
        <is>
          <t>22</t>
        </is>
      </c>
      <c r="F2917" t="inlineStr">
        <is>
          <t>D</t>
        </is>
      </c>
      <c r="G2917" t="inlineStr">
        <is>
          <t>Good</t>
        </is>
      </c>
      <c r="H2917" t="n">
        <v>231</v>
      </c>
      <c r="I2917">
        <f>B2917&amp;"|"&amp;F2917&amp;"|"&amp;G2917</f>
        <v/>
      </c>
      <c r="J2917" t="inlineStr">
        <is>
          <t>MVS Sec.18 p.22</t>
        </is>
      </c>
    </row>
    <row r="2918">
      <c r="B2918" t="inlineStr">
        <is>
          <t>Natatoriums</t>
        </is>
      </c>
      <c r="C2918" t="inlineStr">
        <is>
          <t>485</t>
        </is>
      </c>
      <c r="D2918" t="inlineStr">
        <is>
          <t>18</t>
        </is>
      </c>
      <c r="E2918" t="inlineStr">
        <is>
          <t>22</t>
        </is>
      </c>
      <c r="F2918" t="inlineStr">
        <is>
          <t>D</t>
        </is>
      </c>
      <c r="G2918" t="inlineStr">
        <is>
          <t>Average</t>
        </is>
      </c>
      <c r="H2918" t="n">
        <v>165</v>
      </c>
      <c r="I2918">
        <f>B2918&amp;"|"&amp;F2918&amp;"|"&amp;G2918</f>
        <v/>
      </c>
      <c r="J2918" t="inlineStr">
        <is>
          <t>MVS Sec.18 p.22</t>
        </is>
      </c>
    </row>
    <row r="2919">
      <c r="B2919" t="inlineStr">
        <is>
          <t>Natatoriums</t>
        </is>
      </c>
      <c r="C2919" t="inlineStr">
        <is>
          <t>485</t>
        </is>
      </c>
      <c r="D2919" t="inlineStr">
        <is>
          <t>18</t>
        </is>
      </c>
      <c r="E2919" t="inlineStr">
        <is>
          <t>22</t>
        </is>
      </c>
      <c r="F2919" t="inlineStr">
        <is>
          <t>D</t>
        </is>
      </c>
      <c r="G2919" t="inlineStr">
        <is>
          <t>Low Cost</t>
        </is>
      </c>
      <c r="H2919" t="n">
        <v>119</v>
      </c>
      <c r="I2919">
        <f>B2919&amp;"|"&amp;F2919&amp;"|"&amp;G2919</f>
        <v/>
      </c>
      <c r="J2919" t="inlineStr">
        <is>
          <t>MVS Sec.18 p.22</t>
        </is>
      </c>
    </row>
    <row r="2920">
      <c r="B2920" t="inlineStr">
        <is>
          <t>Natatoriums</t>
        </is>
      </c>
      <c r="C2920" t="inlineStr">
        <is>
          <t>485</t>
        </is>
      </c>
      <c r="D2920" t="inlineStr">
        <is>
          <t>18</t>
        </is>
      </c>
      <c r="E2920" t="inlineStr">
        <is>
          <t>22</t>
        </is>
      </c>
      <c r="F2920" t="inlineStr">
        <is>
          <t>DPOLE</t>
        </is>
      </c>
      <c r="G2920" t="inlineStr">
        <is>
          <t>Low Cost</t>
        </is>
      </c>
      <c r="H2920" t="n">
        <v>112</v>
      </c>
      <c r="I2920">
        <f>B2920&amp;"|"&amp;F2920&amp;"|"&amp;G2920</f>
        <v/>
      </c>
      <c r="J2920" t="inlineStr">
        <is>
          <t>MVS Sec.18 p.22</t>
        </is>
      </c>
    </row>
    <row r="2921">
      <c r="B2921" t="inlineStr">
        <is>
          <t>Natatoriums</t>
        </is>
      </c>
      <c r="C2921" t="inlineStr">
        <is>
          <t>485</t>
        </is>
      </c>
      <c r="D2921" t="inlineStr">
        <is>
          <t>18</t>
        </is>
      </c>
      <c r="E2921" t="inlineStr">
        <is>
          <t>22</t>
        </is>
      </c>
      <c r="F2921" t="inlineStr">
        <is>
          <t>S</t>
        </is>
      </c>
      <c r="G2921" t="inlineStr">
        <is>
          <t>Average</t>
        </is>
      </c>
      <c r="H2921" t="n">
        <v>159</v>
      </c>
      <c r="I2921">
        <f>B2921&amp;"|"&amp;F2921&amp;"|"&amp;G2921</f>
        <v/>
      </c>
      <c r="J2921" t="inlineStr">
        <is>
          <t>MVS Sec.18 p.22</t>
        </is>
      </c>
    </row>
    <row r="2922">
      <c r="B2922" t="inlineStr">
        <is>
          <t>Natatoriums</t>
        </is>
      </c>
      <c r="C2922" t="inlineStr">
        <is>
          <t>485</t>
        </is>
      </c>
      <c r="D2922" t="inlineStr">
        <is>
          <t>18</t>
        </is>
      </c>
      <c r="E2922" t="inlineStr">
        <is>
          <t>22</t>
        </is>
      </c>
      <c r="F2922" t="inlineStr">
        <is>
          <t>S</t>
        </is>
      </c>
      <c r="G2922" t="inlineStr">
        <is>
          <t>Low Cost</t>
        </is>
      </c>
      <c r="H2922" t="n">
        <v>114</v>
      </c>
      <c r="I2922">
        <f>B2922&amp;"|"&amp;F2922&amp;"|"&amp;G2922</f>
        <v/>
      </c>
      <c r="J2922" t="inlineStr">
        <is>
          <t>MVS Sec.18 p.22</t>
        </is>
      </c>
    </row>
    <row r="2923">
      <c r="B2923" t="inlineStr">
        <is>
          <t>Shower Room Buildings</t>
        </is>
      </c>
      <c r="C2923" t="inlineStr">
        <is>
          <t>403</t>
        </is>
      </c>
      <c r="D2923" t="inlineStr">
        <is>
          <t>18</t>
        </is>
      </c>
      <c r="E2923" t="inlineStr">
        <is>
          <t>22</t>
        </is>
      </c>
      <c r="F2923" t="inlineStr">
        <is>
          <t>A-B</t>
        </is>
      </c>
      <c r="G2923" t="inlineStr">
        <is>
          <t>Average</t>
        </is>
      </c>
      <c r="H2923" t="n">
        <v>248</v>
      </c>
      <c r="I2923">
        <f>B2923&amp;"|"&amp;F2923&amp;"|"&amp;G2923</f>
        <v/>
      </c>
      <c r="J2923" t="inlineStr">
        <is>
          <t>MVS Sec.18 p.22</t>
        </is>
      </c>
    </row>
    <row r="2924">
      <c r="B2924" t="inlineStr">
        <is>
          <t>Shower Room Buildings</t>
        </is>
      </c>
      <c r="C2924" t="inlineStr">
        <is>
          <t>403</t>
        </is>
      </c>
      <c r="D2924" t="inlineStr">
        <is>
          <t>18</t>
        </is>
      </c>
      <c r="E2924" t="inlineStr">
        <is>
          <t>22</t>
        </is>
      </c>
      <c r="F2924" t="inlineStr">
        <is>
          <t>C</t>
        </is>
      </c>
      <c r="G2924" t="inlineStr">
        <is>
          <t>Excellent</t>
        </is>
      </c>
      <c r="H2924" t="n">
        <v>330</v>
      </c>
      <c r="I2924">
        <f>B2924&amp;"|"&amp;F2924&amp;"|"&amp;G2924</f>
        <v/>
      </c>
      <c r="J2924" t="inlineStr">
        <is>
          <t>MVS Sec.18 p.22</t>
        </is>
      </c>
    </row>
    <row r="2925">
      <c r="B2925" t="inlineStr">
        <is>
          <t>Shower Room Buildings</t>
        </is>
      </c>
      <c r="C2925" t="inlineStr">
        <is>
          <t>403</t>
        </is>
      </c>
      <c r="D2925" t="inlineStr">
        <is>
          <t>18</t>
        </is>
      </c>
      <c r="E2925" t="inlineStr">
        <is>
          <t>22</t>
        </is>
      </c>
      <c r="F2925" t="inlineStr">
        <is>
          <t>C</t>
        </is>
      </c>
      <c r="G2925" t="inlineStr">
        <is>
          <t>Good</t>
        </is>
      </c>
      <c r="H2925" t="n">
        <v>248</v>
      </c>
      <c r="I2925">
        <f>B2925&amp;"|"&amp;F2925&amp;"|"&amp;G2925</f>
        <v/>
      </c>
      <c r="J2925" t="inlineStr">
        <is>
          <t>MVS Sec.18 p.22</t>
        </is>
      </c>
    </row>
    <row r="2926">
      <c r="B2926" t="inlineStr">
        <is>
          <t>Shower Room Buildings</t>
        </is>
      </c>
      <c r="C2926" t="inlineStr">
        <is>
          <t>403</t>
        </is>
      </c>
      <c r="D2926" t="inlineStr">
        <is>
          <t>18</t>
        </is>
      </c>
      <c r="E2926" t="inlineStr">
        <is>
          <t>22</t>
        </is>
      </c>
      <c r="F2926" t="inlineStr">
        <is>
          <t>C</t>
        </is>
      </c>
      <c r="G2926" t="inlineStr">
        <is>
          <t>Average</t>
        </is>
      </c>
      <c r="H2926" t="n">
        <v>191</v>
      </c>
      <c r="I2926">
        <f>B2926&amp;"|"&amp;F2926&amp;"|"&amp;G2926</f>
        <v/>
      </c>
      <c r="J2926" t="inlineStr">
        <is>
          <t>MVS Sec.18 p.22</t>
        </is>
      </c>
    </row>
    <row r="2927">
      <c r="B2927" t="inlineStr">
        <is>
          <t>Shower Room Buildings</t>
        </is>
      </c>
      <c r="C2927" t="inlineStr">
        <is>
          <t>403</t>
        </is>
      </c>
      <c r="D2927" t="inlineStr">
        <is>
          <t>18</t>
        </is>
      </c>
      <c r="E2927" t="inlineStr">
        <is>
          <t>22</t>
        </is>
      </c>
      <c r="F2927" t="inlineStr">
        <is>
          <t>C</t>
        </is>
      </c>
      <c r="G2927" t="inlineStr">
        <is>
          <t>Low Cost</t>
        </is>
      </c>
      <c r="H2927" t="n">
        <v>147</v>
      </c>
      <c r="I2927">
        <f>B2927&amp;"|"&amp;F2927&amp;"|"&amp;G2927</f>
        <v/>
      </c>
      <c r="J2927" t="inlineStr">
        <is>
          <t>MVS Sec.18 p.22</t>
        </is>
      </c>
    </row>
    <row r="2928">
      <c r="B2928" t="inlineStr">
        <is>
          <t>Shower Room Buildings</t>
        </is>
      </c>
      <c r="C2928" t="inlineStr">
        <is>
          <t>403</t>
        </is>
      </c>
      <c r="D2928" t="inlineStr">
        <is>
          <t>18</t>
        </is>
      </c>
      <c r="E2928" t="inlineStr">
        <is>
          <t>22</t>
        </is>
      </c>
      <c r="F2928" t="inlineStr">
        <is>
          <t>C</t>
        </is>
      </c>
      <c r="G2928" t="inlineStr">
        <is>
          <t>Cheap</t>
        </is>
      </c>
      <c r="H2928" t="n">
        <v>105</v>
      </c>
      <c r="I2928">
        <f>B2928&amp;"|"&amp;F2928&amp;"|"&amp;G2928</f>
        <v/>
      </c>
      <c r="J2928" t="inlineStr">
        <is>
          <t>MVS Sec.18 p.22</t>
        </is>
      </c>
    </row>
    <row r="2929">
      <c r="B2929" t="inlineStr">
        <is>
          <t>Shower Room Buildings</t>
        </is>
      </c>
      <c r="C2929" t="inlineStr">
        <is>
          <t>403</t>
        </is>
      </c>
      <c r="D2929" t="inlineStr">
        <is>
          <t>18</t>
        </is>
      </c>
      <c r="E2929" t="inlineStr">
        <is>
          <t>22</t>
        </is>
      </c>
      <c r="F2929" t="inlineStr">
        <is>
          <t>D</t>
        </is>
      </c>
      <c r="G2929" t="inlineStr">
        <is>
          <t>Good</t>
        </is>
      </c>
      <c r="H2929" t="n">
        <v>242</v>
      </c>
      <c r="I2929">
        <f>B2929&amp;"|"&amp;F2929&amp;"|"&amp;G2929</f>
        <v/>
      </c>
      <c r="J2929" t="inlineStr">
        <is>
          <t>MVS Sec.18 p.22</t>
        </is>
      </c>
    </row>
    <row r="2930">
      <c r="B2930" t="inlineStr">
        <is>
          <t>Shower Room Buildings</t>
        </is>
      </c>
      <c r="C2930" t="inlineStr">
        <is>
          <t>403</t>
        </is>
      </c>
      <c r="D2930" t="inlineStr">
        <is>
          <t>18</t>
        </is>
      </c>
      <c r="E2930" t="inlineStr">
        <is>
          <t>22</t>
        </is>
      </c>
      <c r="F2930" t="inlineStr">
        <is>
          <t>D</t>
        </is>
      </c>
      <c r="G2930" t="inlineStr">
        <is>
          <t>Average</t>
        </is>
      </c>
      <c r="H2930" t="n">
        <v>184</v>
      </c>
      <c r="I2930">
        <f>B2930&amp;"|"&amp;F2930&amp;"|"&amp;G2930</f>
        <v/>
      </c>
      <c r="J2930" t="inlineStr">
        <is>
          <t>MVS Sec.18 p.22</t>
        </is>
      </c>
    </row>
    <row r="2931">
      <c r="B2931" t="inlineStr">
        <is>
          <t>Shower Room Buildings</t>
        </is>
      </c>
      <c r="C2931" t="inlineStr">
        <is>
          <t>403</t>
        </is>
      </c>
      <c r="D2931" t="inlineStr">
        <is>
          <t>18</t>
        </is>
      </c>
      <c r="E2931" t="inlineStr">
        <is>
          <t>22</t>
        </is>
      </c>
      <c r="F2931" t="inlineStr">
        <is>
          <t>D</t>
        </is>
      </c>
      <c r="G2931" t="inlineStr">
        <is>
          <t>Low Cost</t>
        </is>
      </c>
      <c r="H2931" t="n">
        <v>141</v>
      </c>
      <c r="I2931">
        <f>B2931&amp;"|"&amp;F2931&amp;"|"&amp;G2931</f>
        <v/>
      </c>
      <c r="J2931" t="inlineStr">
        <is>
          <t>MVS Sec.18 p.22</t>
        </is>
      </c>
    </row>
    <row r="2932">
      <c r="B2932" t="inlineStr">
        <is>
          <t>Shower Room Buildings</t>
        </is>
      </c>
      <c r="C2932" t="inlineStr">
        <is>
          <t>403</t>
        </is>
      </c>
      <c r="D2932" t="inlineStr">
        <is>
          <t>18</t>
        </is>
      </c>
      <c r="E2932" t="inlineStr">
        <is>
          <t>22</t>
        </is>
      </c>
      <c r="F2932" t="inlineStr">
        <is>
          <t>D</t>
        </is>
      </c>
      <c r="G2932" t="inlineStr">
        <is>
          <t>Cheap</t>
        </is>
      </c>
      <c r="H2932" t="n">
        <v>96</v>
      </c>
      <c r="I2932">
        <f>B2932&amp;"|"&amp;F2932&amp;"|"&amp;G2932</f>
        <v/>
      </c>
      <c r="J2932" t="inlineStr">
        <is>
          <t>MVS Sec.18 p.22</t>
        </is>
      </c>
    </row>
    <row r="2933">
      <c r="B2933" t="inlineStr">
        <is>
          <t>Shower Room Buildings</t>
        </is>
      </c>
      <c r="C2933" t="inlineStr">
        <is>
          <t>403</t>
        </is>
      </c>
      <c r="D2933" t="inlineStr">
        <is>
          <t>18</t>
        </is>
      </c>
      <c r="E2933" t="inlineStr">
        <is>
          <t>22</t>
        </is>
      </c>
      <c r="F2933" t="inlineStr">
        <is>
          <t>DPOLE</t>
        </is>
      </c>
      <c r="G2933" t="inlineStr">
        <is>
          <t>Average</t>
        </is>
      </c>
      <c r="H2933" t="n">
        <v>170</v>
      </c>
      <c r="I2933">
        <f>B2933&amp;"|"&amp;F2933&amp;"|"&amp;G2933</f>
        <v/>
      </c>
      <c r="J2933" t="inlineStr">
        <is>
          <t>MVS Sec.18 p.22</t>
        </is>
      </c>
    </row>
    <row r="2934">
      <c r="B2934" t="inlineStr">
        <is>
          <t>Shower Room Buildings</t>
        </is>
      </c>
      <c r="C2934" t="inlineStr">
        <is>
          <t>403</t>
        </is>
      </c>
      <c r="D2934" t="inlineStr">
        <is>
          <t>18</t>
        </is>
      </c>
      <c r="E2934" t="inlineStr">
        <is>
          <t>22</t>
        </is>
      </c>
      <c r="F2934" t="inlineStr">
        <is>
          <t>DPOLE</t>
        </is>
      </c>
      <c r="G2934" t="inlineStr">
        <is>
          <t>Low Cost</t>
        </is>
      </c>
      <c r="H2934" t="n">
        <v>133</v>
      </c>
      <c r="I2934">
        <f>B2934&amp;"|"&amp;F2934&amp;"|"&amp;G2934</f>
        <v/>
      </c>
      <c r="J2934" t="inlineStr">
        <is>
          <t>MVS Sec.18 p.22</t>
        </is>
      </c>
    </row>
    <row r="2935">
      <c r="B2935" t="inlineStr">
        <is>
          <t>Shower Room Buildings</t>
        </is>
      </c>
      <c r="C2935" t="inlineStr">
        <is>
          <t>403</t>
        </is>
      </c>
      <c r="D2935" t="inlineStr">
        <is>
          <t>18</t>
        </is>
      </c>
      <c r="E2935" t="inlineStr">
        <is>
          <t>22</t>
        </is>
      </c>
      <c r="F2935" t="inlineStr">
        <is>
          <t>S</t>
        </is>
      </c>
      <c r="G2935" t="inlineStr">
        <is>
          <t>Average</t>
        </is>
      </c>
      <c r="H2935" t="n">
        <v>171</v>
      </c>
      <c r="I2935">
        <f>B2935&amp;"|"&amp;F2935&amp;"|"&amp;G2935</f>
        <v/>
      </c>
      <c r="J2935" t="inlineStr">
        <is>
          <t>MVS Sec.18 p.22</t>
        </is>
      </c>
    </row>
    <row r="2936">
      <c r="B2936" t="inlineStr">
        <is>
          <t>Shower Room Buildings</t>
        </is>
      </c>
      <c r="C2936" t="inlineStr">
        <is>
          <t>403</t>
        </is>
      </c>
      <c r="D2936" t="inlineStr">
        <is>
          <t>18</t>
        </is>
      </c>
      <c r="E2936" t="inlineStr">
        <is>
          <t>22</t>
        </is>
      </c>
      <c r="F2936" t="inlineStr">
        <is>
          <t>S</t>
        </is>
      </c>
      <c r="G2936" t="inlineStr">
        <is>
          <t>Low Cost</t>
        </is>
      </c>
      <c r="H2936" t="n">
        <v>134</v>
      </c>
      <c r="I2936">
        <f>B2936&amp;"|"&amp;F2936&amp;"|"&amp;G2936</f>
        <v/>
      </c>
      <c r="J2936" t="inlineStr">
        <is>
          <t>MVS Sec.18 p.22</t>
        </is>
      </c>
    </row>
    <row r="2937">
      <c r="B2937" t="inlineStr">
        <is>
          <t>Fieldhouses</t>
        </is>
      </c>
      <c r="C2937" t="inlineStr">
        <is>
          <t>486</t>
        </is>
      </c>
      <c r="D2937" t="inlineStr">
        <is>
          <t>18</t>
        </is>
      </c>
      <c r="E2937" t="inlineStr">
        <is>
          <t>23</t>
        </is>
      </c>
      <c r="F2937" t="inlineStr">
        <is>
          <t>A-B</t>
        </is>
      </c>
      <c r="G2937" t="inlineStr">
        <is>
          <t>Good</t>
        </is>
      </c>
      <c r="H2937" t="n">
        <v>332</v>
      </c>
      <c r="I2937">
        <f>B2937&amp;"|"&amp;F2937&amp;"|"&amp;G2937</f>
        <v/>
      </c>
      <c r="J2937" t="inlineStr">
        <is>
          <t>MVS Sec.18 p.23</t>
        </is>
      </c>
    </row>
    <row r="2938">
      <c r="B2938" t="inlineStr">
        <is>
          <t>Fieldhouses</t>
        </is>
      </c>
      <c r="C2938" t="inlineStr">
        <is>
          <t>486</t>
        </is>
      </c>
      <c r="D2938" t="inlineStr">
        <is>
          <t>18</t>
        </is>
      </c>
      <c r="E2938" t="inlineStr">
        <is>
          <t>23</t>
        </is>
      </c>
      <c r="F2938" t="inlineStr">
        <is>
          <t>A-B</t>
        </is>
      </c>
      <c r="G2938" t="inlineStr">
        <is>
          <t>Average</t>
        </is>
      </c>
      <c r="H2938" t="n">
        <v>218</v>
      </c>
      <c r="I2938">
        <f>B2938&amp;"|"&amp;F2938&amp;"|"&amp;G2938</f>
        <v/>
      </c>
      <c r="J2938" t="inlineStr">
        <is>
          <t>MVS Sec.18 p.23</t>
        </is>
      </c>
    </row>
    <row r="2939">
      <c r="B2939" t="inlineStr">
        <is>
          <t>Fieldhouses</t>
        </is>
      </c>
      <c r="C2939" t="inlineStr">
        <is>
          <t>486</t>
        </is>
      </c>
      <c r="D2939" t="inlineStr">
        <is>
          <t>18</t>
        </is>
      </c>
      <c r="E2939" t="inlineStr">
        <is>
          <t>23</t>
        </is>
      </c>
      <c r="F2939" t="inlineStr">
        <is>
          <t>C</t>
        </is>
      </c>
      <c r="G2939" t="inlineStr">
        <is>
          <t>Excellent</t>
        </is>
      </c>
      <c r="H2939" t="n">
        <v>327</v>
      </c>
      <c r="I2939">
        <f>B2939&amp;"|"&amp;F2939&amp;"|"&amp;G2939</f>
        <v/>
      </c>
      <c r="J2939" t="inlineStr">
        <is>
          <t>MVS Sec.18 p.23</t>
        </is>
      </c>
    </row>
    <row r="2940">
      <c r="B2940" t="inlineStr">
        <is>
          <t>Fieldhouses</t>
        </is>
      </c>
      <c r="C2940" t="inlineStr">
        <is>
          <t>486</t>
        </is>
      </c>
      <c r="D2940" t="inlineStr">
        <is>
          <t>18</t>
        </is>
      </c>
      <c r="E2940" t="inlineStr">
        <is>
          <t>23</t>
        </is>
      </c>
      <c r="F2940" t="inlineStr">
        <is>
          <t>C</t>
        </is>
      </c>
      <c r="G2940" t="inlineStr">
        <is>
          <t>Good</t>
        </is>
      </c>
      <c r="H2940" t="n">
        <v>214</v>
      </c>
      <c r="I2940">
        <f>B2940&amp;"|"&amp;F2940&amp;"|"&amp;G2940</f>
        <v/>
      </c>
      <c r="J2940" t="inlineStr">
        <is>
          <t>MVS Sec.18 p.23</t>
        </is>
      </c>
    </row>
    <row r="2941">
      <c r="B2941" t="inlineStr">
        <is>
          <t>Fieldhouses</t>
        </is>
      </c>
      <c r="C2941" t="inlineStr">
        <is>
          <t>486</t>
        </is>
      </c>
      <c r="D2941" t="inlineStr">
        <is>
          <t>18</t>
        </is>
      </c>
      <c r="E2941" t="inlineStr">
        <is>
          <t>23</t>
        </is>
      </c>
      <c r="F2941" t="inlineStr">
        <is>
          <t>C</t>
        </is>
      </c>
      <c r="G2941" t="inlineStr">
        <is>
          <t>Average</t>
        </is>
      </c>
      <c r="H2941" t="n">
        <v>139</v>
      </c>
      <c r="I2941">
        <f>B2941&amp;"|"&amp;F2941&amp;"|"&amp;G2941</f>
        <v/>
      </c>
      <c r="J2941" t="inlineStr">
        <is>
          <t>MVS Sec.18 p.23</t>
        </is>
      </c>
    </row>
    <row r="2942">
      <c r="B2942" t="inlineStr">
        <is>
          <t>Fieldhouses</t>
        </is>
      </c>
      <c r="C2942" t="inlineStr">
        <is>
          <t>486</t>
        </is>
      </c>
      <c r="D2942" t="inlineStr">
        <is>
          <t>18</t>
        </is>
      </c>
      <c r="E2942" t="inlineStr">
        <is>
          <t>23</t>
        </is>
      </c>
      <c r="F2942" t="inlineStr">
        <is>
          <t>C</t>
        </is>
      </c>
      <c r="G2942" t="inlineStr">
        <is>
          <t>Low Cost</t>
        </is>
      </c>
      <c r="H2942" t="n">
        <v>82.5</v>
      </c>
      <c r="I2942">
        <f>B2942&amp;"|"&amp;F2942&amp;"|"&amp;G2942</f>
        <v/>
      </c>
      <c r="J2942" t="inlineStr">
        <is>
          <t>MVS Sec.18 p.23</t>
        </is>
      </c>
    </row>
    <row r="2943">
      <c r="B2943" t="inlineStr">
        <is>
          <t>Fieldhouses</t>
        </is>
      </c>
      <c r="C2943" t="inlineStr">
        <is>
          <t>486</t>
        </is>
      </c>
      <c r="D2943" t="inlineStr">
        <is>
          <t>18</t>
        </is>
      </c>
      <c r="E2943" t="inlineStr">
        <is>
          <t>23</t>
        </is>
      </c>
      <c r="F2943" t="inlineStr">
        <is>
          <t>D</t>
        </is>
      </c>
      <c r="G2943" t="inlineStr">
        <is>
          <t>Excellent</t>
        </is>
      </c>
      <c r="H2943" t="n">
        <v>323</v>
      </c>
      <c r="I2943">
        <f>B2943&amp;"|"&amp;F2943&amp;"|"&amp;G2943</f>
        <v/>
      </c>
      <c r="J2943" t="inlineStr">
        <is>
          <t>MVS Sec.18 p.23</t>
        </is>
      </c>
    </row>
    <row r="2944">
      <c r="B2944" t="inlineStr">
        <is>
          <t>Fieldhouses</t>
        </is>
      </c>
      <c r="C2944" t="inlineStr">
        <is>
          <t>486</t>
        </is>
      </c>
      <c r="D2944" t="inlineStr">
        <is>
          <t>18</t>
        </is>
      </c>
      <c r="E2944" t="inlineStr">
        <is>
          <t>23</t>
        </is>
      </c>
      <c r="F2944" t="inlineStr">
        <is>
          <t>D</t>
        </is>
      </c>
      <c r="G2944" t="inlineStr">
        <is>
          <t>Good</t>
        </is>
      </c>
      <c r="H2944" t="n">
        <v>208</v>
      </c>
      <c r="I2944">
        <f>B2944&amp;"|"&amp;F2944&amp;"|"&amp;G2944</f>
        <v/>
      </c>
      <c r="J2944" t="inlineStr">
        <is>
          <t>MVS Sec.18 p.23</t>
        </is>
      </c>
    </row>
    <row r="2945">
      <c r="B2945" t="inlineStr">
        <is>
          <t>Fieldhouses</t>
        </is>
      </c>
      <c r="C2945" t="inlineStr">
        <is>
          <t>486</t>
        </is>
      </c>
      <c r="D2945" t="inlineStr">
        <is>
          <t>18</t>
        </is>
      </c>
      <c r="E2945" t="inlineStr">
        <is>
          <t>23</t>
        </is>
      </c>
      <c r="F2945" t="inlineStr">
        <is>
          <t>D</t>
        </is>
      </c>
      <c r="G2945" t="inlineStr">
        <is>
          <t>Average</t>
        </is>
      </c>
      <c r="H2945" t="n">
        <v>133</v>
      </c>
      <c r="I2945">
        <f>B2945&amp;"|"&amp;F2945&amp;"|"&amp;G2945</f>
        <v/>
      </c>
      <c r="J2945" t="inlineStr">
        <is>
          <t>MVS Sec.18 p.23</t>
        </is>
      </c>
    </row>
    <row r="2946">
      <c r="B2946" t="inlineStr">
        <is>
          <t>Fieldhouses</t>
        </is>
      </c>
      <c r="C2946" t="inlineStr">
        <is>
          <t>486</t>
        </is>
      </c>
      <c r="D2946" t="inlineStr">
        <is>
          <t>18</t>
        </is>
      </c>
      <c r="E2946" t="inlineStr">
        <is>
          <t>23</t>
        </is>
      </c>
      <c r="F2946" t="inlineStr">
        <is>
          <t>D</t>
        </is>
      </c>
      <c r="G2946" t="inlineStr">
        <is>
          <t>Low Cost</t>
        </is>
      </c>
      <c r="H2946" t="n">
        <v>77</v>
      </c>
      <c r="I2946">
        <f>B2946&amp;"|"&amp;F2946&amp;"|"&amp;G2946</f>
        <v/>
      </c>
      <c r="J2946" t="inlineStr">
        <is>
          <t>MVS Sec.18 p.23</t>
        </is>
      </c>
    </row>
    <row r="2947">
      <c r="B2947" t="inlineStr">
        <is>
          <t>Fieldhouses</t>
        </is>
      </c>
      <c r="C2947" t="inlineStr">
        <is>
          <t>486</t>
        </is>
      </c>
      <c r="D2947" t="inlineStr">
        <is>
          <t>18</t>
        </is>
      </c>
      <c r="E2947" t="inlineStr">
        <is>
          <t>23</t>
        </is>
      </c>
      <c r="F2947" t="inlineStr">
        <is>
          <t>DPOLE</t>
        </is>
      </c>
      <c r="G2947" t="inlineStr">
        <is>
          <t>Average</t>
        </is>
      </c>
      <c r="H2947" t="n">
        <v>124</v>
      </c>
      <c r="I2947">
        <f>B2947&amp;"|"&amp;F2947&amp;"|"&amp;G2947</f>
        <v/>
      </c>
      <c r="J2947" t="inlineStr">
        <is>
          <t>MVS Sec.18 p.23</t>
        </is>
      </c>
    </row>
    <row r="2948">
      <c r="B2948" t="inlineStr">
        <is>
          <t>Fieldhouses</t>
        </is>
      </c>
      <c r="C2948" t="inlineStr">
        <is>
          <t>486</t>
        </is>
      </c>
      <c r="D2948" t="inlineStr">
        <is>
          <t>18</t>
        </is>
      </c>
      <c r="E2948" t="inlineStr">
        <is>
          <t>23</t>
        </is>
      </c>
      <c r="F2948" t="inlineStr">
        <is>
          <t>DPOLE</t>
        </is>
      </c>
      <c r="G2948" t="inlineStr">
        <is>
          <t>Low Cost</t>
        </is>
      </c>
      <c r="H2948" t="n">
        <v>71</v>
      </c>
      <c r="I2948">
        <f>B2948&amp;"|"&amp;F2948&amp;"|"&amp;G2948</f>
        <v/>
      </c>
      <c r="J2948" t="inlineStr">
        <is>
          <t>MVS Sec.18 p.23</t>
        </is>
      </c>
    </row>
    <row r="2949">
      <c r="B2949" t="inlineStr">
        <is>
          <t>Fieldhouses</t>
        </is>
      </c>
      <c r="C2949" t="inlineStr">
        <is>
          <t>486</t>
        </is>
      </c>
      <c r="D2949" t="inlineStr">
        <is>
          <t>18</t>
        </is>
      </c>
      <c r="E2949" t="inlineStr">
        <is>
          <t>23</t>
        </is>
      </c>
      <c r="F2949" t="inlineStr">
        <is>
          <t>DPOLE</t>
        </is>
      </c>
      <c r="G2949" t="inlineStr">
        <is>
          <t>Cheap</t>
        </is>
      </c>
      <c r="H2949" t="n">
        <v>55.5</v>
      </c>
      <c r="I2949">
        <f>B2949&amp;"|"&amp;F2949&amp;"|"&amp;G2949</f>
        <v/>
      </c>
      <c r="J2949" t="inlineStr">
        <is>
          <t>MVS Sec.18 p.23</t>
        </is>
      </c>
    </row>
    <row r="2950">
      <c r="B2950" t="inlineStr">
        <is>
          <t>Fieldhouses</t>
        </is>
      </c>
      <c r="C2950" t="inlineStr">
        <is>
          <t>486</t>
        </is>
      </c>
      <c r="D2950" t="inlineStr">
        <is>
          <t>18</t>
        </is>
      </c>
      <c r="E2950" t="inlineStr">
        <is>
          <t>23</t>
        </is>
      </c>
      <c r="F2950" t="inlineStr">
        <is>
          <t>S</t>
        </is>
      </c>
      <c r="G2950" t="inlineStr">
        <is>
          <t>Good</t>
        </is>
      </c>
      <c r="H2950" t="n">
        <v>202</v>
      </c>
      <c r="I2950">
        <f>B2950&amp;"|"&amp;F2950&amp;"|"&amp;G2950</f>
        <v/>
      </c>
      <c r="J2950" t="inlineStr">
        <is>
          <t>MVS Sec.18 p.23</t>
        </is>
      </c>
    </row>
    <row r="2951">
      <c r="B2951" t="inlineStr">
        <is>
          <t>Fieldhouses</t>
        </is>
      </c>
      <c r="C2951" t="inlineStr">
        <is>
          <t>486</t>
        </is>
      </c>
      <c r="D2951" t="inlineStr">
        <is>
          <t>18</t>
        </is>
      </c>
      <c r="E2951" t="inlineStr">
        <is>
          <t>23</t>
        </is>
      </c>
      <c r="F2951" t="inlineStr">
        <is>
          <t>S</t>
        </is>
      </c>
      <c r="G2951" t="inlineStr">
        <is>
          <t>Average</t>
        </is>
      </c>
      <c r="H2951" t="n">
        <v>127</v>
      </c>
      <c r="I2951">
        <f>B2951&amp;"|"&amp;F2951&amp;"|"&amp;G2951</f>
        <v/>
      </c>
      <c r="J2951" t="inlineStr">
        <is>
          <t>MVS Sec.18 p.23</t>
        </is>
      </c>
    </row>
    <row r="2952">
      <c r="B2952" t="inlineStr">
        <is>
          <t>Fieldhouses</t>
        </is>
      </c>
      <c r="C2952" t="inlineStr">
        <is>
          <t>486</t>
        </is>
      </c>
      <c r="D2952" t="inlineStr">
        <is>
          <t>18</t>
        </is>
      </c>
      <c r="E2952" t="inlineStr">
        <is>
          <t>23</t>
        </is>
      </c>
      <c r="F2952" t="inlineStr">
        <is>
          <t>S</t>
        </is>
      </c>
      <c r="G2952" t="inlineStr">
        <is>
          <t>Low Cost</t>
        </is>
      </c>
      <c r="H2952" t="n">
        <v>72.5</v>
      </c>
      <c r="I2952">
        <f>B2952&amp;"|"&amp;F2952&amp;"|"&amp;G2952</f>
        <v/>
      </c>
      <c r="J2952" t="inlineStr">
        <is>
          <t>MVS Sec.18 p.23</t>
        </is>
      </c>
    </row>
    <row r="2953">
      <c r="B2953" t="inlineStr">
        <is>
          <t>Fieldhouses</t>
        </is>
      </c>
      <c r="C2953" t="inlineStr">
        <is>
          <t>486</t>
        </is>
      </c>
      <c r="D2953" t="inlineStr">
        <is>
          <t>18</t>
        </is>
      </c>
      <c r="E2953" t="inlineStr">
        <is>
          <t>23</t>
        </is>
      </c>
      <c r="F2953" t="inlineStr">
        <is>
          <t>S</t>
        </is>
      </c>
      <c r="G2953" t="inlineStr">
        <is>
          <t>Cheap</t>
        </is>
      </c>
      <c r="H2953" t="n">
        <v>57</v>
      </c>
      <c r="I2953">
        <f>B2953&amp;"|"&amp;F2953&amp;"|"&amp;G2953</f>
        <v/>
      </c>
      <c r="J2953" t="inlineStr">
        <is>
          <t>MVS Sec.18 p.23</t>
        </is>
      </c>
    </row>
    <row r="2954">
      <c r="B2954" t="inlineStr">
        <is>
          <t>Physical Education Buildings</t>
        </is>
      </c>
      <c r="C2954" t="inlineStr">
        <is>
          <t>375</t>
        </is>
      </c>
      <c r="D2954" t="inlineStr">
        <is>
          <t>18</t>
        </is>
      </c>
      <c r="E2954" t="inlineStr">
        <is>
          <t>24</t>
        </is>
      </c>
      <c r="F2954" t="inlineStr">
        <is>
          <t>A-B</t>
        </is>
      </c>
      <c r="G2954" t="inlineStr">
        <is>
          <t>Good</t>
        </is>
      </c>
      <c r="H2954" t="n">
        <v>316</v>
      </c>
      <c r="I2954">
        <f>B2954&amp;"|"&amp;F2954&amp;"|"&amp;G2954</f>
        <v/>
      </c>
      <c r="J2954" t="inlineStr">
        <is>
          <t>MVS Sec.18 p.24</t>
        </is>
      </c>
    </row>
    <row r="2955">
      <c r="B2955" t="inlineStr">
        <is>
          <t>Physical Education Buildings</t>
        </is>
      </c>
      <c r="C2955" t="inlineStr">
        <is>
          <t>375</t>
        </is>
      </c>
      <c r="D2955" t="inlineStr">
        <is>
          <t>18</t>
        </is>
      </c>
      <c r="E2955" t="inlineStr">
        <is>
          <t>24</t>
        </is>
      </c>
      <c r="F2955" t="inlineStr">
        <is>
          <t>A-B</t>
        </is>
      </c>
      <c r="G2955" t="inlineStr">
        <is>
          <t>Average</t>
        </is>
      </c>
      <c r="H2955" t="n">
        <v>230</v>
      </c>
      <c r="I2955">
        <f>B2955&amp;"|"&amp;F2955&amp;"|"&amp;G2955</f>
        <v/>
      </c>
      <c r="J2955" t="inlineStr">
        <is>
          <t>MVS Sec.18 p.24</t>
        </is>
      </c>
    </row>
    <row r="2956">
      <c r="B2956" t="inlineStr">
        <is>
          <t>Physical Education Buildings</t>
        </is>
      </c>
      <c r="C2956" t="inlineStr">
        <is>
          <t>375</t>
        </is>
      </c>
      <c r="D2956" t="inlineStr">
        <is>
          <t>18</t>
        </is>
      </c>
      <c r="E2956" t="inlineStr">
        <is>
          <t>24</t>
        </is>
      </c>
      <c r="F2956" t="inlineStr">
        <is>
          <t>C</t>
        </is>
      </c>
      <c r="G2956" t="inlineStr">
        <is>
          <t>Excellent</t>
        </is>
      </c>
      <c r="H2956" t="n">
        <v>313</v>
      </c>
      <c r="I2956">
        <f>B2956&amp;"|"&amp;F2956&amp;"|"&amp;G2956</f>
        <v/>
      </c>
      <c r="J2956" t="inlineStr">
        <is>
          <t>MVS Sec.18 p.24</t>
        </is>
      </c>
    </row>
    <row r="2957">
      <c r="B2957" t="inlineStr">
        <is>
          <t>Physical Education Buildings</t>
        </is>
      </c>
      <c r="C2957" t="inlineStr">
        <is>
          <t>375</t>
        </is>
      </c>
      <c r="D2957" t="inlineStr">
        <is>
          <t>18</t>
        </is>
      </c>
      <c r="E2957" t="inlineStr">
        <is>
          <t>24</t>
        </is>
      </c>
      <c r="F2957" t="inlineStr">
        <is>
          <t>C</t>
        </is>
      </c>
      <c r="G2957" t="inlineStr">
        <is>
          <t>Good</t>
        </is>
      </c>
      <c r="H2957" t="n">
        <v>229</v>
      </c>
      <c r="I2957">
        <f>B2957&amp;"|"&amp;F2957&amp;"|"&amp;G2957</f>
        <v/>
      </c>
      <c r="J2957" t="inlineStr">
        <is>
          <t>MVS Sec.18 p.24</t>
        </is>
      </c>
    </row>
    <row r="2958">
      <c r="B2958" t="inlineStr">
        <is>
          <t>Physical Education Buildings</t>
        </is>
      </c>
      <c r="C2958" t="inlineStr">
        <is>
          <t>375</t>
        </is>
      </c>
      <c r="D2958" t="inlineStr">
        <is>
          <t>18</t>
        </is>
      </c>
      <c r="E2958" t="inlineStr">
        <is>
          <t>24</t>
        </is>
      </c>
      <c r="F2958" t="inlineStr">
        <is>
          <t>C</t>
        </is>
      </c>
      <c r="G2958" t="inlineStr">
        <is>
          <t>Average</t>
        </is>
      </c>
      <c r="H2958" t="n">
        <v>167</v>
      </c>
      <c r="I2958">
        <f>B2958&amp;"|"&amp;F2958&amp;"|"&amp;G2958</f>
        <v/>
      </c>
      <c r="J2958" t="inlineStr">
        <is>
          <t>MVS Sec.18 p.24</t>
        </is>
      </c>
    </row>
    <row r="2959">
      <c r="B2959" t="inlineStr">
        <is>
          <t>Physical Education Buildings</t>
        </is>
      </c>
      <c r="C2959" t="inlineStr">
        <is>
          <t>375</t>
        </is>
      </c>
      <c r="D2959" t="inlineStr">
        <is>
          <t>18</t>
        </is>
      </c>
      <c r="E2959" t="inlineStr">
        <is>
          <t>24</t>
        </is>
      </c>
      <c r="F2959" t="inlineStr">
        <is>
          <t>C</t>
        </is>
      </c>
      <c r="G2959" t="inlineStr">
        <is>
          <t>Low Cost</t>
        </is>
      </c>
      <c r="H2959" t="n">
        <v>113</v>
      </c>
      <c r="I2959">
        <f>B2959&amp;"|"&amp;F2959&amp;"|"&amp;G2959</f>
        <v/>
      </c>
      <c r="J2959" t="inlineStr">
        <is>
          <t>MVS Sec.18 p.24</t>
        </is>
      </c>
    </row>
    <row r="2960">
      <c r="B2960" t="inlineStr">
        <is>
          <t>Physical Education Buildings</t>
        </is>
      </c>
      <c r="C2960" t="inlineStr">
        <is>
          <t>375</t>
        </is>
      </c>
      <c r="D2960" t="inlineStr">
        <is>
          <t>18</t>
        </is>
      </c>
      <c r="E2960" t="inlineStr">
        <is>
          <t>24</t>
        </is>
      </c>
      <c r="F2960" t="inlineStr">
        <is>
          <t>D</t>
        </is>
      </c>
      <c r="G2960" t="inlineStr">
        <is>
          <t>Excellent</t>
        </is>
      </c>
      <c r="H2960" t="n">
        <v>308</v>
      </c>
      <c r="I2960">
        <f>B2960&amp;"|"&amp;F2960&amp;"|"&amp;G2960</f>
        <v/>
      </c>
      <c r="J2960" t="inlineStr">
        <is>
          <t>MVS Sec.18 p.24</t>
        </is>
      </c>
    </row>
    <row r="2961">
      <c r="B2961" t="inlineStr">
        <is>
          <t>Physical Education Buildings</t>
        </is>
      </c>
      <c r="C2961" t="inlineStr">
        <is>
          <t>375</t>
        </is>
      </c>
      <c r="D2961" t="inlineStr">
        <is>
          <t>18</t>
        </is>
      </c>
      <c r="E2961" t="inlineStr">
        <is>
          <t>24</t>
        </is>
      </c>
      <c r="F2961" t="inlineStr">
        <is>
          <t>D</t>
        </is>
      </c>
      <c r="G2961" t="inlineStr">
        <is>
          <t>Good</t>
        </is>
      </c>
      <c r="H2961" t="n">
        <v>224</v>
      </c>
      <c r="I2961">
        <f>B2961&amp;"|"&amp;F2961&amp;"|"&amp;G2961</f>
        <v/>
      </c>
      <c r="J2961" t="inlineStr">
        <is>
          <t>MVS Sec.18 p.24</t>
        </is>
      </c>
    </row>
    <row r="2962">
      <c r="B2962" t="inlineStr">
        <is>
          <t>Physical Education Buildings</t>
        </is>
      </c>
      <c r="C2962" t="inlineStr">
        <is>
          <t>375</t>
        </is>
      </c>
      <c r="D2962" t="inlineStr">
        <is>
          <t>18</t>
        </is>
      </c>
      <c r="E2962" t="inlineStr">
        <is>
          <t>24</t>
        </is>
      </c>
      <c r="F2962" t="inlineStr">
        <is>
          <t>D</t>
        </is>
      </c>
      <c r="G2962" t="inlineStr">
        <is>
          <t>Average</t>
        </is>
      </c>
      <c r="H2962" t="n">
        <v>161</v>
      </c>
      <c r="I2962">
        <f>B2962&amp;"|"&amp;F2962&amp;"|"&amp;G2962</f>
        <v/>
      </c>
      <c r="J2962" t="inlineStr">
        <is>
          <t>MVS Sec.18 p.24</t>
        </is>
      </c>
    </row>
    <row r="2963">
      <c r="B2963" t="inlineStr">
        <is>
          <t>Physical Education Buildings</t>
        </is>
      </c>
      <c r="C2963" t="inlineStr">
        <is>
          <t>375</t>
        </is>
      </c>
      <c r="D2963" t="inlineStr">
        <is>
          <t>18</t>
        </is>
      </c>
      <c r="E2963" t="inlineStr">
        <is>
          <t>24</t>
        </is>
      </c>
      <c r="F2963" t="inlineStr">
        <is>
          <t>D</t>
        </is>
      </c>
      <c r="G2963" t="inlineStr">
        <is>
          <t>Low Cost</t>
        </is>
      </c>
      <c r="H2963" t="n">
        <v>108</v>
      </c>
      <c r="I2963">
        <f>B2963&amp;"|"&amp;F2963&amp;"|"&amp;G2963</f>
        <v/>
      </c>
      <c r="J2963" t="inlineStr">
        <is>
          <t>MVS Sec.18 p.24</t>
        </is>
      </c>
    </row>
    <row r="2964">
      <c r="B2964" t="inlineStr">
        <is>
          <t>Physical Education Buildings</t>
        </is>
      </c>
      <c r="C2964" t="inlineStr">
        <is>
          <t>375</t>
        </is>
      </c>
      <c r="D2964" t="inlineStr">
        <is>
          <t>18</t>
        </is>
      </c>
      <c r="E2964" t="inlineStr">
        <is>
          <t>24</t>
        </is>
      </c>
      <c r="F2964" t="inlineStr">
        <is>
          <t>DPOLE</t>
        </is>
      </c>
      <c r="G2964" t="inlineStr">
        <is>
          <t>Average</t>
        </is>
      </c>
      <c r="H2964" t="n">
        <v>153</v>
      </c>
      <c r="I2964">
        <f>B2964&amp;"|"&amp;F2964&amp;"|"&amp;G2964</f>
        <v/>
      </c>
      <c r="J2964" t="inlineStr">
        <is>
          <t>MVS Sec.18 p.24</t>
        </is>
      </c>
    </row>
    <row r="2965">
      <c r="B2965" t="inlineStr">
        <is>
          <t>Physical Education Buildings</t>
        </is>
      </c>
      <c r="C2965" t="inlineStr">
        <is>
          <t>375</t>
        </is>
      </c>
      <c r="D2965" t="inlineStr">
        <is>
          <t>18</t>
        </is>
      </c>
      <c r="E2965" t="inlineStr">
        <is>
          <t>24</t>
        </is>
      </c>
      <c r="F2965" t="inlineStr">
        <is>
          <t>DPOLE</t>
        </is>
      </c>
      <c r="G2965" t="inlineStr">
        <is>
          <t>Low Cost</t>
        </is>
      </c>
      <c r="H2965" t="n">
        <v>103</v>
      </c>
      <c r="I2965">
        <f>B2965&amp;"|"&amp;F2965&amp;"|"&amp;G2965</f>
        <v/>
      </c>
      <c r="J2965" t="inlineStr">
        <is>
          <t>MVS Sec.18 p.24</t>
        </is>
      </c>
    </row>
    <row r="2966">
      <c r="B2966" t="inlineStr">
        <is>
          <t>Physical Education Buildings</t>
        </is>
      </c>
      <c r="C2966" t="inlineStr">
        <is>
          <t>375</t>
        </is>
      </c>
      <c r="D2966" t="inlineStr">
        <is>
          <t>18</t>
        </is>
      </c>
      <c r="E2966" t="inlineStr">
        <is>
          <t>24</t>
        </is>
      </c>
      <c r="F2966" t="inlineStr">
        <is>
          <t>S</t>
        </is>
      </c>
      <c r="G2966" t="inlineStr">
        <is>
          <t>Good</t>
        </is>
      </c>
      <c r="H2966" t="n">
        <v>218</v>
      </c>
      <c r="I2966">
        <f>B2966&amp;"|"&amp;F2966&amp;"|"&amp;G2966</f>
        <v/>
      </c>
      <c r="J2966" t="inlineStr">
        <is>
          <t>MVS Sec.18 p.24</t>
        </is>
      </c>
    </row>
    <row r="2967">
      <c r="B2967" t="inlineStr">
        <is>
          <t>Physical Education Buildings</t>
        </is>
      </c>
      <c r="C2967" t="inlineStr">
        <is>
          <t>375</t>
        </is>
      </c>
      <c r="D2967" t="inlineStr">
        <is>
          <t>18</t>
        </is>
      </c>
      <c r="E2967" t="inlineStr">
        <is>
          <t>24</t>
        </is>
      </c>
      <c r="F2967" t="inlineStr">
        <is>
          <t>S</t>
        </is>
      </c>
      <c r="G2967" t="inlineStr">
        <is>
          <t>Average</t>
        </is>
      </c>
      <c r="H2967" t="n">
        <v>156</v>
      </c>
      <c r="I2967">
        <f>B2967&amp;"|"&amp;F2967&amp;"|"&amp;G2967</f>
        <v/>
      </c>
      <c r="J2967" t="inlineStr">
        <is>
          <t>MVS Sec.18 p.24</t>
        </is>
      </c>
    </row>
    <row r="2968">
      <c r="B2968" t="inlineStr">
        <is>
          <t>Physical Education Buildings</t>
        </is>
      </c>
      <c r="C2968" t="inlineStr">
        <is>
          <t>375</t>
        </is>
      </c>
      <c r="D2968" t="inlineStr">
        <is>
          <t>18</t>
        </is>
      </c>
      <c r="E2968" t="inlineStr">
        <is>
          <t>24</t>
        </is>
      </c>
      <c r="F2968" t="inlineStr">
        <is>
          <t>S</t>
        </is>
      </c>
      <c r="G2968" t="inlineStr">
        <is>
          <t>Low Cost</t>
        </is>
      </c>
      <c r="H2968" t="n">
        <v>104</v>
      </c>
      <c r="I2968">
        <f>B2968&amp;"|"&amp;F2968&amp;"|"&amp;G2968</f>
        <v/>
      </c>
      <c r="J2968" t="inlineStr">
        <is>
          <t>MVS Sec.18 p.24</t>
        </is>
      </c>
    </row>
    <row r="2969">
      <c r="B2969" t="inlineStr">
        <is>
          <t>Gymnasiums</t>
        </is>
      </c>
      <c r="C2969" t="inlineStr">
        <is>
          <t>358</t>
        </is>
      </c>
      <c r="D2969" t="inlineStr">
        <is>
          <t>18</t>
        </is>
      </c>
      <c r="E2969" t="inlineStr">
        <is>
          <t>25</t>
        </is>
      </c>
      <c r="F2969" t="inlineStr">
        <is>
          <t>A-B</t>
        </is>
      </c>
      <c r="G2969" t="inlineStr">
        <is>
          <t>Good</t>
        </is>
      </c>
      <c r="H2969" t="n">
        <v>290</v>
      </c>
      <c r="I2969">
        <f>B2969&amp;"|"&amp;F2969&amp;"|"&amp;G2969</f>
        <v/>
      </c>
      <c r="J2969" t="inlineStr">
        <is>
          <t>MVS Sec.18 p.25</t>
        </is>
      </c>
    </row>
    <row r="2970">
      <c r="B2970" t="inlineStr">
        <is>
          <t>Gymnasiums</t>
        </is>
      </c>
      <c r="C2970" t="inlineStr">
        <is>
          <t>358</t>
        </is>
      </c>
      <c r="D2970" t="inlineStr">
        <is>
          <t>18</t>
        </is>
      </c>
      <c r="E2970" t="inlineStr">
        <is>
          <t>25</t>
        </is>
      </c>
      <c r="F2970" t="inlineStr">
        <is>
          <t>A-B</t>
        </is>
      </c>
      <c r="G2970" t="inlineStr">
        <is>
          <t>Average</t>
        </is>
      </c>
      <c r="H2970" t="n">
        <v>213</v>
      </c>
      <c r="I2970">
        <f>B2970&amp;"|"&amp;F2970&amp;"|"&amp;G2970</f>
        <v/>
      </c>
      <c r="J2970" t="inlineStr">
        <is>
          <t>MVS Sec.18 p.25</t>
        </is>
      </c>
    </row>
    <row r="2971">
      <c r="B2971" t="inlineStr">
        <is>
          <t>Gymnasiums</t>
        </is>
      </c>
      <c r="C2971" t="inlineStr">
        <is>
          <t>358</t>
        </is>
      </c>
      <c r="D2971" t="inlineStr">
        <is>
          <t>18</t>
        </is>
      </c>
      <c r="E2971" t="inlineStr">
        <is>
          <t>25</t>
        </is>
      </c>
      <c r="F2971" t="inlineStr">
        <is>
          <t>C</t>
        </is>
      </c>
      <c r="G2971" t="inlineStr">
        <is>
          <t>Excellent</t>
        </is>
      </c>
      <c r="H2971" t="n">
        <v>288</v>
      </c>
      <c r="I2971">
        <f>B2971&amp;"|"&amp;F2971&amp;"|"&amp;G2971</f>
        <v/>
      </c>
      <c r="J2971" t="inlineStr">
        <is>
          <t>MVS Sec.18 p.25</t>
        </is>
      </c>
    </row>
    <row r="2972">
      <c r="B2972" t="inlineStr">
        <is>
          <t>Gymnasiums</t>
        </is>
      </c>
      <c r="C2972" t="inlineStr">
        <is>
          <t>358</t>
        </is>
      </c>
      <c r="D2972" t="inlineStr">
        <is>
          <t>18</t>
        </is>
      </c>
      <c r="E2972" t="inlineStr">
        <is>
          <t>25</t>
        </is>
      </c>
      <c r="F2972" t="inlineStr">
        <is>
          <t>C</t>
        </is>
      </c>
      <c r="G2972" t="inlineStr">
        <is>
          <t>Good</t>
        </is>
      </c>
      <c r="H2972" t="n">
        <v>212</v>
      </c>
      <c r="I2972">
        <f>B2972&amp;"|"&amp;F2972&amp;"|"&amp;G2972</f>
        <v/>
      </c>
      <c r="J2972" t="inlineStr">
        <is>
          <t>MVS Sec.18 p.25</t>
        </is>
      </c>
    </row>
    <row r="2973">
      <c r="B2973" t="inlineStr">
        <is>
          <t>Gymnasiums</t>
        </is>
      </c>
      <c r="C2973" t="inlineStr">
        <is>
          <t>358</t>
        </is>
      </c>
      <c r="D2973" t="inlineStr">
        <is>
          <t>18</t>
        </is>
      </c>
      <c r="E2973" t="inlineStr">
        <is>
          <t>25</t>
        </is>
      </c>
      <c r="F2973" t="inlineStr">
        <is>
          <t>C</t>
        </is>
      </c>
      <c r="G2973" t="inlineStr">
        <is>
          <t>Average</t>
        </is>
      </c>
      <c r="H2973" t="n">
        <v>152</v>
      </c>
      <c r="I2973">
        <f>B2973&amp;"|"&amp;F2973&amp;"|"&amp;G2973</f>
        <v/>
      </c>
      <c r="J2973" t="inlineStr">
        <is>
          <t>MVS Sec.18 p.25</t>
        </is>
      </c>
    </row>
    <row r="2974">
      <c r="B2974" t="inlineStr">
        <is>
          <t>Gymnasiums</t>
        </is>
      </c>
      <c r="C2974" t="inlineStr">
        <is>
          <t>358</t>
        </is>
      </c>
      <c r="D2974" t="inlineStr">
        <is>
          <t>18</t>
        </is>
      </c>
      <c r="E2974" t="inlineStr">
        <is>
          <t>25</t>
        </is>
      </c>
      <c r="F2974" t="inlineStr">
        <is>
          <t>C</t>
        </is>
      </c>
      <c r="G2974" t="inlineStr">
        <is>
          <t>Low Cost</t>
        </is>
      </c>
      <c r="H2974" t="n">
        <v>101</v>
      </c>
      <c r="I2974">
        <f>B2974&amp;"|"&amp;F2974&amp;"|"&amp;G2974</f>
        <v/>
      </c>
      <c r="J2974" t="inlineStr">
        <is>
          <t>MVS Sec.18 p.25</t>
        </is>
      </c>
    </row>
    <row r="2975">
      <c r="B2975" t="inlineStr">
        <is>
          <t>Gymnasiums</t>
        </is>
      </c>
      <c r="C2975" t="inlineStr">
        <is>
          <t>358</t>
        </is>
      </c>
      <c r="D2975" t="inlineStr">
        <is>
          <t>18</t>
        </is>
      </c>
      <c r="E2975" t="inlineStr">
        <is>
          <t>25</t>
        </is>
      </c>
      <c r="F2975" t="inlineStr">
        <is>
          <t>D</t>
        </is>
      </c>
      <c r="G2975" t="inlineStr">
        <is>
          <t>Excellent</t>
        </is>
      </c>
      <c r="H2975" t="n">
        <v>281</v>
      </c>
      <c r="I2975">
        <f>B2975&amp;"|"&amp;F2975&amp;"|"&amp;G2975</f>
        <v/>
      </c>
      <c r="J2975" t="inlineStr">
        <is>
          <t>MVS Sec.18 p.25</t>
        </is>
      </c>
    </row>
    <row r="2976">
      <c r="B2976" t="inlineStr">
        <is>
          <t>Gymnasiums</t>
        </is>
      </c>
      <c r="C2976" t="inlineStr">
        <is>
          <t>358</t>
        </is>
      </c>
      <c r="D2976" t="inlineStr">
        <is>
          <t>18</t>
        </is>
      </c>
      <c r="E2976" t="inlineStr">
        <is>
          <t>25</t>
        </is>
      </c>
      <c r="F2976" t="inlineStr">
        <is>
          <t>D</t>
        </is>
      </c>
      <c r="G2976" t="inlineStr">
        <is>
          <t>Good</t>
        </is>
      </c>
      <c r="H2976" t="n">
        <v>205</v>
      </c>
      <c r="I2976">
        <f>B2976&amp;"|"&amp;F2976&amp;"|"&amp;G2976</f>
        <v/>
      </c>
      <c r="J2976" t="inlineStr">
        <is>
          <t>MVS Sec.18 p.25</t>
        </is>
      </c>
    </row>
    <row r="2977">
      <c r="B2977" t="inlineStr">
        <is>
          <t>Gymnasiums</t>
        </is>
      </c>
      <c r="C2977" t="inlineStr">
        <is>
          <t>358</t>
        </is>
      </c>
      <c r="D2977" t="inlineStr">
        <is>
          <t>18</t>
        </is>
      </c>
      <c r="E2977" t="inlineStr">
        <is>
          <t>25</t>
        </is>
      </c>
      <c r="F2977" t="inlineStr">
        <is>
          <t>D</t>
        </is>
      </c>
      <c r="G2977" t="inlineStr">
        <is>
          <t>Average</t>
        </is>
      </c>
      <c r="H2977" t="n">
        <v>146</v>
      </c>
      <c r="I2977">
        <f>B2977&amp;"|"&amp;F2977&amp;"|"&amp;G2977</f>
        <v/>
      </c>
      <c r="J2977" t="inlineStr">
        <is>
          <t>MVS Sec.18 p.25</t>
        </is>
      </c>
    </row>
    <row r="2978">
      <c r="B2978" t="inlineStr">
        <is>
          <t>Gymnasiums</t>
        </is>
      </c>
      <c r="C2978" t="inlineStr">
        <is>
          <t>358</t>
        </is>
      </c>
      <c r="D2978" t="inlineStr">
        <is>
          <t>18</t>
        </is>
      </c>
      <c r="E2978" t="inlineStr">
        <is>
          <t>25</t>
        </is>
      </c>
      <c r="F2978" t="inlineStr">
        <is>
          <t>D</t>
        </is>
      </c>
      <c r="G2978" t="inlineStr">
        <is>
          <t>Low Cost</t>
        </is>
      </c>
      <c r="H2978" t="n">
        <v>96</v>
      </c>
      <c r="I2978">
        <f>B2978&amp;"|"&amp;F2978&amp;"|"&amp;G2978</f>
        <v/>
      </c>
      <c r="J2978" t="inlineStr">
        <is>
          <t>MVS Sec.18 p.25</t>
        </is>
      </c>
    </row>
    <row r="2979">
      <c r="B2979" t="inlineStr">
        <is>
          <t>Gymnasiums</t>
        </is>
      </c>
      <c r="C2979" t="inlineStr">
        <is>
          <t>358</t>
        </is>
      </c>
      <c r="D2979" t="inlineStr">
        <is>
          <t>18</t>
        </is>
      </c>
      <c r="E2979" t="inlineStr">
        <is>
          <t>25</t>
        </is>
      </c>
      <c r="F2979" t="inlineStr">
        <is>
          <t>DPOLE</t>
        </is>
      </c>
      <c r="G2979" t="inlineStr">
        <is>
          <t>Average</t>
        </is>
      </c>
      <c r="H2979" t="n">
        <v>137</v>
      </c>
      <c r="I2979">
        <f>B2979&amp;"|"&amp;F2979&amp;"|"&amp;G2979</f>
        <v/>
      </c>
      <c r="J2979" t="inlineStr">
        <is>
          <t>MVS Sec.18 p.25</t>
        </is>
      </c>
    </row>
    <row r="2980">
      <c r="B2980" t="inlineStr">
        <is>
          <t>Gymnasiums</t>
        </is>
      </c>
      <c r="C2980" t="inlineStr">
        <is>
          <t>358</t>
        </is>
      </c>
      <c r="D2980" t="inlineStr">
        <is>
          <t>18</t>
        </is>
      </c>
      <c r="E2980" t="inlineStr">
        <is>
          <t>25</t>
        </is>
      </c>
      <c r="F2980" t="inlineStr">
        <is>
          <t>DPOLE</t>
        </is>
      </c>
      <c r="G2980" t="inlineStr">
        <is>
          <t>Low Cost</t>
        </is>
      </c>
      <c r="H2980" t="n">
        <v>90</v>
      </c>
      <c r="I2980">
        <f>B2980&amp;"|"&amp;F2980&amp;"|"&amp;G2980</f>
        <v/>
      </c>
      <c r="J2980" t="inlineStr">
        <is>
          <t>MVS Sec.18 p.25</t>
        </is>
      </c>
    </row>
    <row r="2981">
      <c r="B2981" t="inlineStr">
        <is>
          <t>Gymnasiums</t>
        </is>
      </c>
      <c r="C2981" t="inlineStr">
        <is>
          <t>358</t>
        </is>
      </c>
      <c r="D2981" t="inlineStr">
        <is>
          <t>18</t>
        </is>
      </c>
      <c r="E2981" t="inlineStr">
        <is>
          <t>25</t>
        </is>
      </c>
      <c r="F2981" t="inlineStr">
        <is>
          <t>DPOLE</t>
        </is>
      </c>
      <c r="G2981" t="inlineStr">
        <is>
          <t>Cheap</t>
        </is>
      </c>
      <c r="H2981" t="n">
        <v>75.5</v>
      </c>
      <c r="I2981">
        <f>B2981&amp;"|"&amp;F2981&amp;"|"&amp;G2981</f>
        <v/>
      </c>
      <c r="J2981" t="inlineStr">
        <is>
          <t>MVS Sec.18 p.25</t>
        </is>
      </c>
    </row>
    <row r="2982">
      <c r="B2982" t="inlineStr">
        <is>
          <t>Gymnasiums</t>
        </is>
      </c>
      <c r="C2982" t="inlineStr">
        <is>
          <t>358</t>
        </is>
      </c>
      <c r="D2982" t="inlineStr">
        <is>
          <t>18</t>
        </is>
      </c>
      <c r="E2982" t="inlineStr">
        <is>
          <t>25</t>
        </is>
      </c>
      <c r="F2982" t="inlineStr">
        <is>
          <t>S</t>
        </is>
      </c>
      <c r="G2982" t="inlineStr">
        <is>
          <t>Good</t>
        </is>
      </c>
      <c r="H2982" t="n">
        <v>202</v>
      </c>
      <c r="I2982">
        <f>B2982&amp;"|"&amp;F2982&amp;"|"&amp;G2982</f>
        <v/>
      </c>
      <c r="J2982" t="inlineStr">
        <is>
          <t>MVS Sec.18 p.25</t>
        </is>
      </c>
    </row>
    <row r="2983">
      <c r="B2983" t="inlineStr">
        <is>
          <t>Gymnasiums</t>
        </is>
      </c>
      <c r="C2983" t="inlineStr">
        <is>
          <t>358</t>
        </is>
      </c>
      <c r="D2983" t="inlineStr">
        <is>
          <t>18</t>
        </is>
      </c>
      <c r="E2983" t="inlineStr">
        <is>
          <t>25</t>
        </is>
      </c>
      <c r="F2983" t="inlineStr">
        <is>
          <t>S</t>
        </is>
      </c>
      <c r="G2983" t="inlineStr">
        <is>
          <t>Average</t>
        </is>
      </c>
      <c r="H2983" t="n">
        <v>142</v>
      </c>
      <c r="I2983">
        <f>B2983&amp;"|"&amp;F2983&amp;"|"&amp;G2983</f>
        <v/>
      </c>
      <c r="J2983" t="inlineStr">
        <is>
          <t>MVS Sec.18 p.25</t>
        </is>
      </c>
    </row>
    <row r="2984">
      <c r="B2984" t="inlineStr">
        <is>
          <t>Gymnasiums</t>
        </is>
      </c>
      <c r="C2984" t="inlineStr">
        <is>
          <t>358</t>
        </is>
      </c>
      <c r="D2984" t="inlineStr">
        <is>
          <t>18</t>
        </is>
      </c>
      <c r="E2984" t="inlineStr">
        <is>
          <t>25</t>
        </is>
      </c>
      <c r="F2984" t="inlineStr">
        <is>
          <t>S</t>
        </is>
      </c>
      <c r="G2984" t="inlineStr">
        <is>
          <t>Low Cost</t>
        </is>
      </c>
      <c r="H2984" t="n">
        <v>91.5</v>
      </c>
      <c r="I2984">
        <f>B2984&amp;"|"&amp;F2984&amp;"|"&amp;G2984</f>
        <v/>
      </c>
      <c r="J2984" t="inlineStr">
        <is>
          <t>MVS Sec.18 p.25</t>
        </is>
      </c>
    </row>
    <row r="2985">
      <c r="B2985" t="inlineStr">
        <is>
          <t>Gymnasiums</t>
        </is>
      </c>
      <c r="C2985" t="inlineStr">
        <is>
          <t>358</t>
        </is>
      </c>
      <c r="D2985" t="inlineStr">
        <is>
          <t>18</t>
        </is>
      </c>
      <c r="E2985" t="inlineStr">
        <is>
          <t>25</t>
        </is>
      </c>
      <c r="F2985" t="inlineStr">
        <is>
          <t>S</t>
        </is>
      </c>
      <c r="G2985" t="inlineStr">
        <is>
          <t>Cheap</t>
        </is>
      </c>
      <c r="H2985" t="n">
        <v>76.5</v>
      </c>
      <c r="I2985">
        <f>B2985&amp;"|"&amp;F2985&amp;"|"&amp;G2985</f>
        <v/>
      </c>
      <c r="J2985" t="inlineStr">
        <is>
          <t>MVS Sec.18 p.25</t>
        </is>
      </c>
    </row>
    <row r="2986">
      <c r="B2986" t="inlineStr">
        <is>
          <t>Colleges</t>
        </is>
      </c>
      <c r="C2986" t="inlineStr">
        <is>
          <t>377</t>
        </is>
      </c>
      <c r="D2986" t="inlineStr">
        <is>
          <t>18</t>
        </is>
      </c>
      <c r="E2986" t="inlineStr">
        <is>
          <t>26</t>
        </is>
      </c>
      <c r="F2986" t="inlineStr">
        <is>
          <t>A</t>
        </is>
      </c>
      <c r="G2986" t="inlineStr">
        <is>
          <t>Excellent</t>
        </is>
      </c>
      <c r="H2986" t="n">
        <v>498</v>
      </c>
      <c r="I2986">
        <f>B2986&amp;"|"&amp;F2986&amp;"|"&amp;G2986</f>
        <v/>
      </c>
      <c r="J2986" t="inlineStr">
        <is>
          <t>MVS Sec.18 p.26</t>
        </is>
      </c>
    </row>
    <row r="2987">
      <c r="B2987" t="inlineStr">
        <is>
          <t>Colleges</t>
        </is>
      </c>
      <c r="C2987" t="inlineStr">
        <is>
          <t>377</t>
        </is>
      </c>
      <c r="D2987" t="inlineStr">
        <is>
          <t>18</t>
        </is>
      </c>
      <c r="E2987" t="inlineStr">
        <is>
          <t>26</t>
        </is>
      </c>
      <c r="F2987" t="inlineStr">
        <is>
          <t>A</t>
        </is>
      </c>
      <c r="G2987" t="inlineStr">
        <is>
          <t>Good</t>
        </is>
      </c>
      <c r="H2987" t="n">
        <v>391</v>
      </c>
      <c r="I2987">
        <f>B2987&amp;"|"&amp;F2987&amp;"|"&amp;G2987</f>
        <v/>
      </c>
      <c r="J2987" t="inlineStr">
        <is>
          <t>MVS Sec.18 p.26</t>
        </is>
      </c>
    </row>
    <row r="2988">
      <c r="B2988" t="inlineStr">
        <is>
          <t>Colleges</t>
        </is>
      </c>
      <c r="C2988" t="inlineStr">
        <is>
          <t>377</t>
        </is>
      </c>
      <c r="D2988" t="inlineStr">
        <is>
          <t>18</t>
        </is>
      </c>
      <c r="E2988" t="inlineStr">
        <is>
          <t>26</t>
        </is>
      </c>
      <c r="F2988" t="inlineStr">
        <is>
          <t>A</t>
        </is>
      </c>
      <c r="G2988" t="inlineStr">
        <is>
          <t>Average</t>
        </is>
      </c>
      <c r="H2988" t="n">
        <v>308</v>
      </c>
      <c r="I2988">
        <f>B2988&amp;"|"&amp;F2988&amp;"|"&amp;G2988</f>
        <v/>
      </c>
      <c r="J2988" t="inlineStr">
        <is>
          <t>MVS Sec.18 p.26</t>
        </is>
      </c>
    </row>
    <row r="2989">
      <c r="B2989" t="inlineStr">
        <is>
          <t>Colleges</t>
        </is>
      </c>
      <c r="C2989" t="inlineStr">
        <is>
          <t>377</t>
        </is>
      </c>
      <c r="D2989" t="inlineStr">
        <is>
          <t>18</t>
        </is>
      </c>
      <c r="E2989" t="inlineStr">
        <is>
          <t>26</t>
        </is>
      </c>
      <c r="F2989" t="inlineStr">
        <is>
          <t>A</t>
        </is>
      </c>
      <c r="G2989" t="inlineStr">
        <is>
          <t>Low Cost</t>
        </is>
      </c>
      <c r="H2989" t="n">
        <v>231</v>
      </c>
      <c r="I2989">
        <f>B2989&amp;"|"&amp;F2989&amp;"|"&amp;G2989</f>
        <v/>
      </c>
      <c r="J2989" t="inlineStr">
        <is>
          <t>MVS Sec.18 p.26</t>
        </is>
      </c>
    </row>
    <row r="2990">
      <c r="B2990" t="inlineStr">
        <is>
          <t>Colleges</t>
        </is>
      </c>
      <c r="C2990" t="inlineStr">
        <is>
          <t>377</t>
        </is>
      </c>
      <c r="D2990" t="inlineStr">
        <is>
          <t>18</t>
        </is>
      </c>
      <c r="E2990" t="inlineStr">
        <is>
          <t>26</t>
        </is>
      </c>
      <c r="F2990" t="inlineStr">
        <is>
          <t>B</t>
        </is>
      </c>
      <c r="G2990" t="inlineStr">
        <is>
          <t>Excellent</t>
        </is>
      </c>
      <c r="H2990" t="n">
        <v>453</v>
      </c>
      <c r="I2990">
        <f>B2990&amp;"|"&amp;F2990&amp;"|"&amp;G2990</f>
        <v/>
      </c>
      <c r="J2990" t="inlineStr">
        <is>
          <t>MVS Sec.18 p.26</t>
        </is>
      </c>
    </row>
    <row r="2991">
      <c r="B2991" t="inlineStr">
        <is>
          <t>Colleges</t>
        </is>
      </c>
      <c r="C2991" t="inlineStr">
        <is>
          <t>377</t>
        </is>
      </c>
      <c r="D2991" t="inlineStr">
        <is>
          <t>18</t>
        </is>
      </c>
      <c r="E2991" t="inlineStr">
        <is>
          <t>26</t>
        </is>
      </c>
      <c r="F2991" t="inlineStr">
        <is>
          <t>B</t>
        </is>
      </c>
      <c r="G2991" t="inlineStr">
        <is>
          <t>Good</t>
        </is>
      </c>
      <c r="H2991" t="n">
        <v>358</v>
      </c>
      <c r="I2991">
        <f>B2991&amp;"|"&amp;F2991&amp;"|"&amp;G2991</f>
        <v/>
      </c>
      <c r="J2991" t="inlineStr">
        <is>
          <t>MVS Sec.18 p.26</t>
        </is>
      </c>
    </row>
    <row r="2992">
      <c r="B2992" t="inlineStr">
        <is>
          <t>Colleges</t>
        </is>
      </c>
      <c r="C2992" t="inlineStr">
        <is>
          <t>377</t>
        </is>
      </c>
      <c r="D2992" t="inlineStr">
        <is>
          <t>18</t>
        </is>
      </c>
      <c r="E2992" t="inlineStr">
        <is>
          <t>26</t>
        </is>
      </c>
      <c r="F2992" t="inlineStr">
        <is>
          <t>B</t>
        </is>
      </c>
      <c r="G2992" t="inlineStr">
        <is>
          <t>Average</t>
        </is>
      </c>
      <c r="H2992" t="n">
        <v>284</v>
      </c>
      <c r="I2992">
        <f>B2992&amp;"|"&amp;F2992&amp;"|"&amp;G2992</f>
        <v/>
      </c>
      <c r="J2992" t="inlineStr">
        <is>
          <t>MVS Sec.18 p.26</t>
        </is>
      </c>
    </row>
    <row r="2993">
      <c r="B2993" t="inlineStr">
        <is>
          <t>Colleges</t>
        </is>
      </c>
      <c r="C2993" t="inlineStr">
        <is>
          <t>377</t>
        </is>
      </c>
      <c r="D2993" t="inlineStr">
        <is>
          <t>18</t>
        </is>
      </c>
      <c r="E2993" t="inlineStr">
        <is>
          <t>26</t>
        </is>
      </c>
      <c r="F2993" t="inlineStr">
        <is>
          <t>B</t>
        </is>
      </c>
      <c r="G2993" t="inlineStr">
        <is>
          <t>Low Cost</t>
        </is>
      </c>
      <c r="H2993" t="n">
        <v>214</v>
      </c>
      <c r="I2993">
        <f>B2993&amp;"|"&amp;F2993&amp;"|"&amp;G2993</f>
        <v/>
      </c>
      <c r="J2993" t="inlineStr">
        <is>
          <t>MVS Sec.18 p.26</t>
        </is>
      </c>
    </row>
    <row r="2994">
      <c r="B2994" t="inlineStr">
        <is>
          <t>Colleges</t>
        </is>
      </c>
      <c r="C2994" t="inlineStr">
        <is>
          <t>377</t>
        </is>
      </c>
      <c r="D2994" t="inlineStr">
        <is>
          <t>18</t>
        </is>
      </c>
      <c r="E2994" t="inlineStr">
        <is>
          <t>26</t>
        </is>
      </c>
      <c r="F2994" t="inlineStr">
        <is>
          <t>C</t>
        </is>
      </c>
      <c r="G2994" t="inlineStr">
        <is>
          <t>Excellent</t>
        </is>
      </c>
      <c r="H2994" t="n">
        <v>372</v>
      </c>
      <c r="I2994">
        <f>B2994&amp;"|"&amp;F2994&amp;"|"&amp;G2994</f>
        <v/>
      </c>
      <c r="J2994" t="inlineStr">
        <is>
          <t>MVS Sec.18 p.26</t>
        </is>
      </c>
    </row>
    <row r="2995">
      <c r="B2995" t="inlineStr">
        <is>
          <t>Colleges</t>
        </is>
      </c>
      <c r="C2995" t="inlineStr">
        <is>
          <t>377</t>
        </is>
      </c>
      <c r="D2995" t="inlineStr">
        <is>
          <t>18</t>
        </is>
      </c>
      <c r="E2995" t="inlineStr">
        <is>
          <t>26</t>
        </is>
      </c>
      <c r="F2995" t="inlineStr">
        <is>
          <t>C</t>
        </is>
      </c>
      <c r="G2995" t="inlineStr">
        <is>
          <t>Good</t>
        </is>
      </c>
      <c r="H2995" t="n">
        <v>293</v>
      </c>
      <c r="I2995">
        <f>B2995&amp;"|"&amp;F2995&amp;"|"&amp;G2995</f>
        <v/>
      </c>
      <c r="J2995" t="inlineStr">
        <is>
          <t>MVS Sec.18 p.26</t>
        </is>
      </c>
    </row>
    <row r="2996">
      <c r="B2996" t="inlineStr">
        <is>
          <t>Colleges</t>
        </is>
      </c>
      <c r="C2996" t="inlineStr">
        <is>
          <t>377</t>
        </is>
      </c>
      <c r="D2996" t="inlineStr">
        <is>
          <t>18</t>
        </is>
      </c>
      <c r="E2996" t="inlineStr">
        <is>
          <t>26</t>
        </is>
      </c>
      <c r="F2996" t="inlineStr">
        <is>
          <t>C</t>
        </is>
      </c>
      <c r="G2996" t="inlineStr">
        <is>
          <t>Average</t>
        </is>
      </c>
      <c r="H2996" t="n">
        <v>218</v>
      </c>
      <c r="I2996">
        <f>B2996&amp;"|"&amp;F2996&amp;"|"&amp;G2996</f>
        <v/>
      </c>
      <c r="J2996" t="inlineStr">
        <is>
          <t>MVS Sec.18 p.26</t>
        </is>
      </c>
    </row>
    <row r="2997">
      <c r="B2997" t="inlineStr">
        <is>
          <t>Colleges</t>
        </is>
      </c>
      <c r="C2997" t="inlineStr">
        <is>
          <t>377</t>
        </is>
      </c>
      <c r="D2997" t="inlineStr">
        <is>
          <t>18</t>
        </is>
      </c>
      <c r="E2997" t="inlineStr">
        <is>
          <t>26</t>
        </is>
      </c>
      <c r="F2997" t="inlineStr">
        <is>
          <t>C</t>
        </is>
      </c>
      <c r="G2997" t="inlineStr">
        <is>
          <t>Low Cost</t>
        </is>
      </c>
      <c r="H2997" t="n">
        <v>167</v>
      </c>
      <c r="I2997">
        <f>B2997&amp;"|"&amp;F2997&amp;"|"&amp;G2997</f>
        <v/>
      </c>
      <c r="J2997" t="inlineStr">
        <is>
          <t>MVS Sec.18 p.26</t>
        </is>
      </c>
    </row>
    <row r="2998">
      <c r="B2998" t="inlineStr">
        <is>
          <t>Colleges</t>
        </is>
      </c>
      <c r="C2998" t="inlineStr">
        <is>
          <t>377</t>
        </is>
      </c>
      <c r="D2998" t="inlineStr">
        <is>
          <t>18</t>
        </is>
      </c>
      <c r="E2998" t="inlineStr">
        <is>
          <t>26</t>
        </is>
      </c>
      <c r="F2998" t="inlineStr">
        <is>
          <t>D</t>
        </is>
      </c>
      <c r="G2998" t="inlineStr">
        <is>
          <t>Excellent</t>
        </is>
      </c>
      <c r="H2998" t="n">
        <v>368</v>
      </c>
      <c r="I2998">
        <f>B2998&amp;"|"&amp;F2998&amp;"|"&amp;G2998</f>
        <v/>
      </c>
      <c r="J2998" t="inlineStr">
        <is>
          <t>MVS Sec.18 p.26</t>
        </is>
      </c>
    </row>
    <row r="2999">
      <c r="B2999" t="inlineStr">
        <is>
          <t>Colleges</t>
        </is>
      </c>
      <c r="C2999" t="inlineStr">
        <is>
          <t>377</t>
        </is>
      </c>
      <c r="D2999" t="inlineStr">
        <is>
          <t>18</t>
        </is>
      </c>
      <c r="E2999" t="inlineStr">
        <is>
          <t>26</t>
        </is>
      </c>
      <c r="F2999" t="inlineStr">
        <is>
          <t>D</t>
        </is>
      </c>
      <c r="G2999" t="inlineStr">
        <is>
          <t>Good</t>
        </is>
      </c>
      <c r="H2999" t="n">
        <v>273</v>
      </c>
      <c r="I2999">
        <f>B2999&amp;"|"&amp;F2999&amp;"|"&amp;G2999</f>
        <v/>
      </c>
      <c r="J2999" t="inlineStr">
        <is>
          <t>MVS Sec.18 p.26</t>
        </is>
      </c>
    </row>
    <row r="3000">
      <c r="B3000" t="inlineStr">
        <is>
          <t>Colleges</t>
        </is>
      </c>
      <c r="C3000" t="inlineStr">
        <is>
          <t>377</t>
        </is>
      </c>
      <c r="D3000" t="inlineStr">
        <is>
          <t>18</t>
        </is>
      </c>
      <c r="E3000" t="inlineStr">
        <is>
          <t>26</t>
        </is>
      </c>
      <c r="F3000" t="inlineStr">
        <is>
          <t>D</t>
        </is>
      </c>
      <c r="G3000" t="inlineStr">
        <is>
          <t>Average</t>
        </is>
      </c>
      <c r="H3000" t="n">
        <v>207</v>
      </c>
      <c r="I3000">
        <f>B3000&amp;"|"&amp;F3000&amp;"|"&amp;G3000</f>
        <v/>
      </c>
      <c r="J3000" t="inlineStr">
        <is>
          <t>MVS Sec.18 p.26</t>
        </is>
      </c>
    </row>
    <row r="3001">
      <c r="B3001" t="inlineStr">
        <is>
          <t>Colleges</t>
        </is>
      </c>
      <c r="C3001" t="inlineStr">
        <is>
          <t>377</t>
        </is>
      </c>
      <c r="D3001" t="inlineStr">
        <is>
          <t>18</t>
        </is>
      </c>
      <c r="E3001" t="inlineStr">
        <is>
          <t>26</t>
        </is>
      </c>
      <c r="F3001" t="inlineStr">
        <is>
          <t>D</t>
        </is>
      </c>
      <c r="G3001" t="inlineStr">
        <is>
          <t>Low Cost</t>
        </is>
      </c>
      <c r="H3001" t="n">
        <v>156</v>
      </c>
      <c r="I3001">
        <f>B3001&amp;"|"&amp;F3001&amp;"|"&amp;G3001</f>
        <v/>
      </c>
      <c r="J3001" t="inlineStr">
        <is>
          <t>MVS Sec.18 p.26</t>
        </is>
      </c>
    </row>
    <row r="3002">
      <c r="B3002" t="inlineStr">
        <is>
          <t>Colleges</t>
        </is>
      </c>
      <c r="C3002" t="inlineStr">
        <is>
          <t>377</t>
        </is>
      </c>
      <c r="D3002" t="inlineStr">
        <is>
          <t>18</t>
        </is>
      </c>
      <c r="E3002" t="inlineStr">
        <is>
          <t>26</t>
        </is>
      </c>
      <c r="F3002" t="inlineStr">
        <is>
          <t>DPOLE</t>
        </is>
      </c>
      <c r="G3002" t="inlineStr">
        <is>
          <t>Average</t>
        </is>
      </c>
      <c r="H3002" t="n">
        <v>200</v>
      </c>
      <c r="I3002">
        <f>B3002&amp;"|"&amp;F3002&amp;"|"&amp;G3002</f>
        <v/>
      </c>
      <c r="J3002" t="inlineStr">
        <is>
          <t>MVS Sec.18 p.26</t>
        </is>
      </c>
    </row>
    <row r="3003">
      <c r="B3003" t="inlineStr">
        <is>
          <t>Colleges</t>
        </is>
      </c>
      <c r="C3003" t="inlineStr">
        <is>
          <t>377</t>
        </is>
      </c>
      <c r="D3003" t="inlineStr">
        <is>
          <t>18</t>
        </is>
      </c>
      <c r="E3003" t="inlineStr">
        <is>
          <t>26</t>
        </is>
      </c>
      <c r="F3003" t="inlineStr">
        <is>
          <t>DPOLE</t>
        </is>
      </c>
      <c r="G3003" t="inlineStr">
        <is>
          <t>Low Cost</t>
        </is>
      </c>
      <c r="H3003" t="n">
        <v>149</v>
      </c>
      <c r="I3003">
        <f>B3003&amp;"|"&amp;F3003&amp;"|"&amp;G3003</f>
        <v/>
      </c>
      <c r="J3003" t="inlineStr">
        <is>
          <t>MVS Sec.18 p.26</t>
        </is>
      </c>
    </row>
    <row r="3004">
      <c r="B3004" t="inlineStr">
        <is>
          <t>Colleges</t>
        </is>
      </c>
      <c r="C3004" t="inlineStr">
        <is>
          <t>377</t>
        </is>
      </c>
      <c r="D3004" t="inlineStr">
        <is>
          <t>18</t>
        </is>
      </c>
      <c r="E3004" t="inlineStr">
        <is>
          <t>26</t>
        </is>
      </c>
      <c r="F3004" t="inlineStr">
        <is>
          <t>S</t>
        </is>
      </c>
      <c r="G3004" t="inlineStr">
        <is>
          <t>Good</t>
        </is>
      </c>
      <c r="H3004" t="n">
        <v>266</v>
      </c>
      <c r="I3004">
        <f>B3004&amp;"|"&amp;F3004&amp;"|"&amp;G3004</f>
        <v/>
      </c>
      <c r="J3004" t="inlineStr">
        <is>
          <t>MVS Sec.18 p.26</t>
        </is>
      </c>
    </row>
    <row r="3005">
      <c r="B3005" t="inlineStr">
        <is>
          <t>Colleges</t>
        </is>
      </c>
      <c r="C3005" t="inlineStr">
        <is>
          <t>377</t>
        </is>
      </c>
      <c r="D3005" t="inlineStr">
        <is>
          <t>18</t>
        </is>
      </c>
      <c r="E3005" t="inlineStr">
        <is>
          <t>26</t>
        </is>
      </c>
      <c r="F3005" t="inlineStr">
        <is>
          <t>S</t>
        </is>
      </c>
      <c r="G3005" t="inlineStr">
        <is>
          <t>Average</t>
        </is>
      </c>
      <c r="H3005" t="n">
        <v>200</v>
      </c>
      <c r="I3005">
        <f>B3005&amp;"|"&amp;F3005&amp;"|"&amp;G3005</f>
        <v/>
      </c>
      <c r="J3005" t="inlineStr">
        <is>
          <t>MVS Sec.18 p.26</t>
        </is>
      </c>
    </row>
    <row r="3006">
      <c r="B3006" t="inlineStr">
        <is>
          <t>Colleges</t>
        </is>
      </c>
      <c r="C3006" t="inlineStr">
        <is>
          <t>377</t>
        </is>
      </c>
      <c r="D3006" t="inlineStr">
        <is>
          <t>18</t>
        </is>
      </c>
      <c r="E3006" t="inlineStr">
        <is>
          <t>26</t>
        </is>
      </c>
      <c r="F3006" t="inlineStr">
        <is>
          <t>S</t>
        </is>
      </c>
      <c r="G3006" t="inlineStr">
        <is>
          <t>Low Cost</t>
        </is>
      </c>
      <c r="H3006" t="n">
        <v>150</v>
      </c>
      <c r="I3006">
        <f>B3006&amp;"|"&amp;F3006&amp;"|"&amp;G3006</f>
        <v/>
      </c>
      <c r="J3006" t="inlineStr">
        <is>
          <t>MVS Sec.18 p.26</t>
        </is>
      </c>
    </row>
    <row r="3007">
      <c r="B3007" t="inlineStr">
        <is>
          <t>College Classrooms</t>
        </is>
      </c>
      <c r="C3007" t="inlineStr">
        <is>
          <t>368</t>
        </is>
      </c>
      <c r="D3007" t="inlineStr">
        <is>
          <t>18</t>
        </is>
      </c>
      <c r="E3007" t="inlineStr">
        <is>
          <t>27</t>
        </is>
      </c>
      <c r="F3007" t="inlineStr">
        <is>
          <t>A</t>
        </is>
      </c>
      <c r="G3007" t="inlineStr">
        <is>
          <t>Excellent</t>
        </is>
      </c>
      <c r="H3007" t="n">
        <v>430</v>
      </c>
      <c r="I3007">
        <f>B3007&amp;"|"&amp;F3007&amp;"|"&amp;G3007</f>
        <v/>
      </c>
      <c r="J3007" t="inlineStr">
        <is>
          <t>MVS Sec.18 p.27</t>
        </is>
      </c>
    </row>
    <row r="3008">
      <c r="B3008" t="inlineStr">
        <is>
          <t>College Classrooms</t>
        </is>
      </c>
      <c r="C3008" t="inlineStr">
        <is>
          <t>368</t>
        </is>
      </c>
      <c r="D3008" t="inlineStr">
        <is>
          <t>18</t>
        </is>
      </c>
      <c r="E3008" t="inlineStr">
        <is>
          <t>27</t>
        </is>
      </c>
      <c r="F3008" t="inlineStr">
        <is>
          <t>A</t>
        </is>
      </c>
      <c r="G3008" t="inlineStr">
        <is>
          <t>Good</t>
        </is>
      </c>
      <c r="H3008" t="n">
        <v>344</v>
      </c>
      <c r="I3008">
        <f>B3008&amp;"|"&amp;F3008&amp;"|"&amp;G3008</f>
        <v/>
      </c>
      <c r="J3008" t="inlineStr">
        <is>
          <t>MVS Sec.18 p.27</t>
        </is>
      </c>
    </row>
    <row r="3009">
      <c r="B3009" t="inlineStr">
        <is>
          <t>College Classrooms</t>
        </is>
      </c>
      <c r="C3009" t="inlineStr">
        <is>
          <t>368</t>
        </is>
      </c>
      <c r="D3009" t="inlineStr">
        <is>
          <t>18</t>
        </is>
      </c>
      <c r="E3009" t="inlineStr">
        <is>
          <t>27</t>
        </is>
      </c>
      <c r="F3009" t="inlineStr">
        <is>
          <t>A</t>
        </is>
      </c>
      <c r="G3009" t="inlineStr">
        <is>
          <t>Average</t>
        </is>
      </c>
      <c r="H3009" t="n">
        <v>277</v>
      </c>
      <c r="I3009">
        <f>B3009&amp;"|"&amp;F3009&amp;"|"&amp;G3009</f>
        <v/>
      </c>
      <c r="J3009" t="inlineStr">
        <is>
          <t>MVS Sec.18 p.27</t>
        </is>
      </c>
    </row>
    <row r="3010">
      <c r="B3010" t="inlineStr">
        <is>
          <t>College Classrooms</t>
        </is>
      </c>
      <c r="C3010" t="inlineStr">
        <is>
          <t>368</t>
        </is>
      </c>
      <c r="D3010" t="inlineStr">
        <is>
          <t>18</t>
        </is>
      </c>
      <c r="E3010" t="inlineStr">
        <is>
          <t>27</t>
        </is>
      </c>
      <c r="F3010" t="inlineStr">
        <is>
          <t>A</t>
        </is>
      </c>
      <c r="G3010" t="inlineStr">
        <is>
          <t>Low Cost</t>
        </is>
      </c>
      <c r="H3010" t="n">
        <v>210</v>
      </c>
      <c r="I3010">
        <f>B3010&amp;"|"&amp;F3010&amp;"|"&amp;G3010</f>
        <v/>
      </c>
      <c r="J3010" t="inlineStr">
        <is>
          <t>MVS Sec.18 p.27</t>
        </is>
      </c>
    </row>
    <row r="3011">
      <c r="B3011" t="inlineStr">
        <is>
          <t>College Classrooms</t>
        </is>
      </c>
      <c r="C3011" t="inlineStr">
        <is>
          <t>368</t>
        </is>
      </c>
      <c r="D3011" t="inlineStr">
        <is>
          <t>18</t>
        </is>
      </c>
      <c r="E3011" t="inlineStr">
        <is>
          <t>27</t>
        </is>
      </c>
      <c r="F3011" t="inlineStr">
        <is>
          <t>B</t>
        </is>
      </c>
      <c r="G3011" t="inlineStr">
        <is>
          <t>Excellent</t>
        </is>
      </c>
      <c r="H3011" t="n">
        <v>387</v>
      </c>
      <c r="I3011">
        <f>B3011&amp;"|"&amp;F3011&amp;"|"&amp;G3011</f>
        <v/>
      </c>
      <c r="J3011" t="inlineStr">
        <is>
          <t>MVS Sec.18 p.27</t>
        </is>
      </c>
    </row>
    <row r="3012">
      <c r="B3012" t="inlineStr">
        <is>
          <t>College Classrooms</t>
        </is>
      </c>
      <c r="C3012" t="inlineStr">
        <is>
          <t>368</t>
        </is>
      </c>
      <c r="D3012" t="inlineStr">
        <is>
          <t>18</t>
        </is>
      </c>
      <c r="E3012" t="inlineStr">
        <is>
          <t>27</t>
        </is>
      </c>
      <c r="F3012" t="inlineStr">
        <is>
          <t>B</t>
        </is>
      </c>
      <c r="G3012" t="inlineStr">
        <is>
          <t>Good</t>
        </is>
      </c>
      <c r="H3012" t="n">
        <v>314</v>
      </c>
      <c r="I3012">
        <f>B3012&amp;"|"&amp;F3012&amp;"|"&amp;G3012</f>
        <v/>
      </c>
      <c r="J3012" t="inlineStr">
        <is>
          <t>MVS Sec.18 p.27</t>
        </is>
      </c>
    </row>
    <row r="3013">
      <c r="B3013" t="inlineStr">
        <is>
          <t>College Classrooms</t>
        </is>
      </c>
      <c r="C3013" t="inlineStr">
        <is>
          <t>368</t>
        </is>
      </c>
      <c r="D3013" t="inlineStr">
        <is>
          <t>18</t>
        </is>
      </c>
      <c r="E3013" t="inlineStr">
        <is>
          <t>27</t>
        </is>
      </c>
      <c r="F3013" t="inlineStr">
        <is>
          <t>B</t>
        </is>
      </c>
      <c r="G3013" t="inlineStr">
        <is>
          <t>Average</t>
        </is>
      </c>
      <c r="H3013" t="n">
        <v>256</v>
      </c>
      <c r="I3013">
        <f>B3013&amp;"|"&amp;F3013&amp;"|"&amp;G3013</f>
        <v/>
      </c>
      <c r="J3013" t="inlineStr">
        <is>
          <t>MVS Sec.18 p.27</t>
        </is>
      </c>
    </row>
    <row r="3014">
      <c r="B3014" t="inlineStr">
        <is>
          <t>College Classrooms</t>
        </is>
      </c>
      <c r="C3014" t="inlineStr">
        <is>
          <t>368</t>
        </is>
      </c>
      <c r="D3014" t="inlineStr">
        <is>
          <t>18</t>
        </is>
      </c>
      <c r="E3014" t="inlineStr">
        <is>
          <t>27</t>
        </is>
      </c>
      <c r="F3014" t="inlineStr">
        <is>
          <t>B</t>
        </is>
      </c>
      <c r="G3014" t="inlineStr">
        <is>
          <t>Low Cost</t>
        </is>
      </c>
      <c r="H3014" t="n">
        <v>196</v>
      </c>
      <c r="I3014">
        <f>B3014&amp;"|"&amp;F3014&amp;"|"&amp;G3014</f>
        <v/>
      </c>
      <c r="J3014" t="inlineStr">
        <is>
          <t>MVS Sec.18 p.27</t>
        </is>
      </c>
    </row>
    <row r="3015">
      <c r="B3015" t="inlineStr">
        <is>
          <t>College Classrooms</t>
        </is>
      </c>
      <c r="C3015" t="inlineStr">
        <is>
          <t>368</t>
        </is>
      </c>
      <c r="D3015" t="inlineStr">
        <is>
          <t>18</t>
        </is>
      </c>
      <c r="E3015" t="inlineStr">
        <is>
          <t>27</t>
        </is>
      </c>
      <c r="F3015" t="inlineStr">
        <is>
          <t>C</t>
        </is>
      </c>
      <c r="G3015" t="inlineStr">
        <is>
          <t>Excellent</t>
        </is>
      </c>
      <c r="H3015" t="n">
        <v>324</v>
      </c>
      <c r="I3015">
        <f>B3015&amp;"|"&amp;F3015&amp;"|"&amp;G3015</f>
        <v/>
      </c>
      <c r="J3015" t="inlineStr">
        <is>
          <t>MVS Sec.18 p.27</t>
        </is>
      </c>
    </row>
    <row r="3016">
      <c r="B3016" t="inlineStr">
        <is>
          <t>College Classrooms</t>
        </is>
      </c>
      <c r="C3016" t="inlineStr">
        <is>
          <t>368</t>
        </is>
      </c>
      <c r="D3016" t="inlineStr">
        <is>
          <t>18</t>
        </is>
      </c>
      <c r="E3016" t="inlineStr">
        <is>
          <t>27</t>
        </is>
      </c>
      <c r="F3016" t="inlineStr">
        <is>
          <t>C</t>
        </is>
      </c>
      <c r="G3016" t="inlineStr">
        <is>
          <t>Good</t>
        </is>
      </c>
      <c r="H3016" t="n">
        <v>263</v>
      </c>
      <c r="I3016">
        <f>B3016&amp;"|"&amp;F3016&amp;"|"&amp;G3016</f>
        <v/>
      </c>
      <c r="J3016" t="inlineStr">
        <is>
          <t>MVS Sec.18 p.27</t>
        </is>
      </c>
    </row>
    <row r="3017">
      <c r="B3017" t="inlineStr">
        <is>
          <t>College Classrooms</t>
        </is>
      </c>
      <c r="C3017" t="inlineStr">
        <is>
          <t>368</t>
        </is>
      </c>
      <c r="D3017" t="inlineStr">
        <is>
          <t>18</t>
        </is>
      </c>
      <c r="E3017" t="inlineStr">
        <is>
          <t>27</t>
        </is>
      </c>
      <c r="F3017" t="inlineStr">
        <is>
          <t>C</t>
        </is>
      </c>
      <c r="G3017" t="inlineStr">
        <is>
          <t>Average</t>
        </is>
      </c>
      <c r="H3017" t="n">
        <v>200</v>
      </c>
      <c r="I3017">
        <f>B3017&amp;"|"&amp;F3017&amp;"|"&amp;G3017</f>
        <v/>
      </c>
      <c r="J3017" t="inlineStr">
        <is>
          <t>MVS Sec.18 p.27</t>
        </is>
      </c>
    </row>
    <row r="3018">
      <c r="B3018" t="inlineStr">
        <is>
          <t>College Classrooms</t>
        </is>
      </c>
      <c r="C3018" t="inlineStr">
        <is>
          <t>368</t>
        </is>
      </c>
      <c r="D3018" t="inlineStr">
        <is>
          <t>18</t>
        </is>
      </c>
      <c r="E3018" t="inlineStr">
        <is>
          <t>27</t>
        </is>
      </c>
      <c r="F3018" t="inlineStr">
        <is>
          <t>C</t>
        </is>
      </c>
      <c r="G3018" t="inlineStr">
        <is>
          <t>Low Cost</t>
        </is>
      </c>
      <c r="H3018" t="n">
        <v>152</v>
      </c>
      <c r="I3018">
        <f>B3018&amp;"|"&amp;F3018&amp;"|"&amp;G3018</f>
        <v/>
      </c>
      <c r="J3018" t="inlineStr">
        <is>
          <t>MVS Sec.18 p.27</t>
        </is>
      </c>
    </row>
    <row r="3019">
      <c r="B3019" t="inlineStr">
        <is>
          <t>College Classrooms</t>
        </is>
      </c>
      <c r="C3019" t="inlineStr">
        <is>
          <t>368</t>
        </is>
      </c>
      <c r="D3019" t="inlineStr">
        <is>
          <t>18</t>
        </is>
      </c>
      <c r="E3019" t="inlineStr">
        <is>
          <t>27</t>
        </is>
      </c>
      <c r="F3019" t="inlineStr">
        <is>
          <t>D</t>
        </is>
      </c>
      <c r="G3019" t="inlineStr">
        <is>
          <t>Excellent</t>
        </is>
      </c>
      <c r="H3019" t="n">
        <v>320</v>
      </c>
      <c r="I3019">
        <f>B3019&amp;"|"&amp;F3019&amp;"|"&amp;G3019</f>
        <v/>
      </c>
      <c r="J3019" t="inlineStr">
        <is>
          <t>MVS Sec.18 p.27</t>
        </is>
      </c>
    </row>
    <row r="3020">
      <c r="B3020" t="inlineStr">
        <is>
          <t>College Classrooms</t>
        </is>
      </c>
      <c r="C3020" t="inlineStr">
        <is>
          <t>368</t>
        </is>
      </c>
      <c r="D3020" t="inlineStr">
        <is>
          <t>18</t>
        </is>
      </c>
      <c r="E3020" t="inlineStr">
        <is>
          <t>27</t>
        </is>
      </c>
      <c r="F3020" t="inlineStr">
        <is>
          <t>D</t>
        </is>
      </c>
      <c r="G3020" t="inlineStr">
        <is>
          <t>Good</t>
        </is>
      </c>
      <c r="H3020" t="n">
        <v>244</v>
      </c>
      <c r="I3020">
        <f>B3020&amp;"|"&amp;F3020&amp;"|"&amp;G3020</f>
        <v/>
      </c>
      <c r="J3020" t="inlineStr">
        <is>
          <t>MVS Sec.18 p.27</t>
        </is>
      </c>
    </row>
    <row r="3021">
      <c r="B3021" t="inlineStr">
        <is>
          <t>College Classrooms</t>
        </is>
      </c>
      <c r="C3021" t="inlineStr">
        <is>
          <t>368</t>
        </is>
      </c>
      <c r="D3021" t="inlineStr">
        <is>
          <t>18</t>
        </is>
      </c>
      <c r="E3021" t="inlineStr">
        <is>
          <t>27</t>
        </is>
      </c>
      <c r="F3021" t="inlineStr">
        <is>
          <t>D</t>
        </is>
      </c>
      <c r="G3021" t="inlineStr">
        <is>
          <t>Average</t>
        </is>
      </c>
      <c r="H3021" t="n">
        <v>190</v>
      </c>
      <c r="I3021">
        <f>B3021&amp;"|"&amp;F3021&amp;"|"&amp;G3021</f>
        <v/>
      </c>
      <c r="J3021" t="inlineStr">
        <is>
          <t>MVS Sec.18 p.27</t>
        </is>
      </c>
    </row>
    <row r="3022">
      <c r="B3022" t="inlineStr">
        <is>
          <t>College Classrooms</t>
        </is>
      </c>
      <c r="C3022" t="inlineStr">
        <is>
          <t>368</t>
        </is>
      </c>
      <c r="D3022" t="inlineStr">
        <is>
          <t>18</t>
        </is>
      </c>
      <c r="E3022" t="inlineStr">
        <is>
          <t>27</t>
        </is>
      </c>
      <c r="F3022" t="inlineStr">
        <is>
          <t>D</t>
        </is>
      </c>
      <c r="G3022" t="inlineStr">
        <is>
          <t>Low Cost</t>
        </is>
      </c>
      <c r="H3022" t="n">
        <v>147</v>
      </c>
      <c r="I3022">
        <f>B3022&amp;"|"&amp;F3022&amp;"|"&amp;G3022</f>
        <v/>
      </c>
      <c r="J3022" t="inlineStr">
        <is>
          <t>MVS Sec.18 p.27</t>
        </is>
      </c>
    </row>
    <row r="3023">
      <c r="B3023" t="inlineStr">
        <is>
          <t>College Classrooms</t>
        </is>
      </c>
      <c r="C3023" t="inlineStr">
        <is>
          <t>368</t>
        </is>
      </c>
      <c r="D3023" t="inlineStr">
        <is>
          <t>18</t>
        </is>
      </c>
      <c r="E3023" t="inlineStr">
        <is>
          <t>27</t>
        </is>
      </c>
      <c r="F3023" t="inlineStr">
        <is>
          <t>DPOLE</t>
        </is>
      </c>
      <c r="G3023" t="inlineStr">
        <is>
          <t>Average</t>
        </is>
      </c>
      <c r="H3023" t="n">
        <v>183</v>
      </c>
      <c r="I3023">
        <f>B3023&amp;"|"&amp;F3023&amp;"|"&amp;G3023</f>
        <v/>
      </c>
      <c r="J3023" t="inlineStr">
        <is>
          <t>MVS Sec.18 p.27</t>
        </is>
      </c>
    </row>
    <row r="3024">
      <c r="B3024" t="inlineStr">
        <is>
          <t>College Classrooms</t>
        </is>
      </c>
      <c r="C3024" t="inlineStr">
        <is>
          <t>368</t>
        </is>
      </c>
      <c r="D3024" t="inlineStr">
        <is>
          <t>18</t>
        </is>
      </c>
      <c r="E3024" t="inlineStr">
        <is>
          <t>27</t>
        </is>
      </c>
      <c r="F3024" t="inlineStr">
        <is>
          <t>DPOLE</t>
        </is>
      </c>
      <c r="G3024" t="inlineStr">
        <is>
          <t>Low Cost</t>
        </is>
      </c>
      <c r="H3024" t="n">
        <v>140</v>
      </c>
      <c r="I3024">
        <f>B3024&amp;"|"&amp;F3024&amp;"|"&amp;G3024</f>
        <v/>
      </c>
      <c r="J3024" t="inlineStr">
        <is>
          <t>MVS Sec.18 p.27</t>
        </is>
      </c>
    </row>
    <row r="3025">
      <c r="B3025" t="inlineStr">
        <is>
          <t>College Classrooms</t>
        </is>
      </c>
      <c r="C3025" t="inlineStr">
        <is>
          <t>368</t>
        </is>
      </c>
      <c r="D3025" t="inlineStr">
        <is>
          <t>18</t>
        </is>
      </c>
      <c r="E3025" t="inlineStr">
        <is>
          <t>27</t>
        </is>
      </c>
      <c r="F3025" t="inlineStr">
        <is>
          <t>S</t>
        </is>
      </c>
      <c r="G3025" t="inlineStr">
        <is>
          <t>Good</t>
        </is>
      </c>
      <c r="H3025" t="n">
        <v>238</v>
      </c>
      <c r="I3025">
        <f>B3025&amp;"|"&amp;F3025&amp;"|"&amp;G3025</f>
        <v/>
      </c>
      <c r="J3025" t="inlineStr">
        <is>
          <t>MVS Sec.18 p.27</t>
        </is>
      </c>
    </row>
    <row r="3026">
      <c r="B3026" t="inlineStr">
        <is>
          <t>College Classrooms</t>
        </is>
      </c>
      <c r="C3026" t="inlineStr">
        <is>
          <t>368</t>
        </is>
      </c>
      <c r="D3026" t="inlineStr">
        <is>
          <t>18</t>
        </is>
      </c>
      <c r="E3026" t="inlineStr">
        <is>
          <t>27</t>
        </is>
      </c>
      <c r="F3026" t="inlineStr">
        <is>
          <t>S</t>
        </is>
      </c>
      <c r="G3026" t="inlineStr">
        <is>
          <t>Average</t>
        </is>
      </c>
      <c r="H3026" t="n">
        <v>184</v>
      </c>
      <c r="I3026">
        <f>B3026&amp;"|"&amp;F3026&amp;"|"&amp;G3026</f>
        <v/>
      </c>
      <c r="J3026" t="inlineStr">
        <is>
          <t>MVS Sec.18 p.27</t>
        </is>
      </c>
    </row>
    <row r="3027">
      <c r="B3027" t="inlineStr">
        <is>
          <t>College Classrooms</t>
        </is>
      </c>
      <c r="C3027" t="inlineStr">
        <is>
          <t>368</t>
        </is>
      </c>
      <c r="D3027" t="inlineStr">
        <is>
          <t>18</t>
        </is>
      </c>
      <c r="E3027" t="inlineStr">
        <is>
          <t>27</t>
        </is>
      </c>
      <c r="F3027" t="inlineStr">
        <is>
          <t>S</t>
        </is>
      </c>
      <c r="G3027" t="inlineStr">
        <is>
          <t>Low Cost</t>
        </is>
      </c>
      <c r="H3027" t="n">
        <v>142</v>
      </c>
      <c r="I3027">
        <f>B3027&amp;"|"&amp;F3027&amp;"|"&amp;G3027</f>
        <v/>
      </c>
      <c r="J3027" t="inlineStr">
        <is>
          <t>MVS Sec.18 p.27</t>
        </is>
      </c>
    </row>
    <row r="3028">
      <c r="B3028" t="inlineStr">
        <is>
          <t>Technical Trades Buildings</t>
        </is>
      </c>
      <c r="C3028" t="inlineStr">
        <is>
          <t>373</t>
        </is>
      </c>
      <c r="D3028" t="inlineStr">
        <is>
          <t>18</t>
        </is>
      </c>
      <c r="E3028" t="inlineStr">
        <is>
          <t>28</t>
        </is>
      </c>
      <c r="F3028" t="inlineStr">
        <is>
          <t>A-B</t>
        </is>
      </c>
      <c r="G3028" t="inlineStr">
        <is>
          <t>Good</t>
        </is>
      </c>
      <c r="H3028" t="n">
        <v>317</v>
      </c>
      <c r="I3028">
        <f>B3028&amp;"|"&amp;F3028&amp;"|"&amp;G3028</f>
        <v/>
      </c>
      <c r="J3028" t="inlineStr">
        <is>
          <t>MVS Sec.18 p.28</t>
        </is>
      </c>
    </row>
    <row r="3029">
      <c r="B3029" t="inlineStr">
        <is>
          <t>Technical Trades Buildings</t>
        </is>
      </c>
      <c r="C3029" t="inlineStr">
        <is>
          <t>373</t>
        </is>
      </c>
      <c r="D3029" t="inlineStr">
        <is>
          <t>18</t>
        </is>
      </c>
      <c r="E3029" t="inlineStr">
        <is>
          <t>28</t>
        </is>
      </c>
      <c r="F3029" t="inlineStr">
        <is>
          <t>A-B</t>
        </is>
      </c>
      <c r="G3029" t="inlineStr">
        <is>
          <t>Average</t>
        </is>
      </c>
      <c r="H3029" t="n">
        <v>234</v>
      </c>
      <c r="I3029">
        <f>B3029&amp;"|"&amp;F3029&amp;"|"&amp;G3029</f>
        <v/>
      </c>
      <c r="J3029" t="inlineStr">
        <is>
          <t>MVS Sec.18 p.28</t>
        </is>
      </c>
    </row>
    <row r="3030">
      <c r="B3030" t="inlineStr">
        <is>
          <t>Technical Trades Buildings</t>
        </is>
      </c>
      <c r="C3030" t="inlineStr">
        <is>
          <t>373</t>
        </is>
      </c>
      <c r="D3030" t="inlineStr">
        <is>
          <t>18</t>
        </is>
      </c>
      <c r="E3030" t="inlineStr">
        <is>
          <t>28</t>
        </is>
      </c>
      <c r="F3030" t="inlineStr">
        <is>
          <t>A-B</t>
        </is>
      </c>
      <c r="G3030" t="inlineStr">
        <is>
          <t>Low Cost</t>
        </is>
      </c>
      <c r="H3030" t="n">
        <v>178</v>
      </c>
      <c r="I3030">
        <f>B3030&amp;"|"&amp;F3030&amp;"|"&amp;G3030</f>
        <v/>
      </c>
      <c r="J3030" t="inlineStr">
        <is>
          <t>MVS Sec.18 p.28</t>
        </is>
      </c>
    </row>
    <row r="3031">
      <c r="B3031" t="inlineStr">
        <is>
          <t>Technical Trades Buildings</t>
        </is>
      </c>
      <c r="C3031" t="inlineStr">
        <is>
          <t>373</t>
        </is>
      </c>
      <c r="D3031" t="inlineStr">
        <is>
          <t>18</t>
        </is>
      </c>
      <c r="E3031" t="inlineStr">
        <is>
          <t>28</t>
        </is>
      </c>
      <c r="F3031" t="inlineStr">
        <is>
          <t>C</t>
        </is>
      </c>
      <c r="G3031" t="inlineStr">
        <is>
          <t>Good</t>
        </is>
      </c>
      <c r="H3031" t="n">
        <v>232</v>
      </c>
      <c r="I3031">
        <f>B3031&amp;"|"&amp;F3031&amp;"|"&amp;G3031</f>
        <v/>
      </c>
      <c r="J3031" t="inlineStr">
        <is>
          <t>MVS Sec.18 p.28</t>
        </is>
      </c>
    </row>
    <row r="3032">
      <c r="B3032" t="inlineStr">
        <is>
          <t>Technical Trades Buildings</t>
        </is>
      </c>
      <c r="C3032" t="inlineStr">
        <is>
          <t>373</t>
        </is>
      </c>
      <c r="D3032" t="inlineStr">
        <is>
          <t>18</t>
        </is>
      </c>
      <c r="E3032" t="inlineStr">
        <is>
          <t>28</t>
        </is>
      </c>
      <c r="F3032" t="inlineStr">
        <is>
          <t>C</t>
        </is>
      </c>
      <c r="G3032" t="inlineStr">
        <is>
          <t>Average</t>
        </is>
      </c>
      <c r="H3032" t="n">
        <v>171</v>
      </c>
      <c r="I3032">
        <f>B3032&amp;"|"&amp;F3032&amp;"|"&amp;G3032</f>
        <v/>
      </c>
      <c r="J3032" t="inlineStr">
        <is>
          <t>MVS Sec.18 p.28</t>
        </is>
      </c>
    </row>
    <row r="3033">
      <c r="B3033" t="inlineStr">
        <is>
          <t>Technical Trades Buildings</t>
        </is>
      </c>
      <c r="C3033" t="inlineStr">
        <is>
          <t>373</t>
        </is>
      </c>
      <c r="D3033" t="inlineStr">
        <is>
          <t>18</t>
        </is>
      </c>
      <c r="E3033" t="inlineStr">
        <is>
          <t>28</t>
        </is>
      </c>
      <c r="F3033" t="inlineStr">
        <is>
          <t>C</t>
        </is>
      </c>
      <c r="G3033" t="inlineStr">
        <is>
          <t>Low Cost</t>
        </is>
      </c>
      <c r="H3033" t="n">
        <v>133</v>
      </c>
      <c r="I3033">
        <f>B3033&amp;"|"&amp;F3033&amp;"|"&amp;G3033</f>
        <v/>
      </c>
      <c r="J3033" t="inlineStr">
        <is>
          <t>MVS Sec.18 p.28</t>
        </is>
      </c>
    </row>
    <row r="3034">
      <c r="B3034" t="inlineStr">
        <is>
          <t>Technical Trades Buildings</t>
        </is>
      </c>
      <c r="C3034" t="inlineStr">
        <is>
          <t>373</t>
        </is>
      </c>
      <c r="D3034" t="inlineStr">
        <is>
          <t>18</t>
        </is>
      </c>
      <c r="E3034" t="inlineStr">
        <is>
          <t>28</t>
        </is>
      </c>
      <c r="F3034" t="inlineStr">
        <is>
          <t>D</t>
        </is>
      </c>
      <c r="G3034" t="inlineStr">
        <is>
          <t>Good</t>
        </is>
      </c>
      <c r="H3034" t="n">
        <v>228</v>
      </c>
      <c r="I3034">
        <f>B3034&amp;"|"&amp;F3034&amp;"|"&amp;G3034</f>
        <v/>
      </c>
      <c r="J3034" t="inlineStr">
        <is>
          <t>MVS Sec.18 p.28</t>
        </is>
      </c>
    </row>
    <row r="3035">
      <c r="B3035" t="inlineStr">
        <is>
          <t>Technical Trades Buildings</t>
        </is>
      </c>
      <c r="C3035" t="inlineStr">
        <is>
          <t>373</t>
        </is>
      </c>
      <c r="D3035" t="inlineStr">
        <is>
          <t>18</t>
        </is>
      </c>
      <c r="E3035" t="inlineStr">
        <is>
          <t>28</t>
        </is>
      </c>
      <c r="F3035" t="inlineStr">
        <is>
          <t>D</t>
        </is>
      </c>
      <c r="G3035" t="inlineStr">
        <is>
          <t>Average</t>
        </is>
      </c>
      <c r="H3035" t="n">
        <v>167</v>
      </c>
      <c r="I3035">
        <f>B3035&amp;"|"&amp;F3035&amp;"|"&amp;G3035</f>
        <v/>
      </c>
      <c r="J3035" t="inlineStr">
        <is>
          <t>MVS Sec.18 p.28</t>
        </is>
      </c>
    </row>
    <row r="3036">
      <c r="B3036" t="inlineStr">
        <is>
          <t>Technical Trades Buildings</t>
        </is>
      </c>
      <c r="C3036" t="inlineStr">
        <is>
          <t>373</t>
        </is>
      </c>
      <c r="D3036" t="inlineStr">
        <is>
          <t>18</t>
        </is>
      </c>
      <c r="E3036" t="inlineStr">
        <is>
          <t>28</t>
        </is>
      </c>
      <c r="F3036" t="inlineStr">
        <is>
          <t>D</t>
        </is>
      </c>
      <c r="G3036" t="inlineStr">
        <is>
          <t>Low Cost</t>
        </is>
      </c>
      <c r="H3036" t="n">
        <v>129</v>
      </c>
      <c r="I3036">
        <f>B3036&amp;"|"&amp;F3036&amp;"|"&amp;G3036</f>
        <v/>
      </c>
      <c r="J3036" t="inlineStr">
        <is>
          <t>MVS Sec.18 p.28</t>
        </is>
      </c>
    </row>
    <row r="3037">
      <c r="B3037" t="inlineStr">
        <is>
          <t>Technical Trades Buildings</t>
        </is>
      </c>
      <c r="C3037" t="inlineStr">
        <is>
          <t>373</t>
        </is>
      </c>
      <c r="D3037" t="inlineStr">
        <is>
          <t>18</t>
        </is>
      </c>
      <c r="E3037" t="inlineStr">
        <is>
          <t>28</t>
        </is>
      </c>
      <c r="F3037" t="inlineStr">
        <is>
          <t>DPOLE</t>
        </is>
      </c>
      <c r="G3037" t="inlineStr">
        <is>
          <t>Average</t>
        </is>
      </c>
      <c r="H3037" t="n">
        <v>161</v>
      </c>
      <c r="I3037">
        <f>B3037&amp;"|"&amp;F3037&amp;"|"&amp;G3037</f>
        <v/>
      </c>
      <c r="J3037" t="inlineStr">
        <is>
          <t>MVS Sec.18 p.28</t>
        </is>
      </c>
    </row>
    <row r="3038">
      <c r="B3038" t="inlineStr">
        <is>
          <t>Technical Trades Buildings</t>
        </is>
      </c>
      <c r="C3038" t="inlineStr">
        <is>
          <t>373</t>
        </is>
      </c>
      <c r="D3038" t="inlineStr">
        <is>
          <t>18</t>
        </is>
      </c>
      <c r="E3038" t="inlineStr">
        <is>
          <t>28</t>
        </is>
      </c>
      <c r="F3038" t="inlineStr">
        <is>
          <t>DPOLE</t>
        </is>
      </c>
      <c r="G3038" t="inlineStr">
        <is>
          <t>Low Cost</t>
        </is>
      </c>
      <c r="H3038" t="n">
        <v>124</v>
      </c>
      <c r="I3038">
        <f>B3038&amp;"|"&amp;F3038&amp;"|"&amp;G3038</f>
        <v/>
      </c>
      <c r="J3038" t="inlineStr">
        <is>
          <t>MVS Sec.18 p.28</t>
        </is>
      </c>
    </row>
    <row r="3039">
      <c r="B3039" t="inlineStr">
        <is>
          <t>Technical Trades Buildings</t>
        </is>
      </c>
      <c r="C3039" t="inlineStr">
        <is>
          <t>373</t>
        </is>
      </c>
      <c r="D3039" t="inlineStr">
        <is>
          <t>18</t>
        </is>
      </c>
      <c r="E3039" t="inlineStr">
        <is>
          <t>28</t>
        </is>
      </c>
      <c r="F3039" t="inlineStr">
        <is>
          <t>S</t>
        </is>
      </c>
      <c r="G3039" t="inlineStr">
        <is>
          <t>Average</t>
        </is>
      </c>
      <c r="H3039" t="n">
        <v>162</v>
      </c>
      <c r="I3039">
        <f>B3039&amp;"|"&amp;F3039&amp;"|"&amp;G3039</f>
        <v/>
      </c>
      <c r="J3039" t="inlineStr">
        <is>
          <t>MVS Sec.18 p.28</t>
        </is>
      </c>
    </row>
    <row r="3040">
      <c r="B3040" t="inlineStr">
        <is>
          <t>Technical Trades Buildings</t>
        </is>
      </c>
      <c r="C3040" t="inlineStr">
        <is>
          <t>373</t>
        </is>
      </c>
      <c r="D3040" t="inlineStr">
        <is>
          <t>18</t>
        </is>
      </c>
      <c r="E3040" t="inlineStr">
        <is>
          <t>28</t>
        </is>
      </c>
      <c r="F3040" t="inlineStr">
        <is>
          <t>S</t>
        </is>
      </c>
      <c r="G3040" t="inlineStr">
        <is>
          <t>Low Cost</t>
        </is>
      </c>
      <c r="H3040" t="n">
        <v>125</v>
      </c>
      <c r="I3040">
        <f>B3040&amp;"|"&amp;F3040&amp;"|"&amp;G3040</f>
        <v/>
      </c>
      <c r="J3040" t="inlineStr">
        <is>
          <t>MVS Sec.18 p.28</t>
        </is>
      </c>
    </row>
    <row r="3041">
      <c r="B3041" t="inlineStr">
        <is>
          <t>Lecture Hall Buildings</t>
        </is>
      </c>
      <c r="C3041" t="inlineStr">
        <is>
          <t>371</t>
        </is>
      </c>
      <c r="D3041" t="inlineStr">
        <is>
          <t>18</t>
        </is>
      </c>
      <c r="E3041" t="inlineStr">
        <is>
          <t>28</t>
        </is>
      </c>
      <c r="F3041" t="inlineStr">
        <is>
          <t>A-B</t>
        </is>
      </c>
      <c r="G3041" t="inlineStr">
        <is>
          <t>Excellent</t>
        </is>
      </c>
      <c r="H3041" t="n">
        <v>445</v>
      </c>
      <c r="I3041">
        <f>B3041&amp;"|"&amp;F3041&amp;"|"&amp;G3041</f>
        <v/>
      </c>
      <c r="J3041" t="inlineStr">
        <is>
          <t>MVS Sec.18 p.28</t>
        </is>
      </c>
    </row>
    <row r="3042">
      <c r="B3042" t="inlineStr">
        <is>
          <t>Lecture Hall Buildings</t>
        </is>
      </c>
      <c r="C3042" t="inlineStr">
        <is>
          <t>371</t>
        </is>
      </c>
      <c r="D3042" t="inlineStr">
        <is>
          <t>18</t>
        </is>
      </c>
      <c r="E3042" t="inlineStr">
        <is>
          <t>28</t>
        </is>
      </c>
      <c r="F3042" t="inlineStr">
        <is>
          <t>A-B</t>
        </is>
      </c>
      <c r="G3042" t="inlineStr">
        <is>
          <t>Good</t>
        </is>
      </c>
      <c r="H3042" t="n">
        <v>354</v>
      </c>
      <c r="I3042">
        <f>B3042&amp;"|"&amp;F3042&amp;"|"&amp;G3042</f>
        <v/>
      </c>
      <c r="J3042" t="inlineStr">
        <is>
          <t>MVS Sec.18 p.28</t>
        </is>
      </c>
    </row>
    <row r="3043">
      <c r="B3043" t="inlineStr">
        <is>
          <t>Lecture Hall Buildings</t>
        </is>
      </c>
      <c r="C3043" t="inlineStr">
        <is>
          <t>371</t>
        </is>
      </c>
      <c r="D3043" t="inlineStr">
        <is>
          <t>18</t>
        </is>
      </c>
      <c r="E3043" t="inlineStr">
        <is>
          <t>28</t>
        </is>
      </c>
      <c r="F3043" t="inlineStr">
        <is>
          <t>A-B</t>
        </is>
      </c>
      <c r="G3043" t="inlineStr">
        <is>
          <t>Average</t>
        </is>
      </c>
      <c r="H3043" t="n">
        <v>284</v>
      </c>
      <c r="I3043">
        <f>B3043&amp;"|"&amp;F3043&amp;"|"&amp;G3043</f>
        <v/>
      </c>
      <c r="J3043" t="inlineStr">
        <is>
          <t>MVS Sec.18 p.28</t>
        </is>
      </c>
    </row>
    <row r="3044">
      <c r="B3044" t="inlineStr">
        <is>
          <t>Lecture Hall Buildings</t>
        </is>
      </c>
      <c r="C3044" t="inlineStr">
        <is>
          <t>371</t>
        </is>
      </c>
      <c r="D3044" t="inlineStr">
        <is>
          <t>18</t>
        </is>
      </c>
      <c r="E3044" t="inlineStr">
        <is>
          <t>28</t>
        </is>
      </c>
      <c r="F3044" t="inlineStr">
        <is>
          <t>C</t>
        </is>
      </c>
      <c r="G3044" t="inlineStr">
        <is>
          <t>Excellent</t>
        </is>
      </c>
      <c r="H3044" t="n">
        <v>363</v>
      </c>
      <c r="I3044">
        <f>B3044&amp;"|"&amp;F3044&amp;"|"&amp;G3044</f>
        <v/>
      </c>
      <c r="J3044" t="inlineStr">
        <is>
          <t>MVS Sec.18 p.28</t>
        </is>
      </c>
    </row>
    <row r="3045">
      <c r="B3045" t="inlineStr">
        <is>
          <t>Lecture Hall Buildings</t>
        </is>
      </c>
      <c r="C3045" t="inlineStr">
        <is>
          <t>371</t>
        </is>
      </c>
      <c r="D3045" t="inlineStr">
        <is>
          <t>18</t>
        </is>
      </c>
      <c r="E3045" t="inlineStr">
        <is>
          <t>28</t>
        </is>
      </c>
      <c r="F3045" t="inlineStr">
        <is>
          <t>C</t>
        </is>
      </c>
      <c r="G3045" t="inlineStr">
        <is>
          <t>Good</t>
        </is>
      </c>
      <c r="H3045" t="n">
        <v>285</v>
      </c>
      <c r="I3045">
        <f>B3045&amp;"|"&amp;F3045&amp;"|"&amp;G3045</f>
        <v/>
      </c>
      <c r="J3045" t="inlineStr">
        <is>
          <t>MVS Sec.18 p.28</t>
        </is>
      </c>
    </row>
    <row r="3046">
      <c r="B3046" t="inlineStr">
        <is>
          <t>Lecture Hall Buildings</t>
        </is>
      </c>
      <c r="C3046" t="inlineStr">
        <is>
          <t>371</t>
        </is>
      </c>
      <c r="D3046" t="inlineStr">
        <is>
          <t>18</t>
        </is>
      </c>
      <c r="E3046" t="inlineStr">
        <is>
          <t>28</t>
        </is>
      </c>
      <c r="F3046" t="inlineStr">
        <is>
          <t>C</t>
        </is>
      </c>
      <c r="G3046" t="inlineStr">
        <is>
          <t>Average</t>
        </is>
      </c>
      <c r="H3046" t="n">
        <v>212</v>
      </c>
      <c r="I3046">
        <f>B3046&amp;"|"&amp;F3046&amp;"|"&amp;G3046</f>
        <v/>
      </c>
      <c r="J3046" t="inlineStr">
        <is>
          <t>MVS Sec.18 p.28</t>
        </is>
      </c>
    </row>
    <row r="3047">
      <c r="B3047" t="inlineStr">
        <is>
          <t>Lecture Hall Buildings</t>
        </is>
      </c>
      <c r="C3047" t="inlineStr">
        <is>
          <t>371</t>
        </is>
      </c>
      <c r="D3047" t="inlineStr">
        <is>
          <t>18</t>
        </is>
      </c>
      <c r="E3047" t="inlineStr">
        <is>
          <t>28</t>
        </is>
      </c>
      <c r="F3047" t="inlineStr">
        <is>
          <t>D</t>
        </is>
      </c>
      <c r="G3047" t="inlineStr">
        <is>
          <t>Good</t>
        </is>
      </c>
      <c r="H3047" t="n">
        <v>274</v>
      </c>
      <c r="I3047">
        <f>B3047&amp;"|"&amp;F3047&amp;"|"&amp;G3047</f>
        <v/>
      </c>
      <c r="J3047" t="inlineStr">
        <is>
          <t>MVS Sec.18 p.28</t>
        </is>
      </c>
    </row>
    <row r="3048">
      <c r="B3048" t="inlineStr">
        <is>
          <t>Lecture Hall Buildings</t>
        </is>
      </c>
      <c r="C3048" t="inlineStr">
        <is>
          <t>371</t>
        </is>
      </c>
      <c r="D3048" t="inlineStr">
        <is>
          <t>18</t>
        </is>
      </c>
      <c r="E3048" t="inlineStr">
        <is>
          <t>28</t>
        </is>
      </c>
      <c r="F3048" t="inlineStr">
        <is>
          <t>D</t>
        </is>
      </c>
      <c r="G3048" t="inlineStr">
        <is>
          <t>Average</t>
        </is>
      </c>
      <c r="H3048" t="n">
        <v>204</v>
      </c>
      <c r="I3048">
        <f>B3048&amp;"|"&amp;F3048&amp;"|"&amp;G3048</f>
        <v/>
      </c>
      <c r="J3048" t="inlineStr">
        <is>
          <t>MVS Sec.18 p.28</t>
        </is>
      </c>
    </row>
    <row r="3049">
      <c r="B3049" t="inlineStr">
        <is>
          <t>Lecture Hall Buildings</t>
        </is>
      </c>
      <c r="C3049" t="inlineStr">
        <is>
          <t>371</t>
        </is>
      </c>
      <c r="D3049" t="inlineStr">
        <is>
          <t>18</t>
        </is>
      </c>
      <c r="E3049" t="inlineStr">
        <is>
          <t>28</t>
        </is>
      </c>
      <c r="F3049" t="inlineStr">
        <is>
          <t>S</t>
        </is>
      </c>
      <c r="G3049" t="inlineStr">
        <is>
          <t>Average</t>
        </is>
      </c>
      <c r="H3049" t="n">
        <v>196</v>
      </c>
      <c r="I3049">
        <f>B3049&amp;"|"&amp;F3049&amp;"|"&amp;G3049</f>
        <v/>
      </c>
      <c r="J3049" t="inlineStr">
        <is>
          <t>MVS Sec.18 p.28</t>
        </is>
      </c>
    </row>
    <row r="3050">
      <c r="B3050" t="inlineStr">
        <is>
          <t>Arts &amp; Crafts Buildings</t>
        </is>
      </c>
      <c r="C3050" t="inlineStr">
        <is>
          <t>367</t>
        </is>
      </c>
      <c r="D3050" t="inlineStr">
        <is>
          <t>18</t>
        </is>
      </c>
      <c r="E3050" t="inlineStr">
        <is>
          <t>29</t>
        </is>
      </c>
      <c r="F3050" t="inlineStr">
        <is>
          <t>A-B</t>
        </is>
      </c>
      <c r="G3050" t="inlineStr">
        <is>
          <t>Excellent</t>
        </is>
      </c>
      <c r="H3050" t="n">
        <v>470</v>
      </c>
      <c r="I3050">
        <f>B3050&amp;"|"&amp;F3050&amp;"|"&amp;G3050</f>
        <v/>
      </c>
      <c r="J3050" t="inlineStr">
        <is>
          <t>MVS Sec.18 p.29</t>
        </is>
      </c>
    </row>
    <row r="3051">
      <c r="B3051" t="inlineStr">
        <is>
          <t>Arts &amp; Crafts Buildings</t>
        </is>
      </c>
      <c r="C3051" t="inlineStr">
        <is>
          <t>367</t>
        </is>
      </c>
      <c r="D3051" t="inlineStr">
        <is>
          <t>18</t>
        </is>
      </c>
      <c r="E3051" t="inlineStr">
        <is>
          <t>29</t>
        </is>
      </c>
      <c r="F3051" t="inlineStr">
        <is>
          <t>A-B</t>
        </is>
      </c>
      <c r="G3051" t="inlineStr">
        <is>
          <t>Good</t>
        </is>
      </c>
      <c r="H3051" t="n">
        <v>359</v>
      </c>
      <c r="I3051">
        <f>B3051&amp;"|"&amp;F3051&amp;"|"&amp;G3051</f>
        <v/>
      </c>
      <c r="J3051" t="inlineStr">
        <is>
          <t>MVS Sec.18 p.29</t>
        </is>
      </c>
    </row>
    <row r="3052">
      <c r="B3052" t="inlineStr">
        <is>
          <t>Arts &amp; Crafts Buildings</t>
        </is>
      </c>
      <c r="C3052" t="inlineStr">
        <is>
          <t>367</t>
        </is>
      </c>
      <c r="D3052" t="inlineStr">
        <is>
          <t>18</t>
        </is>
      </c>
      <c r="E3052" t="inlineStr">
        <is>
          <t>29</t>
        </is>
      </c>
      <c r="F3052" t="inlineStr">
        <is>
          <t>A-B</t>
        </is>
      </c>
      <c r="G3052" t="inlineStr">
        <is>
          <t>Average</t>
        </is>
      </c>
      <c r="H3052" t="n">
        <v>277</v>
      </c>
      <c r="I3052">
        <f>B3052&amp;"|"&amp;F3052&amp;"|"&amp;G3052</f>
        <v/>
      </c>
      <c r="J3052" t="inlineStr">
        <is>
          <t>MVS Sec.18 p.29</t>
        </is>
      </c>
    </row>
    <row r="3053">
      <c r="B3053" t="inlineStr">
        <is>
          <t>Arts &amp; Crafts Buildings</t>
        </is>
      </c>
      <c r="C3053" t="inlineStr">
        <is>
          <t>367</t>
        </is>
      </c>
      <c r="D3053" t="inlineStr">
        <is>
          <t>18</t>
        </is>
      </c>
      <c r="E3053" t="inlineStr">
        <is>
          <t>29</t>
        </is>
      </c>
      <c r="F3053" t="inlineStr">
        <is>
          <t>A-B</t>
        </is>
      </c>
      <c r="G3053" t="inlineStr">
        <is>
          <t>Low Cost</t>
        </is>
      </c>
      <c r="H3053" t="n">
        <v>201</v>
      </c>
      <c r="I3053">
        <f>B3053&amp;"|"&amp;F3053&amp;"|"&amp;G3053</f>
        <v/>
      </c>
      <c r="J3053" t="inlineStr">
        <is>
          <t>MVS Sec.18 p.29</t>
        </is>
      </c>
    </row>
    <row r="3054">
      <c r="B3054" t="inlineStr">
        <is>
          <t>Arts &amp; Crafts Buildings</t>
        </is>
      </c>
      <c r="C3054" t="inlineStr">
        <is>
          <t>367</t>
        </is>
      </c>
      <c r="D3054" t="inlineStr">
        <is>
          <t>18</t>
        </is>
      </c>
      <c r="E3054" t="inlineStr">
        <is>
          <t>29</t>
        </is>
      </c>
      <c r="F3054" t="inlineStr">
        <is>
          <t>C</t>
        </is>
      </c>
      <c r="G3054" t="inlineStr">
        <is>
          <t>Excellent</t>
        </is>
      </c>
      <c r="H3054" t="n">
        <v>366</v>
      </c>
      <c r="I3054">
        <f>B3054&amp;"|"&amp;F3054&amp;"|"&amp;G3054</f>
        <v/>
      </c>
      <c r="J3054" t="inlineStr">
        <is>
          <t>MVS Sec.18 p.29</t>
        </is>
      </c>
    </row>
    <row r="3055">
      <c r="B3055" t="inlineStr">
        <is>
          <t>Arts &amp; Crafts Buildings</t>
        </is>
      </c>
      <c r="C3055" t="inlineStr">
        <is>
          <t>367</t>
        </is>
      </c>
      <c r="D3055" t="inlineStr">
        <is>
          <t>18</t>
        </is>
      </c>
      <c r="E3055" t="inlineStr">
        <is>
          <t>29</t>
        </is>
      </c>
      <c r="F3055" t="inlineStr">
        <is>
          <t>C</t>
        </is>
      </c>
      <c r="G3055" t="inlineStr">
        <is>
          <t>Good</t>
        </is>
      </c>
      <c r="H3055" t="n">
        <v>281</v>
      </c>
      <c r="I3055">
        <f>B3055&amp;"|"&amp;F3055&amp;"|"&amp;G3055</f>
        <v/>
      </c>
      <c r="J3055" t="inlineStr">
        <is>
          <t>MVS Sec.18 p.29</t>
        </is>
      </c>
    </row>
    <row r="3056">
      <c r="B3056" t="inlineStr">
        <is>
          <t>Arts &amp; Crafts Buildings</t>
        </is>
      </c>
      <c r="C3056" t="inlineStr">
        <is>
          <t>367</t>
        </is>
      </c>
      <c r="D3056" t="inlineStr">
        <is>
          <t>18</t>
        </is>
      </c>
      <c r="E3056" t="inlineStr">
        <is>
          <t>29</t>
        </is>
      </c>
      <c r="F3056" t="inlineStr">
        <is>
          <t>C</t>
        </is>
      </c>
      <c r="G3056" t="inlineStr">
        <is>
          <t>Average</t>
        </is>
      </c>
      <c r="H3056" t="n">
        <v>204</v>
      </c>
      <c r="I3056">
        <f>B3056&amp;"|"&amp;F3056&amp;"|"&amp;G3056</f>
        <v/>
      </c>
      <c r="J3056" t="inlineStr">
        <is>
          <t>MVS Sec.18 p.29</t>
        </is>
      </c>
    </row>
    <row r="3057">
      <c r="B3057" t="inlineStr">
        <is>
          <t>Arts &amp; Crafts Buildings</t>
        </is>
      </c>
      <c r="C3057" t="inlineStr">
        <is>
          <t>367</t>
        </is>
      </c>
      <c r="D3057" t="inlineStr">
        <is>
          <t>18</t>
        </is>
      </c>
      <c r="E3057" t="inlineStr">
        <is>
          <t>29</t>
        </is>
      </c>
      <c r="F3057" t="inlineStr">
        <is>
          <t>C</t>
        </is>
      </c>
      <c r="G3057" t="inlineStr">
        <is>
          <t>Low Cost</t>
        </is>
      </c>
      <c r="H3057" t="n">
        <v>152</v>
      </c>
      <c r="I3057">
        <f>B3057&amp;"|"&amp;F3057&amp;"|"&amp;G3057</f>
        <v/>
      </c>
      <c r="J3057" t="inlineStr">
        <is>
          <t>MVS Sec.18 p.29</t>
        </is>
      </c>
    </row>
    <row r="3058">
      <c r="B3058" t="inlineStr">
        <is>
          <t>Arts &amp; Crafts Buildings</t>
        </is>
      </c>
      <c r="C3058" t="inlineStr">
        <is>
          <t>367</t>
        </is>
      </c>
      <c r="D3058" t="inlineStr">
        <is>
          <t>18</t>
        </is>
      </c>
      <c r="E3058" t="inlineStr">
        <is>
          <t>29</t>
        </is>
      </c>
      <c r="F3058" t="inlineStr">
        <is>
          <t>D</t>
        </is>
      </c>
      <c r="G3058" t="inlineStr">
        <is>
          <t>Good</t>
        </is>
      </c>
      <c r="H3058" t="n">
        <v>276</v>
      </c>
      <c r="I3058">
        <f>B3058&amp;"|"&amp;F3058&amp;"|"&amp;G3058</f>
        <v/>
      </c>
      <c r="J3058" t="inlineStr">
        <is>
          <t>MVS Sec.18 p.29</t>
        </is>
      </c>
    </row>
    <row r="3059">
      <c r="B3059" t="inlineStr">
        <is>
          <t>Arts &amp; Crafts Buildings</t>
        </is>
      </c>
      <c r="C3059" t="inlineStr">
        <is>
          <t>367</t>
        </is>
      </c>
      <c r="D3059" t="inlineStr">
        <is>
          <t>18</t>
        </is>
      </c>
      <c r="E3059" t="inlineStr">
        <is>
          <t>29</t>
        </is>
      </c>
      <c r="F3059" t="inlineStr">
        <is>
          <t>D</t>
        </is>
      </c>
      <c r="G3059" t="inlineStr">
        <is>
          <t>Average</t>
        </is>
      </c>
      <c r="H3059" t="n">
        <v>198</v>
      </c>
      <c r="I3059">
        <f>B3059&amp;"|"&amp;F3059&amp;"|"&amp;G3059</f>
        <v/>
      </c>
      <c r="J3059" t="inlineStr">
        <is>
          <t>MVS Sec.18 p.29</t>
        </is>
      </c>
    </row>
    <row r="3060">
      <c r="B3060" t="inlineStr">
        <is>
          <t>Arts &amp; Crafts Buildings</t>
        </is>
      </c>
      <c r="C3060" t="inlineStr">
        <is>
          <t>367</t>
        </is>
      </c>
      <c r="D3060" t="inlineStr">
        <is>
          <t>18</t>
        </is>
      </c>
      <c r="E3060" t="inlineStr">
        <is>
          <t>29</t>
        </is>
      </c>
      <c r="F3060" t="inlineStr">
        <is>
          <t>D</t>
        </is>
      </c>
      <c r="G3060" t="inlineStr">
        <is>
          <t>Low Cost</t>
        </is>
      </c>
      <c r="H3060" t="n">
        <v>147</v>
      </c>
      <c r="I3060">
        <f>B3060&amp;"|"&amp;F3060&amp;"|"&amp;G3060</f>
        <v/>
      </c>
      <c r="J3060" t="inlineStr">
        <is>
          <t>MVS Sec.18 p.29</t>
        </is>
      </c>
    </row>
    <row r="3061">
      <c r="B3061" t="inlineStr">
        <is>
          <t>Arts &amp; Crafts Buildings</t>
        </is>
      </c>
      <c r="C3061" t="inlineStr">
        <is>
          <t>367</t>
        </is>
      </c>
      <c r="D3061" t="inlineStr">
        <is>
          <t>18</t>
        </is>
      </c>
      <c r="E3061" t="inlineStr">
        <is>
          <t>29</t>
        </is>
      </c>
      <c r="F3061" t="inlineStr">
        <is>
          <t>DPOLE</t>
        </is>
      </c>
      <c r="G3061" t="inlineStr">
        <is>
          <t>Average</t>
        </is>
      </c>
      <c r="H3061" t="n">
        <v>187</v>
      </c>
      <c r="I3061">
        <f>B3061&amp;"|"&amp;F3061&amp;"|"&amp;G3061</f>
        <v/>
      </c>
      <c r="J3061" t="inlineStr">
        <is>
          <t>MVS Sec.18 p.29</t>
        </is>
      </c>
    </row>
    <row r="3062">
      <c r="B3062" t="inlineStr">
        <is>
          <t>Arts &amp; Crafts Buildings</t>
        </is>
      </c>
      <c r="C3062" t="inlineStr">
        <is>
          <t>367</t>
        </is>
      </c>
      <c r="D3062" t="inlineStr">
        <is>
          <t>18</t>
        </is>
      </c>
      <c r="E3062" t="inlineStr">
        <is>
          <t>29</t>
        </is>
      </c>
      <c r="F3062" t="inlineStr">
        <is>
          <t>DPOLE</t>
        </is>
      </c>
      <c r="G3062" t="inlineStr">
        <is>
          <t>Low Cost</t>
        </is>
      </c>
      <c r="H3062" t="n">
        <v>137</v>
      </c>
      <c r="I3062">
        <f>B3062&amp;"|"&amp;F3062&amp;"|"&amp;G3062</f>
        <v/>
      </c>
      <c r="J3062" t="inlineStr">
        <is>
          <t>MVS Sec.18 p.29</t>
        </is>
      </c>
    </row>
    <row r="3063">
      <c r="B3063" t="inlineStr">
        <is>
          <t>Arts &amp; Crafts Buildings</t>
        </is>
      </c>
      <c r="C3063" t="inlineStr">
        <is>
          <t>367</t>
        </is>
      </c>
      <c r="D3063" t="inlineStr">
        <is>
          <t>18</t>
        </is>
      </c>
      <c r="E3063" t="inlineStr">
        <is>
          <t>29</t>
        </is>
      </c>
      <c r="F3063" t="inlineStr">
        <is>
          <t>S</t>
        </is>
      </c>
      <c r="G3063" t="inlineStr">
        <is>
          <t>Average</t>
        </is>
      </c>
      <c r="H3063" t="n">
        <v>191</v>
      </c>
      <c r="I3063">
        <f>B3063&amp;"|"&amp;F3063&amp;"|"&amp;G3063</f>
        <v/>
      </c>
      <c r="J3063" t="inlineStr">
        <is>
          <t>MVS Sec.18 p.29</t>
        </is>
      </c>
    </row>
    <row r="3064">
      <c r="B3064" t="inlineStr">
        <is>
          <t>Arts &amp; Crafts Buildings</t>
        </is>
      </c>
      <c r="C3064" t="inlineStr">
        <is>
          <t>367</t>
        </is>
      </c>
      <c r="D3064" t="inlineStr">
        <is>
          <t>18</t>
        </is>
      </c>
      <c r="E3064" t="inlineStr">
        <is>
          <t>29</t>
        </is>
      </c>
      <c r="F3064" t="inlineStr">
        <is>
          <t>S</t>
        </is>
      </c>
      <c r="G3064" t="inlineStr">
        <is>
          <t>Low Cost</t>
        </is>
      </c>
      <c r="H3064" t="n">
        <v>141</v>
      </c>
      <c r="I3064">
        <f>B3064&amp;"|"&amp;F3064&amp;"|"&amp;G3064</f>
        <v/>
      </c>
      <c r="J3064" t="inlineStr">
        <is>
          <t>MVS Sec.18 p.29</t>
        </is>
      </c>
    </row>
    <row r="3065">
      <c r="B3065" t="inlineStr">
        <is>
          <t>Science Buildings</t>
        </is>
      </c>
      <c r="C3065" t="inlineStr">
        <is>
          <t>376</t>
        </is>
      </c>
      <c r="D3065" t="inlineStr">
        <is>
          <t>18</t>
        </is>
      </c>
      <c r="E3065" t="inlineStr">
        <is>
          <t>30</t>
        </is>
      </c>
      <c r="F3065" t="inlineStr">
        <is>
          <t>A-B</t>
        </is>
      </c>
      <c r="G3065" t="inlineStr">
        <is>
          <t>Excellent</t>
        </is>
      </c>
      <c r="H3065" t="n">
        <v>494</v>
      </c>
      <c r="I3065">
        <f>B3065&amp;"|"&amp;F3065&amp;"|"&amp;G3065</f>
        <v/>
      </c>
      <c r="J3065" t="inlineStr">
        <is>
          <t>MVS Sec.18 p.30</t>
        </is>
      </c>
    </row>
    <row r="3066">
      <c r="B3066" t="inlineStr">
        <is>
          <t>Science Buildings</t>
        </is>
      </c>
      <c r="C3066" t="inlineStr">
        <is>
          <t>376</t>
        </is>
      </c>
      <c r="D3066" t="inlineStr">
        <is>
          <t>18</t>
        </is>
      </c>
      <c r="E3066" t="inlineStr">
        <is>
          <t>30</t>
        </is>
      </c>
      <c r="F3066" t="inlineStr">
        <is>
          <t>A-B</t>
        </is>
      </c>
      <c r="G3066" t="inlineStr">
        <is>
          <t>Good</t>
        </is>
      </c>
      <c r="H3066" t="n">
        <v>387</v>
      </c>
      <c r="I3066">
        <f>B3066&amp;"|"&amp;F3066&amp;"|"&amp;G3066</f>
        <v/>
      </c>
      <c r="J3066" t="inlineStr">
        <is>
          <t>MVS Sec.18 p.30</t>
        </is>
      </c>
    </row>
    <row r="3067">
      <c r="B3067" t="inlineStr">
        <is>
          <t>Science Buildings</t>
        </is>
      </c>
      <c r="C3067" t="inlineStr">
        <is>
          <t>376</t>
        </is>
      </c>
      <c r="D3067" t="inlineStr">
        <is>
          <t>18</t>
        </is>
      </c>
      <c r="E3067" t="inlineStr">
        <is>
          <t>30</t>
        </is>
      </c>
      <c r="F3067" t="inlineStr">
        <is>
          <t>A-B</t>
        </is>
      </c>
      <c r="G3067" t="inlineStr">
        <is>
          <t>Average</t>
        </is>
      </c>
      <c r="H3067" t="n">
        <v>304</v>
      </c>
      <c r="I3067">
        <f>B3067&amp;"|"&amp;F3067&amp;"|"&amp;G3067</f>
        <v/>
      </c>
      <c r="J3067" t="inlineStr">
        <is>
          <t>MVS Sec.18 p.30</t>
        </is>
      </c>
    </row>
    <row r="3068">
      <c r="B3068" t="inlineStr">
        <is>
          <t>Science Buildings</t>
        </is>
      </c>
      <c r="C3068" t="inlineStr">
        <is>
          <t>376</t>
        </is>
      </c>
      <c r="D3068" t="inlineStr">
        <is>
          <t>18</t>
        </is>
      </c>
      <c r="E3068" t="inlineStr">
        <is>
          <t>30</t>
        </is>
      </c>
      <c r="F3068" t="inlineStr">
        <is>
          <t>A-B</t>
        </is>
      </c>
      <c r="G3068" t="inlineStr">
        <is>
          <t>Low Cost</t>
        </is>
      </c>
      <c r="H3068" t="n">
        <v>238</v>
      </c>
      <c r="I3068">
        <f>B3068&amp;"|"&amp;F3068&amp;"|"&amp;G3068</f>
        <v/>
      </c>
      <c r="J3068" t="inlineStr">
        <is>
          <t>MVS Sec.18 p.30</t>
        </is>
      </c>
    </row>
    <row r="3069">
      <c r="B3069" t="inlineStr">
        <is>
          <t>Science Buildings</t>
        </is>
      </c>
      <c r="C3069" t="inlineStr">
        <is>
          <t>376</t>
        </is>
      </c>
      <c r="D3069" t="inlineStr">
        <is>
          <t>18</t>
        </is>
      </c>
      <c r="E3069" t="inlineStr">
        <is>
          <t>30</t>
        </is>
      </c>
      <c r="F3069" t="inlineStr">
        <is>
          <t>C</t>
        </is>
      </c>
      <c r="G3069" t="inlineStr">
        <is>
          <t>Excellent</t>
        </is>
      </c>
      <c r="H3069" t="n">
        <v>386</v>
      </c>
      <c r="I3069">
        <f>B3069&amp;"|"&amp;F3069&amp;"|"&amp;G3069</f>
        <v/>
      </c>
      <c r="J3069" t="inlineStr">
        <is>
          <t>MVS Sec.18 p.30</t>
        </is>
      </c>
    </row>
    <row r="3070">
      <c r="B3070" t="inlineStr">
        <is>
          <t>Science Buildings</t>
        </is>
      </c>
      <c r="C3070" t="inlineStr">
        <is>
          <t>376</t>
        </is>
      </c>
      <c r="D3070" t="inlineStr">
        <is>
          <t>18</t>
        </is>
      </c>
      <c r="E3070" t="inlineStr">
        <is>
          <t>30</t>
        </is>
      </c>
      <c r="F3070" t="inlineStr">
        <is>
          <t>C</t>
        </is>
      </c>
      <c r="G3070" t="inlineStr">
        <is>
          <t>Good</t>
        </is>
      </c>
      <c r="H3070" t="n">
        <v>306</v>
      </c>
      <c r="I3070">
        <f>B3070&amp;"|"&amp;F3070&amp;"|"&amp;G3070</f>
        <v/>
      </c>
      <c r="J3070" t="inlineStr">
        <is>
          <t>MVS Sec.18 p.30</t>
        </is>
      </c>
    </row>
    <row r="3071">
      <c r="B3071" t="inlineStr">
        <is>
          <t>Science Buildings</t>
        </is>
      </c>
      <c r="C3071" t="inlineStr">
        <is>
          <t>376</t>
        </is>
      </c>
      <c r="D3071" t="inlineStr">
        <is>
          <t>18</t>
        </is>
      </c>
      <c r="E3071" t="inlineStr">
        <is>
          <t>30</t>
        </is>
      </c>
      <c r="F3071" t="inlineStr">
        <is>
          <t>C</t>
        </is>
      </c>
      <c r="G3071" t="inlineStr">
        <is>
          <t>Average</t>
        </is>
      </c>
      <c r="H3071" t="n">
        <v>243</v>
      </c>
      <c r="I3071">
        <f>B3071&amp;"|"&amp;F3071&amp;"|"&amp;G3071</f>
        <v/>
      </c>
      <c r="J3071" t="inlineStr">
        <is>
          <t>MVS Sec.18 p.30</t>
        </is>
      </c>
    </row>
    <row r="3072">
      <c r="B3072" t="inlineStr">
        <is>
          <t>Science Buildings</t>
        </is>
      </c>
      <c r="C3072" t="inlineStr">
        <is>
          <t>376</t>
        </is>
      </c>
      <c r="D3072" t="inlineStr">
        <is>
          <t>18</t>
        </is>
      </c>
      <c r="E3072" t="inlineStr">
        <is>
          <t>30</t>
        </is>
      </c>
      <c r="F3072" t="inlineStr">
        <is>
          <t>C</t>
        </is>
      </c>
      <c r="G3072" t="inlineStr">
        <is>
          <t>Low Cost</t>
        </is>
      </c>
      <c r="H3072" t="n">
        <v>193</v>
      </c>
      <c r="I3072">
        <f>B3072&amp;"|"&amp;F3072&amp;"|"&amp;G3072</f>
        <v/>
      </c>
      <c r="J3072" t="inlineStr">
        <is>
          <t>MVS Sec.18 p.30</t>
        </is>
      </c>
    </row>
    <row r="3073">
      <c r="B3073" t="inlineStr">
        <is>
          <t>Science Buildings</t>
        </is>
      </c>
      <c r="C3073" t="inlineStr">
        <is>
          <t>376</t>
        </is>
      </c>
      <c r="D3073" t="inlineStr">
        <is>
          <t>18</t>
        </is>
      </c>
      <c r="E3073" t="inlineStr">
        <is>
          <t>30</t>
        </is>
      </c>
      <c r="F3073" t="inlineStr">
        <is>
          <t>D</t>
        </is>
      </c>
      <c r="G3073" t="inlineStr">
        <is>
          <t>Excellent</t>
        </is>
      </c>
      <c r="H3073" t="n">
        <v>382</v>
      </c>
      <c r="I3073">
        <f>B3073&amp;"|"&amp;F3073&amp;"|"&amp;G3073</f>
        <v/>
      </c>
      <c r="J3073" t="inlineStr">
        <is>
          <t>MVS Sec.18 p.30</t>
        </is>
      </c>
    </row>
    <row r="3074">
      <c r="B3074" t="inlineStr">
        <is>
          <t>Science Buildings</t>
        </is>
      </c>
      <c r="C3074" t="inlineStr">
        <is>
          <t>376</t>
        </is>
      </c>
      <c r="D3074" t="inlineStr">
        <is>
          <t>18</t>
        </is>
      </c>
      <c r="E3074" t="inlineStr">
        <is>
          <t>30</t>
        </is>
      </c>
      <c r="F3074" t="inlineStr">
        <is>
          <t>D</t>
        </is>
      </c>
      <c r="G3074" t="inlineStr">
        <is>
          <t>Good</t>
        </is>
      </c>
      <c r="H3074" t="n">
        <v>301</v>
      </c>
      <c r="I3074">
        <f>B3074&amp;"|"&amp;F3074&amp;"|"&amp;G3074</f>
        <v/>
      </c>
      <c r="J3074" t="inlineStr">
        <is>
          <t>MVS Sec.18 p.30</t>
        </is>
      </c>
    </row>
    <row r="3075">
      <c r="B3075" t="inlineStr">
        <is>
          <t>Science Buildings</t>
        </is>
      </c>
      <c r="C3075" t="inlineStr">
        <is>
          <t>376</t>
        </is>
      </c>
      <c r="D3075" t="inlineStr">
        <is>
          <t>18</t>
        </is>
      </c>
      <c r="E3075" t="inlineStr">
        <is>
          <t>30</t>
        </is>
      </c>
      <c r="F3075" t="inlineStr">
        <is>
          <t>D</t>
        </is>
      </c>
      <c r="G3075" t="inlineStr">
        <is>
          <t>Average</t>
        </is>
      </c>
      <c r="H3075" t="n">
        <v>237</v>
      </c>
      <c r="I3075">
        <f>B3075&amp;"|"&amp;F3075&amp;"|"&amp;G3075</f>
        <v/>
      </c>
      <c r="J3075" t="inlineStr">
        <is>
          <t>MVS Sec.18 p.30</t>
        </is>
      </c>
    </row>
    <row r="3076">
      <c r="B3076" t="inlineStr">
        <is>
          <t>Science Buildings</t>
        </is>
      </c>
      <c r="C3076" t="inlineStr">
        <is>
          <t>376</t>
        </is>
      </c>
      <c r="D3076" t="inlineStr">
        <is>
          <t>18</t>
        </is>
      </c>
      <c r="E3076" t="inlineStr">
        <is>
          <t>30</t>
        </is>
      </c>
      <c r="F3076" t="inlineStr">
        <is>
          <t>D</t>
        </is>
      </c>
      <c r="G3076" t="inlineStr">
        <is>
          <t>Low Cost</t>
        </is>
      </c>
      <c r="H3076" t="n">
        <v>188</v>
      </c>
      <c r="I3076">
        <f>B3076&amp;"|"&amp;F3076&amp;"|"&amp;G3076</f>
        <v/>
      </c>
      <c r="J3076" t="inlineStr">
        <is>
          <t>MVS Sec.18 p.30</t>
        </is>
      </c>
    </row>
    <row r="3077">
      <c r="B3077" t="inlineStr">
        <is>
          <t>Science Buildings</t>
        </is>
      </c>
      <c r="C3077" t="inlineStr">
        <is>
          <t>376</t>
        </is>
      </c>
      <c r="D3077" t="inlineStr">
        <is>
          <t>18</t>
        </is>
      </c>
      <c r="E3077" t="inlineStr">
        <is>
          <t>30</t>
        </is>
      </c>
      <c r="F3077" t="inlineStr">
        <is>
          <t>DPOLE</t>
        </is>
      </c>
      <c r="G3077" t="inlineStr">
        <is>
          <t>Average</t>
        </is>
      </c>
      <c r="H3077" t="n">
        <v>230</v>
      </c>
      <c r="I3077">
        <f>B3077&amp;"|"&amp;F3077&amp;"|"&amp;G3077</f>
        <v/>
      </c>
      <c r="J3077" t="inlineStr">
        <is>
          <t>MVS Sec.18 p.30</t>
        </is>
      </c>
    </row>
    <row r="3078">
      <c r="B3078" t="inlineStr">
        <is>
          <t>Science Buildings</t>
        </is>
      </c>
      <c r="C3078" t="inlineStr">
        <is>
          <t>376</t>
        </is>
      </c>
      <c r="D3078" t="inlineStr">
        <is>
          <t>18</t>
        </is>
      </c>
      <c r="E3078" t="inlineStr">
        <is>
          <t>30</t>
        </is>
      </c>
      <c r="F3078" t="inlineStr">
        <is>
          <t>DPOLE</t>
        </is>
      </c>
      <c r="G3078" t="inlineStr">
        <is>
          <t>Low Cost</t>
        </is>
      </c>
      <c r="H3078" t="n">
        <v>180</v>
      </c>
      <c r="I3078">
        <f>B3078&amp;"|"&amp;F3078&amp;"|"&amp;G3078</f>
        <v/>
      </c>
      <c r="J3078" t="inlineStr">
        <is>
          <t>MVS Sec.18 p.30</t>
        </is>
      </c>
    </row>
    <row r="3079">
      <c r="B3079" t="inlineStr">
        <is>
          <t>Science Buildings</t>
        </is>
      </c>
      <c r="C3079" t="inlineStr">
        <is>
          <t>376</t>
        </is>
      </c>
      <c r="D3079" t="inlineStr">
        <is>
          <t>18</t>
        </is>
      </c>
      <c r="E3079" t="inlineStr">
        <is>
          <t>30</t>
        </is>
      </c>
      <c r="F3079" t="inlineStr">
        <is>
          <t>S</t>
        </is>
      </c>
      <c r="G3079" t="inlineStr">
        <is>
          <t>Good</t>
        </is>
      </c>
      <c r="H3079" t="n">
        <v>295</v>
      </c>
      <c r="I3079">
        <f>B3079&amp;"|"&amp;F3079&amp;"|"&amp;G3079</f>
        <v/>
      </c>
      <c r="J3079" t="inlineStr">
        <is>
          <t>MVS Sec.18 p.30</t>
        </is>
      </c>
    </row>
    <row r="3080">
      <c r="B3080" t="inlineStr">
        <is>
          <t>Science Buildings</t>
        </is>
      </c>
      <c r="C3080" t="inlineStr">
        <is>
          <t>376</t>
        </is>
      </c>
      <c r="D3080" t="inlineStr">
        <is>
          <t>18</t>
        </is>
      </c>
      <c r="E3080" t="inlineStr">
        <is>
          <t>30</t>
        </is>
      </c>
      <c r="F3080" t="inlineStr">
        <is>
          <t>S</t>
        </is>
      </c>
      <c r="G3080" t="inlineStr">
        <is>
          <t>Average</t>
        </is>
      </c>
      <c r="H3080" t="n">
        <v>230</v>
      </c>
      <c r="I3080">
        <f>B3080&amp;"|"&amp;F3080&amp;"|"&amp;G3080</f>
        <v/>
      </c>
      <c r="J3080" t="inlineStr">
        <is>
          <t>MVS Sec.18 p.30</t>
        </is>
      </c>
    </row>
    <row r="3081">
      <c r="B3081" t="inlineStr">
        <is>
          <t>Science Buildings</t>
        </is>
      </c>
      <c r="C3081" t="inlineStr">
        <is>
          <t>376</t>
        </is>
      </c>
      <c r="D3081" t="inlineStr">
        <is>
          <t>18</t>
        </is>
      </c>
      <c r="E3081" t="inlineStr">
        <is>
          <t>30</t>
        </is>
      </c>
      <c r="F3081" t="inlineStr">
        <is>
          <t>S</t>
        </is>
      </c>
      <c r="G3081" t="inlineStr">
        <is>
          <t>Low Cost</t>
        </is>
      </c>
      <c r="H3081" t="n">
        <v>181</v>
      </c>
      <c r="I3081">
        <f>B3081&amp;"|"&amp;F3081&amp;"|"&amp;G3081</f>
        <v/>
      </c>
      <c r="J3081" t="inlineStr">
        <is>
          <t>MVS Sec.18 p.30</t>
        </is>
      </c>
    </row>
    <row r="3082">
      <c r="B3082" t="inlineStr">
        <is>
          <t>Commons</t>
        </is>
      </c>
      <c r="C3082" t="inlineStr">
        <is>
          <t>369</t>
        </is>
      </c>
      <c r="D3082" t="inlineStr">
        <is>
          <t>18</t>
        </is>
      </c>
      <c r="E3082" t="inlineStr">
        <is>
          <t>31</t>
        </is>
      </c>
      <c r="F3082" t="inlineStr">
        <is>
          <t>A-B</t>
        </is>
      </c>
      <c r="G3082" t="inlineStr">
        <is>
          <t>Excellent</t>
        </is>
      </c>
      <c r="H3082" t="n">
        <v>431</v>
      </c>
      <c r="I3082">
        <f>B3082&amp;"|"&amp;F3082&amp;"|"&amp;G3082</f>
        <v/>
      </c>
      <c r="J3082" t="inlineStr">
        <is>
          <t>MVS Sec.18 p.31</t>
        </is>
      </c>
    </row>
    <row r="3083">
      <c r="B3083" t="inlineStr">
        <is>
          <t>Commons</t>
        </is>
      </c>
      <c r="C3083" t="inlineStr">
        <is>
          <t>369</t>
        </is>
      </c>
      <c r="D3083" t="inlineStr">
        <is>
          <t>18</t>
        </is>
      </c>
      <c r="E3083" t="inlineStr">
        <is>
          <t>31</t>
        </is>
      </c>
      <c r="F3083" t="inlineStr">
        <is>
          <t>A-B</t>
        </is>
      </c>
      <c r="G3083" t="inlineStr">
        <is>
          <t>Good</t>
        </is>
      </c>
      <c r="H3083" t="n">
        <v>349</v>
      </c>
      <c r="I3083">
        <f>B3083&amp;"|"&amp;F3083&amp;"|"&amp;G3083</f>
        <v/>
      </c>
      <c r="J3083" t="inlineStr">
        <is>
          <t>MVS Sec.18 p.31</t>
        </is>
      </c>
    </row>
    <row r="3084">
      <c r="B3084" t="inlineStr">
        <is>
          <t>Commons</t>
        </is>
      </c>
      <c r="C3084" t="inlineStr">
        <is>
          <t>369</t>
        </is>
      </c>
      <c r="D3084" t="inlineStr">
        <is>
          <t>18</t>
        </is>
      </c>
      <c r="E3084" t="inlineStr">
        <is>
          <t>31</t>
        </is>
      </c>
      <c r="F3084" t="inlineStr">
        <is>
          <t>A-B</t>
        </is>
      </c>
      <c r="G3084" t="inlineStr">
        <is>
          <t>Average</t>
        </is>
      </c>
      <c r="H3084" t="n">
        <v>284</v>
      </c>
      <c r="I3084">
        <f>B3084&amp;"|"&amp;F3084&amp;"|"&amp;G3084</f>
        <v/>
      </c>
      <c r="J3084" t="inlineStr">
        <is>
          <t>MVS Sec.18 p.31</t>
        </is>
      </c>
    </row>
    <row r="3085">
      <c r="B3085" t="inlineStr">
        <is>
          <t>Commons</t>
        </is>
      </c>
      <c r="C3085" t="inlineStr">
        <is>
          <t>369</t>
        </is>
      </c>
      <c r="D3085" t="inlineStr">
        <is>
          <t>18</t>
        </is>
      </c>
      <c r="E3085" t="inlineStr">
        <is>
          <t>31</t>
        </is>
      </c>
      <c r="F3085" t="inlineStr">
        <is>
          <t>C</t>
        </is>
      </c>
      <c r="G3085" t="inlineStr">
        <is>
          <t>Excellent</t>
        </is>
      </c>
      <c r="H3085" t="n">
        <v>383</v>
      </c>
      <c r="I3085">
        <f>B3085&amp;"|"&amp;F3085&amp;"|"&amp;G3085</f>
        <v/>
      </c>
      <c r="J3085" t="inlineStr">
        <is>
          <t>MVS Sec.18 p.31</t>
        </is>
      </c>
    </row>
    <row r="3086">
      <c r="B3086" t="inlineStr">
        <is>
          <t>Commons</t>
        </is>
      </c>
      <c r="C3086" t="inlineStr">
        <is>
          <t>369</t>
        </is>
      </c>
      <c r="D3086" t="inlineStr">
        <is>
          <t>18</t>
        </is>
      </c>
      <c r="E3086" t="inlineStr">
        <is>
          <t>31</t>
        </is>
      </c>
      <c r="F3086" t="inlineStr">
        <is>
          <t>C</t>
        </is>
      </c>
      <c r="G3086" t="inlineStr">
        <is>
          <t>Good</t>
        </is>
      </c>
      <c r="H3086" t="n">
        <v>302</v>
      </c>
      <c r="I3086">
        <f>B3086&amp;"|"&amp;F3086&amp;"|"&amp;G3086</f>
        <v/>
      </c>
      <c r="J3086" t="inlineStr">
        <is>
          <t>MVS Sec.18 p.31</t>
        </is>
      </c>
    </row>
    <row r="3087">
      <c r="B3087" t="inlineStr">
        <is>
          <t>Commons</t>
        </is>
      </c>
      <c r="C3087" t="inlineStr">
        <is>
          <t>369</t>
        </is>
      </c>
      <c r="D3087" t="inlineStr">
        <is>
          <t>18</t>
        </is>
      </c>
      <c r="E3087" t="inlineStr">
        <is>
          <t>31</t>
        </is>
      </c>
      <c r="F3087" t="inlineStr">
        <is>
          <t>C</t>
        </is>
      </c>
      <c r="G3087" t="inlineStr">
        <is>
          <t>Average</t>
        </is>
      </c>
      <c r="H3087" t="n">
        <v>226</v>
      </c>
      <c r="I3087">
        <f>B3087&amp;"|"&amp;F3087&amp;"|"&amp;G3087</f>
        <v/>
      </c>
      <c r="J3087" t="inlineStr">
        <is>
          <t>MVS Sec.18 p.31</t>
        </is>
      </c>
    </row>
    <row r="3088">
      <c r="B3088" t="inlineStr">
        <is>
          <t>Commons</t>
        </is>
      </c>
      <c r="C3088" t="inlineStr">
        <is>
          <t>369</t>
        </is>
      </c>
      <c r="D3088" t="inlineStr">
        <is>
          <t>18</t>
        </is>
      </c>
      <c r="E3088" t="inlineStr">
        <is>
          <t>31</t>
        </is>
      </c>
      <c r="F3088" t="inlineStr">
        <is>
          <t>C</t>
        </is>
      </c>
      <c r="G3088" t="inlineStr">
        <is>
          <t>Low Cost</t>
        </is>
      </c>
      <c r="H3088" t="n">
        <v>174</v>
      </c>
      <c r="I3088">
        <f>B3088&amp;"|"&amp;F3088&amp;"|"&amp;G3088</f>
        <v/>
      </c>
      <c r="J3088" t="inlineStr">
        <is>
          <t>MVS Sec.18 p.31</t>
        </is>
      </c>
    </row>
    <row r="3089">
      <c r="B3089" t="inlineStr">
        <is>
          <t>Commons</t>
        </is>
      </c>
      <c r="C3089" t="inlineStr">
        <is>
          <t>369</t>
        </is>
      </c>
      <c r="D3089" t="inlineStr">
        <is>
          <t>18</t>
        </is>
      </c>
      <c r="E3089" t="inlineStr">
        <is>
          <t>31</t>
        </is>
      </c>
      <c r="F3089" t="inlineStr">
        <is>
          <t>D</t>
        </is>
      </c>
      <c r="G3089" t="inlineStr">
        <is>
          <t>Good</t>
        </is>
      </c>
      <c r="H3089" t="n">
        <v>297</v>
      </c>
      <c r="I3089">
        <f>B3089&amp;"|"&amp;F3089&amp;"|"&amp;G3089</f>
        <v/>
      </c>
      <c r="J3089" t="inlineStr">
        <is>
          <t>MVS Sec.18 p.31</t>
        </is>
      </c>
    </row>
    <row r="3090">
      <c r="B3090" t="inlineStr">
        <is>
          <t>Commons</t>
        </is>
      </c>
      <c r="C3090" t="inlineStr">
        <is>
          <t>369</t>
        </is>
      </c>
      <c r="D3090" t="inlineStr">
        <is>
          <t>18</t>
        </is>
      </c>
      <c r="E3090" t="inlineStr">
        <is>
          <t>31</t>
        </is>
      </c>
      <c r="F3090" t="inlineStr">
        <is>
          <t>D</t>
        </is>
      </c>
      <c r="G3090" t="inlineStr">
        <is>
          <t>Average</t>
        </is>
      </c>
      <c r="H3090" t="n">
        <v>221</v>
      </c>
      <c r="I3090">
        <f>B3090&amp;"|"&amp;F3090&amp;"|"&amp;G3090</f>
        <v/>
      </c>
      <c r="J3090" t="inlineStr">
        <is>
          <t>MVS Sec.18 p.31</t>
        </is>
      </c>
    </row>
    <row r="3091">
      <c r="B3091" t="inlineStr">
        <is>
          <t>Commons</t>
        </is>
      </c>
      <c r="C3091" t="inlineStr">
        <is>
          <t>369</t>
        </is>
      </c>
      <c r="D3091" t="inlineStr">
        <is>
          <t>18</t>
        </is>
      </c>
      <c r="E3091" t="inlineStr">
        <is>
          <t>31</t>
        </is>
      </c>
      <c r="F3091" t="inlineStr">
        <is>
          <t>D</t>
        </is>
      </c>
      <c r="G3091" t="inlineStr">
        <is>
          <t>Low Cost</t>
        </is>
      </c>
      <c r="H3091" t="n">
        <v>169</v>
      </c>
      <c r="I3091">
        <f>B3091&amp;"|"&amp;F3091&amp;"|"&amp;G3091</f>
        <v/>
      </c>
      <c r="J3091" t="inlineStr">
        <is>
          <t>MVS Sec.18 p.31</t>
        </is>
      </c>
    </row>
    <row r="3092">
      <c r="B3092" t="inlineStr">
        <is>
          <t>Commons</t>
        </is>
      </c>
      <c r="C3092" t="inlineStr">
        <is>
          <t>369</t>
        </is>
      </c>
      <c r="D3092" t="inlineStr">
        <is>
          <t>18</t>
        </is>
      </c>
      <c r="E3092" t="inlineStr">
        <is>
          <t>31</t>
        </is>
      </c>
      <c r="F3092" t="inlineStr">
        <is>
          <t>DPOLE</t>
        </is>
      </c>
      <c r="G3092" t="inlineStr">
        <is>
          <t>Low Cost</t>
        </is>
      </c>
      <c r="H3092" t="n">
        <v>163</v>
      </c>
      <c r="I3092">
        <f>B3092&amp;"|"&amp;F3092&amp;"|"&amp;G3092</f>
        <v/>
      </c>
      <c r="J3092" t="inlineStr">
        <is>
          <t>MVS Sec.18 p.31</t>
        </is>
      </c>
    </row>
    <row r="3093">
      <c r="B3093" t="inlineStr">
        <is>
          <t>Commons</t>
        </is>
      </c>
      <c r="C3093" t="inlineStr">
        <is>
          <t>369</t>
        </is>
      </c>
      <c r="D3093" t="inlineStr">
        <is>
          <t>18</t>
        </is>
      </c>
      <c r="E3093" t="inlineStr">
        <is>
          <t>31</t>
        </is>
      </c>
      <c r="F3093" t="inlineStr">
        <is>
          <t>S</t>
        </is>
      </c>
      <c r="G3093" t="inlineStr">
        <is>
          <t>Low Cost</t>
        </is>
      </c>
      <c r="H3093" t="n">
        <v>164</v>
      </c>
      <c r="I3093">
        <f>B3093&amp;"|"&amp;F3093&amp;"|"&amp;G3093</f>
        <v/>
      </c>
      <c r="J3093" t="inlineStr">
        <is>
          <t>MVS Sec.18 p.31</t>
        </is>
      </c>
    </row>
    <row r="3094">
      <c r="B3094" t="inlineStr">
        <is>
          <t>Administration (Office) Buildings</t>
        </is>
      </c>
      <c r="C3094" t="inlineStr">
        <is>
          <t>600</t>
        </is>
      </c>
      <c r="D3094" t="inlineStr">
        <is>
          <t>18</t>
        </is>
      </c>
      <c r="E3094" t="inlineStr">
        <is>
          <t>32</t>
        </is>
      </c>
      <c r="F3094" t="inlineStr">
        <is>
          <t>A-B</t>
        </is>
      </c>
      <c r="G3094" t="inlineStr">
        <is>
          <t>Excellent</t>
        </is>
      </c>
      <c r="H3094" t="n">
        <v>377</v>
      </c>
      <c r="I3094">
        <f>B3094&amp;"|"&amp;F3094&amp;"|"&amp;G3094</f>
        <v/>
      </c>
      <c r="J3094" t="inlineStr">
        <is>
          <t>MVS Sec.18 p.32</t>
        </is>
      </c>
    </row>
    <row r="3095">
      <c r="B3095" t="inlineStr">
        <is>
          <t>Administration (Office) Buildings</t>
        </is>
      </c>
      <c r="C3095" t="inlineStr">
        <is>
          <t>600</t>
        </is>
      </c>
      <c r="D3095" t="inlineStr">
        <is>
          <t>18</t>
        </is>
      </c>
      <c r="E3095" t="inlineStr">
        <is>
          <t>32</t>
        </is>
      </c>
      <c r="F3095" t="inlineStr">
        <is>
          <t>A-B</t>
        </is>
      </c>
      <c r="G3095" t="inlineStr">
        <is>
          <t>Good</t>
        </is>
      </c>
      <c r="H3095" t="n">
        <v>297</v>
      </c>
      <c r="I3095">
        <f>B3095&amp;"|"&amp;F3095&amp;"|"&amp;G3095</f>
        <v/>
      </c>
      <c r="J3095" t="inlineStr">
        <is>
          <t>MVS Sec.18 p.32</t>
        </is>
      </c>
    </row>
    <row r="3096">
      <c r="B3096" t="inlineStr">
        <is>
          <t>Administration (Office) Buildings</t>
        </is>
      </c>
      <c r="C3096" t="inlineStr">
        <is>
          <t>600</t>
        </is>
      </c>
      <c r="D3096" t="inlineStr">
        <is>
          <t>18</t>
        </is>
      </c>
      <c r="E3096" t="inlineStr">
        <is>
          <t>32</t>
        </is>
      </c>
      <c r="F3096" t="inlineStr">
        <is>
          <t>A-B</t>
        </is>
      </c>
      <c r="G3096" t="inlineStr">
        <is>
          <t>Average</t>
        </is>
      </c>
      <c r="H3096" t="n">
        <v>222</v>
      </c>
      <c r="I3096">
        <f>B3096&amp;"|"&amp;F3096&amp;"|"&amp;G3096</f>
        <v/>
      </c>
      <c r="J3096" t="inlineStr">
        <is>
          <t>MVS Sec.18 p.32</t>
        </is>
      </c>
    </row>
    <row r="3097">
      <c r="B3097" t="inlineStr">
        <is>
          <t>Administration (Office) Buildings</t>
        </is>
      </c>
      <c r="C3097" t="inlineStr">
        <is>
          <t>600</t>
        </is>
      </c>
      <c r="D3097" t="inlineStr">
        <is>
          <t>18</t>
        </is>
      </c>
      <c r="E3097" t="inlineStr">
        <is>
          <t>32</t>
        </is>
      </c>
      <c r="F3097" t="inlineStr">
        <is>
          <t>A-B</t>
        </is>
      </c>
      <c r="G3097" t="inlineStr">
        <is>
          <t>Low Cost</t>
        </is>
      </c>
      <c r="H3097" t="n">
        <v>176</v>
      </c>
      <c r="I3097">
        <f>B3097&amp;"|"&amp;F3097&amp;"|"&amp;G3097</f>
        <v/>
      </c>
      <c r="J3097" t="inlineStr">
        <is>
          <t>MVS Sec.18 p.32</t>
        </is>
      </c>
    </row>
    <row r="3098">
      <c r="B3098" t="inlineStr">
        <is>
          <t>Administration (Office) Buildings</t>
        </is>
      </c>
      <c r="C3098" t="inlineStr">
        <is>
          <t>600</t>
        </is>
      </c>
      <c r="D3098" t="inlineStr">
        <is>
          <t>18</t>
        </is>
      </c>
      <c r="E3098" t="inlineStr">
        <is>
          <t>32</t>
        </is>
      </c>
      <c r="F3098" t="inlineStr">
        <is>
          <t>C</t>
        </is>
      </c>
      <c r="G3098" t="inlineStr">
        <is>
          <t>Excellent</t>
        </is>
      </c>
      <c r="H3098" t="n">
        <v>328</v>
      </c>
      <c r="I3098">
        <f>B3098&amp;"|"&amp;F3098&amp;"|"&amp;G3098</f>
        <v/>
      </c>
      <c r="J3098" t="inlineStr">
        <is>
          <t>MVS Sec.18 p.32</t>
        </is>
      </c>
    </row>
    <row r="3099">
      <c r="B3099" t="inlineStr">
        <is>
          <t>Administration (Office) Buildings</t>
        </is>
      </c>
      <c r="C3099" t="inlineStr">
        <is>
          <t>600</t>
        </is>
      </c>
      <c r="D3099" t="inlineStr">
        <is>
          <t>18</t>
        </is>
      </c>
      <c r="E3099" t="inlineStr">
        <is>
          <t>32</t>
        </is>
      </c>
      <c r="F3099" t="inlineStr">
        <is>
          <t>C</t>
        </is>
      </c>
      <c r="G3099" t="inlineStr">
        <is>
          <t>Good</t>
        </is>
      </c>
      <c r="H3099" t="n">
        <v>234</v>
      </c>
      <c r="I3099">
        <f>B3099&amp;"|"&amp;F3099&amp;"|"&amp;G3099</f>
        <v/>
      </c>
      <c r="J3099" t="inlineStr">
        <is>
          <t>MVS Sec.18 p.32</t>
        </is>
      </c>
    </row>
    <row r="3100">
      <c r="B3100" t="inlineStr">
        <is>
          <t>Administration (Office) Buildings</t>
        </is>
      </c>
      <c r="C3100" t="inlineStr">
        <is>
          <t>600</t>
        </is>
      </c>
      <c r="D3100" t="inlineStr">
        <is>
          <t>18</t>
        </is>
      </c>
      <c r="E3100" t="inlineStr">
        <is>
          <t>32</t>
        </is>
      </c>
      <c r="F3100" t="inlineStr">
        <is>
          <t>C</t>
        </is>
      </c>
      <c r="G3100" t="inlineStr">
        <is>
          <t>Average</t>
        </is>
      </c>
      <c r="H3100" t="n">
        <v>172</v>
      </c>
      <c r="I3100">
        <f>B3100&amp;"|"&amp;F3100&amp;"|"&amp;G3100</f>
        <v/>
      </c>
      <c r="J3100" t="inlineStr">
        <is>
          <t>MVS Sec.18 p.32</t>
        </is>
      </c>
    </row>
    <row r="3101">
      <c r="B3101" t="inlineStr">
        <is>
          <t>Administration (Office) Buildings</t>
        </is>
      </c>
      <c r="C3101" t="inlineStr">
        <is>
          <t>600</t>
        </is>
      </c>
      <c r="D3101" t="inlineStr">
        <is>
          <t>18</t>
        </is>
      </c>
      <c r="E3101" t="inlineStr">
        <is>
          <t>32</t>
        </is>
      </c>
      <c r="F3101" t="inlineStr">
        <is>
          <t>C</t>
        </is>
      </c>
      <c r="G3101" t="inlineStr">
        <is>
          <t>Low Cost</t>
        </is>
      </c>
      <c r="H3101" t="n">
        <v>125</v>
      </c>
      <c r="I3101">
        <f>B3101&amp;"|"&amp;F3101&amp;"|"&amp;G3101</f>
        <v/>
      </c>
      <c r="J3101" t="inlineStr">
        <is>
          <t>MVS Sec.18 p.32</t>
        </is>
      </c>
    </row>
    <row r="3102">
      <c r="B3102" t="inlineStr">
        <is>
          <t>Administration (Office) Buildings</t>
        </is>
      </c>
      <c r="C3102" t="inlineStr">
        <is>
          <t>600</t>
        </is>
      </c>
      <c r="D3102" t="inlineStr">
        <is>
          <t>18</t>
        </is>
      </c>
      <c r="E3102" t="inlineStr">
        <is>
          <t>32</t>
        </is>
      </c>
      <c r="F3102" t="inlineStr">
        <is>
          <t>D</t>
        </is>
      </c>
      <c r="G3102" t="inlineStr">
        <is>
          <t>Excellent</t>
        </is>
      </c>
      <c r="H3102" t="n">
        <v>324</v>
      </c>
      <c r="I3102">
        <f>B3102&amp;"|"&amp;F3102&amp;"|"&amp;G3102</f>
        <v/>
      </c>
      <c r="J3102" t="inlineStr">
        <is>
          <t>MVS Sec.18 p.32</t>
        </is>
      </c>
    </row>
    <row r="3103">
      <c r="B3103" t="inlineStr">
        <is>
          <t>Administration (Office) Buildings</t>
        </is>
      </c>
      <c r="C3103" t="inlineStr">
        <is>
          <t>600</t>
        </is>
      </c>
      <c r="D3103" t="inlineStr">
        <is>
          <t>18</t>
        </is>
      </c>
      <c r="E3103" t="inlineStr">
        <is>
          <t>32</t>
        </is>
      </c>
      <c r="F3103" t="inlineStr">
        <is>
          <t>D</t>
        </is>
      </c>
      <c r="G3103" t="inlineStr">
        <is>
          <t>Good</t>
        </is>
      </c>
      <c r="H3103" t="n">
        <v>229</v>
      </c>
      <c r="I3103">
        <f>B3103&amp;"|"&amp;F3103&amp;"|"&amp;G3103</f>
        <v/>
      </c>
      <c r="J3103" t="inlineStr">
        <is>
          <t>MVS Sec.18 p.32</t>
        </is>
      </c>
    </row>
    <row r="3104">
      <c r="B3104" t="inlineStr">
        <is>
          <t>Administration (Office) Buildings</t>
        </is>
      </c>
      <c r="C3104" t="inlineStr">
        <is>
          <t>600</t>
        </is>
      </c>
      <c r="D3104" t="inlineStr">
        <is>
          <t>18</t>
        </is>
      </c>
      <c r="E3104" t="inlineStr">
        <is>
          <t>32</t>
        </is>
      </c>
      <c r="F3104" t="inlineStr">
        <is>
          <t>D</t>
        </is>
      </c>
      <c r="G3104" t="inlineStr">
        <is>
          <t>Average</t>
        </is>
      </c>
      <c r="H3104" t="n">
        <v>166</v>
      </c>
      <c r="I3104">
        <f>B3104&amp;"|"&amp;F3104&amp;"|"&amp;G3104</f>
        <v/>
      </c>
      <c r="J3104" t="inlineStr">
        <is>
          <t>MVS Sec.18 p.32</t>
        </is>
      </c>
    </row>
    <row r="3105">
      <c r="B3105" t="inlineStr">
        <is>
          <t>Administration (Office) Buildings</t>
        </is>
      </c>
      <c r="C3105" t="inlineStr">
        <is>
          <t>600</t>
        </is>
      </c>
      <c r="D3105" t="inlineStr">
        <is>
          <t>18</t>
        </is>
      </c>
      <c r="E3105" t="inlineStr">
        <is>
          <t>32</t>
        </is>
      </c>
      <c r="F3105" t="inlineStr">
        <is>
          <t>D</t>
        </is>
      </c>
      <c r="G3105" t="inlineStr">
        <is>
          <t>Low Cost</t>
        </is>
      </c>
      <c r="H3105" t="n">
        <v>120</v>
      </c>
      <c r="I3105">
        <f>B3105&amp;"|"&amp;F3105&amp;"|"&amp;G3105</f>
        <v/>
      </c>
      <c r="J3105" t="inlineStr">
        <is>
          <t>MVS Sec.18 p.32</t>
        </is>
      </c>
    </row>
    <row r="3106">
      <c r="B3106" t="inlineStr">
        <is>
          <t>Administration (Office) Buildings</t>
        </is>
      </c>
      <c r="C3106" t="inlineStr">
        <is>
          <t>600</t>
        </is>
      </c>
      <c r="D3106" t="inlineStr">
        <is>
          <t>18</t>
        </is>
      </c>
      <c r="E3106" t="inlineStr">
        <is>
          <t>32</t>
        </is>
      </c>
      <c r="F3106" t="inlineStr">
        <is>
          <t>DPOLE</t>
        </is>
      </c>
      <c r="G3106" t="inlineStr">
        <is>
          <t>Average</t>
        </is>
      </c>
      <c r="H3106" t="n">
        <v>157</v>
      </c>
      <c r="I3106">
        <f>B3106&amp;"|"&amp;F3106&amp;"|"&amp;G3106</f>
        <v/>
      </c>
      <c r="J3106" t="inlineStr">
        <is>
          <t>MVS Sec.18 p.32</t>
        </is>
      </c>
    </row>
    <row r="3107">
      <c r="B3107" t="inlineStr">
        <is>
          <t>Administration (Office) Buildings</t>
        </is>
      </c>
      <c r="C3107" t="inlineStr">
        <is>
          <t>600</t>
        </is>
      </c>
      <c r="D3107" t="inlineStr">
        <is>
          <t>18</t>
        </is>
      </c>
      <c r="E3107" t="inlineStr">
        <is>
          <t>32</t>
        </is>
      </c>
      <c r="F3107" t="inlineStr">
        <is>
          <t>DPOLE</t>
        </is>
      </c>
      <c r="G3107" t="inlineStr">
        <is>
          <t>Low Cost</t>
        </is>
      </c>
      <c r="H3107" t="n">
        <v>113</v>
      </c>
      <c r="I3107">
        <f>B3107&amp;"|"&amp;F3107&amp;"|"&amp;G3107</f>
        <v/>
      </c>
      <c r="J3107" t="inlineStr">
        <is>
          <t>MVS Sec.18 p.32</t>
        </is>
      </c>
    </row>
    <row r="3108">
      <c r="B3108" t="inlineStr">
        <is>
          <t>Administration (Office) Buildings</t>
        </is>
      </c>
      <c r="C3108" t="inlineStr">
        <is>
          <t>600</t>
        </is>
      </c>
      <c r="D3108" t="inlineStr">
        <is>
          <t>18</t>
        </is>
      </c>
      <c r="E3108" t="inlineStr">
        <is>
          <t>32</t>
        </is>
      </c>
      <c r="F3108" t="inlineStr">
        <is>
          <t>S</t>
        </is>
      </c>
      <c r="G3108" t="inlineStr">
        <is>
          <t>Good</t>
        </is>
      </c>
      <c r="H3108" t="n">
        <v>218</v>
      </c>
      <c r="I3108">
        <f>B3108&amp;"|"&amp;F3108&amp;"|"&amp;G3108</f>
        <v/>
      </c>
      <c r="J3108" t="inlineStr">
        <is>
          <t>MVS Sec.18 p.32</t>
        </is>
      </c>
    </row>
    <row r="3109">
      <c r="B3109" t="inlineStr">
        <is>
          <t>Administration (Office) Buildings</t>
        </is>
      </c>
      <c r="C3109" t="inlineStr">
        <is>
          <t>600</t>
        </is>
      </c>
      <c r="D3109" t="inlineStr">
        <is>
          <t>18</t>
        </is>
      </c>
      <c r="E3109" t="inlineStr">
        <is>
          <t>32</t>
        </is>
      </c>
      <c r="F3109" t="inlineStr">
        <is>
          <t>S</t>
        </is>
      </c>
      <c r="G3109" t="inlineStr">
        <is>
          <t>Average</t>
        </is>
      </c>
      <c r="H3109" t="n">
        <v>159</v>
      </c>
      <c r="I3109">
        <f>B3109&amp;"|"&amp;F3109&amp;"|"&amp;G3109</f>
        <v/>
      </c>
      <c r="J3109" t="inlineStr">
        <is>
          <t>MVS Sec.18 p.32</t>
        </is>
      </c>
    </row>
    <row r="3110">
      <c r="B3110" t="inlineStr">
        <is>
          <t>Administration (Office) Buildings</t>
        </is>
      </c>
      <c r="C3110" t="inlineStr">
        <is>
          <t>600</t>
        </is>
      </c>
      <c r="D3110" t="inlineStr">
        <is>
          <t>18</t>
        </is>
      </c>
      <c r="E3110" t="inlineStr">
        <is>
          <t>32</t>
        </is>
      </c>
      <c r="F3110" t="inlineStr">
        <is>
          <t>S</t>
        </is>
      </c>
      <c r="G3110" t="inlineStr">
        <is>
          <t>Low Cost</t>
        </is>
      </c>
      <c r="H3110" t="n">
        <v>115</v>
      </c>
      <c r="I3110">
        <f>B3110&amp;"|"&amp;F3110&amp;"|"&amp;G3110</f>
        <v/>
      </c>
      <c r="J3110" t="inlineStr">
        <is>
          <t>MVS Sec.18 p.32</t>
        </is>
      </c>
    </row>
    <row r="3111">
      <c r="B3111" t="inlineStr">
        <is>
          <t>Relocatable Offices</t>
        </is>
      </c>
      <c r="C3111" t="inlineStr">
        <is>
          <t>599</t>
        </is>
      </c>
      <c r="D3111" t="inlineStr">
        <is>
          <t>18</t>
        </is>
      </c>
      <c r="E3111" t="inlineStr">
        <is>
          <t>33</t>
        </is>
      </c>
      <c r="F3111" t="inlineStr">
        <is>
          <t>D</t>
        </is>
      </c>
      <c r="G3111" t="inlineStr">
        <is>
          <t>Excellent</t>
        </is>
      </c>
      <c r="H3111" t="n">
        <v>179</v>
      </c>
      <c r="I3111">
        <f>B3111&amp;"|"&amp;F3111&amp;"|"&amp;G3111</f>
        <v/>
      </c>
      <c r="J3111" t="inlineStr">
        <is>
          <t>MVS Sec.18 p.33</t>
        </is>
      </c>
    </row>
    <row r="3112">
      <c r="B3112" t="inlineStr">
        <is>
          <t>Relocatable Offices</t>
        </is>
      </c>
      <c r="C3112" t="inlineStr">
        <is>
          <t>599</t>
        </is>
      </c>
      <c r="D3112" t="inlineStr">
        <is>
          <t>18</t>
        </is>
      </c>
      <c r="E3112" t="inlineStr">
        <is>
          <t>33</t>
        </is>
      </c>
      <c r="F3112" t="inlineStr">
        <is>
          <t>D</t>
        </is>
      </c>
      <c r="G3112" t="inlineStr">
        <is>
          <t>Good</t>
        </is>
      </c>
      <c r="H3112" t="n">
        <v>148</v>
      </c>
      <c r="I3112">
        <f>B3112&amp;"|"&amp;F3112&amp;"|"&amp;G3112</f>
        <v/>
      </c>
      <c r="J3112" t="inlineStr">
        <is>
          <t>MVS Sec.18 p.33</t>
        </is>
      </c>
    </row>
    <row r="3113">
      <c r="B3113" t="inlineStr">
        <is>
          <t>Relocatable Offices</t>
        </is>
      </c>
      <c r="C3113" t="inlineStr">
        <is>
          <t>599</t>
        </is>
      </c>
      <c r="D3113" t="inlineStr">
        <is>
          <t>18</t>
        </is>
      </c>
      <c r="E3113" t="inlineStr">
        <is>
          <t>33</t>
        </is>
      </c>
      <c r="F3113" t="inlineStr">
        <is>
          <t>D</t>
        </is>
      </c>
      <c r="G3113" t="inlineStr">
        <is>
          <t>Average</t>
        </is>
      </c>
      <c r="H3113" t="n">
        <v>120</v>
      </c>
      <c r="I3113">
        <f>B3113&amp;"|"&amp;F3113&amp;"|"&amp;G3113</f>
        <v/>
      </c>
      <c r="J3113" t="inlineStr">
        <is>
          <t>MVS Sec.18 p.33</t>
        </is>
      </c>
    </row>
    <row r="3114">
      <c r="B3114" t="inlineStr">
        <is>
          <t>Relocatable Offices</t>
        </is>
      </c>
      <c r="C3114" t="inlineStr">
        <is>
          <t>599</t>
        </is>
      </c>
      <c r="D3114" t="inlineStr">
        <is>
          <t>18</t>
        </is>
      </c>
      <c r="E3114" t="inlineStr">
        <is>
          <t>33</t>
        </is>
      </c>
      <c r="F3114" t="inlineStr">
        <is>
          <t>D</t>
        </is>
      </c>
      <c r="G3114" t="inlineStr">
        <is>
          <t>Low Cost</t>
        </is>
      </c>
      <c r="H3114" t="n">
        <v>103</v>
      </c>
      <c r="I3114">
        <f>B3114&amp;"|"&amp;F3114&amp;"|"&amp;G3114</f>
        <v/>
      </c>
      <c r="J3114" t="inlineStr">
        <is>
          <t>MVS Sec.18 p.33</t>
        </is>
      </c>
    </row>
    <row r="3115">
      <c r="B3115" t="inlineStr">
        <is>
          <t>Relocatable Offices</t>
        </is>
      </c>
      <c r="C3115" t="inlineStr">
        <is>
          <t>599</t>
        </is>
      </c>
      <c r="D3115" t="inlineStr">
        <is>
          <t>18</t>
        </is>
      </c>
      <c r="E3115" t="inlineStr">
        <is>
          <t>33</t>
        </is>
      </c>
      <c r="F3115" t="inlineStr">
        <is>
          <t>D</t>
        </is>
      </c>
      <c r="G3115" t="inlineStr">
        <is>
          <t>Cheap</t>
        </is>
      </c>
      <c r="H3115" t="n">
        <v>85</v>
      </c>
      <c r="I3115">
        <f>B3115&amp;"|"&amp;F3115&amp;"|"&amp;G3115</f>
        <v/>
      </c>
      <c r="J3115" t="inlineStr">
        <is>
          <t>MVS Sec.18 p.33</t>
        </is>
      </c>
    </row>
    <row r="3116">
      <c r="B3116" t="inlineStr">
        <is>
          <t>Commercial (Institutional) Greenhouses</t>
        </is>
      </c>
      <c r="C3116" t="inlineStr">
        <is>
          <t>171</t>
        </is>
      </c>
      <c r="D3116" t="inlineStr">
        <is>
          <t>18</t>
        </is>
      </c>
      <c r="E3116" t="inlineStr">
        <is>
          <t>34</t>
        </is>
      </c>
      <c r="F3116" t="inlineStr">
        <is>
          <t>D</t>
        </is>
      </c>
      <c r="G3116" t="inlineStr">
        <is>
          <t>Fair</t>
        </is>
      </c>
      <c r="H3116" t="n">
        <v>69.5</v>
      </c>
      <c r="I3116">
        <f>B3116&amp;"|"&amp;F3116&amp;"|"&amp;G3116</f>
        <v/>
      </c>
      <c r="J3116" t="inlineStr">
        <is>
          <t>MVS Sec.18 p.34</t>
        </is>
      </c>
    </row>
    <row r="3117">
      <c r="B3117" t="inlineStr">
        <is>
          <t>Commercial (Institutional) Greenhouses</t>
        </is>
      </c>
      <c r="C3117" t="inlineStr">
        <is>
          <t>171</t>
        </is>
      </c>
      <c r="D3117" t="inlineStr">
        <is>
          <t>18</t>
        </is>
      </c>
      <c r="E3117" t="inlineStr">
        <is>
          <t>34</t>
        </is>
      </c>
      <c r="F3117" t="inlineStr">
        <is>
          <t>D</t>
        </is>
      </c>
      <c r="G3117" t="inlineStr">
        <is>
          <t>Low Cost</t>
        </is>
      </c>
      <c r="H3117" t="n">
        <v>55.5</v>
      </c>
      <c r="I3117">
        <f>B3117&amp;"|"&amp;F3117&amp;"|"&amp;G3117</f>
        <v/>
      </c>
      <c r="J3117" t="inlineStr">
        <is>
          <t>MVS Sec.18 p.34</t>
        </is>
      </c>
    </row>
    <row r="3118">
      <c r="B3118" t="inlineStr">
        <is>
          <t>Commercial (Institutional) Greenhouses</t>
        </is>
      </c>
      <c r="C3118" t="inlineStr">
        <is>
          <t>171</t>
        </is>
      </c>
      <c r="D3118" t="inlineStr">
        <is>
          <t>18</t>
        </is>
      </c>
      <c r="E3118" t="inlineStr">
        <is>
          <t>34</t>
        </is>
      </c>
      <c r="F3118" t="inlineStr">
        <is>
          <t>S</t>
        </is>
      </c>
      <c r="G3118" t="inlineStr">
        <is>
          <t>Excellent</t>
        </is>
      </c>
      <c r="H3118" t="n">
        <v>200</v>
      </c>
      <c r="I3118">
        <f>B3118&amp;"|"&amp;F3118&amp;"|"&amp;G3118</f>
        <v/>
      </c>
      <c r="J3118" t="inlineStr">
        <is>
          <t>MVS Sec.18 p.34</t>
        </is>
      </c>
    </row>
    <row r="3119">
      <c r="B3119" t="inlineStr">
        <is>
          <t>Commercial (Institutional) Greenhouses</t>
        </is>
      </c>
      <c r="C3119" t="inlineStr">
        <is>
          <t>171</t>
        </is>
      </c>
      <c r="D3119" t="inlineStr">
        <is>
          <t>18</t>
        </is>
      </c>
      <c r="E3119" t="inlineStr">
        <is>
          <t>34</t>
        </is>
      </c>
      <c r="F3119" t="inlineStr">
        <is>
          <t>S</t>
        </is>
      </c>
      <c r="G3119" t="inlineStr">
        <is>
          <t>Very Good</t>
        </is>
      </c>
      <c r="H3119" t="n">
        <v>163</v>
      </c>
      <c r="I3119">
        <f>B3119&amp;"|"&amp;F3119&amp;"|"&amp;G3119</f>
        <v/>
      </c>
      <c r="J3119" t="inlineStr">
        <is>
          <t>MVS Sec.18 p.34</t>
        </is>
      </c>
    </row>
    <row r="3120">
      <c r="B3120" t="inlineStr">
        <is>
          <t>Commercial (Institutional) Greenhouses</t>
        </is>
      </c>
      <c r="C3120" t="inlineStr">
        <is>
          <t>171</t>
        </is>
      </c>
      <c r="D3120" t="inlineStr">
        <is>
          <t>18</t>
        </is>
      </c>
      <c r="E3120" t="inlineStr">
        <is>
          <t>34</t>
        </is>
      </c>
      <c r="F3120" t="inlineStr">
        <is>
          <t>S</t>
        </is>
      </c>
      <c r="G3120" t="inlineStr">
        <is>
          <t>Good</t>
        </is>
      </c>
      <c r="H3120" t="n">
        <v>132</v>
      </c>
      <c r="I3120">
        <f>B3120&amp;"|"&amp;F3120&amp;"|"&amp;G3120</f>
        <v/>
      </c>
      <c r="J3120" t="inlineStr">
        <is>
          <t>MVS Sec.18 p.34</t>
        </is>
      </c>
    </row>
    <row r="3121">
      <c r="B3121" t="inlineStr">
        <is>
          <t>Commercial (Institutional) Greenhouses</t>
        </is>
      </c>
      <c r="C3121" t="inlineStr">
        <is>
          <t>171</t>
        </is>
      </c>
      <c r="D3121" t="inlineStr">
        <is>
          <t>18</t>
        </is>
      </c>
      <c r="E3121" t="inlineStr">
        <is>
          <t>34</t>
        </is>
      </c>
      <c r="F3121" t="inlineStr">
        <is>
          <t>S</t>
        </is>
      </c>
      <c r="G3121" t="inlineStr">
        <is>
          <t>Average</t>
        </is>
      </c>
      <c r="H3121" t="n">
        <v>87.5</v>
      </c>
      <c r="I3121">
        <f>B3121&amp;"|"&amp;F3121&amp;"|"&amp;G3121</f>
        <v/>
      </c>
      <c r="J3121" t="inlineStr">
        <is>
          <t>MVS Sec.18 p.34</t>
        </is>
      </c>
    </row>
    <row r="3122">
      <c r="B3122" t="inlineStr">
        <is>
          <t>Commercial (Institutional) Greenhouses</t>
        </is>
      </c>
      <c r="C3122" t="inlineStr">
        <is>
          <t>171</t>
        </is>
      </c>
      <c r="D3122" t="inlineStr">
        <is>
          <t>18</t>
        </is>
      </c>
      <c r="E3122" t="inlineStr">
        <is>
          <t>34</t>
        </is>
      </c>
      <c r="F3122" t="inlineStr">
        <is>
          <t>S</t>
        </is>
      </c>
      <c r="G3122" t="inlineStr">
        <is>
          <t>Fair</t>
        </is>
      </c>
      <c r="H3122" t="n">
        <v>71</v>
      </c>
      <c r="I3122">
        <f>B3122&amp;"|"&amp;F3122&amp;"|"&amp;G3122</f>
        <v/>
      </c>
      <c r="J3122" t="inlineStr">
        <is>
          <t>MVS Sec.18 p.34</t>
        </is>
      </c>
    </row>
    <row r="3123">
      <c r="B3123" t="inlineStr">
        <is>
          <t>Commercial (Institutional) Greenhouses</t>
        </is>
      </c>
      <c r="C3123" t="inlineStr">
        <is>
          <t>171</t>
        </is>
      </c>
      <c r="D3123" t="inlineStr">
        <is>
          <t>18</t>
        </is>
      </c>
      <c r="E3123" t="inlineStr">
        <is>
          <t>34</t>
        </is>
      </c>
      <c r="F3123" t="inlineStr">
        <is>
          <t>S</t>
        </is>
      </c>
      <c r="G3123" t="inlineStr">
        <is>
          <t>Cheap</t>
        </is>
      </c>
      <c r="H3123" t="n">
        <v>58</v>
      </c>
      <c r="I3123">
        <f>B3123&amp;"|"&amp;F3123&amp;"|"&amp;G3123</f>
        <v/>
      </c>
      <c r="J3123" t="inlineStr">
        <is>
          <t>MVS Sec.18 p.34</t>
        </is>
      </c>
    </row>
    <row r="3126">
      <c r="B3126" s="305" t="inlineStr">
        <is>
          <t>REFERENCE 4 -- Occupancy Master List (dropdown source / lookup attributes)</t>
        </is>
      </c>
    </row>
    <row r="3127">
      <c r="B3127" s="306" t="inlineStr">
        <is>
          <t>Occupancy Name</t>
        </is>
      </c>
      <c r="C3127" s="306" t="inlineStr">
        <is>
          <t>MVS Code</t>
        </is>
      </c>
      <c r="D3127" s="306" t="inlineStr">
        <is>
          <t>Section</t>
        </is>
      </c>
      <c r="E3127" s="306" t="inlineStr">
        <is>
          <t>Page</t>
        </is>
      </c>
      <c r="F3127" s="306" t="inlineStr">
        <is>
          <t>Story-Height Tbl (Sec.)</t>
        </is>
      </c>
      <c r="G3127" s="306" t="inlineStr">
        <is>
          <t>Sprinkler Tbl (Sec.)</t>
        </is>
      </c>
      <c r="H3127" s="306" t="inlineStr">
        <is>
          <t>Depr Table (C=Commercial Sec.97 p.24 / R=Residential p.25)</t>
        </is>
      </c>
    </row>
    <row r="3128">
      <c r="B3128" t="inlineStr">
        <is>
          <t>Homes For the Elderly</t>
        </is>
      </c>
      <c r="C3128" t="inlineStr">
        <is>
          <t>330</t>
        </is>
      </c>
      <c r="D3128" t="inlineStr">
        <is>
          <t>11</t>
        </is>
      </c>
      <c r="E3128" t="inlineStr">
        <is>
          <t>13</t>
        </is>
      </c>
      <c r="F3128" t="inlineStr">
        <is>
          <t>11</t>
        </is>
      </c>
      <c r="G3128" t="inlineStr">
        <is>
          <t>11</t>
        </is>
      </c>
      <c r="H3128" t="inlineStr">
        <is>
          <t>C</t>
        </is>
      </c>
    </row>
    <row r="3129">
      <c r="B3129" t="inlineStr">
        <is>
          <t>Dormitories</t>
        </is>
      </c>
      <c r="C3129" t="inlineStr">
        <is>
          <t>321</t>
        </is>
      </c>
      <c r="D3129" t="inlineStr">
        <is>
          <t>11</t>
        </is>
      </c>
      <c r="E3129" t="inlineStr">
        <is>
          <t>14</t>
        </is>
      </c>
      <c r="F3129" t="inlineStr">
        <is>
          <t>11</t>
        </is>
      </c>
      <c r="G3129" t="inlineStr">
        <is>
          <t>11</t>
        </is>
      </c>
      <c r="H3129" t="inlineStr">
        <is>
          <t>R</t>
        </is>
      </c>
    </row>
    <row r="3130">
      <c r="B3130" t="inlineStr">
        <is>
          <t>Luxury Apartments (High-Rise)</t>
        </is>
      </c>
      <c r="C3130" t="inlineStr">
        <is>
          <t>984</t>
        </is>
      </c>
      <c r="D3130" t="inlineStr">
        <is>
          <t>11</t>
        </is>
      </c>
      <c r="E3130" t="inlineStr">
        <is>
          <t>15</t>
        </is>
      </c>
      <c r="F3130" t="inlineStr">
        <is>
          <t>11</t>
        </is>
      </c>
      <c r="G3130" t="inlineStr">
        <is>
          <t>11</t>
        </is>
      </c>
      <c r="H3130" t="inlineStr">
        <is>
          <t>C</t>
        </is>
      </c>
    </row>
    <row r="3131">
      <c r="B3131" t="inlineStr">
        <is>
          <t>Shell Luxury Apartment Buildings</t>
        </is>
      </c>
      <c r="C3131" t="inlineStr">
        <is>
          <t>777</t>
        </is>
      </c>
      <c r="D3131" t="inlineStr">
        <is>
          <t>11</t>
        </is>
      </c>
      <c r="E3131" t="inlineStr">
        <is>
          <t>16</t>
        </is>
      </c>
      <c r="F3131" t="inlineStr">
        <is>
          <t>11</t>
        </is>
      </c>
      <c r="G3131" t="inlineStr">
        <is>
          <t>11</t>
        </is>
      </c>
      <c r="H3131" t="inlineStr">
        <is>
          <t>C</t>
        </is>
      </c>
    </row>
    <row r="3132">
      <c r="B3132" t="inlineStr">
        <is>
          <t>Apartments (High-Rise)</t>
        </is>
      </c>
      <c r="C3132" t="inlineStr">
        <is>
          <t>300</t>
        </is>
      </c>
      <c r="D3132" t="inlineStr">
        <is>
          <t>11</t>
        </is>
      </c>
      <c r="E3132" t="inlineStr">
        <is>
          <t>18</t>
        </is>
      </c>
      <c r="F3132" t="inlineStr">
        <is>
          <t>11</t>
        </is>
      </c>
      <c r="G3132" t="inlineStr">
        <is>
          <t>11</t>
        </is>
      </c>
      <c r="H3132" t="inlineStr">
        <is>
          <t>C</t>
        </is>
      </c>
    </row>
    <row r="3133">
      <c r="B3133" t="inlineStr">
        <is>
          <t>City Clubs</t>
        </is>
      </c>
      <c r="C3133" t="inlineStr">
        <is>
          <t>310</t>
        </is>
      </c>
      <c r="D3133" t="inlineStr">
        <is>
          <t>11</t>
        </is>
      </c>
      <c r="E3133" t="inlineStr">
        <is>
          <t>19</t>
        </is>
      </c>
      <c r="F3133" t="inlineStr">
        <is>
          <t>11</t>
        </is>
      </c>
      <c r="G3133" t="inlineStr">
        <is>
          <t>11</t>
        </is>
      </c>
      <c r="H3133" t="inlineStr">
        <is>
          <t>R</t>
        </is>
      </c>
    </row>
    <row r="3134">
      <c r="B3134" t="inlineStr">
        <is>
          <t>Shell Apartment Buildings</t>
        </is>
      </c>
      <c r="C3134" t="inlineStr">
        <is>
          <t>596</t>
        </is>
      </c>
      <c r="D3134" t="inlineStr">
        <is>
          <t>11</t>
        </is>
      </c>
      <c r="E3134" t="inlineStr">
        <is>
          <t>20</t>
        </is>
      </c>
      <c r="F3134" t="inlineStr">
        <is>
          <t>11</t>
        </is>
      </c>
      <c r="G3134" t="inlineStr">
        <is>
          <t>11</t>
        </is>
      </c>
      <c r="H3134" t="inlineStr">
        <is>
          <t>C</t>
        </is>
      </c>
    </row>
    <row r="3135">
      <c r="B3135" t="inlineStr">
        <is>
          <t>Hotels, Limited Service</t>
        </is>
      </c>
      <c r="C3135" t="inlineStr">
        <is>
          <t>595</t>
        </is>
      </c>
      <c r="D3135" t="inlineStr">
        <is>
          <t>11</t>
        </is>
      </c>
      <c r="E3135" t="inlineStr">
        <is>
          <t>22</t>
        </is>
      </c>
      <c r="F3135" t="inlineStr">
        <is>
          <t>11</t>
        </is>
      </c>
      <c r="G3135" t="inlineStr">
        <is>
          <t>11</t>
        </is>
      </c>
      <c r="H3135" t="inlineStr">
        <is>
          <t>C</t>
        </is>
      </c>
    </row>
    <row r="3136">
      <c r="B3136" t="inlineStr">
        <is>
          <t>Shell Hotels: Limited Service Buildings</t>
        </is>
      </c>
      <c r="C3136" t="inlineStr">
        <is>
          <t>779</t>
        </is>
      </c>
      <c r="D3136" t="inlineStr">
        <is>
          <t>11</t>
        </is>
      </c>
      <c r="E3136" t="inlineStr">
        <is>
          <t>23</t>
        </is>
      </c>
      <c r="F3136" t="inlineStr">
        <is>
          <t>11</t>
        </is>
      </c>
      <c r="G3136" t="inlineStr">
        <is>
          <t>11</t>
        </is>
      </c>
      <c r="H3136" t="inlineStr">
        <is>
          <t>C</t>
        </is>
      </c>
    </row>
    <row r="3137">
      <c r="B3137" t="inlineStr">
        <is>
          <t>Hotels, Full Service</t>
        </is>
      </c>
      <c r="C3137" t="inlineStr">
        <is>
          <t>594</t>
        </is>
      </c>
      <c r="D3137" t="inlineStr">
        <is>
          <t>11</t>
        </is>
      </c>
      <c r="E3137" t="inlineStr">
        <is>
          <t>25</t>
        </is>
      </c>
      <c r="F3137" t="inlineStr">
        <is>
          <t>11</t>
        </is>
      </c>
      <c r="G3137" t="inlineStr">
        <is>
          <t>11</t>
        </is>
      </c>
      <c r="H3137" t="inlineStr">
        <is>
          <t>C</t>
        </is>
      </c>
    </row>
    <row r="3138">
      <c r="B3138" t="inlineStr">
        <is>
          <t>Shell Hotels: Full Service Buildings</t>
        </is>
      </c>
      <c r="C3138" t="inlineStr">
        <is>
          <t>778</t>
        </is>
      </c>
      <c r="D3138" t="inlineStr">
        <is>
          <t>11</t>
        </is>
      </c>
      <c r="E3138" t="inlineStr">
        <is>
          <t>26</t>
        </is>
      </c>
      <c r="F3138" t="inlineStr">
        <is>
          <t>11</t>
        </is>
      </c>
      <c r="G3138" t="inlineStr">
        <is>
          <t>11</t>
        </is>
      </c>
      <c r="H3138" t="inlineStr">
        <is>
          <t>C</t>
        </is>
      </c>
    </row>
    <row r="3139">
      <c r="B3139" t="inlineStr">
        <is>
          <t>Rooming Houses</t>
        </is>
      </c>
      <c r="C3139" t="inlineStr">
        <is>
          <t>551</t>
        </is>
      </c>
      <c r="D3139" t="inlineStr">
        <is>
          <t>11</t>
        </is>
      </c>
      <c r="E3139" t="inlineStr">
        <is>
          <t>28</t>
        </is>
      </c>
      <c r="F3139" t="inlineStr">
        <is>
          <t>11</t>
        </is>
      </c>
      <c r="G3139" t="inlineStr">
        <is>
          <t>11</t>
        </is>
      </c>
      <c r="H3139" t="inlineStr">
        <is>
          <t>R</t>
        </is>
      </c>
    </row>
    <row r="3140">
      <c r="B3140" t="inlineStr">
        <is>
          <t>Rectories</t>
        </is>
      </c>
      <c r="C3140" t="inlineStr">
        <is>
          <t>348</t>
        </is>
      </c>
      <c r="D3140" t="inlineStr">
        <is>
          <t>11</t>
        </is>
      </c>
      <c r="E3140" t="inlineStr">
        <is>
          <t>28</t>
        </is>
      </c>
      <c r="F3140" t="inlineStr">
        <is>
          <t>11</t>
        </is>
      </c>
      <c r="G3140" t="inlineStr">
        <is>
          <t>11</t>
        </is>
      </c>
      <c r="H3140" t="inlineStr">
        <is>
          <t>R</t>
        </is>
      </c>
    </row>
    <row r="3141">
      <c r="B3141" t="inlineStr">
        <is>
          <t>Fraternity Housing</t>
        </is>
      </c>
      <c r="C3141" t="inlineStr">
        <is>
          <t>324</t>
        </is>
      </c>
      <c r="D3141" t="inlineStr">
        <is>
          <t>11</t>
        </is>
      </c>
      <c r="E3141" t="inlineStr">
        <is>
          <t>28</t>
        </is>
      </c>
      <c r="F3141" t="inlineStr">
        <is>
          <t>11</t>
        </is>
      </c>
      <c r="G3141" t="inlineStr">
        <is>
          <t>11</t>
        </is>
      </c>
      <c r="H3141" t="inlineStr">
        <is>
          <t>R</t>
        </is>
      </c>
    </row>
    <row r="3142">
      <c r="B3142" t="inlineStr">
        <is>
          <t>Group Care Homes</t>
        </is>
      </c>
      <c r="C3142" t="inlineStr">
        <is>
          <t>424</t>
        </is>
      </c>
      <c r="D3142" t="inlineStr">
        <is>
          <t>11</t>
        </is>
      </c>
      <c r="E3142" t="inlineStr">
        <is>
          <t>29</t>
        </is>
      </c>
      <c r="F3142" t="inlineStr">
        <is>
          <t>11</t>
        </is>
      </c>
      <c r="G3142" t="inlineStr">
        <is>
          <t>11</t>
        </is>
      </c>
      <c r="H3142" t="inlineStr">
        <is>
          <t>R</t>
        </is>
      </c>
    </row>
    <row r="3143">
      <c r="B3143" t="inlineStr">
        <is>
          <t>Recreational (Pool) Enclosures</t>
        </is>
      </c>
      <c r="C3143" t="inlineStr">
        <is>
          <t>552</t>
        </is>
      </c>
      <c r="D3143" t="inlineStr">
        <is>
          <t>11</t>
        </is>
      </c>
      <c r="E3143" t="inlineStr">
        <is>
          <t>29</t>
        </is>
      </c>
      <c r="F3143" t="inlineStr">
        <is>
          <t>11</t>
        </is>
      </c>
      <c r="G3143" t="inlineStr">
        <is>
          <t>11</t>
        </is>
      </c>
      <c r="H3143" t="inlineStr">
        <is>
          <t>R</t>
        </is>
      </c>
    </row>
    <row r="3144">
      <c r="B3144" t="inlineStr">
        <is>
          <t>Clubhouses</t>
        </is>
      </c>
      <c r="C3144" t="inlineStr">
        <is>
          <t>311</t>
        </is>
      </c>
      <c r="D3144" t="inlineStr">
        <is>
          <t>11</t>
        </is>
      </c>
      <c r="E3144" t="inlineStr">
        <is>
          <t>30</t>
        </is>
      </c>
      <c r="F3144" t="inlineStr">
        <is>
          <t>11</t>
        </is>
      </c>
      <c r="G3144" t="inlineStr">
        <is>
          <t>11</t>
        </is>
      </c>
      <c r="H3144" t="inlineStr">
        <is>
          <t>R</t>
        </is>
      </c>
    </row>
    <row r="3145">
      <c r="B3145" t="inlineStr">
        <is>
          <t>Senior (Clubhouse) Centers</t>
        </is>
      </c>
      <c r="C3145" t="inlineStr">
        <is>
          <t>985</t>
        </is>
      </c>
      <c r="D3145" t="inlineStr">
        <is>
          <t>11</t>
        </is>
      </c>
      <c r="E3145" t="inlineStr">
        <is>
          <t>30</t>
        </is>
      </c>
      <c r="F3145" t="inlineStr">
        <is>
          <t>11</t>
        </is>
      </c>
      <c r="G3145" t="inlineStr">
        <is>
          <t>11</t>
        </is>
      </c>
      <c r="H3145" t="inlineStr">
        <is>
          <t>R</t>
        </is>
      </c>
    </row>
    <row r="3146">
      <c r="B3146" t="inlineStr">
        <is>
          <t>Country Clubs</t>
        </is>
      </c>
      <c r="C3146" t="inlineStr">
        <is>
          <t>314</t>
        </is>
      </c>
      <c r="D3146" t="inlineStr">
        <is>
          <t>11</t>
        </is>
      </c>
      <c r="E3146" t="inlineStr">
        <is>
          <t>31</t>
        </is>
      </c>
      <c r="F3146" t="inlineStr">
        <is>
          <t>11</t>
        </is>
      </c>
      <c r="G3146" t="inlineStr">
        <is>
          <t>11</t>
        </is>
      </c>
      <c r="H3146" t="inlineStr">
        <is>
          <t>R</t>
        </is>
      </c>
    </row>
    <row r="3147">
      <c r="B3147" t="inlineStr">
        <is>
          <t>Health Clubs (Spas)</t>
        </is>
      </c>
      <c r="C3147" t="inlineStr">
        <is>
          <t>418</t>
        </is>
      </c>
      <c r="D3147" t="inlineStr">
        <is>
          <t>11</t>
        </is>
      </c>
      <c r="E3147" t="inlineStr">
        <is>
          <t>31</t>
        </is>
      </c>
      <c r="F3147" t="inlineStr">
        <is>
          <t>11</t>
        </is>
      </c>
      <c r="G3147" t="inlineStr">
        <is>
          <t>11</t>
        </is>
      </c>
      <c r="H3147" t="inlineStr">
        <is>
          <t>R</t>
        </is>
      </c>
    </row>
    <row r="3148">
      <c r="B3148" t="inlineStr">
        <is>
          <t>Mortuaries / Funeral Homes</t>
        </is>
      </c>
      <c r="C3148" t="inlineStr">
        <is>
          <t>342</t>
        </is>
      </c>
      <c r="D3148" t="inlineStr">
        <is>
          <t>11</t>
        </is>
      </c>
      <c r="E3148" t="inlineStr">
        <is>
          <t>32</t>
        </is>
      </c>
      <c r="F3148" t="inlineStr">
        <is>
          <t>11</t>
        </is>
      </c>
      <c r="G3148" t="inlineStr">
        <is>
          <t>11</t>
        </is>
      </c>
      <c r="H3148" t="inlineStr">
        <is>
          <t>R</t>
        </is>
      </c>
    </row>
    <row r="3149">
      <c r="B3149" t="inlineStr">
        <is>
          <t>High-Rise Row (Town) Houses</t>
        </is>
      </c>
      <c r="C3149" t="inlineStr">
        <is>
          <t>177</t>
        </is>
      </c>
      <c r="D3149" t="inlineStr">
        <is>
          <t>11</t>
        </is>
      </c>
      <c r="E3149" t="inlineStr">
        <is>
          <t>33</t>
        </is>
      </c>
      <c r="F3149" t="inlineStr">
        <is>
          <t>11</t>
        </is>
      </c>
      <c r="G3149" t="inlineStr">
        <is>
          <t>11</t>
        </is>
      </c>
      <c r="H3149" t="inlineStr">
        <is>
          <t>R</t>
        </is>
      </c>
    </row>
    <row r="3150">
      <c r="B3150" t="inlineStr">
        <is>
          <t>Motels</t>
        </is>
      </c>
      <c r="C3150" t="inlineStr">
        <is>
          <t>343</t>
        </is>
      </c>
      <c r="D3150" t="inlineStr">
        <is>
          <t>12</t>
        </is>
      </c>
      <c r="E3150" t="inlineStr">
        <is>
          <t>9</t>
        </is>
      </c>
      <c r="F3150" t="inlineStr">
        <is>
          <t>-</t>
        </is>
      </c>
      <c r="G3150" t="inlineStr">
        <is>
          <t>12</t>
        </is>
      </c>
      <c r="H3150" t="inlineStr">
        <is>
          <t>C</t>
        </is>
      </c>
    </row>
    <row r="3151">
      <c r="B3151" t="inlineStr">
        <is>
          <t>Shell Motels</t>
        </is>
      </c>
      <c r="C3151" t="inlineStr">
        <is>
          <t>780</t>
        </is>
      </c>
      <c r="D3151" t="inlineStr">
        <is>
          <t>12</t>
        </is>
      </c>
      <c r="E3151" t="inlineStr">
        <is>
          <t>10</t>
        </is>
      </c>
      <c r="F3151" t="inlineStr">
        <is>
          <t>-</t>
        </is>
      </c>
      <c r="G3151" t="inlineStr">
        <is>
          <t>12</t>
        </is>
      </c>
      <c r="H3151" t="inlineStr">
        <is>
          <t>C</t>
        </is>
      </c>
    </row>
    <row r="3152">
      <c r="B3152" t="inlineStr">
        <is>
          <t>Extended-Stay Motels</t>
        </is>
      </c>
      <c r="C3152" t="inlineStr">
        <is>
          <t>588</t>
        </is>
      </c>
      <c r="D3152" t="inlineStr">
        <is>
          <t>12</t>
        </is>
      </c>
      <c r="E3152" t="inlineStr">
        <is>
          <t>11</t>
        </is>
      </c>
      <c r="F3152" t="inlineStr">
        <is>
          <t>-</t>
        </is>
      </c>
      <c r="G3152" t="inlineStr">
        <is>
          <t>12</t>
        </is>
      </c>
      <c r="H3152" t="inlineStr">
        <is>
          <t>C</t>
        </is>
      </c>
    </row>
    <row r="3153">
      <c r="B3153" t="inlineStr">
        <is>
          <t>Shell Extended Stay - Motels</t>
        </is>
      </c>
      <c r="C3153" t="inlineStr">
        <is>
          <t>781</t>
        </is>
      </c>
      <c r="D3153" t="inlineStr">
        <is>
          <t>12</t>
        </is>
      </c>
      <c r="E3153" t="inlineStr">
        <is>
          <t>12</t>
        </is>
      </c>
      <c r="F3153" t="inlineStr">
        <is>
          <t>-</t>
        </is>
      </c>
      <c r="G3153" t="inlineStr">
        <is>
          <t>12</t>
        </is>
      </c>
      <c r="H3153" t="inlineStr">
        <is>
          <t>C</t>
        </is>
      </c>
    </row>
    <row r="3154">
      <c r="B3154" t="inlineStr">
        <is>
          <t>Office-Apartments</t>
        </is>
      </c>
      <c r="C3154" t="inlineStr">
        <is>
          <t>544</t>
        </is>
      </c>
      <c r="D3154" t="inlineStr">
        <is>
          <t>12</t>
        </is>
      </c>
      <c r="E3154" t="inlineStr">
        <is>
          <t>13</t>
        </is>
      </c>
      <c r="F3154" t="inlineStr">
        <is>
          <t>-</t>
        </is>
      </c>
      <c r="G3154" t="inlineStr">
        <is>
          <t>12</t>
        </is>
      </c>
      <c r="H3154" t="inlineStr">
        <is>
          <t>R</t>
        </is>
      </c>
    </row>
    <row r="3155">
      <c r="B3155" t="inlineStr">
        <is>
          <t>Motel Guest Rooms</t>
        </is>
      </c>
      <c r="C3155" t="inlineStr">
        <is>
          <t>540</t>
        </is>
      </c>
      <c r="D3155" t="inlineStr">
        <is>
          <t>12</t>
        </is>
      </c>
      <c r="E3155" t="inlineStr">
        <is>
          <t>13</t>
        </is>
      </c>
      <c r="F3155" t="inlineStr">
        <is>
          <t>-</t>
        </is>
      </c>
      <c r="G3155" t="inlineStr">
        <is>
          <t>12</t>
        </is>
      </c>
      <c r="H3155" t="inlineStr">
        <is>
          <t>C</t>
        </is>
      </c>
    </row>
    <row r="3156">
      <c r="B3156" t="inlineStr">
        <is>
          <t>Lodges</t>
        </is>
      </c>
      <c r="C3156" t="inlineStr">
        <is>
          <t>537</t>
        </is>
      </c>
      <c r="D3156" t="inlineStr">
        <is>
          <t>12</t>
        </is>
      </c>
      <c r="E3156" t="inlineStr">
        <is>
          <t>14</t>
        </is>
      </c>
      <c r="F3156" t="inlineStr">
        <is>
          <t>-</t>
        </is>
      </c>
      <c r="G3156" t="inlineStr">
        <is>
          <t>12</t>
        </is>
      </c>
      <c r="H3156" t="inlineStr">
        <is>
          <t>C</t>
        </is>
      </c>
    </row>
    <row r="3157">
      <c r="B3157" t="inlineStr">
        <is>
          <t>Guest Cottages</t>
        </is>
      </c>
      <c r="C3157" t="inlineStr">
        <is>
          <t>538</t>
        </is>
      </c>
      <c r="D3157" t="inlineStr">
        <is>
          <t>12</t>
        </is>
      </c>
      <c r="E3157" t="inlineStr">
        <is>
          <t>15</t>
        </is>
      </c>
      <c r="F3157" t="inlineStr">
        <is>
          <t>-</t>
        </is>
      </c>
      <c r="G3157" t="inlineStr">
        <is>
          <t>12</t>
        </is>
      </c>
      <c r="H3157" t="inlineStr">
        <is>
          <t>R</t>
        </is>
      </c>
    </row>
    <row r="3158">
      <c r="B3158" t="inlineStr">
        <is>
          <t>Bed and Breakfast Inns</t>
        </is>
      </c>
      <c r="C3158" t="inlineStr">
        <is>
          <t>539</t>
        </is>
      </c>
      <c r="D3158" t="inlineStr">
        <is>
          <t>12</t>
        </is>
      </c>
      <c r="E3158" t="inlineStr">
        <is>
          <t>15</t>
        </is>
      </c>
      <c r="F3158" t="inlineStr">
        <is>
          <t>-</t>
        </is>
      </c>
      <c r="G3158" t="inlineStr">
        <is>
          <t>12</t>
        </is>
      </c>
      <c r="H3158" t="inlineStr">
        <is>
          <t>R</t>
        </is>
      </c>
    </row>
    <row r="3159">
      <c r="B3159" t="inlineStr">
        <is>
          <t>Multiple Residences</t>
        </is>
      </c>
      <c r="C3159" t="inlineStr">
        <is>
          <t>352</t>
        </is>
      </c>
      <c r="D3159" t="inlineStr">
        <is>
          <t>12</t>
        </is>
      </c>
      <c r="E3159" t="inlineStr">
        <is>
          <t>16</t>
        </is>
      </c>
      <c r="F3159" t="inlineStr">
        <is>
          <t>-</t>
        </is>
      </c>
      <c r="G3159" t="inlineStr">
        <is>
          <t>12</t>
        </is>
      </c>
      <c r="H3159" t="inlineStr">
        <is>
          <t>C</t>
        </is>
      </c>
    </row>
    <row r="3160">
      <c r="B3160" t="inlineStr">
        <is>
          <t>Shell Multiple Residence Buildings</t>
        </is>
      </c>
      <c r="C3160" t="inlineStr">
        <is>
          <t>587</t>
        </is>
      </c>
      <c r="D3160" t="inlineStr">
        <is>
          <t>12</t>
        </is>
      </c>
      <c r="E3160" t="inlineStr">
        <is>
          <t>17</t>
        </is>
      </c>
      <c r="F3160" t="inlineStr">
        <is>
          <t>-</t>
        </is>
      </c>
      <c r="G3160" t="inlineStr">
        <is>
          <t>12</t>
        </is>
      </c>
      <c r="H3160" t="inlineStr">
        <is>
          <t>C</t>
        </is>
      </c>
    </row>
    <row r="3161">
      <c r="B3161" t="inlineStr">
        <is>
          <t>Multiple Residences – Senior Citizen</t>
        </is>
      </c>
      <c r="C3161" t="inlineStr">
        <is>
          <t>451</t>
        </is>
      </c>
      <c r="D3161" t="inlineStr">
        <is>
          <t>12</t>
        </is>
      </c>
      <c r="E3161" t="inlineStr">
        <is>
          <t>18</t>
        </is>
      </c>
      <c r="F3161" t="inlineStr">
        <is>
          <t>-</t>
        </is>
      </c>
      <c r="G3161" t="inlineStr">
        <is>
          <t>12</t>
        </is>
      </c>
      <c r="H3161" t="inlineStr">
        <is>
          <t>C</t>
        </is>
      </c>
    </row>
    <row r="3162">
      <c r="B3162" t="inlineStr">
        <is>
          <t>Shell Multiple Residences - Senior Citizen</t>
        </is>
      </c>
      <c r="C3162" t="inlineStr">
        <is>
          <t>784</t>
        </is>
      </c>
      <c r="D3162" t="inlineStr">
        <is>
          <t>12</t>
        </is>
      </c>
      <c r="E3162" t="inlineStr">
        <is>
          <t>19</t>
        </is>
      </c>
      <c r="F3162" t="inlineStr">
        <is>
          <t>-</t>
        </is>
      </c>
      <c r="G3162" t="inlineStr">
        <is>
          <t>12</t>
        </is>
      </c>
      <c r="H3162" t="inlineStr">
        <is>
          <t>C</t>
        </is>
      </c>
    </row>
    <row r="3163">
      <c r="B3163" t="inlineStr">
        <is>
          <t>Multiple Residences – Elderly Assisted Living</t>
        </is>
      </c>
      <c r="C3163" t="inlineStr">
        <is>
          <t>589</t>
        </is>
      </c>
      <c r="D3163" t="inlineStr">
        <is>
          <t>12</t>
        </is>
      </c>
      <c r="E3163" t="inlineStr">
        <is>
          <t>20</t>
        </is>
      </c>
      <c r="F3163" t="inlineStr">
        <is>
          <t>-</t>
        </is>
      </c>
      <c r="G3163" t="inlineStr">
        <is>
          <t>12</t>
        </is>
      </c>
      <c r="H3163" t="inlineStr">
        <is>
          <t>C</t>
        </is>
      </c>
    </row>
    <row r="3164">
      <c r="B3164" t="inlineStr">
        <is>
          <t>Shell Multiple Residences - Elderly Assisted Living</t>
        </is>
      </c>
      <c r="C3164" t="inlineStr">
        <is>
          <t>782</t>
        </is>
      </c>
      <c r="D3164" t="inlineStr">
        <is>
          <t>12</t>
        </is>
      </c>
      <c r="E3164" t="inlineStr">
        <is>
          <t>21</t>
        </is>
      </c>
      <c r="F3164" t="inlineStr">
        <is>
          <t>-</t>
        </is>
      </c>
      <c r="G3164" t="inlineStr">
        <is>
          <t>12</t>
        </is>
      </c>
      <c r="H3164" t="inlineStr">
        <is>
          <t>C</t>
        </is>
      </c>
    </row>
    <row r="3165">
      <c r="B3165" t="inlineStr">
        <is>
          <t>Multiple Residences – Retirement Community Complex</t>
        </is>
      </c>
      <c r="C3165" t="inlineStr">
        <is>
          <t>710</t>
        </is>
      </c>
      <c r="D3165" t="inlineStr">
        <is>
          <t>12</t>
        </is>
      </c>
      <c r="E3165" t="inlineStr">
        <is>
          <t>22</t>
        </is>
      </c>
      <c r="F3165" t="inlineStr">
        <is>
          <t>-</t>
        </is>
      </c>
      <c r="G3165" t="inlineStr">
        <is>
          <t>12</t>
        </is>
      </c>
      <c r="H3165" t="inlineStr">
        <is>
          <t>C</t>
        </is>
      </c>
    </row>
    <row r="3166">
      <c r="B3166" t="inlineStr">
        <is>
          <t>Shell Multiple Residences - Retirement Community Complex</t>
        </is>
      </c>
      <c r="C3166" t="inlineStr">
        <is>
          <t>783</t>
        </is>
      </c>
      <c r="D3166" t="inlineStr">
        <is>
          <t>12</t>
        </is>
      </c>
      <c r="E3166" t="inlineStr">
        <is>
          <t>23</t>
        </is>
      </c>
      <c r="F3166" t="inlineStr">
        <is>
          <t>-</t>
        </is>
      </c>
      <c r="G3166" t="inlineStr">
        <is>
          <t>12</t>
        </is>
      </c>
      <c r="H3166" t="inlineStr">
        <is>
          <t>C</t>
        </is>
      </c>
    </row>
    <row r="3167">
      <c r="B3167" t="inlineStr">
        <is>
          <t>Single-Family Residences</t>
        </is>
      </c>
      <c r="C3167" t="inlineStr">
        <is>
          <t>351</t>
        </is>
      </c>
      <c r="D3167" t="inlineStr">
        <is>
          <t>12</t>
        </is>
      </c>
      <c r="E3167" t="inlineStr">
        <is>
          <t>25</t>
        </is>
      </c>
      <c r="F3167" t="inlineStr">
        <is>
          <t>-</t>
        </is>
      </c>
      <c r="G3167" t="inlineStr">
        <is>
          <t>12</t>
        </is>
      </c>
      <c r="H3167" t="inlineStr">
        <is>
          <t>R</t>
        </is>
      </c>
    </row>
    <row r="3168">
      <c r="B3168" t="inlineStr">
        <is>
          <t>Guest Houses</t>
        </is>
      </c>
      <c r="D3168" t="inlineStr">
        <is>
          <t>12</t>
        </is>
      </c>
      <c r="E3168" t="inlineStr">
        <is>
          <t>29</t>
        </is>
      </c>
      <c r="F3168" t="inlineStr">
        <is>
          <t>-</t>
        </is>
      </c>
      <c r="G3168" t="inlineStr">
        <is>
          <t>12</t>
        </is>
      </c>
      <c r="H3168" t="inlineStr">
        <is>
          <t>R</t>
        </is>
      </c>
    </row>
    <row r="3169">
      <c r="B3169" t="inlineStr">
        <is>
          <t>Log Homes</t>
        </is>
      </c>
      <c r="C3169" t="inlineStr">
        <is>
          <t>445</t>
        </is>
      </c>
      <c r="D3169" t="inlineStr">
        <is>
          <t>12</t>
        </is>
      </c>
      <c r="E3169" t="inlineStr">
        <is>
          <t>30</t>
        </is>
      </c>
      <c r="F3169" t="inlineStr">
        <is>
          <t>-</t>
        </is>
      </c>
      <c r="G3169" t="inlineStr">
        <is>
          <t>12</t>
        </is>
      </c>
      <c r="H3169" t="inlineStr">
        <is>
          <t>R</t>
        </is>
      </c>
    </row>
    <row r="3170">
      <c r="B3170" t="inlineStr">
        <is>
          <t>Town Houses</t>
        </is>
      </c>
      <c r="C3170" t="inlineStr">
        <is>
          <t>401</t>
        </is>
      </c>
      <c r="D3170" t="inlineStr">
        <is>
          <t>12</t>
        </is>
      </c>
      <c r="E3170" t="inlineStr">
        <is>
          <t>31</t>
        </is>
      </c>
      <c r="F3170" t="inlineStr">
        <is>
          <t>-</t>
        </is>
      </c>
      <c r="G3170" t="inlineStr">
        <is>
          <t>12</t>
        </is>
      </c>
      <c r="H3170" t="inlineStr">
        <is>
          <t>R</t>
        </is>
      </c>
    </row>
    <row r="3171">
      <c r="B3171" t="inlineStr">
        <is>
          <t>Senior Citizen Town Houses</t>
        </is>
      </c>
      <c r="C3171" t="inlineStr">
        <is>
          <t>546</t>
        </is>
      </c>
      <c r="D3171" t="inlineStr">
        <is>
          <t>12</t>
        </is>
      </c>
      <c r="E3171" t="inlineStr">
        <is>
          <t>32</t>
        </is>
      </c>
      <c r="F3171" t="inlineStr">
        <is>
          <t>-</t>
        </is>
      </c>
      <c r="G3171" t="inlineStr">
        <is>
          <t>12</t>
        </is>
      </c>
      <c r="H3171" t="inlineStr">
        <is>
          <t>R</t>
        </is>
      </c>
    </row>
    <row r="3172">
      <c r="B3172" t="inlineStr">
        <is>
          <t>Urban Row (Town) Houses</t>
        </is>
      </c>
      <c r="C3172" t="inlineStr">
        <is>
          <t>549</t>
        </is>
      </c>
      <c r="D3172" t="inlineStr">
        <is>
          <t>12</t>
        </is>
      </c>
      <c r="E3172" t="inlineStr">
        <is>
          <t>33</t>
        </is>
      </c>
      <c r="F3172" t="inlineStr">
        <is>
          <t>-</t>
        </is>
      </c>
      <c r="G3172" t="inlineStr">
        <is>
          <t>12</t>
        </is>
      </c>
      <c r="H3172" t="inlineStr">
        <is>
          <t>R</t>
        </is>
      </c>
    </row>
    <row r="3173">
      <c r="B3173" t="inlineStr">
        <is>
          <t>Shell Town House Buildings</t>
        </is>
      </c>
      <c r="C3173" t="inlineStr">
        <is>
          <t>774</t>
        </is>
      </c>
      <c r="D3173" t="inlineStr">
        <is>
          <t>12</t>
        </is>
      </c>
      <c r="E3173" t="inlineStr">
        <is>
          <t>34</t>
        </is>
      </c>
      <c r="F3173" t="inlineStr">
        <is>
          <t>-</t>
        </is>
      </c>
      <c r="G3173" t="inlineStr">
        <is>
          <t>12</t>
        </is>
      </c>
      <c r="H3173" t="inlineStr">
        <is>
          <t>R</t>
        </is>
      </c>
    </row>
    <row r="3174">
      <c r="B3174" t="inlineStr">
        <is>
          <t>Bars/Taverns</t>
        </is>
      </c>
      <c r="C3174" t="inlineStr">
        <is>
          <t>442</t>
        </is>
      </c>
      <c r="D3174" t="inlineStr">
        <is>
          <t>13</t>
        </is>
      </c>
      <c r="E3174" t="inlineStr">
        <is>
          <t>13</t>
        </is>
      </c>
      <c r="F3174" t="inlineStr">
        <is>
          <t>13</t>
        </is>
      </c>
      <c r="G3174" t="inlineStr">
        <is>
          <t>13</t>
        </is>
      </c>
      <c r="H3174" t="inlineStr">
        <is>
          <t>C</t>
        </is>
      </c>
    </row>
    <row r="3175">
      <c r="B3175" t="inlineStr">
        <is>
          <t>Cocktail Lounges</t>
        </is>
      </c>
      <c r="C3175" t="inlineStr">
        <is>
          <t>441</t>
        </is>
      </c>
      <c r="D3175" t="inlineStr">
        <is>
          <t>13</t>
        </is>
      </c>
      <c r="E3175" t="inlineStr">
        <is>
          <t>13</t>
        </is>
      </c>
      <c r="F3175" t="inlineStr">
        <is>
          <t>13</t>
        </is>
      </c>
      <c r="G3175" t="inlineStr">
        <is>
          <t>13</t>
        </is>
      </c>
      <c r="H3175" t="inlineStr">
        <is>
          <t>C</t>
        </is>
      </c>
    </row>
    <row r="3176">
      <c r="B3176" t="inlineStr">
        <is>
          <t>Restaurants</t>
        </is>
      </c>
      <c r="C3176" t="inlineStr">
        <is>
          <t>350</t>
        </is>
      </c>
      <c r="D3176" t="inlineStr">
        <is>
          <t>13</t>
        </is>
      </c>
      <c r="E3176" t="inlineStr">
        <is>
          <t>14</t>
        </is>
      </c>
      <c r="F3176" t="inlineStr">
        <is>
          <t>13</t>
        </is>
      </c>
      <c r="G3176" t="inlineStr">
        <is>
          <t>13</t>
        </is>
      </c>
      <c r="H3176" t="inlineStr">
        <is>
          <t>C</t>
        </is>
      </c>
    </row>
    <row r="3177">
      <c r="B3177" t="inlineStr">
        <is>
          <t>Restaurants – Cafeterias</t>
        </is>
      </c>
      <c r="C3177" t="inlineStr">
        <is>
          <t>530</t>
        </is>
      </c>
      <c r="D3177" t="inlineStr">
        <is>
          <t>13</t>
        </is>
      </c>
      <c r="E3177" t="inlineStr">
        <is>
          <t>15</t>
        </is>
      </c>
      <c r="F3177" t="inlineStr">
        <is>
          <t>13</t>
        </is>
      </c>
      <c r="G3177" t="inlineStr">
        <is>
          <t>13</t>
        </is>
      </c>
      <c r="H3177" t="inlineStr">
        <is>
          <t>C</t>
        </is>
      </c>
    </row>
    <row r="3178">
      <c r="B3178" t="inlineStr">
        <is>
          <t>Truck Stop Restaurants</t>
        </is>
      </c>
      <c r="C3178" t="inlineStr">
        <is>
          <t>580</t>
        </is>
      </c>
      <c r="D3178" t="inlineStr">
        <is>
          <t>13</t>
        </is>
      </c>
      <c r="E3178" t="inlineStr">
        <is>
          <t>16</t>
        </is>
      </c>
      <c r="F3178" t="inlineStr">
        <is>
          <t>13</t>
        </is>
      </c>
      <c r="G3178" t="inlineStr">
        <is>
          <t>13</t>
        </is>
      </c>
      <c r="H3178" t="inlineStr">
        <is>
          <t>C</t>
        </is>
      </c>
    </row>
    <row r="3179">
      <c r="B3179" t="inlineStr">
        <is>
          <t>Dining Atriums/Play Rooms</t>
        </is>
      </c>
      <c r="C3179" t="inlineStr">
        <is>
          <t>575</t>
        </is>
      </c>
      <c r="D3179" t="inlineStr">
        <is>
          <t>13</t>
        </is>
      </c>
      <c r="E3179" t="inlineStr">
        <is>
          <t>16</t>
        </is>
      </c>
      <c r="F3179" t="inlineStr">
        <is>
          <t>13</t>
        </is>
      </c>
      <c r="G3179" t="inlineStr">
        <is>
          <t>13</t>
        </is>
      </c>
      <c r="H3179" t="inlineStr">
        <is>
          <t>C</t>
        </is>
      </c>
    </row>
    <row r="3180">
      <c r="B3180" t="inlineStr">
        <is>
          <t>Restaurants – Fast Food</t>
        </is>
      </c>
      <c r="C3180" t="inlineStr">
        <is>
          <t>349</t>
        </is>
      </c>
      <c r="D3180" t="inlineStr">
        <is>
          <t>13</t>
        </is>
      </c>
      <c r="E3180" t="inlineStr">
        <is>
          <t>17</t>
        </is>
      </c>
      <c r="F3180" t="inlineStr">
        <is>
          <t>13</t>
        </is>
      </c>
      <c r="G3180" t="inlineStr">
        <is>
          <t>13</t>
        </is>
      </c>
      <c r="H3180" t="inlineStr">
        <is>
          <t>C</t>
        </is>
      </c>
    </row>
    <row r="3181">
      <c r="B3181" t="inlineStr">
        <is>
          <t>Snack Bars</t>
        </is>
      </c>
      <c r="C3181" t="inlineStr">
        <is>
          <t>529</t>
        </is>
      </c>
      <c r="D3181" t="inlineStr">
        <is>
          <t>13</t>
        </is>
      </c>
      <c r="E3181" t="inlineStr">
        <is>
          <t>18</t>
        </is>
      </c>
      <c r="F3181" t="inlineStr">
        <is>
          <t>13</t>
        </is>
      </c>
      <c r="G3181" t="inlineStr">
        <is>
          <t>13</t>
        </is>
      </c>
      <c r="H3181" t="inlineStr">
        <is>
          <t>C</t>
        </is>
      </c>
    </row>
    <row r="3182">
      <c r="B3182" t="inlineStr">
        <is>
          <t>Banquet Halls</t>
        </is>
      </c>
      <c r="C3182" t="inlineStr">
        <is>
          <t>718</t>
        </is>
      </c>
      <c r="D3182" t="inlineStr">
        <is>
          <t>13</t>
        </is>
      </c>
      <c r="E3182" t="inlineStr">
        <is>
          <t>19</t>
        </is>
      </c>
      <c r="F3182" t="inlineStr">
        <is>
          <t>13</t>
        </is>
      </c>
      <c r="G3182" t="inlineStr">
        <is>
          <t>13</t>
        </is>
      </c>
      <c r="H3182" t="inlineStr">
        <is>
          <t>C</t>
        </is>
      </c>
    </row>
    <row r="3183">
      <c r="B3183" t="inlineStr">
        <is>
          <t>Modular Restaurants – Diners</t>
        </is>
      </c>
      <c r="C3183" t="inlineStr">
        <is>
          <t>719</t>
        </is>
      </c>
      <c r="D3183" t="inlineStr">
        <is>
          <t>13</t>
        </is>
      </c>
      <c r="E3183" t="inlineStr">
        <is>
          <t>19</t>
        </is>
      </c>
      <c r="F3183" t="inlineStr">
        <is>
          <t>13</t>
        </is>
      </c>
      <c r="G3183" t="inlineStr">
        <is>
          <t>13</t>
        </is>
      </c>
      <c r="H3183" t="inlineStr">
        <is>
          <t>C</t>
        </is>
      </c>
    </row>
    <row r="3184">
      <c r="B3184" t="inlineStr">
        <is>
          <t>Supermarkets</t>
        </is>
      </c>
      <c r="C3184" t="inlineStr">
        <is>
          <t>446</t>
        </is>
      </c>
      <c r="D3184" t="inlineStr">
        <is>
          <t>13</t>
        </is>
      </c>
      <c r="E3184" t="inlineStr">
        <is>
          <t>20</t>
        </is>
      </c>
      <c r="F3184" t="inlineStr">
        <is>
          <t>13</t>
        </is>
      </c>
      <c r="G3184" t="inlineStr">
        <is>
          <t>13</t>
        </is>
      </c>
      <c r="H3184" t="inlineStr">
        <is>
          <t>C</t>
        </is>
      </c>
    </row>
    <row r="3185">
      <c r="B3185" t="inlineStr">
        <is>
          <t>Drug Stores</t>
        </is>
      </c>
      <c r="C3185" t="inlineStr">
        <is>
          <t>511</t>
        </is>
      </c>
      <c r="D3185" t="inlineStr">
        <is>
          <t>13</t>
        </is>
      </c>
      <c r="E3185" t="inlineStr">
        <is>
          <t>20</t>
        </is>
      </c>
      <c r="F3185" t="inlineStr">
        <is>
          <t>13</t>
        </is>
      </c>
      <c r="G3185" t="inlineStr">
        <is>
          <t>13</t>
        </is>
      </c>
      <c r="H3185" t="inlineStr">
        <is>
          <t>C</t>
        </is>
      </c>
    </row>
    <row r="3186">
      <c r="B3186" t="inlineStr">
        <is>
          <t>Markets</t>
        </is>
      </c>
      <c r="C3186" t="inlineStr">
        <is>
          <t>340</t>
        </is>
      </c>
      <c r="D3186" t="inlineStr">
        <is>
          <t>13</t>
        </is>
      </c>
      <c r="E3186" t="inlineStr">
        <is>
          <t>21</t>
        </is>
      </c>
      <c r="F3186" t="inlineStr">
        <is>
          <t>13</t>
        </is>
      </c>
      <c r="G3186" t="inlineStr">
        <is>
          <t>13</t>
        </is>
      </c>
      <c r="H3186" t="inlineStr">
        <is>
          <t>C</t>
        </is>
      </c>
    </row>
    <row r="3187">
      <c r="B3187" t="inlineStr">
        <is>
          <t>Florist Shops</t>
        </is>
      </c>
      <c r="C3187" t="inlineStr">
        <is>
          <t>532</t>
        </is>
      </c>
      <c r="D3187" t="inlineStr">
        <is>
          <t>13</t>
        </is>
      </c>
      <c r="E3187" t="inlineStr">
        <is>
          <t>21</t>
        </is>
      </c>
      <c r="F3187" t="inlineStr">
        <is>
          <t>13</t>
        </is>
      </c>
      <c r="G3187" t="inlineStr">
        <is>
          <t>13</t>
        </is>
      </c>
      <c r="H3187" t="inlineStr">
        <is>
          <t>C</t>
        </is>
      </c>
    </row>
    <row r="3188">
      <c r="B3188" t="inlineStr">
        <is>
          <t>Convenience Stores</t>
        </is>
      </c>
      <c r="C3188" t="inlineStr">
        <is>
          <t>419</t>
        </is>
      </c>
      <c r="D3188" t="inlineStr">
        <is>
          <t>13</t>
        </is>
      </c>
      <c r="E3188" t="inlineStr">
        <is>
          <t>22</t>
        </is>
      </c>
      <c r="F3188" t="inlineStr">
        <is>
          <t>13</t>
        </is>
      </c>
      <c r="G3188" t="inlineStr">
        <is>
          <t>13</t>
        </is>
      </c>
      <c r="H3188" t="inlineStr">
        <is>
          <t>C</t>
        </is>
      </c>
    </row>
    <row r="3189">
      <c r="B3189" t="inlineStr">
        <is>
          <t>Mini-Mart Convenience Stores</t>
        </is>
      </c>
      <c r="C3189" t="inlineStr">
        <is>
          <t>531</t>
        </is>
      </c>
      <c r="D3189" t="inlineStr">
        <is>
          <t>13</t>
        </is>
      </c>
      <c r="E3189" t="inlineStr">
        <is>
          <t>22</t>
        </is>
      </c>
      <c r="F3189" t="inlineStr">
        <is>
          <t>13</t>
        </is>
      </c>
      <c r="G3189" t="inlineStr">
        <is>
          <t>13</t>
        </is>
      </c>
      <c r="H3189" t="inlineStr">
        <is>
          <t>C</t>
        </is>
      </c>
    </row>
    <row r="3190">
      <c r="B3190" t="inlineStr">
        <is>
          <t>Roadside Markets</t>
        </is>
      </c>
      <c r="C3190" t="inlineStr">
        <is>
          <t>586</t>
        </is>
      </c>
      <c r="D3190" t="inlineStr">
        <is>
          <t>13</t>
        </is>
      </c>
      <c r="E3190" t="inlineStr">
        <is>
          <t>23</t>
        </is>
      </c>
      <c r="F3190" t="inlineStr">
        <is>
          <t>13</t>
        </is>
      </c>
      <c r="G3190" t="inlineStr">
        <is>
          <t>13</t>
        </is>
      </c>
      <c r="H3190" t="inlineStr">
        <is>
          <t>C</t>
        </is>
      </c>
    </row>
    <row r="3191">
      <c r="B3191" t="inlineStr">
        <is>
          <t>Luxury Boutiques</t>
        </is>
      </c>
      <c r="C3191" t="inlineStr">
        <is>
          <t>512</t>
        </is>
      </c>
      <c r="D3191" t="inlineStr">
        <is>
          <t>13</t>
        </is>
      </c>
      <c r="E3191" t="inlineStr">
        <is>
          <t>24</t>
        </is>
      </c>
      <c r="F3191" t="inlineStr">
        <is>
          <t>13</t>
        </is>
      </c>
      <c r="G3191" t="inlineStr">
        <is>
          <t>13</t>
        </is>
      </c>
      <c r="H3191" t="inlineStr">
        <is>
          <t>C</t>
        </is>
      </c>
    </row>
    <row r="3192">
      <c r="B3192" t="inlineStr">
        <is>
          <t>Winery (Tasting – Display) Shops</t>
        </is>
      </c>
      <c r="C3192" t="inlineStr">
        <is>
          <t>127</t>
        </is>
      </c>
      <c r="D3192" t="inlineStr">
        <is>
          <t>13</t>
        </is>
      </c>
      <c r="E3192" t="inlineStr">
        <is>
          <t>24</t>
        </is>
      </c>
      <c r="F3192" t="inlineStr">
        <is>
          <t>13</t>
        </is>
      </c>
      <c r="G3192" t="inlineStr">
        <is>
          <t>13</t>
        </is>
      </c>
      <c r="H3192" t="inlineStr">
        <is>
          <t>C</t>
        </is>
      </c>
    </row>
    <row r="3193">
      <c r="B3193" t="inlineStr">
        <is>
          <t>Barber Shops/Beauty Salons</t>
        </is>
      </c>
      <c r="C3193" t="inlineStr">
        <is>
          <t>384</t>
        </is>
      </c>
      <c r="D3193" t="inlineStr">
        <is>
          <t>13</t>
        </is>
      </c>
      <c r="E3193" t="inlineStr">
        <is>
          <t>25</t>
        </is>
      </c>
      <c r="F3193" t="inlineStr">
        <is>
          <t>13</t>
        </is>
      </c>
      <c r="G3193" t="inlineStr">
        <is>
          <t>13</t>
        </is>
      </c>
      <c r="H3193" t="inlineStr">
        <is>
          <t>C</t>
        </is>
      </c>
    </row>
    <row r="3194">
      <c r="B3194" t="inlineStr">
        <is>
          <t>Laundromats</t>
        </is>
      </c>
      <c r="C3194" t="inlineStr">
        <is>
          <t>336</t>
        </is>
      </c>
      <c r="D3194" t="inlineStr">
        <is>
          <t>13</t>
        </is>
      </c>
      <c r="E3194" t="inlineStr">
        <is>
          <t>25</t>
        </is>
      </c>
      <c r="F3194" t="inlineStr">
        <is>
          <t>13</t>
        </is>
      </c>
      <c r="G3194" t="inlineStr">
        <is>
          <t>13</t>
        </is>
      </c>
      <c r="H3194" t="inlineStr">
        <is>
          <t>C</t>
        </is>
      </c>
    </row>
    <row r="3195">
      <c r="B3195" t="inlineStr">
        <is>
          <t>Laundry/Dry Cleaning</t>
        </is>
      </c>
      <c r="C3195" t="inlineStr">
        <is>
          <t>499</t>
        </is>
      </c>
      <c r="D3195" t="inlineStr">
        <is>
          <t>13</t>
        </is>
      </c>
      <c r="E3195" t="inlineStr">
        <is>
          <t>25</t>
        </is>
      </c>
      <c r="F3195" t="inlineStr">
        <is>
          <t>13</t>
        </is>
      </c>
      <c r="G3195" t="inlineStr">
        <is>
          <t>13</t>
        </is>
      </c>
      <c r="H3195" t="inlineStr">
        <is>
          <t>C</t>
        </is>
      </c>
    </row>
    <row r="3196">
      <c r="B3196" t="inlineStr">
        <is>
          <t>Dairy Sales</t>
        </is>
      </c>
      <c r="C3196" t="inlineStr">
        <is>
          <t>317</t>
        </is>
      </c>
      <c r="D3196" t="inlineStr">
        <is>
          <t>13</t>
        </is>
      </c>
      <c r="E3196" t="inlineStr">
        <is>
          <t>25</t>
        </is>
      </c>
      <c r="F3196" t="inlineStr">
        <is>
          <t>13</t>
        </is>
      </c>
      <c r="G3196" t="inlineStr">
        <is>
          <t>13</t>
        </is>
      </c>
      <c r="H3196" t="inlineStr">
        <is>
          <t>C</t>
        </is>
      </c>
    </row>
    <row r="3197">
      <c r="B3197" t="inlineStr">
        <is>
          <t>Retail Stores</t>
        </is>
      </c>
      <c r="C3197" t="inlineStr">
        <is>
          <t>353</t>
        </is>
      </c>
      <c r="D3197" t="inlineStr">
        <is>
          <t>13</t>
        </is>
      </c>
      <c r="E3197" t="inlineStr">
        <is>
          <t>26</t>
        </is>
      </c>
      <c r="F3197" t="inlineStr">
        <is>
          <t>13</t>
        </is>
      </c>
      <c r="G3197" t="inlineStr">
        <is>
          <t>13</t>
        </is>
      </c>
      <c r="H3197" t="inlineStr">
        <is>
          <t>C</t>
        </is>
      </c>
    </row>
    <row r="3198">
      <c r="B3198" t="inlineStr">
        <is>
          <t>Department Stores</t>
        </is>
      </c>
      <c r="C3198" t="inlineStr">
        <is>
          <t>318</t>
        </is>
      </c>
      <c r="D3198" t="inlineStr">
        <is>
          <t>13</t>
        </is>
      </c>
      <c r="E3198" t="inlineStr">
        <is>
          <t>27</t>
        </is>
      </c>
      <c r="F3198" t="inlineStr">
        <is>
          <t>13</t>
        </is>
      </c>
      <c r="G3198" t="inlineStr">
        <is>
          <t>13</t>
        </is>
      </c>
      <c r="H3198" t="inlineStr">
        <is>
          <t>C</t>
        </is>
      </c>
    </row>
    <row r="3199">
      <c r="B3199" t="inlineStr">
        <is>
          <t>Mall Anchor (Department/Big Box) Stores</t>
        </is>
      </c>
      <c r="C3199" t="inlineStr">
        <is>
          <t>700</t>
        </is>
      </c>
      <c r="D3199" t="inlineStr">
        <is>
          <t>13</t>
        </is>
      </c>
      <c r="E3199" t="inlineStr">
        <is>
          <t>27</t>
        </is>
      </c>
      <c r="F3199" t="inlineStr">
        <is>
          <t>13</t>
        </is>
      </c>
      <c r="G3199" t="inlineStr">
        <is>
          <t>13</t>
        </is>
      </c>
      <c r="H3199" t="inlineStr">
        <is>
          <t>C</t>
        </is>
      </c>
    </row>
    <row r="3200">
      <c r="B3200" t="inlineStr">
        <is>
          <t>Discount Stores</t>
        </is>
      </c>
      <c r="C3200" t="inlineStr">
        <is>
          <t>319</t>
        </is>
      </c>
      <c r="D3200" t="inlineStr">
        <is>
          <t>13</t>
        </is>
      </c>
      <c r="E3200" t="inlineStr">
        <is>
          <t>28</t>
        </is>
      </c>
      <c r="F3200" t="inlineStr">
        <is>
          <t>13</t>
        </is>
      </c>
      <c r="G3200" t="inlineStr">
        <is>
          <t>13</t>
        </is>
      </c>
      <c r="H3200" t="inlineStr">
        <is>
          <t>C</t>
        </is>
      </c>
    </row>
    <row r="3201">
      <c r="B3201" t="inlineStr">
        <is>
          <t>Warehouse Discount Stores</t>
        </is>
      </c>
      <c r="C3201" t="inlineStr">
        <is>
          <t>458</t>
        </is>
      </c>
      <c r="D3201" t="inlineStr">
        <is>
          <t>13</t>
        </is>
      </c>
      <c r="E3201" t="inlineStr">
        <is>
          <t>28</t>
        </is>
      </c>
      <c r="F3201" t="inlineStr">
        <is>
          <t>13</t>
        </is>
      </c>
      <c r="G3201" t="inlineStr">
        <is>
          <t>13</t>
        </is>
      </c>
      <c r="H3201" t="inlineStr">
        <is>
          <t>C</t>
        </is>
      </c>
    </row>
    <row r="3202">
      <c r="B3202" t="inlineStr">
        <is>
          <t>Warehouse Showroom Stores</t>
        </is>
      </c>
      <c r="C3202" t="inlineStr">
        <is>
          <t>534</t>
        </is>
      </c>
      <c r="D3202" t="inlineStr">
        <is>
          <t>13</t>
        </is>
      </c>
      <c r="E3202" t="inlineStr">
        <is>
          <t>29</t>
        </is>
      </c>
      <c r="F3202" t="inlineStr">
        <is>
          <t>13</t>
        </is>
      </c>
      <c r="G3202" t="inlineStr">
        <is>
          <t>13</t>
        </is>
      </c>
      <c r="H3202" t="inlineStr">
        <is>
          <t>C</t>
        </is>
      </c>
    </row>
    <row r="3203">
      <c r="B3203" t="inlineStr">
        <is>
          <t>Warehouse Food Stores</t>
        </is>
      </c>
      <c r="C3203" t="inlineStr">
        <is>
          <t>533</t>
        </is>
      </c>
      <c r="D3203" t="inlineStr">
        <is>
          <t>13</t>
        </is>
      </c>
      <c r="E3203" t="inlineStr">
        <is>
          <t>29</t>
        </is>
      </c>
      <c r="F3203" t="inlineStr">
        <is>
          <t>13</t>
        </is>
      </c>
      <c r="G3203" t="inlineStr">
        <is>
          <t>13</t>
        </is>
      </c>
      <c r="H3203" t="inlineStr">
        <is>
          <t>C</t>
        </is>
      </c>
    </row>
    <row r="3204">
      <c r="B3204" t="inlineStr">
        <is>
          <t>Mega Warehouse Stores</t>
        </is>
      </c>
      <c r="C3204" t="inlineStr">
        <is>
          <t>720</t>
        </is>
      </c>
      <c r="D3204" t="inlineStr">
        <is>
          <t>13</t>
        </is>
      </c>
      <c r="E3204" t="inlineStr">
        <is>
          <t>30</t>
        </is>
      </c>
      <c r="F3204" t="inlineStr">
        <is>
          <t>13</t>
        </is>
      </c>
      <c r="G3204" t="inlineStr">
        <is>
          <t>13</t>
        </is>
      </c>
      <c r="H3204" t="inlineStr">
        <is>
          <t>C</t>
        </is>
      </c>
    </row>
    <row r="3205">
      <c r="B3205" t="inlineStr">
        <is>
          <t>Neighborhood Shopping Centers</t>
        </is>
      </c>
      <c r="C3205" t="inlineStr">
        <is>
          <t>412</t>
        </is>
      </c>
      <c r="D3205" t="inlineStr">
        <is>
          <t>13</t>
        </is>
      </c>
      <c r="E3205" t="inlineStr">
        <is>
          <t>33</t>
        </is>
      </c>
      <c r="F3205" t="inlineStr">
        <is>
          <t>13</t>
        </is>
      </c>
      <c r="G3205" t="inlineStr">
        <is>
          <t>13</t>
        </is>
      </c>
      <c r="H3205" t="inlineStr">
        <is>
          <t>C</t>
        </is>
      </c>
    </row>
    <row r="3206">
      <c r="B3206" t="inlineStr">
        <is>
          <t>Mixed Retail Centers with Residential Units</t>
        </is>
      </c>
      <c r="C3206" t="inlineStr">
        <is>
          <t>459</t>
        </is>
      </c>
      <c r="D3206" t="inlineStr">
        <is>
          <t>13</t>
        </is>
      </c>
      <c r="E3206" t="inlineStr">
        <is>
          <t>33</t>
        </is>
      </c>
      <c r="F3206" t="inlineStr">
        <is>
          <t>13</t>
        </is>
      </c>
      <c r="G3206" t="inlineStr">
        <is>
          <t>13</t>
        </is>
      </c>
      <c r="H3206" t="inlineStr">
        <is>
          <t>C</t>
        </is>
      </c>
    </row>
    <row r="3207">
      <c r="B3207" t="inlineStr">
        <is>
          <t>Mixed Retail Centers with Office Units</t>
        </is>
      </c>
      <c r="C3207" t="inlineStr">
        <is>
          <t>597</t>
        </is>
      </c>
      <c r="D3207" t="inlineStr">
        <is>
          <t>13</t>
        </is>
      </c>
      <c r="E3207" t="inlineStr">
        <is>
          <t>34</t>
        </is>
      </c>
      <c r="F3207" t="inlineStr">
        <is>
          <t>13</t>
        </is>
      </c>
      <c r="G3207" t="inlineStr">
        <is>
          <t>13</t>
        </is>
      </c>
      <c r="H3207" t="inlineStr">
        <is>
          <t>C</t>
        </is>
      </c>
    </row>
    <row r="3208">
      <c r="B3208" t="inlineStr">
        <is>
          <t>Community Shopping Centers</t>
        </is>
      </c>
      <c r="C3208" t="inlineStr">
        <is>
          <t>413</t>
        </is>
      </c>
      <c r="D3208" t="inlineStr">
        <is>
          <t>13</t>
        </is>
      </c>
      <c r="E3208" t="inlineStr">
        <is>
          <t>34</t>
        </is>
      </c>
      <c r="F3208" t="inlineStr">
        <is>
          <t>13</t>
        </is>
      </c>
      <c r="G3208" t="inlineStr">
        <is>
          <t>13</t>
        </is>
      </c>
      <c r="H3208" t="inlineStr">
        <is>
          <t>C</t>
        </is>
      </c>
    </row>
    <row r="3209">
      <c r="B3209" t="inlineStr">
        <is>
          <t>Regional Discount Shopping Centers</t>
        </is>
      </c>
      <c r="C3209" t="inlineStr">
        <is>
          <t>513</t>
        </is>
      </c>
      <c r="D3209" t="inlineStr">
        <is>
          <t>13</t>
        </is>
      </c>
      <c r="E3209" t="inlineStr">
        <is>
          <t>35</t>
        </is>
      </c>
      <c r="F3209" t="inlineStr">
        <is>
          <t>13</t>
        </is>
      </c>
      <c r="G3209" t="inlineStr">
        <is>
          <t>13</t>
        </is>
      </c>
      <c r="H3209" t="inlineStr">
        <is>
          <t>C</t>
        </is>
      </c>
    </row>
    <row r="3210">
      <c r="B3210" t="inlineStr">
        <is>
          <t>Regional Shopping Centers</t>
        </is>
      </c>
      <c r="C3210" t="inlineStr">
        <is>
          <t>414</t>
        </is>
      </c>
      <c r="D3210" t="inlineStr">
        <is>
          <t>13</t>
        </is>
      </c>
      <c r="E3210" t="inlineStr">
        <is>
          <t>35</t>
        </is>
      </c>
      <c r="F3210" t="inlineStr">
        <is>
          <t>13</t>
        </is>
      </c>
      <c r="G3210" t="inlineStr">
        <is>
          <t>13</t>
        </is>
      </c>
      <c r="H3210" t="inlineStr">
        <is>
          <t>C</t>
        </is>
      </c>
    </row>
    <row r="3211">
      <c r="B3211" t="inlineStr">
        <is>
          <t>Regional Shopping Center Shell Buildings</t>
        </is>
      </c>
      <c r="C3211" t="inlineStr">
        <is>
          <t>462</t>
        </is>
      </c>
      <c r="D3211" t="inlineStr">
        <is>
          <t>13</t>
        </is>
      </c>
      <c r="E3211" t="inlineStr">
        <is>
          <t>37</t>
        </is>
      </c>
      <c r="F3211" t="inlineStr">
        <is>
          <t>13</t>
        </is>
      </c>
      <c r="G3211" t="inlineStr">
        <is>
          <t>13</t>
        </is>
      </c>
      <c r="H3211" t="inlineStr">
        <is>
          <t>C</t>
        </is>
      </c>
    </row>
    <row r="3212">
      <c r="B3212" t="inlineStr">
        <is>
          <t>Community Shopping Center Shell Buildings</t>
        </is>
      </c>
      <c r="C3212" t="inlineStr">
        <is>
          <t>461</t>
        </is>
      </c>
      <c r="D3212" t="inlineStr">
        <is>
          <t>13</t>
        </is>
      </c>
      <c r="E3212" t="inlineStr">
        <is>
          <t>37</t>
        </is>
      </c>
      <c r="F3212" t="inlineStr">
        <is>
          <t>13</t>
        </is>
      </c>
      <c r="G3212" t="inlineStr">
        <is>
          <t>13</t>
        </is>
      </c>
      <c r="H3212" t="inlineStr">
        <is>
          <t>C</t>
        </is>
      </c>
    </row>
    <row r="3213">
      <c r="B3213" t="inlineStr">
        <is>
          <t>Neighborhood Shopping Center Shell Buildings</t>
        </is>
      </c>
      <c r="C3213" t="inlineStr">
        <is>
          <t>460</t>
        </is>
      </c>
      <c r="D3213" t="inlineStr">
        <is>
          <t>13</t>
        </is>
      </c>
      <c r="E3213" t="inlineStr">
        <is>
          <t>38</t>
        </is>
      </c>
      <c r="F3213" t="inlineStr">
        <is>
          <t>13</t>
        </is>
      </c>
      <c r="G3213" t="inlineStr">
        <is>
          <t>13</t>
        </is>
      </c>
      <c r="H3213" t="inlineStr">
        <is>
          <t>C</t>
        </is>
      </c>
    </row>
    <row r="3214">
      <c r="B3214" t="inlineStr">
        <is>
          <t>Lofts</t>
        </is>
      </c>
      <c r="C3214" t="inlineStr">
        <is>
          <t>338</t>
        </is>
      </c>
      <c r="D3214" t="inlineStr">
        <is>
          <t>14</t>
        </is>
      </c>
      <c r="E3214" t="inlineStr">
        <is>
          <t>13</t>
        </is>
      </c>
      <c r="F3214" t="inlineStr">
        <is>
          <t>14</t>
        </is>
      </c>
      <c r="G3214" t="inlineStr">
        <is>
          <t>14</t>
        </is>
      </c>
      <c r="H3214" t="inlineStr">
        <is>
          <t>C</t>
        </is>
      </c>
    </row>
    <row r="3215">
      <c r="B3215" t="inlineStr">
        <is>
          <t>Industrial Flex (Mall) Buildings</t>
        </is>
      </c>
      <c r="C3215" t="inlineStr">
        <is>
          <t>453</t>
        </is>
      </c>
      <c r="D3215" t="inlineStr">
        <is>
          <t>14</t>
        </is>
      </c>
      <c r="E3215" t="inlineStr">
        <is>
          <t>13</t>
        </is>
      </c>
      <c r="F3215" t="inlineStr">
        <is>
          <t>14</t>
        </is>
      </c>
      <c r="G3215" t="inlineStr">
        <is>
          <t>14</t>
        </is>
      </c>
      <c r="H3215" t="inlineStr">
        <is>
          <t>C</t>
        </is>
      </c>
    </row>
    <row r="3216">
      <c r="B3216" t="inlineStr">
        <is>
          <t>Industrials, Light Manufacturing</t>
        </is>
      </c>
      <c r="C3216" t="inlineStr">
        <is>
          <t>494</t>
        </is>
      </c>
      <c r="D3216" t="inlineStr">
        <is>
          <t>14</t>
        </is>
      </c>
      <c r="E3216" t="inlineStr">
        <is>
          <t>14</t>
        </is>
      </c>
      <c r="F3216" t="inlineStr">
        <is>
          <t>14</t>
        </is>
      </c>
      <c r="G3216" t="inlineStr">
        <is>
          <t>14</t>
        </is>
      </c>
      <c r="H3216" t="inlineStr">
        <is>
          <t>C</t>
        </is>
      </c>
    </row>
    <row r="3217">
      <c r="B3217" t="inlineStr">
        <is>
          <t>Industrials, Heavy (Process) Manufacturing</t>
        </is>
      </c>
      <c r="C3217" t="inlineStr">
        <is>
          <t>495</t>
        </is>
      </c>
      <c r="D3217" t="inlineStr">
        <is>
          <t>14</t>
        </is>
      </c>
      <c r="E3217" t="inlineStr">
        <is>
          <t>15</t>
        </is>
      </c>
      <c r="F3217" t="inlineStr">
        <is>
          <t>14</t>
        </is>
      </c>
      <c r="G3217" t="inlineStr">
        <is>
          <t>14</t>
        </is>
      </c>
      <c r="H3217" t="inlineStr">
        <is>
          <t>C</t>
        </is>
      </c>
    </row>
    <row r="3218">
      <c r="B3218" t="inlineStr">
        <is>
          <t>Industrial, Engineering (R&amp;D) Buildings</t>
        </is>
      </c>
      <c r="C3218" t="inlineStr">
        <is>
          <t>392</t>
        </is>
      </c>
      <c r="D3218" t="inlineStr">
        <is>
          <t>14</t>
        </is>
      </c>
      <c r="E3218" t="inlineStr">
        <is>
          <t>16</t>
        </is>
      </c>
      <c r="F3218" t="inlineStr">
        <is>
          <t>14</t>
        </is>
      </c>
      <c r="G3218" t="inlineStr">
        <is>
          <t>14</t>
        </is>
      </c>
      <c r="H3218" t="inlineStr">
        <is>
          <t>C</t>
        </is>
      </c>
    </row>
    <row r="3219">
      <c r="B3219" t="inlineStr">
        <is>
          <t>Laboratory Buildings</t>
        </is>
      </c>
      <c r="C3219" t="inlineStr">
        <is>
          <t>496</t>
        </is>
      </c>
      <c r="D3219" t="inlineStr">
        <is>
          <t>14</t>
        </is>
      </c>
      <c r="E3219" t="inlineStr">
        <is>
          <t>17</t>
        </is>
      </c>
      <c r="F3219" t="inlineStr">
        <is>
          <t>14</t>
        </is>
      </c>
      <c r="G3219" t="inlineStr">
        <is>
          <t>14</t>
        </is>
      </c>
      <c r="H3219" t="inlineStr">
        <is>
          <t>C</t>
        </is>
      </c>
    </row>
    <row r="3220">
      <c r="B3220" t="inlineStr">
        <is>
          <t>Computer (Data) Centers</t>
        </is>
      </c>
      <c r="C3220" t="inlineStr">
        <is>
          <t>497</t>
        </is>
      </c>
      <c r="D3220" t="inlineStr">
        <is>
          <t>14</t>
        </is>
      </c>
      <c r="E3220" t="inlineStr">
        <is>
          <t>18</t>
        </is>
      </c>
      <c r="F3220" t="inlineStr">
        <is>
          <t>14</t>
        </is>
      </c>
      <c r="G3220" t="inlineStr">
        <is>
          <t>14</t>
        </is>
      </c>
      <c r="H3220" t="inlineStr">
        <is>
          <t>C</t>
        </is>
      </c>
    </row>
    <row r="3221">
      <c r="B3221" t="inlineStr">
        <is>
          <t>Broadcasting Facilities</t>
        </is>
      </c>
      <c r="C3221" t="inlineStr">
        <is>
          <t>498</t>
        </is>
      </c>
      <c r="D3221" t="inlineStr">
        <is>
          <t>14</t>
        </is>
      </c>
      <c r="E3221" t="inlineStr">
        <is>
          <t>19</t>
        </is>
      </c>
      <c r="F3221" t="inlineStr">
        <is>
          <t>14</t>
        </is>
      </c>
      <c r="G3221" t="inlineStr">
        <is>
          <t>14</t>
        </is>
      </c>
      <c r="H3221" t="inlineStr">
        <is>
          <t>C</t>
        </is>
      </c>
    </row>
    <row r="3222">
      <c r="B3222" t="inlineStr">
        <is>
          <t>Passenger Terminals</t>
        </is>
      </c>
      <c r="C3222" t="inlineStr">
        <is>
          <t>571</t>
        </is>
      </c>
      <c r="D3222" t="inlineStr">
        <is>
          <t>14</t>
        </is>
      </c>
      <c r="E3222" t="inlineStr">
        <is>
          <t>20</t>
        </is>
      </c>
      <c r="F3222" t="inlineStr">
        <is>
          <t>14</t>
        </is>
      </c>
      <c r="G3222" t="inlineStr">
        <is>
          <t>14</t>
        </is>
      </c>
      <c r="H3222" t="inlineStr">
        <is>
          <t>C</t>
        </is>
      </c>
    </row>
    <row r="3223">
      <c r="B3223" t="inlineStr">
        <is>
          <t>Main Post Offices</t>
        </is>
      </c>
      <c r="C3223" t="inlineStr">
        <is>
          <t>581</t>
        </is>
      </c>
      <c r="D3223" t="inlineStr">
        <is>
          <t>14</t>
        </is>
      </c>
      <c r="E3223" t="inlineStr">
        <is>
          <t>21</t>
        </is>
      </c>
      <c r="F3223" t="inlineStr">
        <is>
          <t>14</t>
        </is>
      </c>
      <c r="G3223" t="inlineStr">
        <is>
          <t>14</t>
        </is>
      </c>
      <c r="H3223" t="inlineStr">
        <is>
          <t>C</t>
        </is>
      </c>
    </row>
    <row r="3224">
      <c r="B3224" t="inlineStr">
        <is>
          <t>Mail - Processing Facilities</t>
        </is>
      </c>
      <c r="C3224" t="inlineStr">
        <is>
          <t>583</t>
        </is>
      </c>
      <c r="D3224" t="inlineStr">
        <is>
          <t>14</t>
        </is>
      </c>
      <c r="E3224" t="inlineStr">
        <is>
          <t>21</t>
        </is>
      </c>
      <c r="F3224" t="inlineStr">
        <is>
          <t>14</t>
        </is>
      </c>
      <c r="G3224" t="inlineStr">
        <is>
          <t>14</t>
        </is>
      </c>
      <c r="H3224" t="inlineStr">
        <is>
          <t>C</t>
        </is>
      </c>
    </row>
    <row r="3225">
      <c r="B3225" t="inlineStr">
        <is>
          <t>Branch Post Offices</t>
        </is>
      </c>
      <c r="C3225" t="inlineStr">
        <is>
          <t>582</t>
        </is>
      </c>
      <c r="D3225" t="inlineStr">
        <is>
          <t>14</t>
        </is>
      </c>
      <c r="E3225" t="inlineStr">
        <is>
          <t>22</t>
        </is>
      </c>
      <c r="F3225" t="inlineStr">
        <is>
          <t>14</t>
        </is>
      </c>
      <c r="G3225" t="inlineStr">
        <is>
          <t>14</t>
        </is>
      </c>
      <c r="H3225" t="inlineStr">
        <is>
          <t>C</t>
        </is>
      </c>
    </row>
    <row r="3226">
      <c r="B3226" t="inlineStr">
        <is>
          <t>Armories</t>
        </is>
      </c>
      <c r="C3226" t="inlineStr">
        <is>
          <t>301</t>
        </is>
      </c>
      <c r="D3226" t="inlineStr">
        <is>
          <t>14</t>
        </is>
      </c>
      <c r="E3226" t="inlineStr">
        <is>
          <t>22</t>
        </is>
      </c>
      <c r="F3226" t="inlineStr">
        <is>
          <t>14</t>
        </is>
      </c>
      <c r="G3226" t="inlineStr">
        <is>
          <t>14</t>
        </is>
      </c>
      <c r="H3226" t="inlineStr">
        <is>
          <t>C</t>
        </is>
      </c>
    </row>
    <row r="3227">
      <c r="B3227" t="inlineStr">
        <is>
          <t>Distribution Warehouses</t>
        </is>
      </c>
      <c r="C3227" t="inlineStr">
        <is>
          <t>407</t>
        </is>
      </c>
      <c r="D3227" t="inlineStr">
        <is>
          <t>14</t>
        </is>
      </c>
      <c r="E3227" t="inlineStr">
        <is>
          <t>23</t>
        </is>
      </c>
      <c r="F3227" t="inlineStr">
        <is>
          <t>14</t>
        </is>
      </c>
      <c r="G3227" t="inlineStr">
        <is>
          <t>14</t>
        </is>
      </c>
      <c r="H3227" t="inlineStr">
        <is>
          <t>C</t>
        </is>
      </c>
    </row>
    <row r="3228">
      <c r="B3228" t="inlineStr">
        <is>
          <t>Transit Warehouses</t>
        </is>
      </c>
      <c r="C3228" t="inlineStr">
        <is>
          <t>387</t>
        </is>
      </c>
      <c r="D3228" t="inlineStr">
        <is>
          <t>14</t>
        </is>
      </c>
      <c r="E3228" t="inlineStr">
        <is>
          <t>23</t>
        </is>
      </c>
      <c r="F3228" t="inlineStr">
        <is>
          <t>14</t>
        </is>
      </c>
      <c r="G3228" t="inlineStr">
        <is>
          <t>14</t>
        </is>
      </c>
      <c r="H3228" t="inlineStr">
        <is>
          <t>C</t>
        </is>
      </c>
    </row>
    <row r="3229">
      <c r="B3229" t="inlineStr">
        <is>
          <t>Cold Storage Facilities</t>
        </is>
      </c>
      <c r="C3229" t="inlineStr">
        <is>
          <t>447</t>
        </is>
      </c>
      <c r="D3229" t="inlineStr">
        <is>
          <t>14</t>
        </is>
      </c>
      <c r="E3229" t="inlineStr">
        <is>
          <t>24</t>
        </is>
      </c>
      <c r="F3229" t="inlineStr">
        <is>
          <t>14</t>
        </is>
      </c>
      <c r="G3229" t="inlineStr">
        <is>
          <t>14</t>
        </is>
      </c>
      <c r="H3229" t="inlineStr">
        <is>
          <t>C</t>
        </is>
      </c>
    </row>
    <row r="3230">
      <c r="B3230" t="inlineStr">
        <is>
          <t>Creameries</t>
        </is>
      </c>
      <c r="C3230" t="inlineStr">
        <is>
          <t>315</t>
        </is>
      </c>
      <c r="D3230" t="inlineStr">
        <is>
          <t>14</t>
        </is>
      </c>
      <c r="E3230" t="inlineStr">
        <is>
          <t>25</t>
        </is>
      </c>
      <c r="F3230" t="inlineStr">
        <is>
          <t>14</t>
        </is>
      </c>
      <c r="G3230" t="inlineStr">
        <is>
          <t>14</t>
        </is>
      </c>
      <c r="H3230" t="inlineStr">
        <is>
          <t>C</t>
        </is>
      </c>
    </row>
    <row r="3231">
      <c r="B3231" t="inlineStr">
        <is>
          <t>Mega (Storage/Distribution) Warehouses</t>
        </is>
      </c>
      <c r="C3231" t="inlineStr">
        <is>
          <t>584</t>
        </is>
      </c>
      <c r="D3231" t="inlineStr">
        <is>
          <t>14</t>
        </is>
      </c>
      <c r="E3231" t="inlineStr">
        <is>
          <t>25</t>
        </is>
      </c>
      <c r="F3231" t="inlineStr">
        <is>
          <t>14</t>
        </is>
      </c>
      <c r="G3231" t="inlineStr">
        <is>
          <t>14</t>
        </is>
      </c>
      <c r="H3231" t="inlineStr">
        <is>
          <t>C</t>
        </is>
      </c>
    </row>
    <row r="3232">
      <c r="B3232" t="inlineStr">
        <is>
          <t>Storage Warehouses</t>
        </is>
      </c>
      <c r="C3232" t="inlineStr">
        <is>
          <t>406</t>
        </is>
      </c>
      <c r="D3232" t="inlineStr">
        <is>
          <t>14</t>
        </is>
      </c>
      <c r="E3232" t="inlineStr">
        <is>
          <t>26</t>
        </is>
      </c>
      <c r="F3232" t="inlineStr">
        <is>
          <t>14</t>
        </is>
      </c>
      <c r="G3232" t="inlineStr">
        <is>
          <t>14</t>
        </is>
      </c>
      <c r="H3232" t="inlineStr">
        <is>
          <t>C</t>
        </is>
      </c>
    </row>
    <row r="3233">
      <c r="B3233" t="inlineStr">
        <is>
          <t>Mini-Warehouses / Self-Storage</t>
        </is>
      </c>
      <c r="C3233" t="inlineStr">
        <is>
          <t>386</t>
        </is>
      </c>
      <c r="D3233" t="inlineStr">
        <is>
          <t>14</t>
        </is>
      </c>
      <c r="E3233" t="inlineStr">
        <is>
          <t>28</t>
        </is>
      </c>
      <c r="F3233" t="inlineStr">
        <is>
          <t>14</t>
        </is>
      </c>
      <c r="G3233" t="inlineStr">
        <is>
          <t>14</t>
        </is>
      </c>
      <c r="H3233" t="inlineStr">
        <is>
          <t>C</t>
        </is>
      </c>
    </row>
    <row r="3234">
      <c r="B3234" t="inlineStr">
        <is>
          <t>Mini-Warehouses, High-Rise</t>
        </is>
      </c>
      <c r="C3234" t="inlineStr">
        <is>
          <t>525</t>
        </is>
      </c>
      <c r="D3234" t="inlineStr">
        <is>
          <t>14</t>
        </is>
      </c>
      <c r="E3234" t="inlineStr">
        <is>
          <t>28</t>
        </is>
      </c>
      <c r="F3234" t="inlineStr">
        <is>
          <t>14</t>
        </is>
      </c>
      <c r="G3234" t="inlineStr">
        <is>
          <t>14</t>
        </is>
      </c>
      <c r="H3234" t="inlineStr">
        <is>
          <t>C</t>
        </is>
      </c>
    </row>
    <row r="3235">
      <c r="B3235" t="inlineStr">
        <is>
          <t>Maintenance Hangars</t>
        </is>
      </c>
      <c r="C3235" t="inlineStr">
        <is>
          <t>329</t>
        </is>
      </c>
      <c r="D3235" t="inlineStr">
        <is>
          <t>14</t>
        </is>
      </c>
      <c r="E3235" t="inlineStr">
        <is>
          <t>29</t>
        </is>
      </c>
      <c r="F3235" t="inlineStr">
        <is>
          <t>14</t>
        </is>
      </c>
      <c r="G3235" t="inlineStr">
        <is>
          <t>14</t>
        </is>
      </c>
      <c r="H3235" t="inlineStr">
        <is>
          <t>C</t>
        </is>
      </c>
    </row>
    <row r="3236">
      <c r="B3236" t="inlineStr">
        <is>
          <t>Storage Hangars</t>
        </is>
      </c>
      <c r="C3236" t="inlineStr">
        <is>
          <t>328</t>
        </is>
      </c>
      <c r="D3236" t="inlineStr">
        <is>
          <t>14</t>
        </is>
      </c>
      <c r="E3236" t="inlineStr">
        <is>
          <t>29</t>
        </is>
      </c>
      <c r="F3236" t="inlineStr">
        <is>
          <t>14</t>
        </is>
      </c>
      <c r="G3236" t="inlineStr">
        <is>
          <t>14</t>
        </is>
      </c>
      <c r="H3236" t="inlineStr">
        <is>
          <t>C</t>
        </is>
      </c>
    </row>
    <row r="3237">
      <c r="B3237" t="inlineStr">
        <is>
          <t>T-Hangars</t>
        </is>
      </c>
      <c r="C3237" t="inlineStr">
        <is>
          <t>409</t>
        </is>
      </c>
      <c r="D3237" t="inlineStr">
        <is>
          <t>14</t>
        </is>
      </c>
      <c r="E3237" t="inlineStr">
        <is>
          <t>30</t>
        </is>
      </c>
      <c r="F3237" t="inlineStr">
        <is>
          <t>14</t>
        </is>
      </c>
      <c r="G3237" t="inlineStr">
        <is>
          <t>14</t>
        </is>
      </c>
      <c r="H3237" t="inlineStr">
        <is>
          <t>C</t>
        </is>
      </c>
    </row>
    <row r="3238">
      <c r="B3238" t="inlineStr">
        <is>
          <t>Complete Auto Dealerships</t>
        </is>
      </c>
      <c r="C3238" t="inlineStr">
        <is>
          <t>455</t>
        </is>
      </c>
      <c r="D3238" t="inlineStr">
        <is>
          <t>14</t>
        </is>
      </c>
      <c r="E3238" t="inlineStr">
        <is>
          <t>30</t>
        </is>
      </c>
      <c r="F3238" t="inlineStr">
        <is>
          <t>14</t>
        </is>
      </c>
      <c r="G3238" t="inlineStr">
        <is>
          <t>14</t>
        </is>
      </c>
      <c r="H3238" t="inlineStr">
        <is>
          <t>C</t>
        </is>
      </c>
    </row>
    <row r="3239">
      <c r="B3239" t="inlineStr">
        <is>
          <t>Automotive Service Centers</t>
        </is>
      </c>
      <c r="C3239" t="inlineStr">
        <is>
          <t>410</t>
        </is>
      </c>
      <c r="D3239" t="inlineStr">
        <is>
          <t>14</t>
        </is>
      </c>
      <c r="E3239" t="inlineStr">
        <is>
          <t>31</t>
        </is>
      </c>
      <c r="F3239" t="inlineStr">
        <is>
          <t>14</t>
        </is>
      </c>
      <c r="G3239" t="inlineStr">
        <is>
          <t>14</t>
        </is>
      </c>
      <c r="H3239" t="inlineStr">
        <is>
          <t>C</t>
        </is>
      </c>
    </row>
    <row r="3240">
      <c r="B3240" t="inlineStr">
        <is>
          <t>Showrooms</t>
        </is>
      </c>
      <c r="C3240" t="inlineStr">
        <is>
          <t>303</t>
        </is>
      </c>
      <c r="D3240" t="inlineStr">
        <is>
          <t>14</t>
        </is>
      </c>
      <c r="E3240" t="inlineStr">
        <is>
          <t>31</t>
        </is>
      </c>
      <c r="F3240" t="inlineStr">
        <is>
          <t>14</t>
        </is>
      </c>
      <c r="G3240" t="inlineStr">
        <is>
          <t>14</t>
        </is>
      </c>
      <c r="H3240" t="inlineStr">
        <is>
          <t>C</t>
        </is>
      </c>
    </row>
    <row r="3241">
      <c r="B3241" t="inlineStr">
        <is>
          <t>Service Garages (Commercial/Repair)</t>
        </is>
      </c>
      <c r="C3241" t="inlineStr">
        <is>
          <t>528</t>
        </is>
      </c>
      <c r="D3241" t="inlineStr">
        <is>
          <t>14</t>
        </is>
      </c>
      <c r="E3241" t="inlineStr">
        <is>
          <t>32</t>
        </is>
      </c>
      <c r="F3241" t="inlineStr">
        <is>
          <t>14</t>
        </is>
      </c>
      <c r="G3241" t="inlineStr">
        <is>
          <t>14</t>
        </is>
      </c>
      <c r="H3241" t="inlineStr">
        <is>
          <t>C</t>
        </is>
      </c>
    </row>
    <row r="3242">
      <c r="B3242" t="inlineStr">
        <is>
          <t>Service Garage Sheds</t>
        </is>
      </c>
      <c r="C3242" t="inlineStr">
        <is>
          <t>526</t>
        </is>
      </c>
      <c r="D3242" t="inlineStr">
        <is>
          <t>14</t>
        </is>
      </c>
      <c r="E3242" t="inlineStr">
        <is>
          <t>32</t>
        </is>
      </c>
      <c r="F3242" t="inlineStr">
        <is>
          <t>14</t>
        </is>
      </c>
      <c r="G3242" t="inlineStr">
        <is>
          <t>14</t>
        </is>
      </c>
      <c r="H3242" t="inlineStr">
        <is>
          <t>C</t>
        </is>
      </c>
    </row>
    <row r="3243">
      <c r="B3243" t="inlineStr">
        <is>
          <t>Municipal Service Garages</t>
        </is>
      </c>
      <c r="C3243" t="inlineStr">
        <is>
          <t>527</t>
        </is>
      </c>
      <c r="D3243" t="inlineStr">
        <is>
          <t>14</t>
        </is>
      </c>
      <c r="E3243" t="inlineStr">
        <is>
          <t>33</t>
        </is>
      </c>
      <c r="F3243" t="inlineStr">
        <is>
          <t>14</t>
        </is>
      </c>
      <c r="G3243" t="inlineStr">
        <is>
          <t>14</t>
        </is>
      </c>
      <c r="H3243" t="inlineStr">
        <is>
          <t>C</t>
        </is>
      </c>
    </row>
    <row r="3244">
      <c r="B3244" t="inlineStr">
        <is>
          <t>Mini-Lube Garages</t>
        </is>
      </c>
      <c r="C3244" t="inlineStr">
        <is>
          <t>423</t>
        </is>
      </c>
      <c r="D3244" t="inlineStr">
        <is>
          <t>14</t>
        </is>
      </c>
      <c r="E3244" t="inlineStr">
        <is>
          <t>33</t>
        </is>
      </c>
      <c r="F3244" t="inlineStr">
        <is>
          <t>14</t>
        </is>
      </c>
      <c r="G3244" t="inlineStr">
        <is>
          <t>14</t>
        </is>
      </c>
      <c r="H3244" t="inlineStr">
        <is>
          <t>C</t>
        </is>
      </c>
    </row>
    <row r="3245">
      <c r="B3245" t="inlineStr">
        <is>
          <t>Parking (Parkade) Structures</t>
        </is>
      </c>
      <c r="C3245" t="inlineStr">
        <is>
          <t>345</t>
        </is>
      </c>
      <c r="D3245" t="inlineStr">
        <is>
          <t>14</t>
        </is>
      </c>
      <c r="E3245" t="inlineStr">
        <is>
          <t>34</t>
        </is>
      </c>
      <c r="F3245" t="inlineStr">
        <is>
          <t>14</t>
        </is>
      </c>
      <c r="G3245" t="inlineStr">
        <is>
          <t>14</t>
        </is>
      </c>
      <c r="H3245" t="inlineStr">
        <is>
          <t>C</t>
        </is>
      </c>
    </row>
    <row r="3246">
      <c r="B3246" t="inlineStr">
        <is>
          <t>Storage Garages</t>
        </is>
      </c>
      <c r="C3246" t="inlineStr">
        <is>
          <t>326</t>
        </is>
      </c>
      <c r="D3246" t="inlineStr">
        <is>
          <t>14</t>
        </is>
      </c>
      <c r="E3246" t="inlineStr">
        <is>
          <t>34</t>
        </is>
      </c>
      <c r="F3246" t="inlineStr">
        <is>
          <t>14</t>
        </is>
      </c>
      <c r="G3246" t="inlineStr">
        <is>
          <t>14</t>
        </is>
      </c>
      <c r="H3246" t="inlineStr">
        <is>
          <t>C</t>
        </is>
      </c>
    </row>
    <row r="3247">
      <c r="B3247" t="inlineStr">
        <is>
          <t>Light Industrial/Warehouse Shell Buildings</t>
        </is>
      </c>
      <c r="C3247" t="inlineStr">
        <is>
          <t>454</t>
        </is>
      </c>
      <c r="D3247" t="inlineStr">
        <is>
          <t>14</t>
        </is>
      </c>
      <c r="E3247" t="inlineStr">
        <is>
          <t>35</t>
        </is>
      </c>
      <c r="F3247" t="inlineStr">
        <is>
          <t>14</t>
        </is>
      </c>
      <c r="G3247" t="inlineStr">
        <is>
          <t>14</t>
        </is>
      </c>
      <c r="H3247" t="inlineStr">
        <is>
          <t>C</t>
        </is>
      </c>
    </row>
    <row r="3248">
      <c r="B3248" t="inlineStr">
        <is>
          <t>Office Buildings</t>
        </is>
      </c>
      <c r="C3248" t="inlineStr">
        <is>
          <t>344</t>
        </is>
      </c>
      <c r="D3248" t="inlineStr">
        <is>
          <t>15</t>
        </is>
      </c>
      <c r="E3248" t="inlineStr">
        <is>
          <t>17</t>
        </is>
      </c>
      <c r="F3248" t="inlineStr">
        <is>
          <t>15</t>
        </is>
      </c>
      <c r="G3248" t="inlineStr">
        <is>
          <t>15</t>
        </is>
      </c>
      <c r="H3248" t="inlineStr">
        <is>
          <t>C</t>
        </is>
      </c>
    </row>
    <row r="3249">
      <c r="B3249" t="inlineStr">
        <is>
          <t>Atriums/Vestibules</t>
        </is>
      </c>
      <c r="C3249" t="inlineStr">
        <is>
          <t>576</t>
        </is>
      </c>
      <c r="D3249" t="inlineStr">
        <is>
          <t>15</t>
        </is>
      </c>
      <c r="E3249" t="inlineStr">
        <is>
          <t>18</t>
        </is>
      </c>
      <c r="F3249" t="inlineStr">
        <is>
          <t>15</t>
        </is>
      </c>
      <c r="G3249" t="inlineStr">
        <is>
          <t>15</t>
        </is>
      </c>
      <c r="H3249" t="inlineStr">
        <is>
          <t>C</t>
        </is>
      </c>
    </row>
    <row r="3250">
      <c r="B3250" t="inlineStr">
        <is>
          <t>Parking Levels (Intermediate/Under Building)</t>
        </is>
      </c>
      <c r="C3250" t="inlineStr">
        <is>
          <t>577</t>
        </is>
      </c>
      <c r="D3250" t="inlineStr">
        <is>
          <t>15</t>
        </is>
      </c>
      <c r="E3250" t="inlineStr">
        <is>
          <t>18</t>
        </is>
      </c>
      <c r="F3250" t="inlineStr">
        <is>
          <t>15</t>
        </is>
      </c>
      <c r="G3250" t="inlineStr">
        <is>
          <t>15</t>
        </is>
      </c>
      <c r="H3250" t="inlineStr">
        <is>
          <t>C</t>
        </is>
      </c>
    </row>
    <row r="3251">
      <c r="B3251" t="inlineStr">
        <is>
          <t>Mechanical Penthouses</t>
        </is>
      </c>
      <c r="C3251" t="inlineStr">
        <is>
          <t>585</t>
        </is>
      </c>
      <c r="D3251" t="inlineStr">
        <is>
          <t>15</t>
        </is>
      </c>
      <c r="E3251" t="inlineStr">
        <is>
          <t>19</t>
        </is>
      </c>
      <c r="F3251" t="inlineStr">
        <is>
          <t>15</t>
        </is>
      </c>
      <c r="G3251" t="inlineStr">
        <is>
          <t>15</t>
        </is>
      </c>
      <c r="H3251" t="inlineStr">
        <is>
          <t>C</t>
        </is>
      </c>
    </row>
    <row r="3252">
      <c r="B3252" t="inlineStr">
        <is>
          <t>Banks – Central Offices</t>
        </is>
      </c>
      <c r="C3252" t="inlineStr">
        <is>
          <t>443</t>
        </is>
      </c>
      <c r="D3252" t="inlineStr">
        <is>
          <t>15</t>
        </is>
      </c>
      <c r="E3252" t="inlineStr">
        <is>
          <t>20</t>
        </is>
      </c>
      <c r="F3252" t="inlineStr">
        <is>
          <t>15</t>
        </is>
      </c>
      <c r="G3252" t="inlineStr">
        <is>
          <t>15</t>
        </is>
      </c>
      <c r="H3252" t="inlineStr">
        <is>
          <t>C</t>
        </is>
      </c>
    </row>
    <row r="3253">
      <c r="B3253" t="inlineStr">
        <is>
          <t>Mini-Banks (Walk-Up and Drive-Through)</t>
        </is>
      </c>
      <c r="C3253" t="inlineStr">
        <is>
          <t>578</t>
        </is>
      </c>
      <c r="D3253" t="inlineStr">
        <is>
          <t>15</t>
        </is>
      </c>
      <c r="E3253" t="inlineStr">
        <is>
          <t>20</t>
        </is>
      </c>
      <c r="F3253" t="inlineStr">
        <is>
          <t>15</t>
        </is>
      </c>
      <c r="G3253" t="inlineStr">
        <is>
          <t>15</t>
        </is>
      </c>
      <c r="H3253" t="inlineStr">
        <is>
          <t>C</t>
        </is>
      </c>
    </row>
    <row r="3254">
      <c r="B3254" t="inlineStr">
        <is>
          <t>Banks, Branch</t>
        </is>
      </c>
      <c r="C3254" t="inlineStr">
        <is>
          <t>304</t>
        </is>
      </c>
      <c r="D3254" t="inlineStr">
        <is>
          <t>15</t>
        </is>
      </c>
      <c r="E3254" t="inlineStr">
        <is>
          <t>21</t>
        </is>
      </c>
      <c r="F3254" t="inlineStr">
        <is>
          <t>15</t>
        </is>
      </c>
      <c r="G3254" t="inlineStr">
        <is>
          <t>15</t>
        </is>
      </c>
      <c r="H3254" t="inlineStr">
        <is>
          <t>C</t>
        </is>
      </c>
    </row>
    <row r="3255">
      <c r="B3255" t="inlineStr">
        <is>
          <t>Medical Office Buildings</t>
        </is>
      </c>
      <c r="C3255" t="inlineStr">
        <is>
          <t>341</t>
        </is>
      </c>
      <c r="D3255" t="inlineStr">
        <is>
          <t>15</t>
        </is>
      </c>
      <c r="E3255" t="inlineStr">
        <is>
          <t>22</t>
        </is>
      </c>
      <c r="F3255" t="inlineStr">
        <is>
          <t>15</t>
        </is>
      </c>
      <c r="G3255" t="inlineStr">
        <is>
          <t>15</t>
        </is>
      </c>
      <c r="H3255" t="inlineStr">
        <is>
          <t>C</t>
        </is>
      </c>
    </row>
    <row r="3256">
      <c r="B3256" t="inlineStr">
        <is>
          <t>Dental Clinics</t>
        </is>
      </c>
      <c r="C3256" t="inlineStr">
        <is>
          <t>444</t>
        </is>
      </c>
      <c r="D3256" t="inlineStr">
        <is>
          <t>15</t>
        </is>
      </c>
      <c r="E3256" t="inlineStr">
        <is>
          <t>23</t>
        </is>
      </c>
      <c r="F3256" t="inlineStr">
        <is>
          <t>15</t>
        </is>
      </c>
      <c r="G3256" t="inlineStr">
        <is>
          <t>15</t>
        </is>
      </c>
      <c r="H3256" t="inlineStr">
        <is>
          <t>C</t>
        </is>
      </c>
    </row>
    <row r="3257">
      <c r="B3257" t="inlineStr">
        <is>
          <t>Urgent Care Clinics</t>
        </is>
      </c>
      <c r="C3257" t="inlineStr">
        <is>
          <t>320</t>
        </is>
      </c>
      <c r="D3257" t="inlineStr">
        <is>
          <t>15</t>
        </is>
      </c>
      <c r="E3257" t="inlineStr">
        <is>
          <t>23</t>
        </is>
      </c>
      <c r="F3257" t="inlineStr">
        <is>
          <t>15</t>
        </is>
      </c>
      <c r="G3257" t="inlineStr">
        <is>
          <t>15</t>
        </is>
      </c>
      <c r="H3257" t="inlineStr">
        <is>
          <t>C</t>
        </is>
      </c>
    </row>
    <row r="3258">
      <c r="B3258" t="inlineStr">
        <is>
          <t>General Hospitals</t>
        </is>
      </c>
      <c r="C3258" t="inlineStr">
        <is>
          <t>331</t>
        </is>
      </c>
      <c r="D3258" t="inlineStr">
        <is>
          <t>15</t>
        </is>
      </c>
      <c r="E3258" t="inlineStr">
        <is>
          <t>24</t>
        </is>
      </c>
      <c r="F3258" t="inlineStr">
        <is>
          <t>15</t>
        </is>
      </c>
      <c r="G3258" t="inlineStr">
        <is>
          <t>15</t>
        </is>
      </c>
      <c r="H3258" t="inlineStr">
        <is>
          <t>C</t>
        </is>
      </c>
    </row>
    <row r="3259">
      <c r="B3259" t="inlineStr">
        <is>
          <t>Outpatient (Surgical) Centers</t>
        </is>
      </c>
      <c r="C3259" t="inlineStr">
        <is>
          <t>431</t>
        </is>
      </c>
      <c r="D3259" t="inlineStr">
        <is>
          <t>15</t>
        </is>
      </c>
      <c r="E3259" t="inlineStr">
        <is>
          <t>25</t>
        </is>
      </c>
      <c r="F3259" t="inlineStr">
        <is>
          <t>15</t>
        </is>
      </c>
      <c r="G3259" t="inlineStr">
        <is>
          <t>15</t>
        </is>
      </c>
      <c r="H3259" t="inlineStr">
        <is>
          <t>C</t>
        </is>
      </c>
    </row>
    <row r="3260">
      <c r="B3260" t="inlineStr">
        <is>
          <t>Nursing Homes (Convalescent Hospitals)</t>
        </is>
      </c>
      <c r="C3260" t="inlineStr">
        <is>
          <t>313</t>
        </is>
      </c>
      <c r="D3260" t="inlineStr">
        <is>
          <t>15</t>
        </is>
      </c>
      <c r="E3260" t="inlineStr">
        <is>
          <t>26</t>
        </is>
      </c>
      <c r="F3260" t="inlineStr">
        <is>
          <t>15</t>
        </is>
      </c>
      <c r="G3260" t="inlineStr">
        <is>
          <t>15</t>
        </is>
      </c>
      <c r="H3260" t="inlineStr">
        <is>
          <t>C</t>
        </is>
      </c>
    </row>
    <row r="3261">
      <c r="B3261" t="inlineStr">
        <is>
          <t>Kennels</t>
        </is>
      </c>
      <c r="C3261" t="inlineStr">
        <is>
          <t>490</t>
        </is>
      </c>
      <c r="D3261" t="inlineStr">
        <is>
          <t>15</t>
        </is>
      </c>
      <c r="E3261" t="inlineStr">
        <is>
          <t>27</t>
        </is>
      </c>
      <c r="F3261" t="inlineStr">
        <is>
          <t>15</t>
        </is>
      </c>
      <c r="G3261" t="inlineStr">
        <is>
          <t>15</t>
        </is>
      </c>
      <c r="H3261" t="inlineStr">
        <is>
          <t>C</t>
        </is>
      </c>
    </row>
    <row r="3262">
      <c r="B3262" t="inlineStr">
        <is>
          <t>Veterinary Hospitals</t>
        </is>
      </c>
      <c r="C3262" t="inlineStr">
        <is>
          <t>381</t>
        </is>
      </c>
      <c r="D3262" t="inlineStr">
        <is>
          <t>15</t>
        </is>
      </c>
      <c r="E3262" t="inlineStr">
        <is>
          <t>28</t>
        </is>
      </c>
      <c r="F3262" t="inlineStr">
        <is>
          <t>15</t>
        </is>
      </c>
      <c r="G3262" t="inlineStr">
        <is>
          <t>15</t>
        </is>
      </c>
      <c r="H3262" t="inlineStr">
        <is>
          <t>C</t>
        </is>
      </c>
    </row>
    <row r="3263">
      <c r="B3263" t="inlineStr">
        <is>
          <t>Fire Stations – Volunteer</t>
        </is>
      </c>
      <c r="C3263" t="inlineStr">
        <is>
          <t>427</t>
        </is>
      </c>
      <c r="D3263" t="inlineStr">
        <is>
          <t>15</t>
        </is>
      </c>
      <c r="E3263" t="inlineStr">
        <is>
          <t>28</t>
        </is>
      </c>
      <c r="F3263" t="inlineStr">
        <is>
          <t>15</t>
        </is>
      </c>
      <c r="G3263" t="inlineStr">
        <is>
          <t>15</t>
        </is>
      </c>
      <c r="H3263" t="inlineStr">
        <is>
          <t>C</t>
        </is>
      </c>
    </row>
    <row r="3264">
      <c r="B3264" t="inlineStr">
        <is>
          <t>Fire Stations – Staffed</t>
        </is>
      </c>
      <c r="C3264" t="inlineStr">
        <is>
          <t>322</t>
        </is>
      </c>
      <c r="D3264" t="inlineStr">
        <is>
          <t>15</t>
        </is>
      </c>
      <c r="E3264" t="inlineStr">
        <is>
          <t>29</t>
        </is>
      </c>
      <c r="F3264" t="inlineStr">
        <is>
          <t>15</t>
        </is>
      </c>
      <c r="G3264" t="inlineStr">
        <is>
          <t>15</t>
        </is>
      </c>
      <c r="H3264" t="inlineStr">
        <is>
          <t>C</t>
        </is>
      </c>
    </row>
    <row r="3265">
      <c r="B3265" t="inlineStr">
        <is>
          <t>Governmental Buildings</t>
        </is>
      </c>
      <c r="C3265" t="inlineStr">
        <is>
          <t>327</t>
        </is>
      </c>
      <c r="D3265" t="inlineStr">
        <is>
          <t>15</t>
        </is>
      </c>
      <c r="E3265" t="inlineStr">
        <is>
          <t>30</t>
        </is>
      </c>
      <c r="F3265" t="inlineStr">
        <is>
          <t>15</t>
        </is>
      </c>
      <c r="G3265" t="inlineStr">
        <is>
          <t>15</t>
        </is>
      </c>
      <c r="H3265" t="inlineStr">
        <is>
          <t>C</t>
        </is>
      </c>
    </row>
    <row r="3266">
      <c r="B3266" t="inlineStr">
        <is>
          <t>Governmental – Community Service Buildings</t>
        </is>
      </c>
      <c r="C3266" t="inlineStr">
        <is>
          <t>491</t>
        </is>
      </c>
      <c r="D3266" t="inlineStr">
        <is>
          <t>15</t>
        </is>
      </c>
      <c r="E3266" t="inlineStr">
        <is>
          <t>31</t>
        </is>
      </c>
      <c r="F3266" t="inlineStr">
        <is>
          <t>15</t>
        </is>
      </c>
      <c r="G3266" t="inlineStr">
        <is>
          <t>15</t>
        </is>
      </c>
      <c r="H3266" t="inlineStr">
        <is>
          <t>C</t>
        </is>
      </c>
    </row>
    <row r="3267">
      <c r="B3267" t="inlineStr">
        <is>
          <t>Public Libraries</t>
        </is>
      </c>
      <c r="C3267" t="inlineStr">
        <is>
          <t>337</t>
        </is>
      </c>
      <c r="D3267" t="inlineStr">
        <is>
          <t>15</t>
        </is>
      </c>
      <c r="E3267" t="inlineStr">
        <is>
          <t>32</t>
        </is>
      </c>
      <c r="F3267" t="inlineStr">
        <is>
          <t>15</t>
        </is>
      </c>
      <c r="G3267" t="inlineStr">
        <is>
          <t>15</t>
        </is>
      </c>
      <c r="H3267" t="inlineStr">
        <is>
          <t>R</t>
        </is>
      </c>
    </row>
    <row r="3268">
      <c r="B3268" t="inlineStr">
        <is>
          <t>Jails – Correctional Facilities</t>
        </is>
      </c>
      <c r="C3268" t="inlineStr">
        <is>
          <t>335</t>
        </is>
      </c>
      <c r="D3268" t="inlineStr">
        <is>
          <t>15</t>
        </is>
      </c>
      <c r="E3268" t="inlineStr">
        <is>
          <t>33</t>
        </is>
      </c>
      <c r="F3268" t="inlineStr">
        <is>
          <t>15</t>
        </is>
      </c>
      <c r="G3268" t="inlineStr">
        <is>
          <t>15</t>
        </is>
      </c>
      <c r="H3268" t="inlineStr">
        <is>
          <t>C</t>
        </is>
      </c>
    </row>
    <row r="3269">
      <c r="B3269" t="inlineStr">
        <is>
          <t>Jails – Police Stations</t>
        </is>
      </c>
      <c r="C3269" t="inlineStr">
        <is>
          <t>489</t>
        </is>
      </c>
      <c r="D3269" t="inlineStr">
        <is>
          <t>15</t>
        </is>
      </c>
      <c r="E3269" t="inlineStr">
        <is>
          <t>33</t>
        </is>
      </c>
      <c r="F3269" t="inlineStr">
        <is>
          <t>15</t>
        </is>
      </c>
      <c r="G3269" t="inlineStr">
        <is>
          <t>15</t>
        </is>
      </c>
      <c r="H3269" t="inlineStr">
        <is>
          <t>C</t>
        </is>
      </c>
    </row>
    <row r="3270">
      <c r="B3270" t="inlineStr">
        <is>
          <t>Shell Office Buildings</t>
        </is>
      </c>
      <c r="C3270" t="inlineStr">
        <is>
          <t>492</t>
        </is>
      </c>
      <c r="D3270" t="inlineStr">
        <is>
          <t>15</t>
        </is>
      </c>
      <c r="E3270" t="inlineStr">
        <is>
          <t>34</t>
        </is>
      </c>
      <c r="F3270" t="inlineStr">
        <is>
          <t>15</t>
        </is>
      </c>
      <c r="G3270" t="inlineStr">
        <is>
          <t>15</t>
        </is>
      </c>
      <c r="H3270" t="inlineStr">
        <is>
          <t>C</t>
        </is>
      </c>
    </row>
    <row r="3271">
      <c r="B3271" t="inlineStr">
        <is>
          <t>Churches with Sunday Schools</t>
        </is>
      </c>
      <c r="C3271" t="inlineStr">
        <is>
          <t>308</t>
        </is>
      </c>
      <c r="D3271" t="inlineStr">
        <is>
          <t>16</t>
        </is>
      </c>
      <c r="E3271" t="inlineStr">
        <is>
          <t>8</t>
        </is>
      </c>
      <c r="F3271" t="inlineStr">
        <is>
          <t>16</t>
        </is>
      </c>
      <c r="G3271" t="inlineStr">
        <is>
          <t>16</t>
        </is>
      </c>
      <c r="H3271" t="inlineStr">
        <is>
          <t>R</t>
        </is>
      </c>
    </row>
    <row r="3272">
      <c r="B3272" t="inlineStr">
        <is>
          <t>Churches – Sanctuaries (Chapels)</t>
        </is>
      </c>
      <c r="C3272" t="inlineStr">
        <is>
          <t>309</t>
        </is>
      </c>
      <c r="D3272" t="inlineStr">
        <is>
          <t>16</t>
        </is>
      </c>
      <c r="E3272" t="inlineStr">
        <is>
          <t>9</t>
        </is>
      </c>
      <c r="F3272" t="inlineStr">
        <is>
          <t>16</t>
        </is>
      </c>
      <c r="G3272" t="inlineStr">
        <is>
          <t>16</t>
        </is>
      </c>
      <c r="H3272" t="inlineStr">
        <is>
          <t>R</t>
        </is>
      </c>
    </row>
    <row r="3273">
      <c r="B3273" t="inlineStr">
        <is>
          <t>Fellowship Halls</t>
        </is>
      </c>
      <c r="C3273" t="inlineStr">
        <is>
          <t>516</t>
        </is>
      </c>
      <c r="D3273" t="inlineStr">
        <is>
          <t>16</t>
        </is>
      </c>
      <c r="E3273" t="inlineStr">
        <is>
          <t>10</t>
        </is>
      </c>
      <c r="F3273" t="inlineStr">
        <is>
          <t>16</t>
        </is>
      </c>
      <c r="G3273" t="inlineStr">
        <is>
          <t>16</t>
        </is>
      </c>
      <c r="H3273" t="inlineStr">
        <is>
          <t>R</t>
        </is>
      </c>
    </row>
    <row r="3274">
      <c r="B3274" t="inlineStr">
        <is>
          <t>Foyers / Narthexes</t>
        </is>
      </c>
      <c r="C3274" t="inlineStr">
        <is>
          <t>517</t>
        </is>
      </c>
      <c r="D3274" t="inlineStr">
        <is>
          <t>16</t>
        </is>
      </c>
      <c r="E3274" t="inlineStr">
        <is>
          <t>10</t>
        </is>
      </c>
      <c r="F3274" t="inlineStr">
        <is>
          <t>16</t>
        </is>
      </c>
      <c r="G3274" t="inlineStr">
        <is>
          <t>16</t>
        </is>
      </c>
      <c r="H3274" t="inlineStr">
        <is>
          <t>R</t>
        </is>
      </c>
    </row>
    <row r="3275">
      <c r="B3275" t="inlineStr">
        <is>
          <t>Church Educational Wings</t>
        </is>
      </c>
      <c r="C3275" t="inlineStr">
        <is>
          <t>173</t>
        </is>
      </c>
      <c r="D3275" t="inlineStr">
        <is>
          <t>16</t>
        </is>
      </c>
      <c r="E3275" t="inlineStr">
        <is>
          <t>11</t>
        </is>
      </c>
      <c r="F3275" t="inlineStr">
        <is>
          <t>16</t>
        </is>
      </c>
      <c r="G3275" t="inlineStr">
        <is>
          <t>16</t>
        </is>
      </c>
      <c r="H3275" t="inlineStr">
        <is>
          <t>R</t>
        </is>
      </c>
    </row>
    <row r="3276">
      <c r="B3276" t="inlineStr">
        <is>
          <t>Theaters: Live-Stage</t>
        </is>
      </c>
      <c r="C3276" t="inlineStr">
        <is>
          <t>379</t>
        </is>
      </c>
      <c r="D3276" t="inlineStr">
        <is>
          <t>16</t>
        </is>
      </c>
      <c r="E3276" t="inlineStr">
        <is>
          <t>12</t>
        </is>
      </c>
      <c r="F3276" t="inlineStr">
        <is>
          <t>16</t>
        </is>
      </c>
      <c r="G3276" t="inlineStr">
        <is>
          <t>16</t>
        </is>
      </c>
      <c r="H3276" t="inlineStr">
        <is>
          <t>C</t>
        </is>
      </c>
    </row>
    <row r="3277">
      <c r="B3277" t="inlineStr">
        <is>
          <t>Theaters: Cinema</t>
        </is>
      </c>
      <c r="C3277" t="inlineStr">
        <is>
          <t>380</t>
        </is>
      </c>
      <c r="D3277" t="inlineStr">
        <is>
          <t>16</t>
        </is>
      </c>
      <c r="E3277" t="inlineStr">
        <is>
          <t>13</t>
        </is>
      </c>
      <c r="F3277" t="inlineStr">
        <is>
          <t>16</t>
        </is>
      </c>
      <c r="G3277" t="inlineStr">
        <is>
          <t>16</t>
        </is>
      </c>
      <c r="H3277" t="inlineStr">
        <is>
          <t>C</t>
        </is>
      </c>
    </row>
    <row r="3278">
      <c r="B3278" t="inlineStr">
        <is>
          <t>Auditoriums</t>
        </is>
      </c>
      <c r="C3278" t="inlineStr">
        <is>
          <t>302</t>
        </is>
      </c>
      <c r="D3278" t="inlineStr">
        <is>
          <t>16</t>
        </is>
      </c>
      <c r="E3278" t="inlineStr">
        <is>
          <t>14</t>
        </is>
      </c>
      <c r="F3278" t="inlineStr">
        <is>
          <t>16</t>
        </is>
      </c>
      <c r="G3278" t="inlineStr">
        <is>
          <t>16</t>
        </is>
      </c>
      <c r="H3278" t="inlineStr">
        <is>
          <t>C</t>
        </is>
      </c>
    </row>
    <row r="3279">
      <c r="B3279" t="inlineStr">
        <is>
          <t>Fraternal Buildings</t>
        </is>
      </c>
      <c r="C3279" t="inlineStr">
        <is>
          <t>323</t>
        </is>
      </c>
      <c r="D3279" t="inlineStr">
        <is>
          <t>16</t>
        </is>
      </c>
      <c r="E3279" t="inlineStr">
        <is>
          <t>15</t>
        </is>
      </c>
      <c r="F3279" t="inlineStr">
        <is>
          <t>16</t>
        </is>
      </c>
      <c r="G3279" t="inlineStr">
        <is>
          <t>16</t>
        </is>
      </c>
      <c r="H3279" t="inlineStr">
        <is>
          <t>R</t>
        </is>
      </c>
    </row>
    <row r="3280">
      <c r="B3280" t="inlineStr">
        <is>
          <t>Visitor Centers</t>
        </is>
      </c>
      <c r="C3280" t="inlineStr">
        <is>
          <t>574</t>
        </is>
      </c>
      <c r="D3280" t="inlineStr">
        <is>
          <t>16</t>
        </is>
      </c>
      <c r="E3280" t="inlineStr">
        <is>
          <t>15</t>
        </is>
      </c>
      <c r="F3280" t="inlineStr">
        <is>
          <t>16</t>
        </is>
      </c>
      <c r="G3280" t="inlineStr">
        <is>
          <t>16</t>
        </is>
      </c>
      <c r="H3280" t="inlineStr">
        <is>
          <t>C</t>
        </is>
      </c>
    </row>
    <row r="3281">
      <c r="B3281" t="inlineStr">
        <is>
          <t>Convention Centers</t>
        </is>
      </c>
      <c r="C3281" t="inlineStr">
        <is>
          <t>482</t>
        </is>
      </c>
      <c r="D3281" t="inlineStr">
        <is>
          <t>16</t>
        </is>
      </c>
      <c r="E3281" t="inlineStr">
        <is>
          <t>16</t>
        </is>
      </c>
      <c r="F3281" t="inlineStr">
        <is>
          <t>16</t>
        </is>
      </c>
      <c r="G3281" t="inlineStr">
        <is>
          <t>16</t>
        </is>
      </c>
      <c r="H3281" t="inlineStr">
        <is>
          <t>C</t>
        </is>
      </c>
    </row>
    <row r="3282">
      <c r="B3282" t="inlineStr">
        <is>
          <t>Casinos</t>
        </is>
      </c>
      <c r="C3282" t="inlineStr">
        <is>
          <t>515</t>
        </is>
      </c>
      <c r="D3282" t="inlineStr">
        <is>
          <t>16</t>
        </is>
      </c>
      <c r="E3282" t="inlineStr">
        <is>
          <t>17</t>
        </is>
      </c>
      <c r="F3282" t="inlineStr">
        <is>
          <t>16</t>
        </is>
      </c>
      <c r="G3282" t="inlineStr">
        <is>
          <t>16</t>
        </is>
      </c>
      <c r="H3282" t="inlineStr">
        <is>
          <t>C</t>
        </is>
      </c>
    </row>
    <row r="3283">
      <c r="B3283" t="inlineStr">
        <is>
          <t>Community Recreation Centers</t>
        </is>
      </c>
      <c r="C3283" t="inlineStr">
        <is>
          <t>514</t>
        </is>
      </c>
      <c r="D3283" t="inlineStr">
        <is>
          <t>16</t>
        </is>
      </c>
      <c r="E3283" t="inlineStr">
        <is>
          <t>18</t>
        </is>
      </c>
      <c r="F3283" t="inlineStr">
        <is>
          <t>16</t>
        </is>
      </c>
      <c r="G3283" t="inlineStr">
        <is>
          <t>16</t>
        </is>
      </c>
      <c r="H3283" t="inlineStr">
        <is>
          <t>C</t>
        </is>
      </c>
    </row>
    <row r="3284">
      <c r="B3284" t="inlineStr">
        <is>
          <t>Arcade Buildings</t>
        </is>
      </c>
      <c r="C3284" t="inlineStr">
        <is>
          <t>573</t>
        </is>
      </c>
      <c r="D3284" t="inlineStr">
        <is>
          <t>16</t>
        </is>
      </c>
      <c r="E3284" t="inlineStr">
        <is>
          <t>18</t>
        </is>
      </c>
      <c r="F3284" t="inlineStr">
        <is>
          <t>16</t>
        </is>
      </c>
      <c r="G3284" t="inlineStr">
        <is>
          <t>16</t>
        </is>
      </c>
      <c r="H3284" t="inlineStr">
        <is>
          <t>C</t>
        </is>
      </c>
    </row>
    <row r="3285">
      <c r="B3285" t="inlineStr">
        <is>
          <t>Museums</t>
        </is>
      </c>
      <c r="C3285" t="inlineStr">
        <is>
          <t>481</t>
        </is>
      </c>
      <c r="D3285" t="inlineStr">
        <is>
          <t>16</t>
        </is>
      </c>
      <c r="E3285" t="inlineStr">
        <is>
          <t>19</t>
        </is>
      </c>
      <c r="F3285" t="inlineStr">
        <is>
          <t>16</t>
        </is>
      </c>
      <c r="G3285" t="inlineStr">
        <is>
          <t>16</t>
        </is>
      </c>
      <c r="H3285" t="inlineStr">
        <is>
          <t>C</t>
        </is>
      </c>
    </row>
    <row r="3286">
      <c r="B3286" t="inlineStr">
        <is>
          <t>Ice Skating Rinks</t>
        </is>
      </c>
      <c r="C3286" t="inlineStr">
        <is>
          <t>175</t>
        </is>
      </c>
      <c r="D3286" t="inlineStr">
        <is>
          <t>16</t>
        </is>
      </c>
      <c r="E3286" t="inlineStr">
        <is>
          <t>20</t>
        </is>
      </c>
      <c r="F3286" t="inlineStr">
        <is>
          <t>16</t>
        </is>
      </c>
      <c r="G3286" t="inlineStr">
        <is>
          <t>16</t>
        </is>
      </c>
      <c r="H3286" t="inlineStr">
        <is>
          <t>C</t>
        </is>
      </c>
    </row>
    <row r="3287">
      <c r="B3287" t="inlineStr">
        <is>
          <t>Roller Skating Rinks</t>
        </is>
      </c>
      <c r="C3287" t="inlineStr">
        <is>
          <t>176</t>
        </is>
      </c>
      <c r="D3287" t="inlineStr">
        <is>
          <t>16</t>
        </is>
      </c>
      <c r="E3287" t="inlineStr">
        <is>
          <t>21</t>
        </is>
      </c>
      <c r="F3287" t="inlineStr">
        <is>
          <t>16</t>
        </is>
      </c>
      <c r="G3287" t="inlineStr">
        <is>
          <t>16</t>
        </is>
      </c>
      <c r="H3287" t="inlineStr">
        <is>
          <t>C</t>
        </is>
      </c>
    </row>
    <row r="3288">
      <c r="B3288" t="inlineStr">
        <is>
          <t>Handball/Racquetball Clubs</t>
        </is>
      </c>
      <c r="C3288" t="inlineStr">
        <is>
          <t>417</t>
        </is>
      </c>
      <c r="D3288" t="inlineStr">
        <is>
          <t>16</t>
        </is>
      </c>
      <c r="E3288" t="inlineStr">
        <is>
          <t>21</t>
        </is>
      </c>
      <c r="F3288" t="inlineStr">
        <is>
          <t>16</t>
        </is>
      </c>
      <c r="G3288" t="inlineStr">
        <is>
          <t>16</t>
        </is>
      </c>
      <c r="H3288" t="inlineStr">
        <is>
          <t>C</t>
        </is>
      </c>
    </row>
    <row r="3289">
      <c r="B3289" t="inlineStr">
        <is>
          <t>Fitness Centers</t>
        </is>
      </c>
      <c r="C3289" t="inlineStr">
        <is>
          <t>483</t>
        </is>
      </c>
      <c r="D3289" t="inlineStr">
        <is>
          <t>16</t>
        </is>
      </c>
      <c r="E3289" t="inlineStr">
        <is>
          <t>21</t>
        </is>
      </c>
      <c r="F3289" t="inlineStr">
        <is>
          <t>16</t>
        </is>
      </c>
      <c r="G3289" t="inlineStr">
        <is>
          <t>16</t>
        </is>
      </c>
      <c r="H3289" t="inlineStr">
        <is>
          <t>C</t>
        </is>
      </c>
    </row>
    <row r="3290">
      <c r="B3290" t="inlineStr">
        <is>
          <t>Bowling Centers</t>
        </is>
      </c>
      <c r="C3290" t="inlineStr">
        <is>
          <t>306</t>
        </is>
      </c>
      <c r="D3290" t="inlineStr">
        <is>
          <t>16</t>
        </is>
      </c>
      <c r="E3290" t="inlineStr">
        <is>
          <t>22</t>
        </is>
      </c>
      <c r="F3290" t="inlineStr">
        <is>
          <t>16</t>
        </is>
      </c>
      <c r="G3290" t="inlineStr">
        <is>
          <t>16</t>
        </is>
      </c>
      <c r="H3290" t="inlineStr">
        <is>
          <t>C</t>
        </is>
      </c>
    </row>
    <row r="3291">
      <c r="B3291" t="inlineStr">
        <is>
          <t>Indoor Tennis Clubs</t>
        </is>
      </c>
      <c r="C3291" t="inlineStr">
        <is>
          <t>416</t>
        </is>
      </c>
      <c r="D3291" t="inlineStr">
        <is>
          <t>16</t>
        </is>
      </c>
      <c r="E3291" t="inlineStr">
        <is>
          <t>22</t>
        </is>
      </c>
      <c r="F3291" t="inlineStr">
        <is>
          <t>16</t>
        </is>
      </c>
      <c r="G3291" t="inlineStr">
        <is>
          <t>16</t>
        </is>
      </c>
      <c r="H3291" t="inlineStr">
        <is>
          <t>C</t>
        </is>
      </c>
    </row>
    <row r="3292">
      <c r="B3292" t="inlineStr">
        <is>
          <t>Pavilions</t>
        </is>
      </c>
      <c r="C3292" t="inlineStr">
        <is>
          <t>174</t>
        </is>
      </c>
      <c r="D3292" t="inlineStr">
        <is>
          <t>16</t>
        </is>
      </c>
      <c r="E3292" t="inlineStr">
        <is>
          <t>23</t>
        </is>
      </c>
      <c r="F3292" t="inlineStr">
        <is>
          <t>16</t>
        </is>
      </c>
      <c r="G3292" t="inlineStr">
        <is>
          <t>16</t>
        </is>
      </c>
      <c r="H3292" t="inlineStr">
        <is>
          <t>C</t>
        </is>
      </c>
    </row>
    <row r="3293">
      <c r="B3293" t="inlineStr">
        <is>
          <t>Light Commercial – Commodity Warehouse</t>
        </is>
      </c>
      <c r="C3293" t="inlineStr">
        <is>
          <t>104</t>
        </is>
      </c>
      <c r="D3293" t="inlineStr">
        <is>
          <t>17</t>
        </is>
      </c>
      <c r="E3293" t="inlineStr">
        <is>
          <t>11</t>
        </is>
      </c>
      <c r="F3293" t="inlineStr">
        <is>
          <t>-</t>
        </is>
      </c>
      <c r="G3293" t="inlineStr">
        <is>
          <t>-</t>
        </is>
      </c>
      <c r="H3293" t="inlineStr">
        <is>
          <t>C</t>
        </is>
      </c>
    </row>
    <row r="3294">
      <c r="B3294" t="inlineStr">
        <is>
          <t>Light Commercial – Manufacturing Utility Buildings</t>
        </is>
      </c>
      <c r="C3294" t="inlineStr">
        <is>
          <t>186</t>
        </is>
      </c>
      <c r="D3294" t="inlineStr">
        <is>
          <t>17</t>
        </is>
      </c>
      <c r="E3294" t="inlineStr">
        <is>
          <t>11</t>
        </is>
      </c>
      <c r="F3294" t="inlineStr">
        <is>
          <t>-</t>
        </is>
      </c>
      <c r="G3294" t="inlineStr">
        <is>
          <t>-</t>
        </is>
      </c>
      <c r="H3294" t="inlineStr">
        <is>
          <t>C</t>
        </is>
      </c>
    </row>
    <row r="3295">
      <c r="B3295" t="inlineStr">
        <is>
          <t>Material – Commodity Shelters</t>
        </is>
      </c>
      <c r="C3295" t="inlineStr">
        <is>
          <t>473</t>
        </is>
      </c>
      <c r="D3295" t="inlineStr">
        <is>
          <t>17</t>
        </is>
      </c>
      <c r="E3295" t="inlineStr">
        <is>
          <t>11</t>
        </is>
      </c>
      <c r="F3295" t="inlineStr">
        <is>
          <t>-</t>
        </is>
      </c>
      <c r="G3295" t="inlineStr">
        <is>
          <t>-</t>
        </is>
      </c>
      <c r="H3295" t="inlineStr">
        <is>
          <t>C</t>
        </is>
      </c>
    </row>
    <row r="3296">
      <c r="B3296" t="inlineStr">
        <is>
          <t>Light Commercial Utility Buildings</t>
        </is>
      </c>
      <c r="C3296" t="inlineStr">
        <is>
          <t>471</t>
        </is>
      </c>
      <c r="D3296" t="inlineStr">
        <is>
          <t>17</t>
        </is>
      </c>
      <c r="E3296" t="inlineStr">
        <is>
          <t>12</t>
        </is>
      </c>
      <c r="F3296" t="inlineStr">
        <is>
          <t>-</t>
        </is>
      </c>
      <c r="G3296" t="inlineStr">
        <is>
          <t>-</t>
        </is>
      </c>
      <c r="H3296" t="inlineStr">
        <is>
          <t>C</t>
        </is>
      </c>
    </row>
    <row r="3297">
      <c r="B3297" t="inlineStr">
        <is>
          <t>Toolshed Buildings</t>
        </is>
      </c>
      <c r="C3297" t="inlineStr">
        <is>
          <t>456</t>
        </is>
      </c>
      <c r="D3297" t="inlineStr">
        <is>
          <t>17</t>
        </is>
      </c>
      <c r="E3297" t="inlineStr">
        <is>
          <t>12</t>
        </is>
      </c>
      <c r="F3297" t="inlineStr">
        <is>
          <t>-</t>
        </is>
      </c>
      <c r="G3297" t="inlineStr">
        <is>
          <t>-</t>
        </is>
      </c>
      <c r="H3297" t="inlineStr">
        <is>
          <t>C</t>
        </is>
      </c>
    </row>
    <row r="3298">
      <c r="B3298" t="inlineStr">
        <is>
          <t>Light Commercial Arch-Rib (Quonset) Buildings</t>
        </is>
      </c>
      <c r="C3298" t="inlineStr">
        <is>
          <t>555</t>
        </is>
      </c>
      <c r="D3298" t="inlineStr">
        <is>
          <t>17</t>
        </is>
      </c>
      <c r="E3298" t="inlineStr">
        <is>
          <t>13</t>
        </is>
      </c>
      <c r="F3298" t="inlineStr">
        <is>
          <t>-</t>
        </is>
      </c>
      <c r="G3298" t="inlineStr">
        <is>
          <t>-</t>
        </is>
      </c>
      <c r="H3298" t="inlineStr">
        <is>
          <t>C</t>
        </is>
      </c>
    </row>
    <row r="3299">
      <c r="B3299" t="inlineStr">
        <is>
          <t>Light Commercial Equipment (Shop) Buildings</t>
        </is>
      </c>
      <c r="C3299" t="inlineStr">
        <is>
          <t>470</t>
        </is>
      </c>
      <c r="D3299" t="inlineStr">
        <is>
          <t>17</t>
        </is>
      </c>
      <c r="E3299" t="inlineStr">
        <is>
          <t>13</t>
        </is>
      </c>
      <c r="F3299" t="inlineStr">
        <is>
          <t>-</t>
        </is>
      </c>
      <c r="G3299" t="inlineStr">
        <is>
          <t>-</t>
        </is>
      </c>
      <c r="H3299" t="inlineStr">
        <is>
          <t>C</t>
        </is>
      </c>
    </row>
    <row r="3300">
      <c r="B3300" t="inlineStr">
        <is>
          <t>Light Commercial Equipment Sheds</t>
        </is>
      </c>
      <c r="C3300" t="inlineStr">
        <is>
          <t>472</t>
        </is>
      </c>
      <c r="D3300" t="inlineStr">
        <is>
          <t>17</t>
        </is>
      </c>
      <c r="E3300" t="inlineStr">
        <is>
          <t>14</t>
        </is>
      </c>
      <c r="F3300" t="inlineStr">
        <is>
          <t>-</t>
        </is>
      </c>
      <c r="G3300" t="inlineStr">
        <is>
          <t>-</t>
        </is>
      </c>
      <c r="H3300" t="inlineStr">
        <is>
          <t>C</t>
        </is>
      </c>
    </row>
    <row r="3301">
      <c r="B3301" t="inlineStr">
        <is>
          <t>Shed Office Structures</t>
        </is>
      </c>
      <c r="C3301" t="inlineStr">
        <is>
          <t>554</t>
        </is>
      </c>
      <c r="D3301" t="inlineStr">
        <is>
          <t>17</t>
        </is>
      </c>
      <c r="E3301" t="inlineStr">
        <is>
          <t>14</t>
        </is>
      </c>
      <c r="F3301" t="inlineStr">
        <is>
          <t>-</t>
        </is>
      </c>
      <c r="G3301" t="inlineStr">
        <is>
          <t>-</t>
        </is>
      </c>
      <c r="H3301" t="inlineStr">
        <is>
          <t>C</t>
        </is>
      </c>
    </row>
    <row r="3302">
      <c r="B3302" t="inlineStr">
        <is>
          <t>Golf Cart Storage Buildings</t>
        </is>
      </c>
      <c r="C3302" t="inlineStr">
        <is>
          <t>523</t>
        </is>
      </c>
      <c r="D3302" t="inlineStr">
        <is>
          <t>17</t>
        </is>
      </c>
      <c r="E3302" t="inlineStr">
        <is>
          <t>15</t>
        </is>
      </c>
      <c r="F3302" t="inlineStr">
        <is>
          <t>-</t>
        </is>
      </c>
      <c r="G3302" t="inlineStr">
        <is>
          <t>-</t>
        </is>
      </c>
      <c r="H3302" t="inlineStr">
        <is>
          <t>C</t>
        </is>
      </c>
    </row>
    <row r="3303">
      <c r="B3303" t="inlineStr">
        <is>
          <t>Golf Starter (Guard House) Booths</t>
        </is>
      </c>
      <c r="C3303" t="inlineStr">
        <is>
          <t>183</t>
        </is>
      </c>
      <c r="D3303" t="inlineStr">
        <is>
          <t>17</t>
        </is>
      </c>
      <c r="E3303" t="inlineStr">
        <is>
          <t>15</t>
        </is>
      </c>
      <c r="F3303" t="inlineStr">
        <is>
          <t>-</t>
        </is>
      </c>
      <c r="G3303" t="inlineStr">
        <is>
          <t>-</t>
        </is>
      </c>
      <c r="H3303" t="inlineStr">
        <is>
          <t>C</t>
        </is>
      </c>
    </row>
    <row r="3304">
      <c r="B3304" t="inlineStr">
        <is>
          <t>Material Storage Buildings</t>
        </is>
      </c>
      <c r="C3304" t="inlineStr">
        <is>
          <t>391</t>
        </is>
      </c>
      <c r="D3304" t="inlineStr">
        <is>
          <t>17</t>
        </is>
      </c>
      <c r="E3304" t="inlineStr">
        <is>
          <t>16</t>
        </is>
      </c>
      <c r="F3304" t="inlineStr">
        <is>
          <t>-</t>
        </is>
      </c>
      <c r="G3304" t="inlineStr">
        <is>
          <t>-</t>
        </is>
      </c>
      <c r="H3304" t="inlineStr">
        <is>
          <t>C</t>
        </is>
      </c>
    </row>
    <row r="3305">
      <c r="B3305" t="inlineStr">
        <is>
          <t>Material Storage Sheds</t>
        </is>
      </c>
      <c r="C3305" t="inlineStr">
        <is>
          <t>468</t>
        </is>
      </c>
      <c r="D3305" t="inlineStr">
        <is>
          <t>17</t>
        </is>
      </c>
      <c r="E3305" t="inlineStr">
        <is>
          <t>16</t>
        </is>
      </c>
      <c r="F3305" t="inlineStr">
        <is>
          <t>-</t>
        </is>
      </c>
      <c r="G3305" t="inlineStr">
        <is>
          <t>-</t>
        </is>
      </c>
      <c r="H3305" t="inlineStr">
        <is>
          <t>C</t>
        </is>
      </c>
    </row>
    <row r="3306">
      <c r="B3306" t="inlineStr">
        <is>
          <t>Bulk Oil Storage</t>
        </is>
      </c>
      <c r="C3306" t="inlineStr">
        <is>
          <t>556</t>
        </is>
      </c>
      <c r="D3306" t="inlineStr">
        <is>
          <t>17</t>
        </is>
      </c>
      <c r="E3306" t="inlineStr">
        <is>
          <t>16</t>
        </is>
      </c>
      <c r="F3306" t="inlineStr">
        <is>
          <t>-</t>
        </is>
      </c>
      <c r="G3306" t="inlineStr">
        <is>
          <t>-</t>
        </is>
      </c>
      <c r="H3306" t="inlineStr">
        <is>
          <t>C</t>
        </is>
      </c>
    </row>
    <row r="3307">
      <c r="B3307" t="inlineStr">
        <is>
          <t>Lumber Storage Buildings</t>
        </is>
      </c>
      <c r="C3307" t="inlineStr">
        <is>
          <t>390</t>
        </is>
      </c>
      <c r="D3307" t="inlineStr">
        <is>
          <t>17</t>
        </is>
      </c>
      <c r="E3307" t="inlineStr">
        <is>
          <t>17</t>
        </is>
      </c>
      <c r="F3307" t="inlineStr">
        <is>
          <t>-</t>
        </is>
      </c>
      <c r="G3307" t="inlineStr">
        <is>
          <t>-</t>
        </is>
      </c>
      <c r="H3307" t="inlineStr">
        <is>
          <t>C</t>
        </is>
      </c>
    </row>
    <row r="3308">
      <c r="B3308" t="inlineStr">
        <is>
          <t>Lumber Storage Sheds</t>
        </is>
      </c>
      <c r="C3308" t="inlineStr">
        <is>
          <t>339</t>
        </is>
      </c>
      <c r="D3308" t="inlineStr">
        <is>
          <t>17</t>
        </is>
      </c>
      <c r="E3308" t="inlineStr">
        <is>
          <t>17</t>
        </is>
      </c>
      <c r="F3308" t="inlineStr">
        <is>
          <t>-</t>
        </is>
      </c>
      <c r="G3308" t="inlineStr">
        <is>
          <t>-</t>
        </is>
      </c>
      <c r="H3308" t="inlineStr">
        <is>
          <t>C</t>
        </is>
      </c>
    </row>
    <row r="3309">
      <c r="B3309" t="inlineStr">
        <is>
          <t>Boat Storage Buildings</t>
        </is>
      </c>
      <c r="C3309" t="inlineStr">
        <is>
          <t>467</t>
        </is>
      </c>
      <c r="D3309" t="inlineStr">
        <is>
          <t>17</t>
        </is>
      </c>
      <c r="E3309" t="inlineStr">
        <is>
          <t>18</t>
        </is>
      </c>
      <c r="F3309" t="inlineStr">
        <is>
          <t>-</t>
        </is>
      </c>
      <c r="G3309" t="inlineStr">
        <is>
          <t>-</t>
        </is>
      </c>
      <c r="H3309" t="inlineStr">
        <is>
          <t>C</t>
        </is>
      </c>
    </row>
    <row r="3310">
      <c r="B3310" t="inlineStr">
        <is>
          <t>Boat Storage Sheds</t>
        </is>
      </c>
      <c r="C3310" t="inlineStr">
        <is>
          <t>466</t>
        </is>
      </c>
      <c r="D3310" t="inlineStr">
        <is>
          <t>17</t>
        </is>
      </c>
      <c r="E3310" t="inlineStr">
        <is>
          <t>18</t>
        </is>
      </c>
      <c r="F3310" t="inlineStr">
        <is>
          <t>-</t>
        </is>
      </c>
      <c r="G3310" t="inlineStr">
        <is>
          <t>-</t>
        </is>
      </c>
      <c r="H3310" t="inlineStr">
        <is>
          <t>C</t>
        </is>
      </c>
    </row>
    <row r="3311">
      <c r="B3311" t="inlineStr">
        <is>
          <t>Bag Fertilizer Storage</t>
        </is>
      </c>
      <c r="C3311" t="inlineStr">
        <is>
          <t>563</t>
        </is>
      </c>
      <c r="D3311" t="inlineStr">
        <is>
          <t>17</t>
        </is>
      </c>
      <c r="E3311" t="inlineStr">
        <is>
          <t>19</t>
        </is>
      </c>
      <c r="F3311" t="inlineStr">
        <is>
          <t>-</t>
        </is>
      </c>
      <c r="G3311" t="inlineStr">
        <is>
          <t>-</t>
        </is>
      </c>
      <c r="H3311" t="inlineStr">
        <is>
          <t>C</t>
        </is>
      </c>
    </row>
    <row r="3312">
      <c r="B3312" t="inlineStr">
        <is>
          <t>Bulk Fertilizer Storage</t>
        </is>
      </c>
      <c r="C3312" t="inlineStr">
        <is>
          <t>420</t>
        </is>
      </c>
      <c r="D3312" t="inlineStr">
        <is>
          <t>17</t>
        </is>
      </c>
      <c r="E3312" t="inlineStr">
        <is>
          <t>19</t>
        </is>
      </c>
      <c r="F3312" t="inlineStr">
        <is>
          <t>-</t>
        </is>
      </c>
      <c r="G3312" t="inlineStr">
        <is>
          <t>-</t>
        </is>
      </c>
      <c r="H3312" t="inlineStr">
        <is>
          <t>C</t>
        </is>
      </c>
    </row>
    <row r="3313">
      <c r="B3313" t="inlineStr">
        <is>
          <t>Tobacco Barns – Flue Curing</t>
        </is>
      </c>
      <c r="C3313" t="inlineStr">
        <is>
          <t>122</t>
        </is>
      </c>
      <c r="D3313" t="inlineStr">
        <is>
          <t>17</t>
        </is>
      </c>
      <c r="E3313" t="inlineStr">
        <is>
          <t>19</t>
        </is>
      </c>
      <c r="F3313" t="inlineStr">
        <is>
          <t>-</t>
        </is>
      </c>
      <c r="G3313" t="inlineStr">
        <is>
          <t>-</t>
        </is>
      </c>
      <c r="H3313" t="inlineStr">
        <is>
          <t>C</t>
        </is>
      </c>
    </row>
    <row r="3314">
      <c r="B3314" t="inlineStr">
        <is>
          <t>Tobacco Barns – Air Curing</t>
        </is>
      </c>
      <c r="C3314" t="inlineStr">
        <is>
          <t>121</t>
        </is>
      </c>
      <c r="D3314" t="inlineStr">
        <is>
          <t>17</t>
        </is>
      </c>
      <c r="E3314" t="inlineStr">
        <is>
          <t>19</t>
        </is>
      </c>
      <c r="F3314" t="inlineStr">
        <is>
          <t>-</t>
        </is>
      </c>
      <c r="G3314" t="inlineStr">
        <is>
          <t>-</t>
        </is>
      </c>
      <c r="H3314" t="inlineStr">
        <is>
          <t>C</t>
        </is>
      </c>
    </row>
    <row r="3315">
      <c r="B3315" t="inlineStr">
        <is>
          <t>Dehydrator Shed Buildings</t>
        </is>
      </c>
      <c r="C3315" t="inlineStr">
        <is>
          <t>564</t>
        </is>
      </c>
      <c r="D3315" t="inlineStr">
        <is>
          <t>17</t>
        </is>
      </c>
      <c r="E3315" t="inlineStr">
        <is>
          <t>19</t>
        </is>
      </c>
      <c r="F3315" t="inlineStr">
        <is>
          <t>-</t>
        </is>
      </c>
      <c r="G3315" t="inlineStr">
        <is>
          <t>-</t>
        </is>
      </c>
      <c r="H3315" t="inlineStr">
        <is>
          <t>C</t>
        </is>
      </c>
    </row>
    <row r="3316">
      <c r="B3316" t="inlineStr">
        <is>
          <t>Farm Cold Storage Buildings</t>
        </is>
      </c>
      <c r="C3316" t="inlineStr">
        <is>
          <t>448</t>
        </is>
      </c>
      <c r="D3316" t="inlineStr">
        <is>
          <t>17</t>
        </is>
      </c>
      <c r="E3316" t="inlineStr">
        <is>
          <t>20</t>
        </is>
      </c>
      <c r="F3316" t="inlineStr">
        <is>
          <t>-</t>
        </is>
      </c>
      <c r="G3316" t="inlineStr">
        <is>
          <t>-</t>
        </is>
      </c>
      <c r="H3316" t="inlineStr">
        <is>
          <t>C</t>
        </is>
      </c>
    </row>
    <row r="3317">
      <c r="B3317" t="inlineStr">
        <is>
          <t>Fruit Packing Barns</t>
        </is>
      </c>
      <c r="C3317" t="inlineStr">
        <is>
          <t>398</t>
        </is>
      </c>
      <c r="D3317" t="inlineStr">
        <is>
          <t>17</t>
        </is>
      </c>
      <c r="E3317" t="inlineStr">
        <is>
          <t>20</t>
        </is>
      </c>
      <c r="F3317" t="inlineStr">
        <is>
          <t>-</t>
        </is>
      </c>
      <c r="G3317" t="inlineStr">
        <is>
          <t>-</t>
        </is>
      </c>
      <c r="H3317" t="inlineStr">
        <is>
          <t>C</t>
        </is>
      </c>
    </row>
    <row r="3318">
      <c r="B3318" t="inlineStr">
        <is>
          <t>Potato Storage Buildings</t>
        </is>
      </c>
      <c r="C3318" t="inlineStr">
        <is>
          <t>395</t>
        </is>
      </c>
      <c r="D3318" t="inlineStr">
        <is>
          <t>17</t>
        </is>
      </c>
      <c r="E3318" t="inlineStr">
        <is>
          <t>21</t>
        </is>
      </c>
      <c r="F3318" t="inlineStr">
        <is>
          <t>-</t>
        </is>
      </c>
      <c r="G3318" t="inlineStr">
        <is>
          <t>-</t>
        </is>
      </c>
      <c r="H3318" t="inlineStr">
        <is>
          <t>C</t>
        </is>
      </c>
    </row>
    <row r="3319">
      <c r="B3319" t="inlineStr">
        <is>
          <t>Vegetable Buildings – Environmental</t>
        </is>
      </c>
      <c r="C3319" t="inlineStr">
        <is>
          <t>480</t>
        </is>
      </c>
      <c r="D3319" t="inlineStr">
        <is>
          <t>17</t>
        </is>
      </c>
      <c r="E3319" t="inlineStr">
        <is>
          <t>21</t>
        </is>
      </c>
      <c r="F3319" t="inlineStr">
        <is>
          <t>-</t>
        </is>
      </c>
      <c r="G3319" t="inlineStr">
        <is>
          <t>-</t>
        </is>
      </c>
      <c r="H3319" t="inlineStr">
        <is>
          <t>C</t>
        </is>
      </c>
    </row>
    <row r="3320">
      <c r="B3320" t="inlineStr">
        <is>
          <t>Controlled Atmosphere Buildings</t>
        </is>
      </c>
      <c r="C3320" t="inlineStr">
        <is>
          <t>106</t>
        </is>
      </c>
      <c r="D3320" t="inlineStr">
        <is>
          <t>17</t>
        </is>
      </c>
      <c r="E3320" t="inlineStr">
        <is>
          <t>21</t>
        </is>
      </c>
      <c r="F3320" t="inlineStr">
        <is>
          <t>-</t>
        </is>
      </c>
      <c r="G3320" t="inlineStr">
        <is>
          <t>-</t>
        </is>
      </c>
      <c r="H3320" t="inlineStr">
        <is>
          <t>C</t>
        </is>
      </c>
    </row>
    <row r="3321">
      <c r="B3321" t="inlineStr">
        <is>
          <t>Greenhouse – Straight-Wall Structures</t>
        </is>
      </c>
      <c r="C3321" t="inlineStr">
        <is>
          <t>136</t>
        </is>
      </c>
      <c r="D3321" t="inlineStr">
        <is>
          <t>17</t>
        </is>
      </c>
      <c r="E3321" t="inlineStr">
        <is>
          <t>22</t>
        </is>
      </c>
      <c r="F3321" t="inlineStr">
        <is>
          <t>-</t>
        </is>
      </c>
      <c r="G3321" t="inlineStr">
        <is>
          <t>-</t>
        </is>
      </c>
      <c r="H3321" t="inlineStr">
        <is>
          <t>C</t>
        </is>
      </c>
    </row>
    <row r="3322">
      <c r="B3322" t="inlineStr">
        <is>
          <t>Greenhouse – Hoop (Arch-Rib/Quonset) Structures</t>
        </is>
      </c>
      <c r="C3322" t="inlineStr">
        <is>
          <t>135</t>
        </is>
      </c>
      <c r="D3322" t="inlineStr">
        <is>
          <t>17</t>
        </is>
      </c>
      <c r="E3322" t="inlineStr">
        <is>
          <t>22</t>
        </is>
      </c>
      <c r="F3322" t="inlineStr">
        <is>
          <t>-</t>
        </is>
      </c>
      <c r="G3322" t="inlineStr">
        <is>
          <t>-</t>
        </is>
      </c>
      <c r="H3322" t="inlineStr">
        <is>
          <t>C</t>
        </is>
      </c>
    </row>
    <row r="3323">
      <c r="B3323" t="inlineStr">
        <is>
          <t>Greenhouse Shade Shelters</t>
        </is>
      </c>
      <c r="C3323" t="inlineStr">
        <is>
          <t>519</t>
        </is>
      </c>
      <c r="D3323" t="inlineStr">
        <is>
          <t>17</t>
        </is>
      </c>
      <c r="E3323" t="inlineStr">
        <is>
          <t>23</t>
        </is>
      </c>
      <c r="F3323" t="inlineStr">
        <is>
          <t>-</t>
        </is>
      </c>
      <c r="G3323" t="inlineStr">
        <is>
          <t>-</t>
        </is>
      </c>
      <c r="H3323" t="inlineStr">
        <is>
          <t>C</t>
        </is>
      </c>
    </row>
    <row r="3324">
      <c r="B3324" t="inlineStr">
        <is>
          <t>Lath Shade Houses</t>
        </is>
      </c>
      <c r="C3324" t="inlineStr">
        <is>
          <t>518</t>
        </is>
      </c>
      <c r="D3324" t="inlineStr">
        <is>
          <t>17</t>
        </is>
      </c>
      <c r="E3324" t="inlineStr">
        <is>
          <t>23</t>
        </is>
      </c>
      <c r="F3324" t="inlineStr">
        <is>
          <t>-</t>
        </is>
      </c>
      <c r="G3324" t="inlineStr">
        <is>
          <t>-</t>
        </is>
      </c>
      <c r="H3324" t="inlineStr">
        <is>
          <t>C</t>
        </is>
      </c>
    </row>
    <row r="3325">
      <c r="B3325" t="inlineStr">
        <is>
          <t>Flathouse Storage Buildings</t>
        </is>
      </c>
      <c r="C3325" t="inlineStr">
        <is>
          <t>493</t>
        </is>
      </c>
      <c r="D3325" t="inlineStr">
        <is>
          <t>17</t>
        </is>
      </c>
      <c r="E3325" t="inlineStr">
        <is>
          <t>24</t>
        </is>
      </c>
      <c r="F3325" t="inlineStr">
        <is>
          <t>-</t>
        </is>
      </c>
      <c r="G3325" t="inlineStr">
        <is>
          <t>-</t>
        </is>
      </c>
      <c r="H3325" t="inlineStr">
        <is>
          <t>C</t>
        </is>
      </c>
    </row>
    <row r="3326">
      <c r="B3326" t="inlineStr">
        <is>
          <t>Feed Handling and Mixing Shed Building</t>
        </is>
      </c>
      <c r="C3326" t="inlineStr">
        <is>
          <t>180</t>
        </is>
      </c>
      <c r="D3326" t="inlineStr">
        <is>
          <t>17</t>
        </is>
      </c>
      <c r="E3326" t="inlineStr">
        <is>
          <t>24</t>
        </is>
      </c>
      <c r="F3326" t="inlineStr">
        <is>
          <t>-</t>
        </is>
      </c>
      <c r="G3326" t="inlineStr">
        <is>
          <t>-</t>
        </is>
      </c>
      <c r="H3326" t="inlineStr">
        <is>
          <t>C</t>
        </is>
      </c>
    </row>
    <row r="3327">
      <c r="B3327" t="inlineStr">
        <is>
          <t>Cotton Gins</t>
        </is>
      </c>
      <c r="C3327" t="inlineStr">
        <is>
          <t>450</t>
        </is>
      </c>
      <c r="D3327" t="inlineStr">
        <is>
          <t>17</t>
        </is>
      </c>
      <c r="E3327" t="inlineStr">
        <is>
          <t>24</t>
        </is>
      </c>
      <c r="F3327" t="inlineStr">
        <is>
          <t>-</t>
        </is>
      </c>
      <c r="G3327" t="inlineStr">
        <is>
          <t>-</t>
        </is>
      </c>
      <c r="H3327" t="inlineStr">
        <is>
          <t>C</t>
        </is>
      </c>
    </row>
    <row r="3328">
      <c r="B3328" t="inlineStr">
        <is>
          <t>Seed Processing Storage</t>
        </is>
      </c>
      <c r="C3328" t="inlineStr">
        <is>
          <t>123</t>
        </is>
      </c>
      <c r="D3328" t="inlineStr">
        <is>
          <t>17</t>
        </is>
      </c>
      <c r="E3328" t="inlineStr">
        <is>
          <t>24</t>
        </is>
      </c>
      <c r="F3328" t="inlineStr">
        <is>
          <t>-</t>
        </is>
      </c>
      <c r="G3328" t="inlineStr">
        <is>
          <t>-</t>
        </is>
      </c>
      <c r="H3328" t="inlineStr">
        <is>
          <t>C</t>
        </is>
      </c>
    </row>
    <row r="3329">
      <c r="B3329" t="inlineStr">
        <is>
          <t>Secure Storage Modular Shed Buildings</t>
        </is>
      </c>
      <c r="C3329" t="inlineStr">
        <is>
          <t>181</t>
        </is>
      </c>
      <c r="D3329" t="inlineStr">
        <is>
          <t>17</t>
        </is>
      </c>
      <c r="E3329" t="inlineStr">
        <is>
          <t>25</t>
        </is>
      </c>
      <c r="F3329" t="inlineStr">
        <is>
          <t>-</t>
        </is>
      </c>
      <c r="G3329" t="inlineStr">
        <is>
          <t>-</t>
        </is>
      </c>
      <c r="H3329" t="inlineStr">
        <is>
          <t>C</t>
        </is>
      </c>
    </row>
    <row r="3330">
      <c r="B3330" t="inlineStr">
        <is>
          <t>Prefabricated Storage Shed Buildings</t>
        </is>
      </c>
      <c r="C3330" t="inlineStr">
        <is>
          <t>133</t>
        </is>
      </c>
      <c r="D3330" t="inlineStr">
        <is>
          <t>17</t>
        </is>
      </c>
      <c r="E3330" t="inlineStr">
        <is>
          <t>25</t>
        </is>
      </c>
      <c r="F3330" t="inlineStr">
        <is>
          <t>-</t>
        </is>
      </c>
      <c r="G3330" t="inlineStr">
        <is>
          <t>-</t>
        </is>
      </c>
      <c r="H3330" t="inlineStr">
        <is>
          <t>C</t>
        </is>
      </c>
    </row>
    <row r="3331">
      <c r="B3331" t="inlineStr">
        <is>
          <t>Corn Crib Bins</t>
        </is>
      </c>
      <c r="C3331" t="inlineStr">
        <is>
          <t>131</t>
        </is>
      </c>
      <c r="D3331" t="inlineStr">
        <is>
          <t>17</t>
        </is>
      </c>
      <c r="E3331" t="inlineStr">
        <is>
          <t>25</t>
        </is>
      </c>
      <c r="F3331" t="inlineStr">
        <is>
          <t>-</t>
        </is>
      </c>
      <c r="G3331" t="inlineStr">
        <is>
          <t>-</t>
        </is>
      </c>
      <c r="H3331" t="inlineStr">
        <is>
          <t>C</t>
        </is>
      </c>
    </row>
    <row r="3332">
      <c r="B3332" t="inlineStr">
        <is>
          <t>Farm Utility Buildings</t>
        </is>
      </c>
      <c r="C3332" t="inlineStr">
        <is>
          <t>477</t>
        </is>
      </c>
      <c r="D3332" t="inlineStr">
        <is>
          <t>17</t>
        </is>
      </c>
      <c r="E3332" t="inlineStr">
        <is>
          <t>26</t>
        </is>
      </c>
      <c r="F3332" t="inlineStr">
        <is>
          <t>-</t>
        </is>
      </c>
      <c r="G3332" t="inlineStr">
        <is>
          <t>-</t>
        </is>
      </c>
      <c r="H3332" t="inlineStr">
        <is>
          <t>R</t>
        </is>
      </c>
    </row>
    <row r="3333">
      <c r="B3333" t="inlineStr">
        <is>
          <t>Arch-Rib (Quonset) Farm Utility Buildings</t>
        </is>
      </c>
      <c r="C3333" t="inlineStr">
        <is>
          <t>557</t>
        </is>
      </c>
      <c r="D3333" t="inlineStr">
        <is>
          <t>17</t>
        </is>
      </c>
      <c r="E3333" t="inlineStr">
        <is>
          <t>26</t>
        </is>
      </c>
      <c r="F3333" t="inlineStr">
        <is>
          <t>-</t>
        </is>
      </c>
      <c r="G3333" t="inlineStr">
        <is>
          <t>-</t>
        </is>
      </c>
      <c r="H3333" t="inlineStr">
        <is>
          <t>R</t>
        </is>
      </c>
    </row>
    <row r="3334">
      <c r="B3334" t="inlineStr">
        <is>
          <t>Farm Utility/Grain Storage (Granary) Buildings</t>
        </is>
      </c>
      <c r="C3334" t="inlineStr">
        <is>
          <t>421</t>
        </is>
      </c>
      <c r="D3334" t="inlineStr">
        <is>
          <t>17</t>
        </is>
      </c>
      <c r="E3334" t="inlineStr">
        <is>
          <t>27</t>
        </is>
      </c>
      <c r="F3334" t="inlineStr">
        <is>
          <t>-</t>
        </is>
      </c>
      <c r="G3334" t="inlineStr">
        <is>
          <t>-</t>
        </is>
      </c>
      <c r="H3334" t="inlineStr">
        <is>
          <t>R</t>
        </is>
      </c>
    </row>
    <row r="3335">
      <c r="B3335" t="inlineStr">
        <is>
          <t>Farm Utility Storage Sheds</t>
        </is>
      </c>
      <c r="C3335" t="inlineStr">
        <is>
          <t>479</t>
        </is>
      </c>
      <c r="D3335" t="inlineStr">
        <is>
          <t>17</t>
        </is>
      </c>
      <c r="E3335" t="inlineStr">
        <is>
          <t>27</t>
        </is>
      </c>
      <c r="F3335" t="inlineStr">
        <is>
          <t>-</t>
        </is>
      </c>
      <c r="G3335" t="inlineStr">
        <is>
          <t>-</t>
        </is>
      </c>
      <c r="H3335" t="inlineStr">
        <is>
          <t>R</t>
        </is>
      </c>
    </row>
    <row r="3336">
      <c r="B3336" t="inlineStr">
        <is>
          <t>Farm Utility Lean-Tos</t>
        </is>
      </c>
      <c r="C3336" t="inlineStr">
        <is>
          <t>124</t>
        </is>
      </c>
      <c r="D3336" t="inlineStr">
        <is>
          <t>17</t>
        </is>
      </c>
      <c r="E3336" t="inlineStr">
        <is>
          <t>27</t>
        </is>
      </c>
      <c r="F3336" t="inlineStr">
        <is>
          <t>-</t>
        </is>
      </c>
      <c r="G3336" t="inlineStr">
        <is>
          <t>-</t>
        </is>
      </c>
      <c r="H3336" t="inlineStr">
        <is>
          <t>R</t>
        </is>
      </c>
    </row>
    <row r="3337">
      <c r="B3337" t="inlineStr">
        <is>
          <t>Farm Commodity Storage Sheds</t>
        </is>
      </c>
      <c r="C3337" t="inlineStr">
        <is>
          <t>562</t>
        </is>
      </c>
      <c r="D3337" t="inlineStr">
        <is>
          <t>17</t>
        </is>
      </c>
      <c r="E3337" t="inlineStr">
        <is>
          <t>28</t>
        </is>
      </c>
      <c r="F3337" t="inlineStr">
        <is>
          <t>-</t>
        </is>
      </c>
      <c r="G3337" t="inlineStr">
        <is>
          <t>-</t>
        </is>
      </c>
      <c r="H3337" t="inlineStr">
        <is>
          <t>R</t>
        </is>
      </c>
    </row>
    <row r="3338">
      <c r="B3338" t="inlineStr">
        <is>
          <t>Corn Crib Buildings – Spaced Boards</t>
        </is>
      </c>
      <c r="C3338" t="inlineStr">
        <is>
          <t>107</t>
        </is>
      </c>
      <c r="D3338" t="inlineStr">
        <is>
          <t>17</t>
        </is>
      </c>
      <c r="E3338" t="inlineStr">
        <is>
          <t>28</t>
        </is>
      </c>
      <c r="F3338" t="inlineStr">
        <is>
          <t>-</t>
        </is>
      </c>
      <c r="G3338" t="inlineStr">
        <is>
          <t>-</t>
        </is>
      </c>
      <c r="H3338" t="inlineStr">
        <is>
          <t>R</t>
        </is>
      </c>
    </row>
    <row r="3339">
      <c r="B3339" t="inlineStr">
        <is>
          <t>Corn Crib Buildings – Wire Mesh</t>
        </is>
      </c>
      <c r="C3339" t="inlineStr">
        <is>
          <t>108</t>
        </is>
      </c>
      <c r="D3339" t="inlineStr">
        <is>
          <t>17</t>
        </is>
      </c>
      <c r="E3339" t="inlineStr">
        <is>
          <t>28</t>
        </is>
      </c>
      <c r="F3339" t="inlineStr">
        <is>
          <t>-</t>
        </is>
      </c>
      <c r="G3339" t="inlineStr">
        <is>
          <t>-</t>
        </is>
      </c>
      <c r="H3339" t="inlineStr">
        <is>
          <t>R</t>
        </is>
      </c>
    </row>
    <row r="3340">
      <c r="B3340" t="inlineStr">
        <is>
          <t>Farm Implement (Equipment Shop) Buildings</t>
        </is>
      </c>
      <c r="C3340" t="inlineStr">
        <is>
          <t>476</t>
        </is>
      </c>
      <c r="D3340" t="inlineStr">
        <is>
          <t>17</t>
        </is>
      </c>
      <c r="E3340" t="inlineStr">
        <is>
          <t>28</t>
        </is>
      </c>
      <c r="F3340" t="inlineStr">
        <is>
          <t>-</t>
        </is>
      </c>
      <c r="G3340" t="inlineStr">
        <is>
          <t>-</t>
        </is>
      </c>
      <c r="H3340" t="inlineStr">
        <is>
          <t>R</t>
        </is>
      </c>
    </row>
    <row r="3341">
      <c r="B3341" t="inlineStr">
        <is>
          <t>Arch-Rib (Quonset) Farm Implement Buildings</t>
        </is>
      </c>
      <c r="C3341" t="inlineStr">
        <is>
          <t>558</t>
        </is>
      </c>
      <c r="D3341" t="inlineStr">
        <is>
          <t>17</t>
        </is>
      </c>
      <c r="E3341" t="inlineStr">
        <is>
          <t>29</t>
        </is>
      </c>
      <c r="F3341" t="inlineStr">
        <is>
          <t>-</t>
        </is>
      </c>
      <c r="G3341" t="inlineStr">
        <is>
          <t>-</t>
        </is>
      </c>
      <c r="H3341" t="inlineStr">
        <is>
          <t>R</t>
        </is>
      </c>
    </row>
    <row r="3342">
      <c r="B3342" t="inlineStr">
        <is>
          <t>Farm Implement – Equipment Sheds</t>
        </is>
      </c>
      <c r="C3342" t="inlineStr">
        <is>
          <t>478</t>
        </is>
      </c>
      <c r="D3342" t="inlineStr">
        <is>
          <t>17</t>
        </is>
      </c>
      <c r="E3342" t="inlineStr">
        <is>
          <t>29</t>
        </is>
      </c>
      <c r="F3342" t="inlineStr">
        <is>
          <t>-</t>
        </is>
      </c>
      <c r="G3342" t="inlineStr">
        <is>
          <t>-</t>
        </is>
      </c>
      <c r="H3342" t="inlineStr">
        <is>
          <t>R</t>
        </is>
      </c>
    </row>
    <row r="3343">
      <c r="B3343" t="inlineStr">
        <is>
          <t>Barns – General Purpose</t>
        </is>
      </c>
      <c r="C3343" t="inlineStr">
        <is>
          <t>102</t>
        </is>
      </c>
      <c r="D3343" t="inlineStr">
        <is>
          <t>17</t>
        </is>
      </c>
      <c r="E3343" t="inlineStr">
        <is>
          <t>30</t>
        </is>
      </c>
      <c r="F3343" t="inlineStr">
        <is>
          <t>-</t>
        </is>
      </c>
      <c r="G3343" t="inlineStr">
        <is>
          <t>-</t>
        </is>
      </c>
      <c r="H3343" t="inlineStr">
        <is>
          <t>R</t>
        </is>
      </c>
    </row>
    <row r="3344">
      <c r="B3344" t="inlineStr">
        <is>
          <t>Bank Barns (Two-Story) – General Purpose</t>
        </is>
      </c>
      <c r="C3344" t="inlineStr">
        <is>
          <t>100</t>
        </is>
      </c>
      <c r="D3344" t="inlineStr">
        <is>
          <t>17</t>
        </is>
      </c>
      <c r="E3344" t="inlineStr">
        <is>
          <t>30</t>
        </is>
      </c>
      <c r="F3344" t="inlineStr">
        <is>
          <t>-</t>
        </is>
      </c>
      <c r="G3344" t="inlineStr">
        <is>
          <t>-</t>
        </is>
      </c>
      <c r="H3344" t="inlineStr">
        <is>
          <t>R</t>
        </is>
      </c>
    </row>
    <row r="3345">
      <c r="B3345" t="inlineStr">
        <is>
          <t>Barns – Special Purpose</t>
        </is>
      </c>
      <c r="C3345" t="inlineStr">
        <is>
          <t>103</t>
        </is>
      </c>
      <c r="D3345" t="inlineStr">
        <is>
          <t>17</t>
        </is>
      </c>
      <c r="E3345" t="inlineStr">
        <is>
          <t>31</t>
        </is>
      </c>
      <c r="F3345" t="inlineStr">
        <is>
          <t>-</t>
        </is>
      </c>
      <c r="G3345" t="inlineStr">
        <is>
          <t>-</t>
        </is>
      </c>
      <c r="H3345" t="inlineStr">
        <is>
          <t>R</t>
        </is>
      </c>
    </row>
    <row r="3346">
      <c r="B3346" t="inlineStr">
        <is>
          <t>Bank Barns (Two-Story) – Special Purpose</t>
        </is>
      </c>
      <c r="C3346" t="inlineStr">
        <is>
          <t>101</t>
        </is>
      </c>
      <c r="D3346" t="inlineStr">
        <is>
          <t>17</t>
        </is>
      </c>
      <c r="E3346" t="inlineStr">
        <is>
          <t>31</t>
        </is>
      </c>
      <c r="F3346" t="inlineStr">
        <is>
          <t>-</t>
        </is>
      </c>
      <c r="G3346" t="inlineStr">
        <is>
          <t>-</t>
        </is>
      </c>
      <c r="H3346" t="inlineStr">
        <is>
          <t>R</t>
        </is>
      </c>
    </row>
    <row r="3347">
      <c r="B3347" t="inlineStr">
        <is>
          <t>Free-Stall Barns</t>
        </is>
      </c>
      <c r="C3347" t="inlineStr">
        <is>
          <t>469</t>
        </is>
      </c>
      <c r="D3347" t="inlineStr">
        <is>
          <t>17</t>
        </is>
      </c>
      <c r="E3347" t="inlineStr">
        <is>
          <t>32</t>
        </is>
      </c>
      <c r="F3347" t="inlineStr">
        <is>
          <t>-</t>
        </is>
      </c>
      <c r="G3347" t="inlineStr">
        <is>
          <t>-</t>
        </is>
      </c>
      <c r="H3347" t="inlineStr">
        <is>
          <t>R</t>
        </is>
      </c>
    </row>
    <row r="3348">
      <c r="B3348" t="inlineStr">
        <is>
          <t>Confinement Barns</t>
        </is>
      </c>
      <c r="C3348" t="inlineStr">
        <is>
          <t>105</t>
        </is>
      </c>
      <c r="D3348" t="inlineStr">
        <is>
          <t>17</t>
        </is>
      </c>
      <c r="E3348" t="inlineStr">
        <is>
          <t>32</t>
        </is>
      </c>
      <c r="F3348" t="inlineStr">
        <is>
          <t>-</t>
        </is>
      </c>
      <c r="G3348" t="inlineStr">
        <is>
          <t>-</t>
        </is>
      </c>
      <c r="H3348" t="inlineStr">
        <is>
          <t>R</t>
        </is>
      </c>
    </row>
    <row r="3349">
      <c r="B3349" t="inlineStr">
        <is>
          <t>Feeder Barns – Sheds</t>
        </is>
      </c>
      <c r="C3349" t="inlineStr">
        <is>
          <t>561</t>
        </is>
      </c>
      <c r="D3349" t="inlineStr">
        <is>
          <t>17</t>
        </is>
      </c>
      <c r="E3349" t="inlineStr">
        <is>
          <t>33</t>
        </is>
      </c>
      <c r="F3349" t="inlineStr">
        <is>
          <t>-</t>
        </is>
      </c>
      <c r="G3349" t="inlineStr">
        <is>
          <t>-</t>
        </is>
      </c>
      <c r="H3349" t="inlineStr">
        <is>
          <t>R</t>
        </is>
      </c>
    </row>
    <row r="3350">
      <c r="B3350" t="inlineStr">
        <is>
          <t>Loafing Sheds</t>
        </is>
      </c>
      <c r="C3350" t="inlineStr">
        <is>
          <t>113</t>
        </is>
      </c>
      <c r="D3350" t="inlineStr">
        <is>
          <t>17</t>
        </is>
      </c>
      <c r="E3350" t="inlineStr">
        <is>
          <t>33</t>
        </is>
      </c>
      <c r="F3350" t="inlineStr">
        <is>
          <t>-</t>
        </is>
      </c>
      <c r="G3350" t="inlineStr">
        <is>
          <t>-</t>
        </is>
      </c>
      <c r="H3350" t="inlineStr">
        <is>
          <t>R</t>
        </is>
      </c>
    </row>
    <row r="3351">
      <c r="B3351" t="inlineStr">
        <is>
          <t>Farm Utility Shelters (Open Hay Sheds)</t>
        </is>
      </c>
      <c r="C3351" t="inlineStr">
        <is>
          <t>565</t>
        </is>
      </c>
      <c r="D3351" t="inlineStr">
        <is>
          <t>17</t>
        </is>
      </c>
      <c r="E3351" t="inlineStr">
        <is>
          <t>33</t>
        </is>
      </c>
      <c r="F3351" t="inlineStr">
        <is>
          <t>-</t>
        </is>
      </c>
      <c r="G3351" t="inlineStr">
        <is>
          <t>-</t>
        </is>
      </c>
      <c r="H3351" t="inlineStr">
        <is>
          <t>R</t>
        </is>
      </c>
    </row>
    <row r="3352">
      <c r="B3352" t="inlineStr">
        <is>
          <t>Calving Barns – Sheds</t>
        </is>
      </c>
      <c r="C3352" t="inlineStr">
        <is>
          <t>182</t>
        </is>
      </c>
      <c r="D3352" t="inlineStr">
        <is>
          <t>17</t>
        </is>
      </c>
      <c r="E3352" t="inlineStr">
        <is>
          <t>34</t>
        </is>
      </c>
      <c r="F3352" t="inlineStr">
        <is>
          <t>-</t>
        </is>
      </c>
      <c r="G3352" t="inlineStr">
        <is>
          <t>-</t>
        </is>
      </c>
      <c r="H3352" t="inlineStr">
        <is>
          <t>R</t>
        </is>
      </c>
    </row>
    <row r="3353">
      <c r="B3353" t="inlineStr">
        <is>
          <t>Arena Shelters</t>
        </is>
      </c>
      <c r="C3353" t="inlineStr">
        <is>
          <t>184</t>
        </is>
      </c>
      <c r="D3353" t="inlineStr">
        <is>
          <t>17</t>
        </is>
      </c>
      <c r="E3353" t="inlineStr">
        <is>
          <t>34</t>
        </is>
      </c>
      <c r="F3353" t="inlineStr">
        <is>
          <t>-</t>
        </is>
      </c>
      <c r="G3353" t="inlineStr">
        <is>
          <t>-</t>
        </is>
      </c>
      <c r="H3353" t="inlineStr">
        <is>
          <t>R</t>
        </is>
      </c>
    </row>
    <row r="3354">
      <c r="B3354" t="inlineStr">
        <is>
          <t>Farm Sun Shelters</t>
        </is>
      </c>
      <c r="C3354" t="inlineStr">
        <is>
          <t>566</t>
        </is>
      </c>
      <c r="D3354" t="inlineStr">
        <is>
          <t>17</t>
        </is>
      </c>
      <c r="E3354" t="inlineStr">
        <is>
          <t>34</t>
        </is>
      </c>
      <c r="F3354" t="inlineStr">
        <is>
          <t>-</t>
        </is>
      </c>
      <c r="G3354" t="inlineStr">
        <is>
          <t>-</t>
        </is>
      </c>
      <c r="H3354" t="inlineStr">
        <is>
          <t>R</t>
        </is>
      </c>
    </row>
    <row r="3355">
      <c r="B3355" t="inlineStr">
        <is>
          <t>Arenas</t>
        </is>
      </c>
      <c r="C3355" t="inlineStr">
        <is>
          <t>428</t>
        </is>
      </c>
      <c r="D3355" t="inlineStr">
        <is>
          <t>17</t>
        </is>
      </c>
      <c r="E3355" t="inlineStr">
        <is>
          <t>35</t>
        </is>
      </c>
      <c r="F3355" t="inlineStr">
        <is>
          <t>-</t>
        </is>
      </c>
      <c r="G3355" t="inlineStr">
        <is>
          <t>-</t>
        </is>
      </c>
      <c r="H3355" t="inlineStr">
        <is>
          <t>R</t>
        </is>
      </c>
    </row>
    <row r="3356">
      <c r="B3356" t="inlineStr">
        <is>
          <t>Equestrian Lean-Tos</t>
        </is>
      </c>
      <c r="C3356" t="inlineStr">
        <is>
          <t>560</t>
        </is>
      </c>
      <c r="D3356" t="inlineStr">
        <is>
          <t>17</t>
        </is>
      </c>
      <c r="E3356" t="inlineStr">
        <is>
          <t>35</t>
        </is>
      </c>
      <c r="F3356" t="inlineStr">
        <is>
          <t>-</t>
        </is>
      </c>
      <c r="G3356" t="inlineStr">
        <is>
          <t>-</t>
        </is>
      </c>
      <c r="H3356" t="inlineStr">
        <is>
          <t>R</t>
        </is>
      </c>
    </row>
    <row r="3357">
      <c r="B3357" t="inlineStr">
        <is>
          <t>Stables</t>
        </is>
      </c>
      <c r="C3357" t="inlineStr">
        <is>
          <t>378</t>
        </is>
      </c>
      <c r="D3357" t="inlineStr">
        <is>
          <t>17</t>
        </is>
      </c>
      <c r="E3357" t="inlineStr">
        <is>
          <t>36</t>
        </is>
      </c>
      <c r="F3357" t="inlineStr">
        <is>
          <t>-</t>
        </is>
      </c>
      <c r="G3357" t="inlineStr">
        <is>
          <t>-</t>
        </is>
      </c>
      <c r="H3357" t="inlineStr">
        <is>
          <t>R</t>
        </is>
      </c>
    </row>
    <row r="3358">
      <c r="B3358" t="inlineStr">
        <is>
          <t>High-Value (Estate) Stables – Horse Barns</t>
        </is>
      </c>
      <c r="C3358" t="inlineStr">
        <is>
          <t>559</t>
        </is>
      </c>
      <c r="D3358" t="inlineStr">
        <is>
          <t>17</t>
        </is>
      </c>
      <c r="E3358" t="inlineStr">
        <is>
          <t>36</t>
        </is>
      </c>
      <c r="F3358" t="inlineStr">
        <is>
          <t>-</t>
        </is>
      </c>
      <c r="G3358" t="inlineStr">
        <is>
          <t>-</t>
        </is>
      </c>
      <c r="H3358" t="inlineStr">
        <is>
          <t>R</t>
        </is>
      </c>
    </row>
    <row r="3359">
      <c r="B3359" t="inlineStr">
        <is>
          <t>Dairies (Milking Parlors)</t>
        </is>
      </c>
      <c r="C3359" t="inlineStr">
        <is>
          <t>316</t>
        </is>
      </c>
      <c r="D3359" t="inlineStr">
        <is>
          <t>17</t>
        </is>
      </c>
      <c r="E3359" t="inlineStr">
        <is>
          <t>38</t>
        </is>
      </c>
      <c r="F3359" t="inlineStr">
        <is>
          <t>-</t>
        </is>
      </c>
      <c r="G3359" t="inlineStr">
        <is>
          <t>-</t>
        </is>
      </c>
      <c r="H3359" t="inlineStr">
        <is>
          <t>R</t>
        </is>
      </c>
    </row>
    <row r="3360">
      <c r="B3360" t="inlineStr">
        <is>
          <t>Milkhouses</t>
        </is>
      </c>
      <c r="C3360" t="inlineStr">
        <is>
          <t>440</t>
        </is>
      </c>
      <c r="D3360" t="inlineStr">
        <is>
          <t>17</t>
        </is>
      </c>
      <c r="E3360" t="inlineStr">
        <is>
          <t>38</t>
        </is>
      </c>
      <c r="F3360" t="inlineStr">
        <is>
          <t>-</t>
        </is>
      </c>
      <c r="G3360" t="inlineStr">
        <is>
          <t>-</t>
        </is>
      </c>
      <c r="H3360" t="inlineStr">
        <is>
          <t>R</t>
        </is>
      </c>
    </row>
    <row r="3361">
      <c r="B3361" t="inlineStr">
        <is>
          <t>Milkhouse Sheds</t>
        </is>
      </c>
      <c r="C3361" t="inlineStr">
        <is>
          <t>114</t>
        </is>
      </c>
      <c r="D3361" t="inlineStr">
        <is>
          <t>17</t>
        </is>
      </c>
      <c r="E3361" t="inlineStr">
        <is>
          <t>38</t>
        </is>
      </c>
      <c r="F3361" t="inlineStr">
        <is>
          <t>-</t>
        </is>
      </c>
      <c r="G3361" t="inlineStr">
        <is>
          <t>-</t>
        </is>
      </c>
      <c r="H3361" t="inlineStr">
        <is>
          <t>R</t>
        </is>
      </c>
    </row>
    <row r="3362">
      <c r="B3362" t="inlineStr">
        <is>
          <t>Hog Barns – Nursery</t>
        </is>
      </c>
      <c r="C3362" t="inlineStr">
        <is>
          <t>112</t>
        </is>
      </c>
      <c r="D3362" t="inlineStr">
        <is>
          <t>17</t>
        </is>
      </c>
      <c r="E3362" t="inlineStr">
        <is>
          <t>40</t>
        </is>
      </c>
      <c r="F3362" t="inlineStr">
        <is>
          <t>-</t>
        </is>
      </c>
      <c r="G3362" t="inlineStr">
        <is>
          <t>-</t>
        </is>
      </c>
      <c r="H3362" t="inlineStr">
        <is>
          <t>R</t>
        </is>
      </c>
    </row>
    <row r="3363">
      <c r="B3363" t="inlineStr">
        <is>
          <t>Hog Barns – Breeding/Gestation</t>
        </is>
      </c>
      <c r="C3363" t="inlineStr">
        <is>
          <t>109</t>
        </is>
      </c>
      <c r="D3363" t="inlineStr">
        <is>
          <t>17</t>
        </is>
      </c>
      <c r="E3363" t="inlineStr">
        <is>
          <t>40</t>
        </is>
      </c>
      <c r="F3363" t="inlineStr">
        <is>
          <t>-</t>
        </is>
      </c>
      <c r="G3363" t="inlineStr">
        <is>
          <t>-</t>
        </is>
      </c>
      <c r="H3363" t="inlineStr">
        <is>
          <t>R</t>
        </is>
      </c>
    </row>
    <row r="3364">
      <c r="B3364" t="inlineStr">
        <is>
          <t>Hog Barns – Farrowing</t>
        </is>
      </c>
      <c r="C3364" t="inlineStr">
        <is>
          <t>110</t>
        </is>
      </c>
      <c r="D3364" t="inlineStr">
        <is>
          <t>17</t>
        </is>
      </c>
      <c r="E3364" t="inlineStr">
        <is>
          <t>41</t>
        </is>
      </c>
      <c r="F3364" t="inlineStr">
        <is>
          <t>-</t>
        </is>
      </c>
      <c r="G3364" t="inlineStr">
        <is>
          <t>-</t>
        </is>
      </c>
      <c r="H3364" t="inlineStr">
        <is>
          <t>R</t>
        </is>
      </c>
    </row>
    <row r="3365">
      <c r="B3365" t="inlineStr">
        <is>
          <t>Hog Barns – Finishing</t>
        </is>
      </c>
      <c r="C3365" t="inlineStr">
        <is>
          <t>111</t>
        </is>
      </c>
      <c r="D3365" t="inlineStr">
        <is>
          <t>17</t>
        </is>
      </c>
      <c r="E3365" t="inlineStr">
        <is>
          <t>41</t>
        </is>
      </c>
      <c r="F3365" t="inlineStr">
        <is>
          <t>-</t>
        </is>
      </c>
      <c r="G3365" t="inlineStr">
        <is>
          <t>-</t>
        </is>
      </c>
      <c r="H3365" t="inlineStr">
        <is>
          <t>R</t>
        </is>
      </c>
    </row>
    <row r="3366">
      <c r="B3366" t="inlineStr">
        <is>
          <t>Modified Hog Sheds</t>
        </is>
      </c>
      <c r="C3366" t="inlineStr">
        <is>
          <t>429</t>
        </is>
      </c>
      <c r="D3366" t="inlineStr">
        <is>
          <t>17</t>
        </is>
      </c>
      <c r="E3366" t="inlineStr">
        <is>
          <t>42</t>
        </is>
      </c>
      <c r="F3366" t="inlineStr">
        <is>
          <t>-</t>
        </is>
      </c>
      <c r="G3366" t="inlineStr">
        <is>
          <t>-</t>
        </is>
      </c>
      <c r="H3366" t="inlineStr">
        <is>
          <t>R</t>
        </is>
      </c>
    </row>
    <row r="3367">
      <c r="B3367" t="inlineStr">
        <is>
          <t>Hog Sheds</t>
        </is>
      </c>
      <c r="C3367" t="inlineStr">
        <is>
          <t>430</t>
        </is>
      </c>
      <c r="D3367" t="inlineStr">
        <is>
          <t>17</t>
        </is>
      </c>
      <c r="E3367" t="inlineStr">
        <is>
          <t>42</t>
        </is>
      </c>
      <c r="F3367" t="inlineStr">
        <is>
          <t>-</t>
        </is>
      </c>
      <c r="G3367" t="inlineStr">
        <is>
          <t>-</t>
        </is>
      </c>
      <c r="H3367" t="inlineStr">
        <is>
          <t>R</t>
        </is>
      </c>
    </row>
    <row r="3368">
      <c r="B3368" t="inlineStr">
        <is>
          <t>Sheep Barns</t>
        </is>
      </c>
      <c r="C3368" t="inlineStr">
        <is>
          <t>397</t>
        </is>
      </c>
      <c r="D3368" t="inlineStr">
        <is>
          <t>17</t>
        </is>
      </c>
      <c r="E3368" t="inlineStr">
        <is>
          <t>44</t>
        </is>
      </c>
      <c r="F3368" t="inlineStr">
        <is>
          <t>-</t>
        </is>
      </c>
      <c r="G3368" t="inlineStr">
        <is>
          <t>-</t>
        </is>
      </c>
      <c r="H3368" t="inlineStr">
        <is>
          <t>R</t>
        </is>
      </c>
    </row>
    <row r="3369">
      <c r="B3369" t="inlineStr">
        <is>
          <t>Sheep Sheds</t>
        </is>
      </c>
      <c r="C3369" t="inlineStr">
        <is>
          <t>120</t>
        </is>
      </c>
      <c r="D3369" t="inlineStr">
        <is>
          <t>17</t>
        </is>
      </c>
      <c r="E3369" t="inlineStr">
        <is>
          <t>44</t>
        </is>
      </c>
      <c r="F3369" t="inlineStr">
        <is>
          <t>-</t>
        </is>
      </c>
      <c r="G3369" t="inlineStr">
        <is>
          <t>-</t>
        </is>
      </c>
      <c r="H3369" t="inlineStr">
        <is>
          <t>R</t>
        </is>
      </c>
    </row>
    <row r="3370">
      <c r="B3370" t="inlineStr">
        <is>
          <t>Poultry Floor Operation – Breeder Houses</t>
        </is>
      </c>
      <c r="C3370" t="inlineStr">
        <is>
          <t>117</t>
        </is>
      </c>
      <c r="D3370" t="inlineStr">
        <is>
          <t>17</t>
        </is>
      </c>
      <c r="E3370" t="inlineStr">
        <is>
          <t>46</t>
        </is>
      </c>
      <c r="F3370" t="inlineStr">
        <is>
          <t>-</t>
        </is>
      </c>
      <c r="G3370" t="inlineStr">
        <is>
          <t>-</t>
        </is>
      </c>
      <c r="H3370" t="inlineStr">
        <is>
          <t>R</t>
        </is>
      </c>
    </row>
    <row r="3371">
      <c r="B3371" t="inlineStr">
        <is>
          <t>Poultry Floor Operation – Broiler Houses</t>
        </is>
      </c>
      <c r="C3371" t="inlineStr">
        <is>
          <t>118</t>
        </is>
      </c>
      <c r="D3371" t="inlineStr">
        <is>
          <t>17</t>
        </is>
      </c>
      <c r="E3371" t="inlineStr">
        <is>
          <t>46</t>
        </is>
      </c>
      <c r="F3371" t="inlineStr">
        <is>
          <t>-</t>
        </is>
      </c>
      <c r="G3371" t="inlineStr">
        <is>
          <t>-</t>
        </is>
      </c>
      <c r="H3371" t="inlineStr">
        <is>
          <t>R</t>
        </is>
      </c>
    </row>
    <row r="3372">
      <c r="B3372" t="inlineStr">
        <is>
          <t>Poultry Cage Operation – Enclosed Houses</t>
        </is>
      </c>
      <c r="C3372" t="inlineStr">
        <is>
          <t>474</t>
        </is>
      </c>
      <c r="D3372" t="inlineStr">
        <is>
          <t>17</t>
        </is>
      </c>
      <c r="E3372" t="inlineStr">
        <is>
          <t>47</t>
        </is>
      </c>
      <c r="F3372" t="inlineStr">
        <is>
          <t>-</t>
        </is>
      </c>
      <c r="G3372" t="inlineStr">
        <is>
          <t>-</t>
        </is>
      </c>
      <c r="H3372" t="inlineStr">
        <is>
          <t>R</t>
        </is>
      </c>
    </row>
    <row r="3373">
      <c r="B3373" t="inlineStr">
        <is>
          <t>Poultry Cage Operation – Screened Houses</t>
        </is>
      </c>
      <c r="C3373" t="inlineStr">
        <is>
          <t>115</t>
        </is>
      </c>
      <c r="D3373" t="inlineStr">
        <is>
          <t>17</t>
        </is>
      </c>
      <c r="E3373" t="inlineStr">
        <is>
          <t>47</t>
        </is>
      </c>
      <c r="F3373" t="inlineStr">
        <is>
          <t>-</t>
        </is>
      </c>
      <c r="G3373" t="inlineStr">
        <is>
          <t>-</t>
        </is>
      </c>
      <c r="H3373" t="inlineStr">
        <is>
          <t>R</t>
        </is>
      </c>
    </row>
    <row r="3374">
      <c r="B3374" t="inlineStr">
        <is>
          <t>Farm Labor Housing – Dormitories</t>
        </is>
      </c>
      <c r="C3374" t="inlineStr">
        <is>
          <t>393</t>
        </is>
      </c>
      <c r="D3374" t="inlineStr">
        <is>
          <t>17</t>
        </is>
      </c>
      <c r="E3374" t="inlineStr">
        <is>
          <t>49</t>
        </is>
      </c>
      <c r="F3374" t="inlineStr">
        <is>
          <t>-</t>
        </is>
      </c>
      <c r="G3374" t="inlineStr">
        <is>
          <t>-</t>
        </is>
      </c>
      <c r="H3374" t="inlineStr">
        <is>
          <t>R</t>
        </is>
      </c>
    </row>
    <row r="3375">
      <c r="B3375" t="inlineStr">
        <is>
          <t>Transient Labor Cabins</t>
        </is>
      </c>
      <c r="C3375" t="inlineStr">
        <is>
          <t>394</t>
        </is>
      </c>
      <c r="D3375" t="inlineStr">
        <is>
          <t>17</t>
        </is>
      </c>
      <c r="E3375" t="inlineStr">
        <is>
          <t>49</t>
        </is>
      </c>
      <c r="F3375" t="inlineStr">
        <is>
          <t>-</t>
        </is>
      </c>
      <c r="G3375" t="inlineStr">
        <is>
          <t>-</t>
        </is>
      </c>
      <c r="H3375" t="inlineStr">
        <is>
          <t>R</t>
        </is>
      </c>
    </row>
    <row r="3376">
      <c r="B3376" t="inlineStr">
        <is>
          <t>Hunting Shelters</t>
        </is>
      </c>
      <c r="C3376" t="inlineStr">
        <is>
          <t>155</t>
        </is>
      </c>
      <c r="D3376" t="inlineStr">
        <is>
          <t>17</t>
        </is>
      </c>
      <c r="E3376" t="inlineStr">
        <is>
          <t>49</t>
        </is>
      </c>
      <c r="F3376" t="inlineStr">
        <is>
          <t>-</t>
        </is>
      </c>
      <c r="G3376" t="inlineStr">
        <is>
          <t>-</t>
        </is>
      </c>
      <c r="H3376" t="inlineStr">
        <is>
          <t>R</t>
        </is>
      </c>
    </row>
    <row r="3377">
      <c r="B3377" t="inlineStr">
        <is>
          <t>High Schools</t>
        </is>
      </c>
      <c r="C3377" t="inlineStr">
        <is>
          <t>484</t>
        </is>
      </c>
      <c r="D3377" t="inlineStr">
        <is>
          <t>18</t>
        </is>
      </c>
      <c r="E3377" t="inlineStr">
        <is>
          <t>9</t>
        </is>
      </c>
      <c r="F3377" t="inlineStr">
        <is>
          <t>18</t>
        </is>
      </c>
      <c r="G3377" t="inlineStr">
        <is>
          <t>18</t>
        </is>
      </c>
      <c r="H3377" t="inlineStr">
        <is>
          <t>R</t>
        </is>
      </c>
    </row>
    <row r="3378">
      <c r="B3378" t="inlineStr">
        <is>
          <t>Middle (Junior High) Schools</t>
        </is>
      </c>
      <c r="C3378" t="inlineStr">
        <is>
          <t>366</t>
        </is>
      </c>
      <c r="D3378" t="inlineStr">
        <is>
          <t>18</t>
        </is>
      </c>
      <c r="E3378" t="inlineStr">
        <is>
          <t>10</t>
        </is>
      </c>
      <c r="F3378" t="inlineStr">
        <is>
          <t>18</t>
        </is>
      </c>
      <c r="G3378" t="inlineStr">
        <is>
          <t>18</t>
        </is>
      </c>
      <c r="H3378" t="inlineStr">
        <is>
          <t>R</t>
        </is>
      </c>
    </row>
    <row r="3379">
      <c r="B3379" t="inlineStr">
        <is>
          <t>Elementary Schools</t>
        </is>
      </c>
      <c r="C3379" t="inlineStr">
        <is>
          <t>365</t>
        </is>
      </c>
      <c r="D3379" t="inlineStr">
        <is>
          <t>18</t>
        </is>
      </c>
      <c r="E3379" t="inlineStr">
        <is>
          <t>11</t>
        </is>
      </c>
      <c r="F3379" t="inlineStr">
        <is>
          <t>18</t>
        </is>
      </c>
      <c r="G3379" t="inlineStr">
        <is>
          <t>18</t>
        </is>
      </c>
      <c r="H3379" t="inlineStr">
        <is>
          <t>R</t>
        </is>
      </c>
    </row>
    <row r="3380">
      <c r="B3380" t="inlineStr">
        <is>
          <t>Vocational Schools</t>
        </is>
      </c>
      <c r="C3380" t="inlineStr">
        <is>
          <t>487</t>
        </is>
      </c>
      <c r="D3380" t="inlineStr">
        <is>
          <t>18</t>
        </is>
      </c>
      <c r="E3380" t="inlineStr">
        <is>
          <t>12</t>
        </is>
      </c>
      <c r="F3380" t="inlineStr">
        <is>
          <t>18</t>
        </is>
      </c>
      <c r="G3380" t="inlineStr">
        <is>
          <t>18</t>
        </is>
      </c>
      <c r="H3380" t="inlineStr">
        <is>
          <t>R</t>
        </is>
      </c>
    </row>
    <row r="3381">
      <c r="B3381" t="inlineStr">
        <is>
          <t>Alternative (High) Schools</t>
        </is>
      </c>
      <c r="C3381" t="inlineStr">
        <is>
          <t>156</t>
        </is>
      </c>
      <c r="D3381" t="inlineStr">
        <is>
          <t>18</t>
        </is>
      </c>
      <c r="E3381" t="inlineStr">
        <is>
          <t>13</t>
        </is>
      </c>
      <c r="F3381" t="inlineStr">
        <is>
          <t>18</t>
        </is>
      </c>
      <c r="G3381" t="inlineStr">
        <is>
          <t>18</t>
        </is>
      </c>
      <c r="H3381" t="inlineStr">
        <is>
          <t>R</t>
        </is>
      </c>
    </row>
    <row r="3382">
      <c r="B3382" t="inlineStr">
        <is>
          <t>Day Care Centers</t>
        </is>
      </c>
      <c r="C3382" t="inlineStr">
        <is>
          <t>426</t>
        </is>
      </c>
      <c r="D3382" t="inlineStr">
        <is>
          <t>18</t>
        </is>
      </c>
      <c r="E3382" t="inlineStr">
        <is>
          <t>13</t>
        </is>
      </c>
      <c r="F3382" t="inlineStr">
        <is>
          <t>18</t>
        </is>
      </c>
      <c r="G3382" t="inlineStr">
        <is>
          <t>18</t>
        </is>
      </c>
      <c r="H3382" t="inlineStr">
        <is>
          <t>R</t>
        </is>
      </c>
    </row>
    <row r="3383">
      <c r="B3383" t="inlineStr">
        <is>
          <t>Classrooms</t>
        </is>
      </c>
      <c r="C3383" t="inlineStr">
        <is>
          <t>356</t>
        </is>
      </c>
      <c r="D3383" t="inlineStr">
        <is>
          <t>18</t>
        </is>
      </c>
      <c r="E3383" t="inlineStr">
        <is>
          <t>14</t>
        </is>
      </c>
      <c r="F3383" t="inlineStr">
        <is>
          <t>18</t>
        </is>
      </c>
      <c r="G3383" t="inlineStr">
        <is>
          <t>18</t>
        </is>
      </c>
      <c r="H3383" t="inlineStr">
        <is>
          <t>R</t>
        </is>
      </c>
    </row>
    <row r="3384">
      <c r="B3384" t="inlineStr">
        <is>
          <t>Special Education Classrooms</t>
        </is>
      </c>
      <c r="C3384" t="inlineStr">
        <is>
          <t>158</t>
        </is>
      </c>
      <c r="D3384" t="inlineStr">
        <is>
          <t>18</t>
        </is>
      </c>
      <c r="E3384" t="inlineStr">
        <is>
          <t>15</t>
        </is>
      </c>
      <c r="F3384" t="inlineStr">
        <is>
          <t>18</t>
        </is>
      </c>
      <c r="G3384" t="inlineStr">
        <is>
          <t>18</t>
        </is>
      </c>
      <c r="H3384" t="inlineStr">
        <is>
          <t>R</t>
        </is>
      </c>
    </row>
    <row r="3385">
      <c r="B3385" t="inlineStr">
        <is>
          <t>Relocatable Classrooms</t>
        </is>
      </c>
      <c r="C3385" t="inlineStr">
        <is>
          <t>598</t>
        </is>
      </c>
      <c r="D3385" t="inlineStr">
        <is>
          <t>18</t>
        </is>
      </c>
      <c r="E3385" t="inlineStr">
        <is>
          <t>15</t>
        </is>
      </c>
      <c r="F3385" t="inlineStr">
        <is>
          <t>18</t>
        </is>
      </c>
      <c r="G3385" t="inlineStr">
        <is>
          <t>18</t>
        </is>
      </c>
      <c r="H3385" t="inlineStr">
        <is>
          <t>R</t>
        </is>
      </c>
    </row>
    <row r="3386">
      <c r="B3386" t="inlineStr">
        <is>
          <t>Manual Arts (Shop) Buildings</t>
        </is>
      </c>
      <c r="C3386" t="inlineStr">
        <is>
          <t>361</t>
        </is>
      </c>
      <c r="D3386" t="inlineStr">
        <is>
          <t>18</t>
        </is>
      </c>
      <c r="E3386" t="inlineStr">
        <is>
          <t>16</t>
        </is>
      </c>
      <c r="F3386" t="inlineStr">
        <is>
          <t>18</t>
        </is>
      </c>
      <c r="G3386" t="inlineStr">
        <is>
          <t>18</t>
        </is>
      </c>
      <c r="H3386" t="inlineStr">
        <is>
          <t>R</t>
        </is>
      </c>
    </row>
    <row r="3387">
      <c r="B3387" t="inlineStr">
        <is>
          <t>Lecture Classrooms</t>
        </is>
      </c>
      <c r="C3387" t="inlineStr">
        <is>
          <t>359</t>
        </is>
      </c>
      <c r="D3387" t="inlineStr">
        <is>
          <t>18</t>
        </is>
      </c>
      <c r="E3387" t="inlineStr">
        <is>
          <t>16</t>
        </is>
      </c>
      <c r="F3387" t="inlineStr">
        <is>
          <t>18</t>
        </is>
      </c>
      <c r="G3387" t="inlineStr">
        <is>
          <t>18</t>
        </is>
      </c>
      <c r="H3387" t="inlineStr">
        <is>
          <t>R</t>
        </is>
      </c>
    </row>
    <row r="3388">
      <c r="B3388" t="inlineStr">
        <is>
          <t>Multipurpose Buildings</t>
        </is>
      </c>
      <c r="C3388" t="inlineStr">
        <is>
          <t>362</t>
        </is>
      </c>
      <c r="D3388" t="inlineStr">
        <is>
          <t>18</t>
        </is>
      </c>
      <c r="E3388" t="inlineStr">
        <is>
          <t>17</t>
        </is>
      </c>
      <c r="F3388" t="inlineStr">
        <is>
          <t>18</t>
        </is>
      </c>
      <c r="G3388" t="inlineStr">
        <is>
          <t>18</t>
        </is>
      </c>
      <c r="H3388" t="inlineStr">
        <is>
          <t>R</t>
        </is>
      </c>
    </row>
    <row r="3389">
      <c r="B3389" t="inlineStr">
        <is>
          <t>Laboratory Classrooms</t>
        </is>
      </c>
      <c r="C3389" t="inlineStr">
        <is>
          <t>364</t>
        </is>
      </c>
      <c r="D3389" t="inlineStr">
        <is>
          <t>18</t>
        </is>
      </c>
      <c r="E3389" t="inlineStr">
        <is>
          <t>17</t>
        </is>
      </c>
      <c r="F3389" t="inlineStr">
        <is>
          <t>18</t>
        </is>
      </c>
      <c r="G3389" t="inlineStr">
        <is>
          <t>18</t>
        </is>
      </c>
      <c r="H3389" t="inlineStr">
        <is>
          <t>R</t>
        </is>
      </c>
    </row>
    <row r="3390">
      <c r="B3390" t="inlineStr">
        <is>
          <t>Elementary and Secondary Media Centers (Libraries)</t>
        </is>
      </c>
      <c r="C3390" t="inlineStr">
        <is>
          <t>360</t>
        </is>
      </c>
      <c r="D3390" t="inlineStr">
        <is>
          <t>18</t>
        </is>
      </c>
      <c r="E3390" t="inlineStr">
        <is>
          <t>18</t>
        </is>
      </c>
      <c r="F3390" t="inlineStr">
        <is>
          <t>18</t>
        </is>
      </c>
      <c r="G3390" t="inlineStr">
        <is>
          <t>18</t>
        </is>
      </c>
      <c r="H3390" t="inlineStr">
        <is>
          <t>R</t>
        </is>
      </c>
    </row>
    <row r="3391">
      <c r="B3391" t="inlineStr">
        <is>
          <t>Academic (College) Libraries</t>
        </is>
      </c>
      <c r="C3391" t="inlineStr">
        <is>
          <t>372</t>
        </is>
      </c>
      <c r="D3391" t="inlineStr">
        <is>
          <t>18</t>
        </is>
      </c>
      <c r="E3391" t="inlineStr">
        <is>
          <t>19</t>
        </is>
      </c>
      <c r="F3391" t="inlineStr">
        <is>
          <t>18</t>
        </is>
      </c>
      <c r="G3391" t="inlineStr">
        <is>
          <t>18</t>
        </is>
      </c>
      <c r="H3391" t="inlineStr">
        <is>
          <t>R</t>
        </is>
      </c>
    </row>
    <row r="3392">
      <c r="B3392" t="inlineStr">
        <is>
          <t>Fine Arts Buildings</t>
        </is>
      </c>
      <c r="C3392" t="inlineStr">
        <is>
          <t>355</t>
        </is>
      </c>
      <c r="D3392" t="inlineStr">
        <is>
          <t>18</t>
        </is>
      </c>
      <c r="E3392" t="inlineStr">
        <is>
          <t>20</t>
        </is>
      </c>
      <c r="F3392" t="inlineStr">
        <is>
          <t>18</t>
        </is>
      </c>
      <c r="G3392" t="inlineStr">
        <is>
          <t>18</t>
        </is>
      </c>
      <c r="H3392" t="inlineStr">
        <is>
          <t>R</t>
        </is>
      </c>
    </row>
    <row r="3393">
      <c r="B3393" t="inlineStr">
        <is>
          <t>Book Stores</t>
        </is>
      </c>
      <c r="C3393" t="inlineStr">
        <is>
          <t>488</t>
        </is>
      </c>
      <c r="D3393" t="inlineStr">
        <is>
          <t>18</t>
        </is>
      </c>
      <c r="E3393" t="inlineStr">
        <is>
          <t>20</t>
        </is>
      </c>
      <c r="F3393" t="inlineStr">
        <is>
          <t>18</t>
        </is>
      </c>
      <c r="G3393" t="inlineStr">
        <is>
          <t>18</t>
        </is>
      </c>
      <c r="H3393" t="inlineStr">
        <is>
          <t>R</t>
        </is>
      </c>
    </row>
    <row r="3394">
      <c r="B3394" t="inlineStr">
        <is>
          <t>Restroom Buildings</t>
        </is>
      </c>
      <c r="C3394" t="inlineStr">
        <is>
          <t>432</t>
        </is>
      </c>
      <c r="D3394" t="inlineStr">
        <is>
          <t>18</t>
        </is>
      </c>
      <c r="E3394" t="inlineStr">
        <is>
          <t>21</t>
        </is>
      </c>
      <c r="F3394" t="inlineStr">
        <is>
          <t>18</t>
        </is>
      </c>
      <c r="G3394" t="inlineStr">
        <is>
          <t>18</t>
        </is>
      </c>
      <c r="H3394" t="inlineStr">
        <is>
          <t>R</t>
        </is>
      </c>
    </row>
    <row r="3395">
      <c r="B3395" t="inlineStr">
        <is>
          <t>Maintenance (Storage) Buildings</t>
        </is>
      </c>
      <c r="C3395" t="inlineStr">
        <is>
          <t>157</t>
        </is>
      </c>
      <c r="D3395" t="inlineStr">
        <is>
          <t>18</t>
        </is>
      </c>
      <c r="E3395" t="inlineStr">
        <is>
          <t>21</t>
        </is>
      </c>
      <c r="F3395" t="inlineStr">
        <is>
          <t>18</t>
        </is>
      </c>
      <c r="G3395" t="inlineStr">
        <is>
          <t>18</t>
        </is>
      </c>
      <c r="H3395" t="inlineStr">
        <is>
          <t>R</t>
        </is>
      </c>
    </row>
    <row r="3396">
      <c r="B3396" t="inlineStr">
        <is>
          <t>Natatoriums</t>
        </is>
      </c>
      <c r="C3396" t="inlineStr">
        <is>
          <t>485</t>
        </is>
      </c>
      <c r="D3396" t="inlineStr">
        <is>
          <t>18</t>
        </is>
      </c>
      <c r="E3396" t="inlineStr">
        <is>
          <t>22</t>
        </is>
      </c>
      <c r="F3396" t="inlineStr">
        <is>
          <t>18</t>
        </is>
      </c>
      <c r="G3396" t="inlineStr">
        <is>
          <t>18</t>
        </is>
      </c>
      <c r="H3396" t="inlineStr">
        <is>
          <t>R</t>
        </is>
      </c>
    </row>
    <row r="3397">
      <c r="B3397" t="inlineStr">
        <is>
          <t>Shower Room Buildings</t>
        </is>
      </c>
      <c r="C3397" t="inlineStr">
        <is>
          <t>403</t>
        </is>
      </c>
      <c r="D3397" t="inlineStr">
        <is>
          <t>18</t>
        </is>
      </c>
      <c r="E3397" t="inlineStr">
        <is>
          <t>22</t>
        </is>
      </c>
      <c r="F3397" t="inlineStr">
        <is>
          <t>18</t>
        </is>
      </c>
      <c r="G3397" t="inlineStr">
        <is>
          <t>18</t>
        </is>
      </c>
      <c r="H3397" t="inlineStr">
        <is>
          <t>R</t>
        </is>
      </c>
    </row>
    <row r="3398">
      <c r="B3398" t="inlineStr">
        <is>
          <t>Fieldhouses</t>
        </is>
      </c>
      <c r="C3398" t="inlineStr">
        <is>
          <t>486</t>
        </is>
      </c>
      <c r="D3398" t="inlineStr">
        <is>
          <t>18</t>
        </is>
      </c>
      <c r="E3398" t="inlineStr">
        <is>
          <t>23</t>
        </is>
      </c>
      <c r="F3398" t="inlineStr">
        <is>
          <t>18</t>
        </is>
      </c>
      <c r="G3398" t="inlineStr">
        <is>
          <t>18</t>
        </is>
      </c>
      <c r="H3398" t="inlineStr">
        <is>
          <t>R</t>
        </is>
      </c>
    </row>
    <row r="3399">
      <c r="B3399" t="inlineStr">
        <is>
          <t>Physical Education Buildings</t>
        </is>
      </c>
      <c r="C3399" t="inlineStr">
        <is>
          <t>375</t>
        </is>
      </c>
      <c r="D3399" t="inlineStr">
        <is>
          <t>18</t>
        </is>
      </c>
      <c r="E3399" t="inlineStr">
        <is>
          <t>24</t>
        </is>
      </c>
      <c r="F3399" t="inlineStr">
        <is>
          <t>18</t>
        </is>
      </c>
      <c r="G3399" t="inlineStr">
        <is>
          <t>18</t>
        </is>
      </c>
      <c r="H3399" t="inlineStr">
        <is>
          <t>R</t>
        </is>
      </c>
    </row>
    <row r="3400">
      <c r="B3400" t="inlineStr">
        <is>
          <t>Gymnasiums</t>
        </is>
      </c>
      <c r="C3400" t="inlineStr">
        <is>
          <t>358</t>
        </is>
      </c>
      <c r="D3400" t="inlineStr">
        <is>
          <t>18</t>
        </is>
      </c>
      <c r="E3400" t="inlineStr">
        <is>
          <t>25</t>
        </is>
      </c>
      <c r="F3400" t="inlineStr">
        <is>
          <t>18</t>
        </is>
      </c>
      <c r="G3400" t="inlineStr">
        <is>
          <t>18</t>
        </is>
      </c>
      <c r="H3400" t="inlineStr">
        <is>
          <t>R</t>
        </is>
      </c>
    </row>
    <row r="3401">
      <c r="B3401" t="inlineStr">
        <is>
          <t>Colleges</t>
        </is>
      </c>
      <c r="C3401" t="inlineStr">
        <is>
          <t>377</t>
        </is>
      </c>
      <c r="D3401" t="inlineStr">
        <is>
          <t>18</t>
        </is>
      </c>
      <c r="E3401" t="inlineStr">
        <is>
          <t>26</t>
        </is>
      </c>
      <c r="F3401" t="inlineStr">
        <is>
          <t>18</t>
        </is>
      </c>
      <c r="G3401" t="inlineStr">
        <is>
          <t>18</t>
        </is>
      </c>
      <c r="H3401" t="inlineStr">
        <is>
          <t>R</t>
        </is>
      </c>
    </row>
    <row r="3402">
      <c r="B3402" t="inlineStr">
        <is>
          <t>College Classrooms</t>
        </is>
      </c>
      <c r="C3402" t="inlineStr">
        <is>
          <t>368</t>
        </is>
      </c>
      <c r="D3402" t="inlineStr">
        <is>
          <t>18</t>
        </is>
      </c>
      <c r="E3402" t="inlineStr">
        <is>
          <t>27</t>
        </is>
      </c>
      <c r="F3402" t="inlineStr">
        <is>
          <t>18</t>
        </is>
      </c>
      <c r="G3402" t="inlineStr">
        <is>
          <t>18</t>
        </is>
      </c>
      <c r="H3402" t="inlineStr">
        <is>
          <t>R</t>
        </is>
      </c>
    </row>
    <row r="3403">
      <c r="B3403" t="inlineStr">
        <is>
          <t>Technical Trades Buildings</t>
        </is>
      </c>
      <c r="C3403" t="inlineStr">
        <is>
          <t>373</t>
        </is>
      </c>
      <c r="D3403" t="inlineStr">
        <is>
          <t>18</t>
        </is>
      </c>
      <c r="E3403" t="inlineStr">
        <is>
          <t>28</t>
        </is>
      </c>
      <c r="F3403" t="inlineStr">
        <is>
          <t>18</t>
        </is>
      </c>
      <c r="G3403" t="inlineStr">
        <is>
          <t>18</t>
        </is>
      </c>
      <c r="H3403" t="inlineStr">
        <is>
          <t>R</t>
        </is>
      </c>
    </row>
    <row r="3404">
      <c r="B3404" t="inlineStr">
        <is>
          <t>Lecture Hall Buildings</t>
        </is>
      </c>
      <c r="C3404" t="inlineStr">
        <is>
          <t>371</t>
        </is>
      </c>
      <c r="D3404" t="inlineStr">
        <is>
          <t>18</t>
        </is>
      </c>
      <c r="E3404" t="inlineStr">
        <is>
          <t>28</t>
        </is>
      </c>
      <c r="F3404" t="inlineStr">
        <is>
          <t>18</t>
        </is>
      </c>
      <c r="G3404" t="inlineStr">
        <is>
          <t>18</t>
        </is>
      </c>
      <c r="H3404" t="inlineStr">
        <is>
          <t>R</t>
        </is>
      </c>
    </row>
    <row r="3405">
      <c r="B3405" t="inlineStr">
        <is>
          <t>Arts &amp; Crafts Buildings</t>
        </is>
      </c>
      <c r="C3405" t="inlineStr">
        <is>
          <t>367</t>
        </is>
      </c>
      <c r="D3405" t="inlineStr">
        <is>
          <t>18</t>
        </is>
      </c>
      <c r="E3405" t="inlineStr">
        <is>
          <t>29</t>
        </is>
      </c>
      <c r="F3405" t="inlineStr">
        <is>
          <t>18</t>
        </is>
      </c>
      <c r="G3405" t="inlineStr">
        <is>
          <t>18</t>
        </is>
      </c>
      <c r="H3405" t="inlineStr">
        <is>
          <t>R</t>
        </is>
      </c>
    </row>
    <row r="3406">
      <c r="B3406" t="inlineStr">
        <is>
          <t>Science Buildings</t>
        </is>
      </c>
      <c r="C3406" t="inlineStr">
        <is>
          <t>376</t>
        </is>
      </c>
      <c r="D3406" t="inlineStr">
        <is>
          <t>18</t>
        </is>
      </c>
      <c r="E3406" t="inlineStr">
        <is>
          <t>30</t>
        </is>
      </c>
      <c r="F3406" t="inlineStr">
        <is>
          <t>18</t>
        </is>
      </c>
      <c r="G3406" t="inlineStr">
        <is>
          <t>18</t>
        </is>
      </c>
      <c r="H3406" t="inlineStr">
        <is>
          <t>R</t>
        </is>
      </c>
    </row>
    <row r="3407">
      <c r="B3407" t="inlineStr">
        <is>
          <t>Commons</t>
        </is>
      </c>
      <c r="C3407" t="inlineStr">
        <is>
          <t>369</t>
        </is>
      </c>
      <c r="D3407" t="inlineStr">
        <is>
          <t>18</t>
        </is>
      </c>
      <c r="E3407" t="inlineStr">
        <is>
          <t>31</t>
        </is>
      </c>
      <c r="F3407" t="inlineStr">
        <is>
          <t>18</t>
        </is>
      </c>
      <c r="G3407" t="inlineStr">
        <is>
          <t>18</t>
        </is>
      </c>
      <c r="H3407" t="inlineStr">
        <is>
          <t>R</t>
        </is>
      </c>
    </row>
    <row r="3408">
      <c r="B3408" t="inlineStr">
        <is>
          <t>Administration (Office) Buildings</t>
        </is>
      </c>
      <c r="C3408" t="inlineStr">
        <is>
          <t>600</t>
        </is>
      </c>
      <c r="D3408" t="inlineStr">
        <is>
          <t>18</t>
        </is>
      </c>
      <c r="E3408" t="inlineStr">
        <is>
          <t>32</t>
        </is>
      </c>
      <c r="F3408" t="inlineStr">
        <is>
          <t>18</t>
        </is>
      </c>
      <c r="G3408" t="inlineStr">
        <is>
          <t>18</t>
        </is>
      </c>
      <c r="H3408" t="inlineStr">
        <is>
          <t>R</t>
        </is>
      </c>
    </row>
    <row r="3409">
      <c r="B3409" t="inlineStr">
        <is>
          <t>Relocatable Offices</t>
        </is>
      </c>
      <c r="C3409" t="inlineStr">
        <is>
          <t>599</t>
        </is>
      </c>
      <c r="D3409" t="inlineStr">
        <is>
          <t>18</t>
        </is>
      </c>
      <c r="E3409" t="inlineStr">
        <is>
          <t>33</t>
        </is>
      </c>
      <c r="F3409" t="inlineStr">
        <is>
          <t>18</t>
        </is>
      </c>
      <c r="G3409" t="inlineStr">
        <is>
          <t>18</t>
        </is>
      </c>
      <c r="H3409" t="inlineStr">
        <is>
          <t>R</t>
        </is>
      </c>
    </row>
    <row r="3410">
      <c r="B3410" t="inlineStr">
        <is>
          <t>Commercial (Institutional) Greenhouses</t>
        </is>
      </c>
      <c r="C3410" t="inlineStr">
        <is>
          <t>171</t>
        </is>
      </c>
      <c r="D3410" t="inlineStr">
        <is>
          <t>18</t>
        </is>
      </c>
      <c r="E3410" t="inlineStr">
        <is>
          <t>34</t>
        </is>
      </c>
      <c r="F3410" t="inlineStr">
        <is>
          <t>18</t>
        </is>
      </c>
      <c r="G3410" t="inlineStr">
        <is>
          <t>18</t>
        </is>
      </c>
      <c r="H3410" t="inlineStr">
        <is>
          <t>R</t>
        </is>
      </c>
    </row>
    <row r="3413">
      <c r="B3413" s="305" t="inlineStr">
        <is>
          <t>REFERENCE 4b -- County OCC Code -&gt; MVS Occupancy map (drives the Cost Approach auto-selection from the Subject Property's OCC code). Codes are numeric to match Subj_OccCode. Codes with no calculator table are listed below the named range with the reason.</t>
        </is>
      </c>
    </row>
    <row r="3414">
      <c r="B3414" s="306" t="inlineStr">
        <is>
          <t>County OCC Code</t>
        </is>
      </c>
      <c r="C3414" s="306" t="inlineStr">
        <is>
          <t>County Description</t>
        </is>
      </c>
      <c r="D3414" s="306" t="inlineStr">
        <is>
          <t>MVS Occupancy (Reference 4)</t>
        </is>
      </c>
    </row>
    <row r="3415">
      <c r="B3415" t="n">
        <v>26</v>
      </c>
      <c r="C3415" t="inlineStr">
        <is>
          <t>Studio Loft</t>
        </is>
      </c>
      <c r="D3415" t="inlineStr">
        <is>
          <t>Lofts</t>
        </is>
      </c>
    </row>
    <row r="3416">
      <c r="B3416" t="n">
        <v>100</v>
      </c>
      <c r="C3416" t="inlineStr">
        <is>
          <t>Single Family Residential</t>
        </is>
      </c>
      <c r="D3416" t="inlineStr">
        <is>
          <t>Single-Family Residences</t>
        </is>
      </c>
    </row>
    <row r="3417">
      <c r="B3417" t="n">
        <v>101</v>
      </c>
      <c r="C3417" t="inlineStr">
        <is>
          <t>Ag Single Family Residential-not integral</t>
        </is>
      </c>
      <c r="D3417" t="inlineStr">
        <is>
          <t>Single-Family Residences</t>
        </is>
      </c>
    </row>
    <row r="3418">
      <c r="B3418" t="n">
        <v>102</v>
      </c>
      <c r="C3418" t="inlineStr">
        <is>
          <t>Duplex</t>
        </is>
      </c>
      <c r="D3418" t="inlineStr">
        <is>
          <t>Multiple Residences</t>
        </is>
      </c>
    </row>
    <row r="3419">
      <c r="B3419" t="n">
        <v>105</v>
      </c>
      <c r="C3419" t="inlineStr">
        <is>
          <t>Attached Single Family Residential</t>
        </is>
      </c>
      <c r="D3419" t="inlineStr">
        <is>
          <t>Town Houses</t>
        </is>
      </c>
    </row>
    <row r="3420">
      <c r="B3420" t="n">
        <v>116</v>
      </c>
      <c r="C3420" t="inlineStr">
        <is>
          <t>Apartment w/4-8 Units</t>
        </is>
      </c>
      <c r="D3420" t="inlineStr">
        <is>
          <t>Multiple Residences</t>
        </is>
      </c>
    </row>
    <row r="3421">
      <c r="B3421" t="n">
        <v>118</v>
      </c>
      <c r="C3421" t="inlineStr">
        <is>
          <t>Apartment w/9 + Units</t>
        </is>
      </c>
      <c r="D3421" t="inlineStr">
        <is>
          <t>Multiple Residences</t>
        </is>
      </c>
    </row>
    <row r="3422">
      <c r="B3422" t="n">
        <v>186</v>
      </c>
      <c r="C3422" t="inlineStr">
        <is>
          <t>Light Commercial - Manufacturing Utility Bldg</t>
        </is>
      </c>
      <c r="D3422" t="inlineStr">
        <is>
          <t>Light Commercial – Manufacturing Utility Buildings</t>
        </is>
      </c>
    </row>
    <row r="3423">
      <c r="B3423" t="n">
        <v>204</v>
      </c>
      <c r="C3423" t="inlineStr">
        <is>
          <t>Computer Centers</t>
        </is>
      </c>
      <c r="D3423" t="inlineStr">
        <is>
          <t>Computer (Data) Centers</t>
        </is>
      </c>
    </row>
    <row r="3424">
      <c r="B3424" t="n">
        <v>209</v>
      </c>
      <c r="C3424" t="inlineStr">
        <is>
          <t>Nursery/Greenhouse</t>
        </is>
      </c>
      <c r="D3424" t="inlineStr">
        <is>
          <t>Greenhouse – Straight-Wall Structures</t>
        </is>
      </c>
    </row>
    <row r="3425">
      <c r="B3425" t="n">
        <v>210</v>
      </c>
      <c r="C3425" t="inlineStr">
        <is>
          <t>Industrial Flex Mall Building</t>
        </is>
      </c>
      <c r="D3425" t="inlineStr">
        <is>
          <t>Industrial Flex (Mall) Buildings</t>
        </is>
      </c>
    </row>
    <row r="3426">
      <c r="B3426" t="n">
        <v>212</v>
      </c>
      <c r="C3426" t="inlineStr">
        <is>
          <t>Laboratories</t>
        </is>
      </c>
      <c r="D3426" t="inlineStr">
        <is>
          <t>Laboratory Buildings</t>
        </is>
      </c>
    </row>
    <row r="3427">
      <c r="B3427" t="n">
        <v>213</v>
      </c>
      <c r="C3427" t="inlineStr">
        <is>
          <t>Light Industrial Shell Buildings</t>
        </is>
      </c>
      <c r="D3427" t="inlineStr">
        <is>
          <t>Light Industrial/Warehouse Shell Buildings</t>
        </is>
      </c>
    </row>
    <row r="3428">
      <c r="B3428" t="n">
        <v>220</v>
      </c>
      <c r="C3428" t="inlineStr">
        <is>
          <t>Recreational Pool Enclosure</t>
        </is>
      </c>
      <c r="D3428" t="inlineStr">
        <is>
          <t>Recreational (Pool) Enclosures</t>
        </is>
      </c>
    </row>
    <row r="3429">
      <c r="B3429" t="n">
        <v>227</v>
      </c>
      <c r="C3429" t="inlineStr">
        <is>
          <t>Complete Auto Dealership</t>
        </is>
      </c>
      <c r="D3429" t="inlineStr">
        <is>
          <t>Complete Auto Dealerships</t>
        </is>
      </c>
    </row>
    <row r="3430">
      <c r="B3430" t="n">
        <v>228</v>
      </c>
      <c r="C3430" t="inlineStr">
        <is>
          <t>Kennel</t>
        </is>
      </c>
      <c r="D3430" t="inlineStr">
        <is>
          <t>Kennels</t>
        </is>
      </c>
    </row>
    <row r="3431">
      <c r="B3431" t="n">
        <v>300</v>
      </c>
      <c r="C3431" t="inlineStr">
        <is>
          <t>Apartments (Hi-Rise)</t>
        </is>
      </c>
      <c r="D3431" t="inlineStr">
        <is>
          <t>Apartments (High-Rise)</t>
        </is>
      </c>
    </row>
    <row r="3432">
      <c r="B3432" t="n">
        <v>302</v>
      </c>
      <c r="C3432" t="inlineStr">
        <is>
          <t>Auditorium</t>
        </is>
      </c>
      <c r="D3432" t="inlineStr">
        <is>
          <t>Auditoriums</t>
        </is>
      </c>
    </row>
    <row r="3433">
      <c r="B3433" t="n">
        <v>303</v>
      </c>
      <c r="C3433" t="inlineStr">
        <is>
          <t>Showroom</t>
        </is>
      </c>
      <c r="D3433" t="inlineStr">
        <is>
          <t>Showrooms</t>
        </is>
      </c>
    </row>
    <row r="3434">
      <c r="B3434" t="n">
        <v>304</v>
      </c>
      <c r="C3434" t="inlineStr">
        <is>
          <t>Bank</t>
        </is>
      </c>
      <c r="D3434" t="inlineStr">
        <is>
          <t>Banks, Branch</t>
        </is>
      </c>
    </row>
    <row r="3435">
      <c r="B3435" t="n">
        <v>305</v>
      </c>
      <c r="C3435" t="inlineStr">
        <is>
          <t>Drive-up Mini Banks</t>
        </is>
      </c>
      <c r="D3435" t="inlineStr">
        <is>
          <t>Mini-Banks (Walk-Up and Drive-Through)</t>
        </is>
      </c>
    </row>
    <row r="3436">
      <c r="B3436" t="n">
        <v>306</v>
      </c>
      <c r="C3436" t="inlineStr">
        <is>
          <t>Bowling Alley</t>
        </is>
      </c>
      <c r="D3436" t="inlineStr">
        <is>
          <t>Bowling Centers</t>
        </is>
      </c>
    </row>
    <row r="3437">
      <c r="B3437" t="n">
        <v>309</v>
      </c>
      <c r="C3437" t="inlineStr">
        <is>
          <t>Church</t>
        </is>
      </c>
      <c r="D3437" t="inlineStr">
        <is>
          <t>Churches – Sanctuaries (Chapels)</t>
        </is>
      </c>
    </row>
    <row r="3438">
      <c r="B3438" t="n">
        <v>310</v>
      </c>
      <c r="C3438" t="inlineStr">
        <is>
          <t>City Club</t>
        </is>
      </c>
      <c r="D3438" t="inlineStr">
        <is>
          <t>City Clubs</t>
        </is>
      </c>
    </row>
    <row r="3439">
      <c r="B3439" t="n">
        <v>311</v>
      </c>
      <c r="C3439" t="inlineStr">
        <is>
          <t>Clubhouse</t>
        </is>
      </c>
      <c r="D3439" t="inlineStr">
        <is>
          <t>Clubhouses</t>
        </is>
      </c>
    </row>
    <row r="3440">
      <c r="B3440" t="n">
        <v>313</v>
      </c>
      <c r="C3440" t="inlineStr">
        <is>
          <t>Convlsnt Hosp Nursing Home</t>
        </is>
      </c>
      <c r="D3440" t="inlineStr">
        <is>
          <t>Nursing Homes (Convalescent Hospitals)</t>
        </is>
      </c>
    </row>
    <row r="3441">
      <c r="B3441" t="n">
        <v>314</v>
      </c>
      <c r="C3441" t="inlineStr">
        <is>
          <t>Country Club</t>
        </is>
      </c>
      <c r="D3441" t="inlineStr">
        <is>
          <t>Country Clubs</t>
        </is>
      </c>
    </row>
    <row r="3442">
      <c r="B3442" t="n">
        <v>318</v>
      </c>
      <c r="C3442" t="inlineStr">
        <is>
          <t>Department Store</t>
        </is>
      </c>
      <c r="D3442" t="inlineStr">
        <is>
          <t>Department Stores</t>
        </is>
      </c>
    </row>
    <row r="3443">
      <c r="B3443" t="n">
        <v>319</v>
      </c>
      <c r="C3443" t="inlineStr">
        <is>
          <t>Discount Store</t>
        </is>
      </c>
      <c r="D3443" t="inlineStr">
        <is>
          <t>Discount Stores</t>
        </is>
      </c>
    </row>
    <row r="3444">
      <c r="B3444" t="n">
        <v>320</v>
      </c>
      <c r="C3444" t="inlineStr">
        <is>
          <t>Dispensary</t>
        </is>
      </c>
      <c r="D3444" t="inlineStr">
        <is>
          <t>Urgent Care Clinics</t>
        </is>
      </c>
    </row>
    <row r="3445">
      <c r="B3445" t="n">
        <v>321</v>
      </c>
      <c r="C3445" t="inlineStr">
        <is>
          <t>Dormitory Residence Halls</t>
        </is>
      </c>
      <c r="D3445" t="inlineStr">
        <is>
          <t>Dormitories</t>
        </is>
      </c>
    </row>
    <row r="3446">
      <c r="B3446" t="n">
        <v>323</v>
      </c>
      <c r="C3446" t="inlineStr">
        <is>
          <t>Fraternal Building</t>
        </is>
      </c>
      <c r="D3446" t="inlineStr">
        <is>
          <t>Fraternal Buildings</t>
        </is>
      </c>
    </row>
    <row r="3447">
      <c r="B3447" t="n">
        <v>325</v>
      </c>
      <c r="C3447" t="inlineStr">
        <is>
          <t>Service Garage</t>
        </is>
      </c>
      <c r="D3447" t="inlineStr">
        <is>
          <t>Service Garages (Commercial/Repair)</t>
        </is>
      </c>
    </row>
    <row r="3448">
      <c r="B3448" t="n">
        <v>326</v>
      </c>
      <c r="C3448" t="inlineStr">
        <is>
          <t>Storage Garage</t>
        </is>
      </c>
      <c r="D3448" t="inlineStr">
        <is>
          <t>Storage Garages</t>
        </is>
      </c>
    </row>
    <row r="3449">
      <c r="B3449" t="n">
        <v>328</v>
      </c>
      <c r="C3449" t="inlineStr">
        <is>
          <t>Storage Hanger</t>
        </is>
      </c>
      <c r="D3449" t="inlineStr">
        <is>
          <t>Storage Hangars</t>
        </is>
      </c>
    </row>
    <row r="3450">
      <c r="B3450" t="n">
        <v>331</v>
      </c>
      <c r="C3450" t="inlineStr">
        <is>
          <t>Hospital</t>
        </is>
      </c>
      <c r="D3450" t="inlineStr">
        <is>
          <t>General Hospitals</t>
        </is>
      </c>
    </row>
    <row r="3451">
      <c r="B3451" t="n">
        <v>332</v>
      </c>
      <c r="C3451" t="inlineStr">
        <is>
          <t>Hotel - Full Service</t>
        </is>
      </c>
      <c r="D3451" t="inlineStr">
        <is>
          <t>Hotels, Full Service</t>
        </is>
      </c>
    </row>
    <row r="3452">
      <c r="B3452" t="n">
        <v>333</v>
      </c>
      <c r="C3452" t="inlineStr">
        <is>
          <t>Indust Heavy Manufacturing</t>
        </is>
      </c>
      <c r="D3452" t="inlineStr">
        <is>
          <t>Industrials, Heavy (Process) Manufacturing</t>
        </is>
      </c>
    </row>
    <row r="3453">
      <c r="B3453" t="n">
        <v>334</v>
      </c>
      <c r="C3453" t="inlineStr">
        <is>
          <t>Indust Lght Manufacturing</t>
        </is>
      </c>
      <c r="D3453" t="inlineStr">
        <is>
          <t>Industrials, Light Manufacturing</t>
        </is>
      </c>
    </row>
    <row r="3454">
      <c r="B3454" t="n">
        <v>335</v>
      </c>
      <c r="C3454" t="inlineStr">
        <is>
          <t>Jail - Correctional Facility</t>
        </is>
      </c>
      <c r="D3454" t="inlineStr">
        <is>
          <t>Jails – Correctional Facilities</t>
        </is>
      </c>
    </row>
    <row r="3455">
      <c r="B3455" t="n">
        <v>336</v>
      </c>
      <c r="C3455" t="inlineStr">
        <is>
          <t>Laundromat</t>
        </is>
      </c>
      <c r="D3455" t="inlineStr">
        <is>
          <t>Laundromats</t>
        </is>
      </c>
    </row>
    <row r="3456">
      <c r="B3456" t="n">
        <v>339</v>
      </c>
      <c r="C3456" t="inlineStr">
        <is>
          <t>Lumber Storage - Horizontal</t>
        </is>
      </c>
      <c r="D3456" t="inlineStr">
        <is>
          <t>Lumber Storage Sheds</t>
        </is>
      </c>
    </row>
    <row r="3457">
      <c r="B3457" t="n">
        <v>340</v>
      </c>
      <c r="C3457" t="inlineStr">
        <is>
          <t>Market</t>
        </is>
      </c>
      <c r="D3457" t="inlineStr">
        <is>
          <t>Markets</t>
        </is>
      </c>
    </row>
    <row r="3458">
      <c r="B3458" t="n">
        <v>341</v>
      </c>
      <c r="C3458" t="inlineStr">
        <is>
          <t>Medical Offices</t>
        </is>
      </c>
      <c r="D3458" t="inlineStr">
        <is>
          <t>Medical Office Buildings</t>
        </is>
      </c>
    </row>
    <row r="3459">
      <c r="B3459" t="n">
        <v>342</v>
      </c>
      <c r="C3459" t="inlineStr">
        <is>
          <t>Mortuary</t>
        </is>
      </c>
      <c r="D3459" t="inlineStr">
        <is>
          <t>Mortuaries / Funeral Homes</t>
        </is>
      </c>
    </row>
    <row r="3460">
      <c r="B3460" t="n">
        <v>343</v>
      </c>
      <c r="C3460" t="inlineStr">
        <is>
          <t>Motel</t>
        </is>
      </c>
      <c r="D3460" t="inlineStr">
        <is>
          <t>Motels</t>
        </is>
      </c>
    </row>
    <row r="3461">
      <c r="B3461" t="n">
        <v>344</v>
      </c>
      <c r="C3461" t="inlineStr">
        <is>
          <t>Office Building</t>
        </is>
      </c>
      <c r="D3461" t="inlineStr">
        <is>
          <t>Office Buildings</t>
        </is>
      </c>
    </row>
    <row r="3462">
      <c r="B3462" t="n">
        <v>345</v>
      </c>
      <c r="C3462" t="inlineStr">
        <is>
          <t>Parking Structure</t>
        </is>
      </c>
      <c r="D3462" t="inlineStr">
        <is>
          <t>Parking (Parkade) Structures</t>
        </is>
      </c>
    </row>
    <row r="3463">
      <c r="B3463" t="n">
        <v>346</v>
      </c>
      <c r="C3463" t="inlineStr">
        <is>
          <t>Post Office</t>
        </is>
      </c>
      <c r="D3463" t="inlineStr">
        <is>
          <t>Main Post Offices</t>
        </is>
      </c>
    </row>
    <row r="3464">
      <c r="B3464" t="n">
        <v>349</v>
      </c>
      <c r="C3464" t="inlineStr">
        <is>
          <t>Fast Food Restaurant</t>
        </is>
      </c>
      <c r="D3464" t="inlineStr">
        <is>
          <t>Restaurants – Fast Food</t>
        </is>
      </c>
    </row>
    <row r="3465">
      <c r="B3465" t="n">
        <v>350</v>
      </c>
      <c r="C3465" t="inlineStr">
        <is>
          <t>Restaurant</t>
        </is>
      </c>
      <c r="D3465" t="inlineStr">
        <is>
          <t>Restaurants</t>
        </is>
      </c>
    </row>
    <row r="3466">
      <c r="B3466" t="n">
        <v>352</v>
      </c>
      <c r="C3466" t="inlineStr">
        <is>
          <t>Multiple - Residential</t>
        </is>
      </c>
      <c r="D3466" t="inlineStr">
        <is>
          <t>Multiple Residences</t>
        </is>
      </c>
    </row>
    <row r="3467">
      <c r="B3467" t="n">
        <v>353</v>
      </c>
      <c r="C3467" t="inlineStr">
        <is>
          <t>Retail Store</t>
        </is>
      </c>
      <c r="D3467" t="inlineStr">
        <is>
          <t>Retail Stores</t>
        </is>
      </c>
    </row>
    <row r="3468">
      <c r="B3468" t="n">
        <v>356</v>
      </c>
      <c r="C3468" t="inlineStr">
        <is>
          <t>School - Classroom</t>
        </is>
      </c>
      <c r="D3468" t="inlineStr">
        <is>
          <t>Classrooms</t>
        </is>
      </c>
    </row>
    <row r="3469">
      <c r="B3469" t="n">
        <v>358</v>
      </c>
      <c r="C3469" t="inlineStr">
        <is>
          <t>School - Gymnasium</t>
        </is>
      </c>
      <c r="D3469" t="inlineStr">
        <is>
          <t>Gymnasiums</t>
        </is>
      </c>
    </row>
    <row r="3470">
      <c r="B3470" t="n">
        <v>359</v>
      </c>
      <c r="C3470" t="inlineStr">
        <is>
          <t>School - Lecture Hall</t>
        </is>
      </c>
      <c r="D3470" t="inlineStr">
        <is>
          <t>Lecture Classrooms</t>
        </is>
      </c>
    </row>
    <row r="3471">
      <c r="B3471" t="n">
        <v>361</v>
      </c>
      <c r="C3471" t="inlineStr">
        <is>
          <t>School - Manual Arts</t>
        </is>
      </c>
      <c r="D3471" t="inlineStr">
        <is>
          <t>Manual Arts (Shop) Buildings</t>
        </is>
      </c>
    </row>
    <row r="3472">
      <c r="B3472" t="n">
        <v>368</v>
      </c>
      <c r="C3472" t="inlineStr">
        <is>
          <t>College - Classrooms</t>
        </is>
      </c>
      <c r="D3472" t="inlineStr">
        <is>
          <t>College Classrooms</t>
        </is>
      </c>
    </row>
    <row r="3473">
      <c r="B3473" t="n">
        <v>378</v>
      </c>
      <c r="C3473" t="inlineStr">
        <is>
          <t>Stable</t>
        </is>
      </c>
      <c r="D3473" t="inlineStr">
        <is>
          <t>Stables</t>
        </is>
      </c>
    </row>
    <row r="3474">
      <c r="B3474" t="n">
        <v>380</v>
      </c>
      <c r="C3474" t="inlineStr">
        <is>
          <t>Theatre - Motion</t>
        </is>
      </c>
      <c r="D3474" t="inlineStr">
        <is>
          <t>Theaters: Cinema</t>
        </is>
      </c>
    </row>
    <row r="3475">
      <c r="B3475" t="n">
        <v>381</v>
      </c>
      <c r="C3475" t="inlineStr">
        <is>
          <t>Veterinary Hospital</t>
        </is>
      </c>
      <c r="D3475" t="inlineStr">
        <is>
          <t>Veterinary Hospitals</t>
        </is>
      </c>
    </row>
    <row r="3476">
      <c r="B3476" t="n">
        <v>382</v>
      </c>
      <c r="C3476" t="inlineStr">
        <is>
          <t>Medical Office Buildings</t>
        </is>
      </c>
      <c r="D3476" t="inlineStr">
        <is>
          <t>Medical Office Buildings</t>
        </is>
      </c>
    </row>
    <row r="3477">
      <c r="B3477" t="n">
        <v>384</v>
      </c>
      <c r="C3477" t="inlineStr">
        <is>
          <t>Barber/Beauty Shop</t>
        </is>
      </c>
      <c r="D3477" t="inlineStr">
        <is>
          <t>Barber Shops/Beauty Salons</t>
        </is>
      </c>
    </row>
    <row r="3478">
      <c r="B3478" t="n">
        <v>386</v>
      </c>
      <c r="C3478" t="inlineStr">
        <is>
          <t>Mini Warehouse</t>
        </is>
      </c>
      <c r="D3478" t="inlineStr">
        <is>
          <t>Mini-Warehouses / Self-Storage</t>
        </is>
      </c>
    </row>
    <row r="3479">
      <c r="B3479" t="n">
        <v>387</v>
      </c>
      <c r="C3479" t="inlineStr">
        <is>
          <t>Transit Warehouse</t>
        </is>
      </c>
      <c r="D3479" t="inlineStr">
        <is>
          <t>Transit Warehouses</t>
        </is>
      </c>
    </row>
    <row r="3480">
      <c r="B3480" t="n">
        <v>389</v>
      </c>
      <c r="C3480" t="inlineStr">
        <is>
          <t>Equipment Implement</t>
        </is>
      </c>
      <c r="D3480" t="inlineStr">
        <is>
          <t>Farm Implement (Equipment Shop) Buildings</t>
        </is>
      </c>
    </row>
    <row r="3481">
      <c r="B3481" t="n">
        <v>390</v>
      </c>
      <c r="C3481" t="inlineStr">
        <is>
          <t>Lumber Storage - Vertical</t>
        </is>
      </c>
      <c r="D3481" t="inlineStr">
        <is>
          <t>Lumber Storage Buildings</t>
        </is>
      </c>
    </row>
    <row r="3482">
      <c r="B3482" t="n">
        <v>391</v>
      </c>
      <c r="C3482" t="inlineStr">
        <is>
          <t>Storage - Material</t>
        </is>
      </c>
      <c r="D3482" t="inlineStr">
        <is>
          <t>Material Storage Buildings</t>
        </is>
      </c>
    </row>
    <row r="3483">
      <c r="B3483" t="n">
        <v>392</v>
      </c>
      <c r="C3483" t="inlineStr">
        <is>
          <t>Industrial Engineering &amp; Research</t>
        </is>
      </c>
      <c r="D3483" t="inlineStr">
        <is>
          <t>Industrial, Engineering (R&amp;D) Buildings</t>
        </is>
      </c>
    </row>
    <row r="3484">
      <c r="B3484" t="n">
        <v>397</v>
      </c>
      <c r="C3484" t="inlineStr">
        <is>
          <t>Barn</t>
        </is>
      </c>
      <c r="D3484" t="inlineStr">
        <is>
          <t>Barns – General Purpose</t>
        </is>
      </c>
    </row>
    <row r="3485">
      <c r="B3485" t="n">
        <v>401</v>
      </c>
      <c r="C3485" t="inlineStr">
        <is>
          <t>Shed - Equipment</t>
        </is>
      </c>
      <c r="D3485" t="inlineStr">
        <is>
          <t>Light Commercial Equipment Sheds</t>
        </is>
      </c>
    </row>
    <row r="3486">
      <c r="B3486" t="n">
        <v>403</v>
      </c>
      <c r="C3486" t="inlineStr">
        <is>
          <t>Shower Building</t>
        </is>
      </c>
      <c r="D3486" t="inlineStr">
        <is>
          <t>Shower Room Buildings</t>
        </is>
      </c>
    </row>
    <row r="3487">
      <c r="B3487" t="n">
        <v>404</v>
      </c>
      <c r="C3487" t="inlineStr">
        <is>
          <t>Farm Utility Building</t>
        </is>
      </c>
      <c r="D3487" t="inlineStr">
        <is>
          <t>Farm Utility Buildings</t>
        </is>
      </c>
    </row>
    <row r="3488">
      <c r="B3488" t="n">
        <v>405</v>
      </c>
      <c r="C3488" t="inlineStr">
        <is>
          <t>Skating Rink</t>
        </is>
      </c>
      <c r="D3488" t="inlineStr">
        <is>
          <t>Ice Skating Rinks</t>
        </is>
      </c>
    </row>
    <row r="3489">
      <c r="B3489" t="n">
        <v>406</v>
      </c>
      <c r="C3489" t="inlineStr">
        <is>
          <t>Storage Warehouse</t>
        </is>
      </c>
      <c r="D3489" t="inlineStr">
        <is>
          <t>Storage Warehouses</t>
        </is>
      </c>
    </row>
    <row r="3490">
      <c r="B3490" t="n">
        <v>407</v>
      </c>
      <c r="C3490" t="inlineStr">
        <is>
          <t>Distribution Warehouse</t>
        </is>
      </c>
      <c r="D3490" t="inlineStr">
        <is>
          <t>Distribution Warehouses</t>
        </is>
      </c>
    </row>
    <row r="3491">
      <c r="B3491" t="n">
        <v>409</v>
      </c>
      <c r="C3491" t="inlineStr">
        <is>
          <t>T-Hanger</t>
        </is>
      </c>
      <c r="D3491" t="inlineStr">
        <is>
          <t>T-Hangars</t>
        </is>
      </c>
    </row>
    <row r="3492">
      <c r="B3492" t="n">
        <v>410</v>
      </c>
      <c r="C3492" t="inlineStr">
        <is>
          <t>Automotive Center</t>
        </is>
      </c>
      <c r="D3492" t="inlineStr">
        <is>
          <t>Automotive Service Centers</t>
        </is>
      </c>
    </row>
    <row r="3493">
      <c r="B3493" t="n">
        <v>412</v>
      </c>
      <c r="C3493" t="inlineStr">
        <is>
          <t>Neighborhood Shopping Center</t>
        </is>
      </c>
      <c r="D3493" t="inlineStr">
        <is>
          <t>Neighborhood Shopping Centers</t>
        </is>
      </c>
    </row>
    <row r="3494">
      <c r="B3494" t="n">
        <v>413</v>
      </c>
      <c r="C3494" t="inlineStr">
        <is>
          <t>Community Shopping Center</t>
        </is>
      </c>
      <c r="D3494" t="inlineStr">
        <is>
          <t>Community Shopping Centers</t>
        </is>
      </c>
    </row>
    <row r="3495">
      <c r="B3495" t="n">
        <v>414</v>
      </c>
      <c r="C3495" t="inlineStr">
        <is>
          <t>Regional Shopping Center</t>
        </is>
      </c>
      <c r="D3495" t="inlineStr">
        <is>
          <t>Regional Shopping Centers</t>
        </is>
      </c>
    </row>
    <row r="3496">
      <c r="B3496" t="n">
        <v>418</v>
      </c>
      <c r="C3496" t="inlineStr">
        <is>
          <t>Health Club</t>
        </is>
      </c>
      <c r="D3496" t="inlineStr">
        <is>
          <t>Health Clubs (Spas)</t>
        </is>
      </c>
    </row>
    <row r="3497">
      <c r="B3497" t="n">
        <v>419</v>
      </c>
      <c r="C3497" t="inlineStr">
        <is>
          <t>Convenience Store</t>
        </is>
      </c>
      <c r="D3497" t="inlineStr">
        <is>
          <t>Convenience Stores</t>
        </is>
      </c>
    </row>
    <row r="3498">
      <c r="B3498" t="n">
        <v>421</v>
      </c>
      <c r="C3498" t="inlineStr">
        <is>
          <t>Shed - Tool</t>
        </is>
      </c>
      <c r="D3498" t="inlineStr">
        <is>
          <t>Toolshed Buildings</t>
        </is>
      </c>
    </row>
    <row r="3499">
      <c r="B3499" t="n">
        <v>423</v>
      </c>
      <c r="C3499" t="inlineStr">
        <is>
          <t>Mini Lube Garage</t>
        </is>
      </c>
      <c r="D3499" t="inlineStr">
        <is>
          <t>Mini-Lube Garages</t>
        </is>
      </c>
    </row>
    <row r="3500">
      <c r="B3500" t="n">
        <v>425</v>
      </c>
      <c r="C3500" t="inlineStr">
        <is>
          <t>Industrial WH Condo</t>
        </is>
      </c>
      <c r="D3500" t="inlineStr">
        <is>
          <t>Storage Warehouses</t>
        </is>
      </c>
    </row>
    <row r="3501">
      <c r="B3501" t="n">
        <v>426</v>
      </c>
      <c r="C3501" t="inlineStr">
        <is>
          <t>Day Care Center</t>
        </is>
      </c>
      <c r="D3501" t="inlineStr">
        <is>
          <t>Day Care Centers</t>
        </is>
      </c>
    </row>
    <row r="3502">
      <c r="B3502" t="n">
        <v>430</v>
      </c>
      <c r="C3502" t="inlineStr">
        <is>
          <t>Storage - Utility Grain</t>
        </is>
      </c>
      <c r="D3502" t="inlineStr">
        <is>
          <t>Farm Utility/Grain Storage (Granary) Buildings</t>
        </is>
      </c>
    </row>
    <row r="3503">
      <c r="B3503" t="n">
        <v>431</v>
      </c>
      <c r="C3503" t="inlineStr">
        <is>
          <t>Surgical Center - Out patient</t>
        </is>
      </c>
      <c r="D3503" t="inlineStr">
        <is>
          <t>Outpatient (Surgical) Centers</t>
        </is>
      </c>
    </row>
    <row r="3504">
      <c r="B3504" t="n">
        <v>432</v>
      </c>
      <c r="C3504" t="inlineStr">
        <is>
          <t>Restroom Building/Concessions</t>
        </is>
      </c>
      <c r="D3504" t="inlineStr">
        <is>
          <t>Restroom Buildings</t>
        </is>
      </c>
    </row>
    <row r="3505">
      <c r="B3505" t="n">
        <v>441</v>
      </c>
      <c r="C3505" t="inlineStr">
        <is>
          <t>Cocktail Lounge</t>
        </is>
      </c>
      <c r="D3505" t="inlineStr">
        <is>
          <t>Cocktail Lounges</t>
        </is>
      </c>
    </row>
    <row r="3506">
      <c r="B3506" t="n">
        <v>442</v>
      </c>
      <c r="C3506" t="inlineStr">
        <is>
          <t>Bar/Tavern</t>
        </is>
      </c>
      <c r="D3506" t="inlineStr">
        <is>
          <t>Bars/Taverns</t>
        </is>
      </c>
    </row>
    <row r="3507">
      <c r="B3507" t="n">
        <v>444</v>
      </c>
      <c r="C3507" t="inlineStr">
        <is>
          <t>Dental Office/ Clinic</t>
        </is>
      </c>
      <c r="D3507" t="inlineStr">
        <is>
          <t>Dental Clinics</t>
        </is>
      </c>
    </row>
    <row r="3508">
      <c r="B3508" t="n">
        <v>446</v>
      </c>
      <c r="C3508" t="inlineStr">
        <is>
          <t>SuperMarket</t>
        </is>
      </c>
      <c r="D3508" t="inlineStr">
        <is>
          <t>Supermarkets</t>
        </is>
      </c>
    </row>
    <row r="3509">
      <c r="B3509" t="n">
        <v>447</v>
      </c>
      <c r="C3509" t="inlineStr">
        <is>
          <t>Cold Storage Warehouse</t>
        </is>
      </c>
      <c r="D3509" t="inlineStr">
        <is>
          <t>Cold Storage Facilities</t>
        </is>
      </c>
    </row>
    <row r="3510">
      <c r="B3510" t="n">
        <v>468</v>
      </c>
      <c r="C3510" t="inlineStr">
        <is>
          <t>Farm Office</t>
        </is>
      </c>
      <c r="D3510" t="inlineStr">
        <is>
          <t>Shed Office Structures</t>
        </is>
      </c>
    </row>
    <row r="3511">
      <c r="B3511" t="n">
        <v>473</v>
      </c>
      <c r="C3511" t="inlineStr">
        <is>
          <t>Equipment Building</t>
        </is>
      </c>
      <c r="D3511" t="inlineStr">
        <is>
          <t>Light Commercial Equipment (Shop) Buildings</t>
        </is>
      </c>
    </row>
    <row r="3512">
      <c r="B3512" t="n">
        <v>474</v>
      </c>
      <c r="C3512" t="inlineStr">
        <is>
          <t>Modular Office</t>
        </is>
      </c>
      <c r="D3512" t="inlineStr">
        <is>
          <t>Relocatable Offices</t>
        </is>
      </c>
    </row>
    <row r="3513">
      <c r="B3513" t="n">
        <v>480</v>
      </c>
      <c r="C3513" t="inlineStr">
        <is>
          <t>Vegetable Building</t>
        </is>
      </c>
      <c r="D3513" t="inlineStr">
        <is>
          <t>Vegetable Buildings – Environmental</t>
        </is>
      </c>
    </row>
    <row r="3514">
      <c r="B3514" t="n">
        <v>482</v>
      </c>
      <c r="C3514" t="inlineStr">
        <is>
          <t>Convention Center</t>
        </is>
      </c>
      <c r="D3514" t="inlineStr">
        <is>
          <t>Convention Centers</t>
        </is>
      </c>
    </row>
    <row r="3515">
      <c r="B3515" t="n">
        <v>483</v>
      </c>
      <c r="C3515" t="inlineStr">
        <is>
          <t>Fitness Center</t>
        </is>
      </c>
      <c r="D3515" t="inlineStr">
        <is>
          <t>Fitness Centers</t>
        </is>
      </c>
    </row>
    <row r="3516">
      <c r="B3516" t="n">
        <v>501</v>
      </c>
      <c r="C3516" t="inlineStr">
        <is>
          <t>Mini-Mart Convenience Stores</t>
        </is>
      </c>
      <c r="D3516" t="inlineStr">
        <is>
          <t>Mini-Mart Convenience Stores</t>
        </is>
      </c>
    </row>
    <row r="3517">
      <c r="B3517" t="n">
        <v>519</v>
      </c>
      <c r="C3517" t="inlineStr">
        <is>
          <t>Greenhouse Shade Shelters</t>
        </is>
      </c>
      <c r="D3517" t="inlineStr">
        <is>
          <t>Greenhouse Shade Shelters</t>
        </is>
      </c>
    </row>
    <row r="3518">
      <c r="B3518" t="n">
        <v>523</v>
      </c>
      <c r="C3518" t="inlineStr">
        <is>
          <t>Golf Cart Storage Bldgs</t>
        </is>
      </c>
      <c r="D3518" t="inlineStr">
        <is>
          <t>Golf Cart Storage Buildings</t>
        </is>
      </c>
    </row>
    <row r="3519">
      <c r="B3519" t="n">
        <v>525</v>
      </c>
      <c r="C3519" t="inlineStr">
        <is>
          <t>Mini Warehouse Hi-rise</t>
        </is>
      </c>
      <c r="D3519" t="inlineStr">
        <is>
          <t>Mini-Warehouses, High-Rise</t>
        </is>
      </c>
    </row>
    <row r="3520">
      <c r="B3520" t="n">
        <v>526</v>
      </c>
      <c r="C3520" t="inlineStr">
        <is>
          <t>Service Garage Sheds</t>
        </is>
      </c>
      <c r="D3520" t="inlineStr">
        <is>
          <t>Service Garage Sheds</t>
        </is>
      </c>
    </row>
    <row r="3521">
      <c r="B3521" t="n">
        <v>529</v>
      </c>
      <c r="C3521" t="inlineStr">
        <is>
          <t>Snack Bar</t>
        </is>
      </c>
      <c r="D3521" t="inlineStr">
        <is>
          <t>Snack Bars</t>
        </is>
      </c>
    </row>
    <row r="3522">
      <c r="B3522" t="n">
        <v>533</v>
      </c>
      <c r="C3522" t="inlineStr">
        <is>
          <t>Warehouse Food Store</t>
        </is>
      </c>
      <c r="D3522" t="inlineStr">
        <is>
          <t>Warehouse Food Stores</t>
        </is>
      </c>
    </row>
    <row r="3523">
      <c r="B3523" t="n">
        <v>534</v>
      </c>
      <c r="C3523" t="inlineStr">
        <is>
          <t>Warehouse Showroom Store</t>
        </is>
      </c>
      <c r="D3523" t="inlineStr">
        <is>
          <t>Warehouse Showroom Stores</t>
        </is>
      </c>
    </row>
    <row r="3524">
      <c r="B3524" t="n">
        <v>540</v>
      </c>
      <c r="C3524" t="inlineStr">
        <is>
          <t>Motel Guest Rooms</t>
        </is>
      </c>
      <c r="D3524" t="inlineStr">
        <is>
          <t>Motel Guest Rooms</t>
        </is>
      </c>
    </row>
    <row r="3525">
      <c r="B3525" t="n">
        <v>544</v>
      </c>
      <c r="C3525" t="inlineStr">
        <is>
          <t>Office-Apartment</t>
        </is>
      </c>
      <c r="D3525" t="inlineStr">
        <is>
          <t>Office-Apartments</t>
        </is>
      </c>
    </row>
    <row r="3526">
      <c r="B3526" t="n">
        <v>557</v>
      </c>
      <c r="C3526" t="inlineStr">
        <is>
          <t>Arch-Rib Quonset Utility</t>
        </is>
      </c>
      <c r="D3526" t="inlineStr">
        <is>
          <t>Arch-Rib (Quonset) Farm Utility Buildings</t>
        </is>
      </c>
    </row>
    <row r="3527">
      <c r="B3527" t="n">
        <v>558</v>
      </c>
      <c r="C3527" t="inlineStr">
        <is>
          <t>Arch-Rib Quonset Farm Implement</t>
        </is>
      </c>
      <c r="D3527" t="inlineStr">
        <is>
          <t>Arch-Rib (Quonset) Farm Implement Buildings</t>
        </is>
      </c>
    </row>
    <row r="3528">
      <c r="B3528" t="n">
        <v>573</v>
      </c>
      <c r="C3528" t="inlineStr">
        <is>
          <t>Arcade</t>
        </is>
      </c>
      <c r="D3528" t="inlineStr">
        <is>
          <t>Arcade Buildings</t>
        </is>
      </c>
    </row>
    <row r="3529">
      <c r="B3529" t="n">
        <v>580</v>
      </c>
      <c r="C3529" t="inlineStr">
        <is>
          <t>Truck Stop Restaurant</t>
        </is>
      </c>
      <c r="D3529" t="inlineStr">
        <is>
          <t>Truck Stop Restaurants</t>
        </is>
      </c>
    </row>
    <row r="3530">
      <c r="B3530" t="n">
        <v>582</v>
      </c>
      <c r="C3530" t="inlineStr">
        <is>
          <t>Branch Post Office</t>
        </is>
      </c>
      <c r="D3530" t="inlineStr">
        <is>
          <t>Branch Post Offices</t>
        </is>
      </c>
    </row>
    <row r="3531">
      <c r="B3531" t="n">
        <v>584</v>
      </c>
      <c r="C3531" t="inlineStr">
        <is>
          <t>Mega Warehouse</t>
        </is>
      </c>
      <c r="D3531" t="inlineStr">
        <is>
          <t>Mega (Storage/Distribution) Warehouses</t>
        </is>
      </c>
    </row>
    <row r="3532">
      <c r="B3532" t="n">
        <v>718</v>
      </c>
      <c r="C3532" t="inlineStr">
        <is>
          <t>Banquet Halls</t>
        </is>
      </c>
      <c r="D3532" t="inlineStr">
        <is>
          <t>Banquet Halls</t>
        </is>
      </c>
    </row>
    <row r="3533">
      <c r="B3533" t="n">
        <v>1104</v>
      </c>
      <c r="C3533" t="inlineStr">
        <is>
          <t>Light Commercial-Commodity Warehouse</t>
        </is>
      </c>
      <c r="D3533" t="inlineStr">
        <is>
          <t>Light Commercial – Commodity Warehouse</t>
        </is>
      </c>
    </row>
    <row r="3534">
      <c r="B3534" t="n">
        <v>1157</v>
      </c>
      <c r="C3534" t="inlineStr">
        <is>
          <t>Maintenance (Storage) Buildings</t>
        </is>
      </c>
      <c r="D3534" t="inlineStr">
        <is>
          <t>Maintenance (Storage) Buildings</t>
        </is>
      </c>
    </row>
    <row r="3535">
      <c r="B3535" t="n">
        <v>1332</v>
      </c>
      <c r="C3535" t="inlineStr">
        <is>
          <t>Hotels - Limited Service</t>
        </is>
      </c>
      <c r="D3535" t="inlineStr">
        <is>
          <t>Hotels, Limited Service</t>
        </is>
      </c>
    </row>
    <row r="3536">
      <c r="B3536" t="n">
        <v>1343</v>
      </c>
      <c r="C3536" t="inlineStr">
        <is>
          <t>Extended Stay Motels</t>
        </is>
      </c>
      <c r="D3536" t="inlineStr">
        <is>
          <t>Extended-Stay Motels</t>
        </is>
      </c>
    </row>
    <row r="3537">
      <c r="B3537" t="n">
        <v>1344</v>
      </c>
      <c r="C3537" t="inlineStr">
        <is>
          <t>Office Building - Condo</t>
        </is>
      </c>
      <c r="D3537" t="inlineStr">
        <is>
          <t>Office Buildings</t>
        </is>
      </c>
    </row>
    <row r="3538">
      <c r="B3538" t="n">
        <v>1353</v>
      </c>
      <c r="C3538" t="inlineStr">
        <is>
          <t>Retail Store - Condo</t>
        </is>
      </c>
      <c r="D3538" t="inlineStr">
        <is>
          <t>Retail Stores</t>
        </is>
      </c>
    </row>
    <row r="3539">
      <c r="B3539" t="n">
        <v>1458</v>
      </c>
      <c r="C3539" t="inlineStr">
        <is>
          <t>Warehouse Discount Store</t>
        </is>
      </c>
      <c r="D3539" t="inlineStr">
        <is>
          <t>Warehouse Discount Stores</t>
        </is>
      </c>
    </row>
    <row r="3540">
      <c r="B3540" t="n">
        <v>1467</v>
      </c>
      <c r="C3540" t="inlineStr">
        <is>
          <t>Boat Storage Buildings</t>
        </is>
      </c>
      <c r="D3540" t="inlineStr">
        <is>
          <t>Boat Storage Buildings</t>
        </is>
      </c>
    </row>
    <row r="3541">
      <c r="B3541" t="n">
        <v>1468</v>
      </c>
      <c r="C3541" t="inlineStr">
        <is>
          <t>Material Storage Sheds</t>
        </is>
      </c>
      <c r="D3541" t="inlineStr">
        <is>
          <t>Material Storage Sheds</t>
        </is>
      </c>
    </row>
    <row r="3542">
      <c r="B3542" t="n">
        <v>1471</v>
      </c>
      <c r="C3542" t="inlineStr">
        <is>
          <t>Light Commercial Utility</t>
        </is>
      </c>
      <c r="D3542" t="inlineStr">
        <is>
          <t>Light Commercial Utility Buildings</t>
        </is>
      </c>
    </row>
    <row r="3543">
      <c r="B3543" t="n">
        <v>1473</v>
      </c>
      <c r="C3543" t="inlineStr">
        <is>
          <t>Material Shelters</t>
        </is>
      </c>
      <c r="D3543" t="inlineStr">
        <is>
          <t>Material – Commodity Shelters</t>
        </is>
      </c>
    </row>
    <row r="3544">
      <c r="B3544" t="n">
        <v>1513</v>
      </c>
      <c r="C3544" t="inlineStr">
        <is>
          <t>Regional Discount Shopping Centers</t>
        </is>
      </c>
      <c r="D3544" t="inlineStr">
        <is>
          <t>Regional Discount Shopping Centers</t>
        </is>
      </c>
    </row>
    <row r="3545">
      <c r="B3545" t="n">
        <v>3441</v>
      </c>
      <c r="C3545" t="inlineStr">
        <is>
          <t>Office Conversion</t>
        </is>
      </c>
      <c r="D3545" t="inlineStr">
        <is>
          <t>Office Buildings</t>
        </is>
      </c>
    </row>
    <row r="3546">
      <c r="B3546" s="168" t="inlineStr">
        <is>
          <t>County codes with NO calculator-method table (Cost Approach will ask for manual selection/override):</t>
        </is>
      </c>
    </row>
    <row r="3547">
      <c r="B3547" t="n">
        <v>90</v>
      </c>
      <c r="C3547" t="inlineStr">
        <is>
          <t>Residential Out Structure</t>
        </is>
      </c>
      <c r="D3547" t="inlineStr">
        <is>
          <t>Residential out structure -- no commercial MVS table; price from MVS Sec.12/64 directly</t>
        </is>
      </c>
    </row>
    <row r="3548">
      <c r="B3548" t="n">
        <v>99</v>
      </c>
      <c r="C3548" t="inlineStr">
        <is>
          <t>Detached Garage</t>
        </is>
      </c>
      <c r="D3548" t="inlineStr">
        <is>
          <t>Detached garage -- MVS 12-35 residential garages are size-priced; see Reference 14</t>
        </is>
      </c>
    </row>
    <row r="3549">
      <c r="B3549" t="n">
        <v>140</v>
      </c>
      <c r="C3549" t="inlineStr">
        <is>
          <t>Parking Lot</t>
        </is>
      </c>
      <c r="D3549" t="inlineStr">
        <is>
          <t>Parking lot -- land/yard improvement (MVS Sec.66), no building cost table</t>
        </is>
      </c>
    </row>
    <row r="3550">
      <c r="B3550" t="n">
        <v>207</v>
      </c>
      <c r="C3550" t="inlineStr">
        <is>
          <t>Firing Range Buildings</t>
        </is>
      </c>
      <c r="D3550" t="inlineStr">
        <is>
          <t>Firing range -- MVS 15-31 Miscellaneous Structures; price manually</t>
        </is>
      </c>
    </row>
    <row r="3551">
      <c r="B3551" t="n">
        <v>208</v>
      </c>
      <c r="C3551" t="inlineStr">
        <is>
          <t>Golf Course *CODE</t>
        </is>
      </c>
      <c r="D3551" t="inlineStr">
        <is>
          <t>Golf course -- MVS Sec.67 recreation; land improvement</t>
        </is>
      </c>
    </row>
    <row r="3552">
      <c r="B3552" t="n">
        <v>211</v>
      </c>
      <c r="C3552" t="inlineStr">
        <is>
          <t>Industiral Interior Office Space</t>
        </is>
      </c>
      <c r="D3552" t="inlineStr">
        <is>
          <t>Industrial interior office space -- component add-on (MVS 14-35); see Reference 14</t>
        </is>
      </c>
    </row>
    <row r="3553">
      <c r="B3553" t="n">
        <v>217</v>
      </c>
      <c r="C3553" t="inlineStr">
        <is>
          <t>Miscellaneous OB</t>
        </is>
      </c>
      <c r="D3553" t="inlineStr">
        <is>
          <t>Miscellaneous OB -- no matching MVS occupancy; select manually</t>
        </is>
      </c>
    </row>
    <row r="3554">
      <c r="B3554" t="n">
        <v>408</v>
      </c>
      <c r="C3554" t="inlineStr">
        <is>
          <t>Service Station</t>
        </is>
      </c>
      <c r="D3554" t="inlineStr">
        <is>
          <t>Service station -- MVS Sec.64 prefabricated buildings; price manually</t>
        </is>
      </c>
    </row>
    <row r="3555">
      <c r="B3555" t="n">
        <v>415</v>
      </c>
      <c r="C3555" t="inlineStr">
        <is>
          <t>Utility Bldg Res</t>
        </is>
      </c>
      <c r="D3555" t="inlineStr">
        <is>
          <t>Residential utility building -- price from MVS Sec.12/17 directly</t>
        </is>
      </c>
    </row>
    <row r="3556">
      <c r="B3556" t="n">
        <v>434</v>
      </c>
      <c r="C3556" t="inlineStr">
        <is>
          <t>Car Wash - Self Service</t>
        </is>
      </c>
      <c r="D3556" t="inlineStr">
        <is>
          <t>Car wash (self service) -- MVS Sec.64 p.4; price manually</t>
        </is>
      </c>
    </row>
    <row r="3557">
      <c r="B3557" t="n">
        <v>435</v>
      </c>
      <c r="C3557" t="inlineStr">
        <is>
          <t>Car Wash - Drive thru</t>
        </is>
      </c>
      <c r="D3557" t="inlineStr">
        <is>
          <t>Car wash (drive-thru) -- MVS Sec.64 p.4; price manually</t>
        </is>
      </c>
    </row>
    <row r="3558">
      <c r="B3558" t="n">
        <v>436</v>
      </c>
      <c r="C3558" t="inlineStr">
        <is>
          <t>Car Wash - Automatic</t>
        </is>
      </c>
      <c r="D3558" t="inlineStr">
        <is>
          <t>Car wash (automatic) -- MVS Sec.64 p.4; price manually</t>
        </is>
      </c>
    </row>
    <row r="3559">
      <c r="B3559" t="n">
        <v>438</v>
      </c>
      <c r="C3559" t="inlineStr">
        <is>
          <t>Prefab Metal Building *CODE</t>
        </is>
      </c>
      <c r="D3559" t="inlineStr">
        <is>
          <t>Prefab metal building (*CODE flagged) -- pick the matching occupancy manually</t>
        </is>
      </c>
    </row>
    <row r="3560">
      <c r="B3560" t="n">
        <v>448</v>
      </c>
      <c r="C3560" t="inlineStr">
        <is>
          <t>Self Service Booth</t>
        </is>
      </c>
      <c r="D3560" t="inlineStr">
        <is>
          <t>Self service booth -- MVS Sec.64 food booths; price manually</t>
        </is>
      </c>
    </row>
    <row r="3561">
      <c r="B3561" t="n">
        <v>451</v>
      </c>
      <c r="C3561" t="inlineStr">
        <is>
          <t>Grain Elevator Concrete</t>
        </is>
      </c>
      <c r="D3561" t="inlineStr">
        <is>
          <t>Grain elevator (concrete) -- MVS 17-51 per-bushel schedule; see Reference 14</t>
        </is>
      </c>
    </row>
    <row r="3562">
      <c r="B3562" t="n">
        <v>452</v>
      </c>
      <c r="C3562" t="inlineStr">
        <is>
          <t>Grain Elevator Conc Annex</t>
        </is>
      </c>
      <c r="D3562" t="inlineStr">
        <is>
          <t>Grain elevator annex -- MVS 17-51; see Reference 14</t>
        </is>
      </c>
    </row>
    <row r="3563">
      <c r="B3563" t="n">
        <v>464</v>
      </c>
      <c r="C3563" t="inlineStr">
        <is>
          <t>Grain Elevator Low</t>
        </is>
      </c>
      <c r="D3563" t="inlineStr">
        <is>
          <t>Grain elevator (low) -- MVS 17-51; see Reference 14</t>
        </is>
      </c>
    </row>
    <row r="3564">
      <c r="B3564" t="n">
        <v>465</v>
      </c>
      <c r="C3564" t="inlineStr">
        <is>
          <t>Grain Elevator Average</t>
        </is>
      </c>
      <c r="D3564" t="inlineStr">
        <is>
          <t>Grain elevator (average) -- MVS 17-51; see Reference 14</t>
        </is>
      </c>
    </row>
    <row r="3565">
      <c r="B3565" t="n">
        <v>499</v>
      </c>
      <c r="C3565" t="inlineStr">
        <is>
          <t>Salvage</t>
        </is>
      </c>
      <c r="D3565" t="inlineStr">
        <is>
          <t>Salvage -- condition category, not an occupancy</t>
        </is>
      </c>
    </row>
    <row r="3566">
      <c r="B3566" t="n">
        <v>500</v>
      </c>
      <c r="C3566" t="inlineStr">
        <is>
          <t>R V Parks *CODE</t>
        </is>
      </c>
      <c r="D3566" t="inlineStr">
        <is>
          <t>RV park (*CODE flagged) -- MVS Sec.63; land improvement schedule</t>
        </is>
      </c>
    </row>
    <row r="3567">
      <c r="B3567" t="n">
        <v>531</v>
      </c>
      <c r="C3567" t="inlineStr">
        <is>
          <t>Mobile Home Parks *CODE</t>
        </is>
      </c>
      <c r="D3567" t="inlineStr">
        <is>
          <t>Mobile home park (*CODE flagged) -- MVS Sec.63; land improvement schedule</t>
        </is>
      </c>
    </row>
    <row r="3568">
      <c r="B3568" t="n">
        <v>1111</v>
      </c>
      <c r="C3568" t="inlineStr">
        <is>
          <t>Parking Lot</t>
        </is>
      </c>
      <c r="D3568" t="inlineStr">
        <is>
          <t>Parking lot -- land/yard improvement (MVS Sec.66)</t>
        </is>
      </c>
    </row>
    <row r="3569">
      <c r="B3569" t="n">
        <v>1112</v>
      </c>
      <c r="C3569" t="inlineStr">
        <is>
          <t>Parking Lot Income Producing</t>
        </is>
      </c>
      <c r="D3569" t="inlineStr">
        <is>
          <t>Parking lot (income producing) -- land/yard improvement (MVS Sec.66)</t>
        </is>
      </c>
    </row>
    <row r="3572">
      <c r="B3572" s="305" t="inlineStr">
        <is>
          <t>REFERENCE 5 -- Story Height Multiplier Tables (per MVS section). Sections 12 and 17 publish no story-height multiplier table -- multiplier 1.000 is used automatically.</t>
        </is>
      </c>
    </row>
    <row r="3573">
      <c r="B3573" s="168" t="inlineStr">
        <is>
          <t>Section 11 (base = 10 ft) -- MVS 11-36</t>
        </is>
      </c>
      <c r="C3573" s="306" t="inlineStr">
        <is>
          <t>Height (ft)</t>
        </is>
      </c>
      <c r="D3573" s="306" t="inlineStr">
        <is>
          <t>Multiplier</t>
        </is>
      </c>
    </row>
    <row r="3574">
      <c r="C3574" t="n">
        <v>7</v>
      </c>
      <c r="D3574" t="n">
        <v>0.922</v>
      </c>
    </row>
    <row r="3575">
      <c r="C3575" t="n">
        <v>8</v>
      </c>
      <c r="D3575" t="n">
        <v>0.947</v>
      </c>
    </row>
    <row r="3576">
      <c r="C3576" t="n">
        <v>9</v>
      </c>
      <c r="D3576" t="n">
        <v>0.973</v>
      </c>
    </row>
    <row r="3577">
      <c r="C3577" t="n">
        <v>10</v>
      </c>
      <c r="D3577" t="n">
        <v>1</v>
      </c>
    </row>
    <row r="3578">
      <c r="C3578" t="n">
        <v>11</v>
      </c>
      <c r="D3578" t="n">
        <v>1.027</v>
      </c>
    </row>
    <row r="3579">
      <c r="C3579" t="n">
        <v>12</v>
      </c>
      <c r="D3579" t="n">
        <v>1.055</v>
      </c>
    </row>
    <row r="3580">
      <c r="C3580" t="n">
        <v>13</v>
      </c>
      <c r="D3580" t="n">
        <v>1.084</v>
      </c>
    </row>
    <row r="3581">
      <c r="C3581" t="n">
        <v>14</v>
      </c>
      <c r="D3581" t="n">
        <v>1.114</v>
      </c>
    </row>
    <row r="3582">
      <c r="C3582" t="n">
        <v>15</v>
      </c>
      <c r="D3582" t="n">
        <v>1.144</v>
      </c>
    </row>
    <row r="3583">
      <c r="C3583" t="n">
        <v>16</v>
      </c>
      <c r="D3583" t="n">
        <v>1.175</v>
      </c>
    </row>
    <row r="3584">
      <c r="C3584" t="n">
        <v>17</v>
      </c>
      <c r="D3584" t="n">
        <v>1.207</v>
      </c>
    </row>
    <row r="3585">
      <c r="C3585" t="n">
        <v>18</v>
      </c>
      <c r="D3585" t="n">
        <v>1.24</v>
      </c>
    </row>
    <row r="3586">
      <c r="C3586" t="n">
        <v>19</v>
      </c>
      <c r="D3586" t="n">
        <v>1.274</v>
      </c>
    </row>
    <row r="3587">
      <c r="C3587" t="n">
        <v>20</v>
      </c>
      <c r="D3587" t="n">
        <v>1.309</v>
      </c>
    </row>
    <row r="3588">
      <c r="C3588" t="n">
        <v>22</v>
      </c>
      <c r="D3588" t="n">
        <v>1.381</v>
      </c>
    </row>
    <row r="3589">
      <c r="C3589" t="n">
        <v>24</v>
      </c>
      <c r="D3589" t="n">
        <v>1.458</v>
      </c>
    </row>
    <row r="3591">
      <c r="B3591" s="168" t="inlineStr">
        <is>
          <t>Section 13 (base = 12 ft) -- MVS 13-41</t>
        </is>
      </c>
      <c r="C3591" s="306" t="inlineStr">
        <is>
          <t>Height (ft)</t>
        </is>
      </c>
      <c r="D3591" s="306" t="inlineStr">
        <is>
          <t>Multiplier</t>
        </is>
      </c>
    </row>
    <row r="3592">
      <c r="C3592" t="n">
        <v>8</v>
      </c>
      <c r="D3592" t="n">
        <v>0.915</v>
      </c>
    </row>
    <row r="3593">
      <c r="C3593" t="n">
        <v>9</v>
      </c>
      <c r="D3593" t="n">
        <v>0.9360000000000001</v>
      </c>
    </row>
    <row r="3594">
      <c r="C3594" t="n">
        <v>10</v>
      </c>
      <c r="D3594" t="n">
        <v>0.957</v>
      </c>
    </row>
    <row r="3595">
      <c r="C3595" t="n">
        <v>11</v>
      </c>
      <c r="D3595" t="n">
        <v>0.979</v>
      </c>
    </row>
    <row r="3596">
      <c r="C3596" t="n">
        <v>12</v>
      </c>
      <c r="D3596" t="n">
        <v>1</v>
      </c>
    </row>
    <row r="3597">
      <c r="C3597" t="n">
        <v>13</v>
      </c>
      <c r="D3597" t="n">
        <v>1.021</v>
      </c>
    </row>
    <row r="3598">
      <c r="C3598" t="n">
        <v>14</v>
      </c>
      <c r="D3598" t="n">
        <v>1.042</v>
      </c>
    </row>
    <row r="3599">
      <c r="C3599" t="n">
        <v>15</v>
      </c>
      <c r="D3599" t="n">
        <v>1.064</v>
      </c>
    </row>
    <row r="3600">
      <c r="C3600" t="n">
        <v>16</v>
      </c>
      <c r="D3600" t="n">
        <v>1.085</v>
      </c>
    </row>
    <row r="3601">
      <c r="C3601" t="n">
        <v>18</v>
      </c>
      <c r="D3601" t="n">
        <v>1.127</v>
      </c>
    </row>
    <row r="3602">
      <c r="C3602" t="n">
        <v>20</v>
      </c>
      <c r="D3602" t="n">
        <v>1.17</v>
      </c>
    </row>
    <row r="3603">
      <c r="C3603" t="n">
        <v>22</v>
      </c>
      <c r="D3603" t="n">
        <v>1.213</v>
      </c>
    </row>
    <row r="3604">
      <c r="C3604" t="n">
        <v>24</v>
      </c>
      <c r="D3604" t="n">
        <v>1.255</v>
      </c>
    </row>
    <row r="3605">
      <c r="C3605" t="n">
        <v>26</v>
      </c>
      <c r="D3605" t="n">
        <v>1.298</v>
      </c>
    </row>
    <row r="3606">
      <c r="C3606" t="n">
        <v>28</v>
      </c>
      <c r="D3606" t="n">
        <v>1.34</v>
      </c>
    </row>
    <row r="3607">
      <c r="C3607" t="n">
        <v>30</v>
      </c>
      <c r="D3607" t="n">
        <v>1.383</v>
      </c>
    </row>
    <row r="3608">
      <c r="C3608" t="n">
        <v>32</v>
      </c>
      <c r="D3608" t="n">
        <v>1.425</v>
      </c>
    </row>
    <row r="3609">
      <c r="C3609" t="n">
        <v>34</v>
      </c>
      <c r="D3609" t="n">
        <v>1.468</v>
      </c>
    </row>
    <row r="3611">
      <c r="B3611" s="168" t="inlineStr">
        <is>
          <t>Section 14 (base = 14 ft) -- MVS 14-38</t>
        </is>
      </c>
      <c r="C3611" s="306" t="inlineStr">
        <is>
          <t>Height (ft)</t>
        </is>
      </c>
      <c r="D3611" s="306" t="inlineStr">
        <is>
          <t>Multiplier</t>
        </is>
      </c>
    </row>
    <row r="3612">
      <c r="C3612" t="n">
        <v>8</v>
      </c>
      <c r="D3612" t="n">
        <v>0.885</v>
      </c>
    </row>
    <row r="3613">
      <c r="C3613" t="n">
        <v>10</v>
      </c>
      <c r="D3613" t="n">
        <v>0.921</v>
      </c>
    </row>
    <row r="3614">
      <c r="C3614" t="n">
        <v>12</v>
      </c>
      <c r="D3614" t="n">
        <v>0.96</v>
      </c>
    </row>
    <row r="3615">
      <c r="C3615" t="n">
        <v>14</v>
      </c>
      <c r="D3615" t="n">
        <v>1</v>
      </c>
    </row>
    <row r="3616">
      <c r="C3616" t="n">
        <v>16</v>
      </c>
      <c r="D3616" t="n">
        <v>1.041</v>
      </c>
    </row>
    <row r="3617">
      <c r="C3617" t="n">
        <v>18</v>
      </c>
      <c r="D3617" t="n">
        <v>1.086</v>
      </c>
    </row>
    <row r="3618">
      <c r="C3618" t="n">
        <v>20</v>
      </c>
      <c r="D3618" t="n">
        <v>1.133</v>
      </c>
    </row>
    <row r="3619">
      <c r="C3619" t="n">
        <v>22</v>
      </c>
      <c r="D3619" t="n">
        <v>1.181</v>
      </c>
    </row>
    <row r="3620">
      <c r="C3620" t="n">
        <v>24</v>
      </c>
      <c r="D3620" t="n">
        <v>1.231</v>
      </c>
    </row>
    <row r="3621">
      <c r="C3621" t="n">
        <v>26</v>
      </c>
      <c r="D3621" t="n">
        <v>1.281</v>
      </c>
    </row>
    <row r="3622">
      <c r="C3622" t="n">
        <v>28</v>
      </c>
      <c r="D3622" t="n">
        <v>1.331</v>
      </c>
    </row>
    <row r="3623">
      <c r="C3623" t="n">
        <v>30</v>
      </c>
      <c r="D3623" t="n">
        <v>1.382</v>
      </c>
    </row>
    <row r="3624">
      <c r="C3624" t="n">
        <v>35</v>
      </c>
      <c r="D3624" t="n">
        <v>1.515</v>
      </c>
    </row>
    <row r="3625">
      <c r="C3625" t="n">
        <v>40</v>
      </c>
      <c r="D3625" t="n">
        <v>1.65</v>
      </c>
    </row>
    <row r="3626">
      <c r="C3626" t="n">
        <v>45</v>
      </c>
      <c r="D3626" t="n">
        <v>1.788</v>
      </c>
    </row>
    <row r="3627">
      <c r="C3627" t="n">
        <v>50</v>
      </c>
      <c r="D3627" t="n">
        <v>1.93</v>
      </c>
    </row>
    <row r="3628">
      <c r="C3628" t="n">
        <v>55</v>
      </c>
      <c r="D3628" t="n">
        <v>2.075</v>
      </c>
    </row>
    <row r="3629">
      <c r="C3629" t="n">
        <v>60</v>
      </c>
      <c r="D3629" t="n">
        <v>2.225</v>
      </c>
    </row>
    <row r="3630">
      <c r="C3630" t="n">
        <v>70</v>
      </c>
      <c r="D3630" t="n">
        <v>2.53</v>
      </c>
    </row>
    <row r="3631">
      <c r="C3631" t="n">
        <v>80</v>
      </c>
      <c r="D3631" t="n">
        <v>2.845</v>
      </c>
    </row>
    <row r="3632">
      <c r="C3632" t="n">
        <v>90</v>
      </c>
      <c r="D3632" t="n">
        <v>3.161</v>
      </c>
    </row>
    <row r="3633">
      <c r="C3633" t="n">
        <v>100</v>
      </c>
      <c r="D3633" t="n">
        <v>3.461</v>
      </c>
    </row>
    <row r="3634">
      <c r="C3634" t="n">
        <v>110</v>
      </c>
      <c r="D3634" t="n">
        <v>3.738</v>
      </c>
    </row>
    <row r="3635">
      <c r="C3635" t="n">
        <v>120</v>
      </c>
      <c r="D3635" t="n">
        <v>3.977</v>
      </c>
    </row>
    <row r="3637">
      <c r="B3637" s="168" t="inlineStr">
        <is>
          <t>Section 15 (base = 12 ft) -- MVS 15-38</t>
        </is>
      </c>
      <c r="C3637" s="306" t="inlineStr">
        <is>
          <t>Height (ft)</t>
        </is>
      </c>
      <c r="D3637" s="306" t="inlineStr">
        <is>
          <t>Multiplier</t>
        </is>
      </c>
    </row>
    <row r="3638">
      <c r="C3638" t="n">
        <v>8</v>
      </c>
      <c r="D3638" t="n">
        <v>0.9</v>
      </c>
    </row>
    <row r="3639">
      <c r="C3639" t="n">
        <v>9</v>
      </c>
      <c r="D3639" t="n">
        <v>0.928</v>
      </c>
    </row>
    <row r="3640">
      <c r="C3640" t="n">
        <v>10</v>
      </c>
      <c r="D3640" t="n">
        <v>0.953</v>
      </c>
    </row>
    <row r="3641">
      <c r="C3641" t="n">
        <v>11</v>
      </c>
      <c r="D3641" t="n">
        <v>0.977</v>
      </c>
    </row>
    <row r="3642">
      <c r="C3642" t="n">
        <v>12</v>
      </c>
      <c r="D3642" t="n">
        <v>1</v>
      </c>
    </row>
    <row r="3643">
      <c r="C3643" t="n">
        <v>13</v>
      </c>
      <c r="D3643" t="n">
        <v>1.023</v>
      </c>
    </row>
    <row r="3644">
      <c r="C3644" t="n">
        <v>14</v>
      </c>
      <c r="D3644" t="n">
        <v>1.046</v>
      </c>
    </row>
    <row r="3645">
      <c r="C3645" t="n">
        <v>15</v>
      </c>
      <c r="D3645" t="n">
        <v>1.069</v>
      </c>
    </row>
    <row r="3646">
      <c r="C3646" t="n">
        <v>16</v>
      </c>
      <c r="D3646" t="n">
        <v>1.092</v>
      </c>
    </row>
    <row r="3647">
      <c r="C3647" t="n">
        <v>18</v>
      </c>
      <c r="D3647" t="n">
        <v>1.138</v>
      </c>
    </row>
    <row r="3648">
      <c r="C3648" t="n">
        <v>20</v>
      </c>
      <c r="D3648" t="n">
        <v>1.184</v>
      </c>
    </row>
    <row r="3649">
      <c r="C3649" t="n">
        <v>24</v>
      </c>
      <c r="D3649" t="n">
        <v>1.276</v>
      </c>
    </row>
    <row r="3650">
      <c r="C3650" t="n">
        <v>28</v>
      </c>
      <c r="D3650" t="n">
        <v>1.367</v>
      </c>
    </row>
    <row r="3651">
      <c r="C3651" t="n">
        <v>32</v>
      </c>
      <c r="D3651" t="n">
        <v>1.459</v>
      </c>
    </row>
    <row r="3652">
      <c r="C3652" t="n">
        <v>36</v>
      </c>
      <c r="D3652" t="n">
        <v>1.552</v>
      </c>
    </row>
    <row r="3654">
      <c r="B3654" s="168" t="inlineStr">
        <is>
          <t>Section 16 (base = 16 ft) -- MVS 16-26</t>
        </is>
      </c>
      <c r="C3654" s="306" t="inlineStr">
        <is>
          <t>Height (ft)</t>
        </is>
      </c>
      <c r="D3654" s="306" t="inlineStr">
        <is>
          <t>Multiplier</t>
        </is>
      </c>
    </row>
    <row r="3655">
      <c r="C3655" t="n">
        <v>8</v>
      </c>
      <c r="D3655" t="n">
        <v>0.776</v>
      </c>
    </row>
    <row r="3656">
      <c r="C3656" t="n">
        <v>10</v>
      </c>
      <c r="D3656" t="n">
        <v>0.833</v>
      </c>
    </row>
    <row r="3657">
      <c r="C3657" t="n">
        <v>12</v>
      </c>
      <c r="D3657" t="n">
        <v>0.889</v>
      </c>
    </row>
    <row r="3658">
      <c r="C3658" t="n">
        <v>14</v>
      </c>
      <c r="D3658" t="n">
        <v>0.945</v>
      </c>
    </row>
    <row r="3659">
      <c r="C3659" t="n">
        <v>16</v>
      </c>
      <c r="D3659" t="n">
        <v>1</v>
      </c>
    </row>
    <row r="3660">
      <c r="C3660" t="n">
        <v>18</v>
      </c>
      <c r="D3660" t="n">
        <v>1.054</v>
      </c>
    </row>
    <row r="3661">
      <c r="C3661" t="n">
        <v>20</v>
      </c>
      <c r="D3661" t="n">
        <v>1.106</v>
      </c>
    </row>
    <row r="3662">
      <c r="C3662" t="n">
        <v>22</v>
      </c>
      <c r="D3662" t="n">
        <v>1.158</v>
      </c>
    </row>
    <row r="3663">
      <c r="C3663" t="n">
        <v>24</v>
      </c>
      <c r="D3663" t="n">
        <v>1.21</v>
      </c>
    </row>
    <row r="3664">
      <c r="C3664" t="n">
        <v>26</v>
      </c>
      <c r="D3664" t="n">
        <v>1.262</v>
      </c>
    </row>
    <row r="3665">
      <c r="C3665" t="n">
        <v>28</v>
      </c>
      <c r="D3665" t="n">
        <v>1.313</v>
      </c>
    </row>
    <row r="3666">
      <c r="C3666" t="n">
        <v>30</v>
      </c>
      <c r="D3666" t="n">
        <v>1.364</v>
      </c>
    </row>
    <row r="3667">
      <c r="C3667" t="n">
        <v>34</v>
      </c>
      <c r="D3667" t="n">
        <v>1.463</v>
      </c>
    </row>
    <row r="3668">
      <c r="C3668" t="n">
        <v>38</v>
      </c>
      <c r="D3668" t="n">
        <v>1.561</v>
      </c>
    </row>
    <row r="3669">
      <c r="C3669" t="n">
        <v>42</v>
      </c>
      <c r="D3669" t="n">
        <v>1.658</v>
      </c>
    </row>
    <row r="3670">
      <c r="C3670" t="n">
        <v>46</v>
      </c>
      <c r="D3670" t="n">
        <v>1.754</v>
      </c>
    </row>
    <row r="3671">
      <c r="C3671" t="n">
        <v>50</v>
      </c>
      <c r="D3671" t="n">
        <v>1.849</v>
      </c>
    </row>
    <row r="3672">
      <c r="C3672" t="n">
        <v>54</v>
      </c>
      <c r="D3672" t="n">
        <v>1.943</v>
      </c>
    </row>
    <row r="3673">
      <c r="C3673" t="n">
        <v>58</v>
      </c>
      <c r="D3673" t="n">
        <v>2.036</v>
      </c>
    </row>
    <row r="3674">
      <c r="C3674" t="n">
        <v>62</v>
      </c>
      <c r="D3674" t="n">
        <v>2.128</v>
      </c>
    </row>
    <row r="3675">
      <c r="C3675" t="n">
        <v>66</v>
      </c>
      <c r="D3675" t="n">
        <v>2.219</v>
      </c>
    </row>
    <row r="3676">
      <c r="C3676" t="n">
        <v>70</v>
      </c>
      <c r="D3676" t="n">
        <v>2.309</v>
      </c>
    </row>
    <row r="3677">
      <c r="C3677" t="n">
        <v>74</v>
      </c>
      <c r="D3677" t="n">
        <v>2.398</v>
      </c>
    </row>
    <row r="3678">
      <c r="C3678" t="n">
        <v>78</v>
      </c>
      <c r="D3678" t="n">
        <v>2.486</v>
      </c>
    </row>
    <row r="3679">
      <c r="C3679" t="n">
        <v>82</v>
      </c>
      <c r="D3679" t="n">
        <v>2.573</v>
      </c>
    </row>
    <row r="3680">
      <c r="C3680" t="n">
        <v>86</v>
      </c>
      <c r="D3680" t="n">
        <v>2.659</v>
      </c>
    </row>
    <row r="3681">
      <c r="C3681" t="n">
        <v>90</v>
      </c>
      <c r="D3681" t="n">
        <v>2.744</v>
      </c>
    </row>
    <row r="3682">
      <c r="C3682" t="n">
        <v>100</v>
      </c>
      <c r="D3682" t="n">
        <v>2.952</v>
      </c>
    </row>
    <row r="3683">
      <c r="C3683" t="n">
        <v>110</v>
      </c>
      <c r="D3683" t="n">
        <v>3.154</v>
      </c>
    </row>
    <row r="3684">
      <c r="C3684" t="n">
        <v>120</v>
      </c>
      <c r="D3684" t="n">
        <v>3.35</v>
      </c>
    </row>
    <row r="3686">
      <c r="B3686" s="168" t="inlineStr">
        <is>
          <t>Section 18 (base = 10 ft) -- MVS 18-37</t>
        </is>
      </c>
      <c r="C3686" s="306" t="inlineStr">
        <is>
          <t>Height (ft)</t>
        </is>
      </c>
      <c r="D3686" s="306" t="inlineStr">
        <is>
          <t>Multiplier</t>
        </is>
      </c>
    </row>
    <row r="3687">
      <c r="C3687" t="n">
        <v>8</v>
      </c>
      <c r="D3687" t="n">
        <v>0.963</v>
      </c>
    </row>
    <row r="3688">
      <c r="C3688" t="n">
        <v>9</v>
      </c>
      <c r="D3688" t="n">
        <v>0.981</v>
      </c>
    </row>
    <row r="3689">
      <c r="C3689" t="n">
        <v>10</v>
      </c>
      <c r="D3689" t="n">
        <v>1</v>
      </c>
    </row>
    <row r="3690">
      <c r="C3690" t="n">
        <v>11</v>
      </c>
      <c r="D3690" t="n">
        <v>1.018</v>
      </c>
    </row>
    <row r="3691">
      <c r="C3691" t="n">
        <v>12</v>
      </c>
      <c r="D3691" t="n">
        <v>1.037</v>
      </c>
    </row>
    <row r="3692">
      <c r="C3692" t="n">
        <v>13</v>
      </c>
      <c r="D3692" t="n">
        <v>1.055</v>
      </c>
    </row>
    <row r="3693">
      <c r="C3693" t="n">
        <v>14</v>
      </c>
      <c r="D3693" t="n">
        <v>1.073</v>
      </c>
    </row>
    <row r="3694">
      <c r="C3694" t="n">
        <v>15</v>
      </c>
      <c r="D3694" t="n">
        <v>1.092</v>
      </c>
    </row>
    <row r="3695">
      <c r="C3695" t="n">
        <v>16</v>
      </c>
      <c r="D3695" t="n">
        <v>1.11</v>
      </c>
    </row>
    <row r="3696">
      <c r="C3696" t="n">
        <v>18</v>
      </c>
      <c r="D3696" t="n">
        <v>1.147</v>
      </c>
    </row>
    <row r="3697">
      <c r="C3697" t="n">
        <v>20</v>
      </c>
      <c r="D3697" t="n">
        <v>1.183</v>
      </c>
    </row>
    <row r="3698">
      <c r="C3698" t="n">
        <v>22</v>
      </c>
      <c r="D3698" t="n">
        <v>1.22</v>
      </c>
    </row>
    <row r="3699">
      <c r="C3699" t="n">
        <v>24</v>
      </c>
      <c r="D3699" t="n">
        <v>1.257</v>
      </c>
    </row>
    <row r="3700">
      <c r="C3700" t="n">
        <v>30</v>
      </c>
      <c r="D3700" t="n">
        <v>1.367</v>
      </c>
    </row>
    <row r="3701">
      <c r="C3701" t="n">
        <v>36</v>
      </c>
      <c r="D3701" t="n">
        <v>1.476</v>
      </c>
    </row>
    <row r="3704">
      <c r="B3704" s="305" t="inlineStr">
        <is>
          <t>REFERENCE 6 -- Sprinkler Add-On Cost Tables ($/SF, wet systems by coverage; dry columns for reference). Section 17 publishes no sprinkler table -- 0 is used; price manually from MVS Sec.53 if sprinklered.</t>
        </is>
      </c>
    </row>
    <row r="3705">
      <c r="B3705" t="inlineStr">
        <is>
          <t>(quality header row, used by lookup formulas)</t>
        </is>
      </c>
      <c r="C3705" s="306" t="inlineStr">
        <is>
          <t>Low Cost</t>
        </is>
      </c>
      <c r="D3705" s="306" t="inlineStr">
        <is>
          <t>Average</t>
        </is>
      </c>
      <c r="E3705" s="306" t="inlineStr">
        <is>
          <t>Good</t>
        </is>
      </c>
      <c r="F3705" s="306" t="inlineStr">
        <is>
          <t>Excellent</t>
        </is>
      </c>
    </row>
    <row r="3706">
      <c r="B3706" s="168" t="inlineStr">
        <is>
          <t>Section 11 -- MVS 11-35</t>
        </is>
      </c>
      <c r="C3706" s="306" t="inlineStr">
        <is>
          <t>Coverage (SF)</t>
        </is>
      </c>
      <c r="D3706" s="306" t="inlineStr">
        <is>
          <t>Wet-Low</t>
        </is>
      </c>
      <c r="E3706" s="306" t="inlineStr">
        <is>
          <t>Wet-Avg</t>
        </is>
      </c>
      <c r="F3706" s="306" t="inlineStr">
        <is>
          <t>Wet-Good</t>
        </is>
      </c>
      <c r="G3706" s="306" t="inlineStr">
        <is>
          <t>Wet-Excl</t>
        </is>
      </c>
      <c r="H3706" s="306" t="inlineStr">
        <is>
          <t>Dry-Low</t>
        </is>
      </c>
      <c r="I3706" s="306" t="inlineStr">
        <is>
          <t>Dry-Avg</t>
        </is>
      </c>
      <c r="J3706" s="306" t="inlineStr">
        <is>
          <t>Dry-Good</t>
        </is>
      </c>
      <c r="K3706" s="306" t="inlineStr">
        <is>
          <t>Dry-Excl</t>
        </is>
      </c>
    </row>
    <row r="3707">
      <c r="C3707" t="n">
        <v>1500</v>
      </c>
      <c r="D3707" t="n">
        <v>5.81</v>
      </c>
      <c r="E3707" t="n">
        <v>6.91</v>
      </c>
      <c r="F3707" t="n">
        <v>8.220000000000001</v>
      </c>
      <c r="G3707" t="n">
        <v>9.77</v>
      </c>
      <c r="H3707" t="n">
        <v>7.55</v>
      </c>
      <c r="I3707" t="n">
        <v>8.98</v>
      </c>
      <c r="J3707" t="n">
        <v>10.7</v>
      </c>
      <c r="K3707" t="n">
        <v>12.7</v>
      </c>
    </row>
    <row r="3708">
      <c r="C3708" t="n">
        <v>3000</v>
      </c>
      <c r="D3708" t="n">
        <v>5.22</v>
      </c>
      <c r="E3708" t="n">
        <v>6.18</v>
      </c>
      <c r="F3708" t="n">
        <v>7.33</v>
      </c>
      <c r="G3708" t="n">
        <v>8.68</v>
      </c>
      <c r="H3708" t="n">
        <v>6.73</v>
      </c>
      <c r="I3708" t="n">
        <v>7.98</v>
      </c>
      <c r="J3708" t="n">
        <v>9.449999999999999</v>
      </c>
      <c r="K3708" t="n">
        <v>11.2</v>
      </c>
    </row>
    <row r="3709">
      <c r="C3709" t="n">
        <v>5000</v>
      </c>
      <c r="D3709" t="n">
        <v>4.83</v>
      </c>
      <c r="E3709" t="n">
        <v>5.7</v>
      </c>
      <c r="F3709" t="n">
        <v>6.72</v>
      </c>
      <c r="G3709" t="n">
        <v>7.92</v>
      </c>
      <c r="H3709" t="n">
        <v>6.18</v>
      </c>
      <c r="I3709" t="n">
        <v>7.29</v>
      </c>
      <c r="J3709" t="n">
        <v>8.6</v>
      </c>
      <c r="K3709" t="n">
        <v>10.15</v>
      </c>
    </row>
    <row r="3710">
      <c r="C3710" t="n">
        <v>10000</v>
      </c>
      <c r="D3710" t="n">
        <v>4.35</v>
      </c>
      <c r="E3710" t="n">
        <v>5.1</v>
      </c>
      <c r="F3710" t="n">
        <v>5.98</v>
      </c>
      <c r="G3710" t="n">
        <v>7.02</v>
      </c>
      <c r="H3710" t="n">
        <v>5.52</v>
      </c>
      <c r="I3710" t="n">
        <v>6.47</v>
      </c>
      <c r="J3710" t="n">
        <v>7.59</v>
      </c>
      <c r="K3710" t="n">
        <v>8.9</v>
      </c>
    </row>
    <row r="3711">
      <c r="C3711" t="n">
        <v>15000</v>
      </c>
      <c r="D3711" t="n">
        <v>4.09</v>
      </c>
      <c r="E3711" t="n">
        <v>4.78</v>
      </c>
      <c r="F3711" t="n">
        <v>5.59</v>
      </c>
      <c r="G3711" t="n">
        <v>6.54</v>
      </c>
      <c r="H3711" t="n">
        <v>5.17</v>
      </c>
      <c r="I3711" t="n">
        <v>6.05</v>
      </c>
      <c r="J3711" t="n">
        <v>7.08</v>
      </c>
      <c r="K3711" t="n">
        <v>8.279999999999999</v>
      </c>
    </row>
    <row r="3712">
      <c r="C3712" t="n">
        <v>20000</v>
      </c>
      <c r="D3712" t="n">
        <v>3.93</v>
      </c>
      <c r="E3712" t="n">
        <v>4.58</v>
      </c>
      <c r="F3712" t="n">
        <v>5.33</v>
      </c>
      <c r="G3712" t="n">
        <v>6.2</v>
      </c>
      <c r="H3712" t="n">
        <v>4.94</v>
      </c>
      <c r="I3712" t="n">
        <v>5.75</v>
      </c>
      <c r="J3712" t="n">
        <v>6.7</v>
      </c>
      <c r="K3712" t="n">
        <v>7.81</v>
      </c>
    </row>
    <row r="3713">
      <c r="C3713" t="n">
        <v>30000</v>
      </c>
      <c r="D3713" t="n">
        <v>3.64</v>
      </c>
      <c r="E3713" t="n">
        <v>4.24</v>
      </c>
      <c r="F3713" t="n">
        <v>4.94</v>
      </c>
      <c r="G3713" t="n">
        <v>5.76</v>
      </c>
      <c r="H3713" t="n">
        <v>4.59</v>
      </c>
      <c r="I3713" t="n">
        <v>5.35</v>
      </c>
      <c r="J3713" t="n">
        <v>6.23</v>
      </c>
      <c r="K3713" t="n">
        <v>7.26</v>
      </c>
    </row>
    <row r="3714">
      <c r="C3714" t="n">
        <v>40000</v>
      </c>
      <c r="D3714" t="n">
        <v>3.53</v>
      </c>
      <c r="E3714" t="n">
        <v>4.09</v>
      </c>
      <c r="F3714" t="n">
        <v>4.75</v>
      </c>
      <c r="G3714" t="n">
        <v>5.51</v>
      </c>
      <c r="H3714" t="n">
        <v>4.4</v>
      </c>
      <c r="I3714" t="n">
        <v>5.11</v>
      </c>
      <c r="J3714" t="n">
        <v>5.93</v>
      </c>
      <c r="K3714" t="n">
        <v>6.88</v>
      </c>
    </row>
    <row r="3715">
      <c r="C3715" t="n">
        <v>50000</v>
      </c>
      <c r="D3715" t="n">
        <v>3.41</v>
      </c>
      <c r="E3715" t="n">
        <v>3.95</v>
      </c>
      <c r="F3715" t="n">
        <v>4.58</v>
      </c>
      <c r="G3715" t="n">
        <v>5.31</v>
      </c>
      <c r="H3715" t="n">
        <v>4.27</v>
      </c>
      <c r="I3715" t="n">
        <v>4.94</v>
      </c>
      <c r="J3715" t="n">
        <v>5.71</v>
      </c>
      <c r="K3715" t="n">
        <v>6.6</v>
      </c>
    </row>
    <row r="3716">
      <c r="C3716" t="n">
        <v>75000</v>
      </c>
      <c r="D3716" t="n">
        <v>3.19</v>
      </c>
      <c r="E3716" t="n">
        <v>3.69</v>
      </c>
      <c r="F3716" t="n">
        <v>4.26</v>
      </c>
      <c r="G3716" t="n">
        <v>4.93</v>
      </c>
      <c r="H3716" t="n">
        <v>3.96</v>
      </c>
      <c r="I3716" t="n">
        <v>4.58</v>
      </c>
      <c r="J3716" t="n">
        <v>5.29</v>
      </c>
      <c r="K3716" t="n">
        <v>6.12</v>
      </c>
    </row>
    <row r="3717">
      <c r="C3717" t="n">
        <v>100000</v>
      </c>
      <c r="D3717" t="n">
        <v>3.04</v>
      </c>
      <c r="E3717" t="n">
        <v>3.51</v>
      </c>
      <c r="F3717" t="n">
        <v>4.05</v>
      </c>
      <c r="G3717" t="n">
        <v>4.67</v>
      </c>
      <c r="H3717" t="n">
        <v>3.78</v>
      </c>
      <c r="I3717" t="n">
        <v>4.36</v>
      </c>
      <c r="J3717" t="n">
        <v>5.03</v>
      </c>
      <c r="K3717" t="n">
        <v>5.8</v>
      </c>
    </row>
    <row r="3718">
      <c r="C3718" t="n">
        <v>125000</v>
      </c>
      <c r="D3718" t="n">
        <v>2.96</v>
      </c>
      <c r="E3718" t="n">
        <v>3.4</v>
      </c>
      <c r="F3718" t="n">
        <v>3.91</v>
      </c>
      <c r="G3718" t="n">
        <v>4.49</v>
      </c>
      <c r="H3718" t="n">
        <v>3.64</v>
      </c>
      <c r="I3718" t="n">
        <v>4.19</v>
      </c>
      <c r="J3718" t="n">
        <v>4.82</v>
      </c>
      <c r="K3718" t="n">
        <v>5.54</v>
      </c>
    </row>
    <row r="3719">
      <c r="C3719" t="n">
        <v>150000</v>
      </c>
      <c r="D3719" t="n">
        <v>2.87</v>
      </c>
      <c r="E3719" t="n">
        <v>3.3</v>
      </c>
      <c r="F3719" t="n">
        <v>3.79</v>
      </c>
      <c r="G3719" t="n">
        <v>4.35</v>
      </c>
      <c r="H3719" t="n">
        <v>3.53</v>
      </c>
      <c r="I3719" t="n">
        <v>4.06</v>
      </c>
      <c r="J3719" t="n">
        <v>4.66</v>
      </c>
      <c r="K3719" t="n">
        <v>5.36</v>
      </c>
    </row>
    <row r="3720">
      <c r="C3720" t="n">
        <v>200000</v>
      </c>
      <c r="D3720" t="n">
        <v>2.74</v>
      </c>
      <c r="E3720" t="n">
        <v>3.14</v>
      </c>
      <c r="F3720" t="n">
        <v>3.6</v>
      </c>
      <c r="G3720" t="n">
        <v>4.12</v>
      </c>
      <c r="H3720" t="n">
        <v>3.35</v>
      </c>
      <c r="I3720" t="n">
        <v>3.85</v>
      </c>
      <c r="J3720" t="n">
        <v>4.43</v>
      </c>
      <c r="K3720" t="n">
        <v>5.09</v>
      </c>
    </row>
    <row r="3721">
      <c r="C3721" t="n">
        <v>300000</v>
      </c>
      <c r="D3721" t="n">
        <v>2.59</v>
      </c>
      <c r="E3721" t="n">
        <v>2.97</v>
      </c>
      <c r="F3721" t="n">
        <v>3.4</v>
      </c>
      <c r="G3721" t="n">
        <v>3.9</v>
      </c>
      <c r="H3721" t="n">
        <v>3.19</v>
      </c>
      <c r="I3721" t="n">
        <v>3.64</v>
      </c>
      <c r="J3721" t="n">
        <v>4.15</v>
      </c>
      <c r="K3721" t="n">
        <v>4.73</v>
      </c>
    </row>
    <row r="3722">
      <c r="C3722" t="n">
        <v>400000</v>
      </c>
      <c r="D3722" t="n">
        <v>2.46</v>
      </c>
      <c r="E3722" t="n">
        <v>2.81</v>
      </c>
      <c r="F3722" t="n">
        <v>3.21</v>
      </c>
      <c r="G3722" t="n">
        <v>3.67</v>
      </c>
      <c r="H3722" t="n">
        <v>3.01</v>
      </c>
      <c r="I3722" t="n">
        <v>3.44</v>
      </c>
      <c r="J3722" t="n">
        <v>3.93</v>
      </c>
      <c r="K3722" t="n">
        <v>4.49</v>
      </c>
    </row>
    <row r="3723">
      <c r="C3723" t="n">
        <v>500000</v>
      </c>
      <c r="D3723" t="n">
        <v>2.38</v>
      </c>
      <c r="E3723" t="n">
        <v>2.71</v>
      </c>
      <c r="F3723" t="n">
        <v>3.1</v>
      </c>
      <c r="G3723" t="n">
        <v>3.53</v>
      </c>
      <c r="H3723" t="n">
        <v>2.9</v>
      </c>
      <c r="I3723" t="n">
        <v>3.31</v>
      </c>
      <c r="J3723" t="n">
        <v>3.77</v>
      </c>
      <c r="K3723" t="n">
        <v>4.3</v>
      </c>
    </row>
    <row r="3725">
      <c r="B3725" s="168" t="inlineStr">
        <is>
          <t>Section 12 -- MVS 12-39 (simple residential installs run 4.04-6.22/SF flat)</t>
        </is>
      </c>
      <c r="C3725" s="306" t="inlineStr">
        <is>
          <t>Coverage (SF)</t>
        </is>
      </c>
      <c r="D3725" s="306" t="inlineStr">
        <is>
          <t>Wet-Low</t>
        </is>
      </c>
      <c r="E3725" s="306" t="inlineStr">
        <is>
          <t>Wet-Avg</t>
        </is>
      </c>
      <c r="F3725" s="306" t="inlineStr">
        <is>
          <t>Wet-Good</t>
        </is>
      </c>
      <c r="G3725" s="306" t="inlineStr">
        <is>
          <t>Wet-Excl</t>
        </is>
      </c>
      <c r="H3725" s="306" t="inlineStr">
        <is>
          <t>Dry-Low</t>
        </is>
      </c>
      <c r="I3725" s="306" t="inlineStr">
        <is>
          <t>Dry-Avg</t>
        </is>
      </c>
      <c r="J3725" s="306" t="inlineStr">
        <is>
          <t>Dry-Good</t>
        </is>
      </c>
      <c r="K3725" s="306" t="inlineStr">
        <is>
          <t>Dry-Excl</t>
        </is>
      </c>
    </row>
    <row r="3726">
      <c r="C3726" t="n">
        <v>1500</v>
      </c>
      <c r="D3726" t="n">
        <v>5.02</v>
      </c>
      <c r="E3726" t="n">
        <v>5.94</v>
      </c>
      <c r="F3726" t="n">
        <v>7.04</v>
      </c>
      <c r="G3726" t="n">
        <v>8.33</v>
      </c>
      <c r="H3726" t="n">
        <v>6.47</v>
      </c>
      <c r="I3726" t="n">
        <v>7.65</v>
      </c>
      <c r="J3726" t="n">
        <v>9.050000000000001</v>
      </c>
      <c r="K3726" t="n">
        <v>10.7</v>
      </c>
    </row>
    <row r="3727">
      <c r="C3727" t="n">
        <v>3000</v>
      </c>
      <c r="D3727" t="n">
        <v>4.51</v>
      </c>
      <c r="E3727" t="n">
        <v>5.31</v>
      </c>
      <c r="F3727" t="n">
        <v>6.26</v>
      </c>
      <c r="G3727" t="n">
        <v>7.38</v>
      </c>
      <c r="H3727" t="n">
        <v>5.78</v>
      </c>
      <c r="I3727" t="n">
        <v>6.8</v>
      </c>
      <c r="J3727" t="n">
        <v>8</v>
      </c>
      <c r="K3727" t="n">
        <v>9.42</v>
      </c>
    </row>
    <row r="3728">
      <c r="C3728" t="n">
        <v>5000</v>
      </c>
      <c r="D3728" t="n">
        <v>4.21</v>
      </c>
      <c r="E3728" t="n">
        <v>4.93</v>
      </c>
      <c r="F3728" t="n">
        <v>5.78</v>
      </c>
      <c r="G3728" t="n">
        <v>6.77</v>
      </c>
      <c r="H3728" t="n">
        <v>5.34</v>
      </c>
      <c r="I3728" t="n">
        <v>6.25</v>
      </c>
      <c r="J3728" t="n">
        <v>7.31</v>
      </c>
      <c r="K3728" t="n">
        <v>8.550000000000001</v>
      </c>
    </row>
    <row r="3729">
      <c r="C3729" t="n">
        <v>10000</v>
      </c>
      <c r="D3729" t="n">
        <v>3.77</v>
      </c>
      <c r="E3729" t="n">
        <v>4.4</v>
      </c>
      <c r="F3729" t="n">
        <v>5.13</v>
      </c>
      <c r="G3729" t="n">
        <v>5.98</v>
      </c>
      <c r="H3729" t="n">
        <v>4.74</v>
      </c>
      <c r="I3729" t="n">
        <v>5.54</v>
      </c>
      <c r="J3729" t="n">
        <v>6.46</v>
      </c>
      <c r="K3729" t="n">
        <v>7.55</v>
      </c>
    </row>
    <row r="3730">
      <c r="C3730" t="n">
        <v>15000</v>
      </c>
      <c r="D3730" t="n">
        <v>3.55</v>
      </c>
      <c r="E3730" t="n">
        <v>4.13</v>
      </c>
      <c r="F3730" t="n">
        <v>4.8</v>
      </c>
      <c r="G3730" t="n">
        <v>5.58</v>
      </c>
      <c r="H3730" t="n">
        <v>4.45</v>
      </c>
      <c r="I3730" t="n">
        <v>5.18</v>
      </c>
      <c r="J3730" t="n">
        <v>6.02</v>
      </c>
      <c r="K3730" t="n">
        <v>7</v>
      </c>
    </row>
    <row r="3731">
      <c r="C3731" t="n">
        <v>20000</v>
      </c>
      <c r="D3731" t="n">
        <v>3.39</v>
      </c>
      <c r="E3731" t="n">
        <v>3.93</v>
      </c>
      <c r="F3731" t="n">
        <v>4.56</v>
      </c>
      <c r="G3731" t="n">
        <v>5.29</v>
      </c>
      <c r="H3731" t="n">
        <v>4.24</v>
      </c>
      <c r="I3731" t="n">
        <v>4.92</v>
      </c>
      <c r="J3731" t="n">
        <v>5.71</v>
      </c>
      <c r="K3731" t="n">
        <v>6.62</v>
      </c>
    </row>
    <row r="3732">
      <c r="C3732" t="n">
        <v>40000</v>
      </c>
      <c r="D3732" t="n">
        <v>3.08</v>
      </c>
      <c r="E3732" t="n">
        <v>3.55</v>
      </c>
      <c r="F3732" t="n">
        <v>4.09</v>
      </c>
      <c r="G3732" t="n">
        <v>4.71</v>
      </c>
      <c r="H3732" t="n">
        <v>3.81</v>
      </c>
      <c r="I3732" t="n">
        <v>4.39</v>
      </c>
      <c r="J3732" t="n">
        <v>5.07</v>
      </c>
      <c r="K3732" t="n">
        <v>5.84</v>
      </c>
    </row>
    <row r="3733">
      <c r="C3733" t="n">
        <v>50000</v>
      </c>
      <c r="D3733" t="n">
        <v>2.94</v>
      </c>
      <c r="E3733" t="n">
        <v>3.4</v>
      </c>
      <c r="F3733" t="n">
        <v>3.92</v>
      </c>
      <c r="G3733" t="n">
        <v>4.53</v>
      </c>
      <c r="H3733" t="n">
        <v>3.66</v>
      </c>
      <c r="I3733" t="n">
        <v>4.22</v>
      </c>
      <c r="J3733" t="n">
        <v>4.87</v>
      </c>
      <c r="K3733" t="n">
        <v>5.61</v>
      </c>
    </row>
    <row r="3734">
      <c r="C3734" t="n">
        <v>100000</v>
      </c>
      <c r="D3734" t="n">
        <v>2.65</v>
      </c>
      <c r="E3734" t="n">
        <v>3.04</v>
      </c>
      <c r="F3734" t="n">
        <v>3.49</v>
      </c>
      <c r="G3734" t="n">
        <v>4.01</v>
      </c>
      <c r="H3734" t="n">
        <v>3.26</v>
      </c>
      <c r="I3734" t="n">
        <v>3.74</v>
      </c>
      <c r="J3734" t="n">
        <v>4.3</v>
      </c>
      <c r="K3734" t="n">
        <v>4.94</v>
      </c>
    </row>
    <row r="3735">
      <c r="C3735" t="n">
        <v>150000</v>
      </c>
      <c r="D3735" t="n">
        <v>2.55</v>
      </c>
      <c r="E3735" t="n">
        <v>2.9</v>
      </c>
      <c r="F3735" t="n">
        <v>3.3</v>
      </c>
      <c r="G3735" t="n">
        <v>3.75</v>
      </c>
      <c r="H3735" t="n">
        <v>3.08</v>
      </c>
      <c r="I3735" t="n">
        <v>3.51</v>
      </c>
      <c r="J3735" t="n">
        <v>3.99</v>
      </c>
      <c r="K3735" t="n">
        <v>4.54</v>
      </c>
    </row>
    <row r="3736">
      <c r="C3736" t="n">
        <v>200000</v>
      </c>
      <c r="D3736" t="n">
        <v>2.41</v>
      </c>
      <c r="E3736" t="n">
        <v>2.74</v>
      </c>
      <c r="F3736" t="n">
        <v>3.12</v>
      </c>
      <c r="G3736" t="n">
        <v>3.55</v>
      </c>
      <c r="H3736" t="n">
        <v>2.91</v>
      </c>
      <c r="I3736" t="n">
        <v>3.31</v>
      </c>
      <c r="J3736" t="n">
        <v>3.78</v>
      </c>
      <c r="K3736" t="n">
        <v>4.3</v>
      </c>
    </row>
    <row r="3738">
      <c r="B3738" s="168" t="inlineStr">
        <is>
          <t>Section 13 -- MVS 13-40</t>
        </is>
      </c>
      <c r="C3738" s="306" t="inlineStr">
        <is>
          <t>Coverage (SF)</t>
        </is>
      </c>
      <c r="D3738" s="306" t="inlineStr">
        <is>
          <t>Wet-Low</t>
        </is>
      </c>
      <c r="E3738" s="306" t="inlineStr">
        <is>
          <t>Wet-Avg</t>
        </is>
      </c>
      <c r="F3738" s="306" t="inlineStr">
        <is>
          <t>Wet-Good</t>
        </is>
      </c>
      <c r="G3738" s="306" t="inlineStr">
        <is>
          <t>Wet-Excl</t>
        </is>
      </c>
      <c r="H3738" s="306" t="inlineStr">
        <is>
          <t>Dry-Low</t>
        </is>
      </c>
      <c r="I3738" s="306" t="inlineStr">
        <is>
          <t>Dry-Avg</t>
        </is>
      </c>
      <c r="J3738" s="306" t="inlineStr">
        <is>
          <t>Dry-Good</t>
        </is>
      </c>
      <c r="K3738" s="306" t="inlineStr">
        <is>
          <t>Dry-Excl</t>
        </is>
      </c>
    </row>
    <row r="3739">
      <c r="C3739" t="n">
        <v>1000</v>
      </c>
      <c r="D3739" t="n">
        <v>6.05</v>
      </c>
      <c r="E3739" t="n">
        <v>7.18</v>
      </c>
      <c r="F3739" t="n">
        <v>8.51</v>
      </c>
      <c r="G3739" t="n">
        <v>10.1</v>
      </c>
      <c r="H3739" t="n">
        <v>7.83</v>
      </c>
      <c r="I3739" t="n">
        <v>9.300000000000001</v>
      </c>
      <c r="J3739" t="n">
        <v>11.05</v>
      </c>
      <c r="K3739" t="n">
        <v>13.1</v>
      </c>
    </row>
    <row r="3740">
      <c r="C3740" t="n">
        <v>2000</v>
      </c>
      <c r="D3740" t="n">
        <v>5.46</v>
      </c>
      <c r="E3740" t="n">
        <v>6.43</v>
      </c>
      <c r="F3740" t="n">
        <v>7.57</v>
      </c>
      <c r="G3740" t="n">
        <v>8.92</v>
      </c>
      <c r="H3740" t="n">
        <v>6.99</v>
      </c>
      <c r="I3740" t="n">
        <v>8.24</v>
      </c>
      <c r="J3740" t="n">
        <v>9.710000000000001</v>
      </c>
      <c r="K3740" t="n">
        <v>11.45</v>
      </c>
    </row>
    <row r="3741">
      <c r="C3741" t="n">
        <v>3000</v>
      </c>
      <c r="D3741" t="n">
        <v>5.13</v>
      </c>
      <c r="E3741" t="n">
        <v>6.03</v>
      </c>
      <c r="F3741" t="n">
        <v>7.08</v>
      </c>
      <c r="G3741" t="n">
        <v>8.32</v>
      </c>
      <c r="H3741" t="n">
        <v>6.53</v>
      </c>
      <c r="I3741" t="n">
        <v>7.67</v>
      </c>
      <c r="J3741" t="n">
        <v>9.02</v>
      </c>
      <c r="K3741" t="n">
        <v>10.6</v>
      </c>
    </row>
    <row r="3742">
      <c r="C3742" t="n">
        <v>5000</v>
      </c>
      <c r="D3742" t="n">
        <v>4.73</v>
      </c>
      <c r="E3742" t="n">
        <v>5.54</v>
      </c>
      <c r="F3742" t="n">
        <v>6.5</v>
      </c>
      <c r="G3742" t="n">
        <v>7.62</v>
      </c>
      <c r="H3742" t="n">
        <v>6.02</v>
      </c>
      <c r="I3742" t="n">
        <v>7.05</v>
      </c>
      <c r="J3742" t="n">
        <v>8.26</v>
      </c>
      <c r="K3742" t="n">
        <v>9.67</v>
      </c>
    </row>
    <row r="3743">
      <c r="C3743" t="n">
        <v>10000</v>
      </c>
      <c r="D3743" t="n">
        <v>4.26</v>
      </c>
      <c r="E3743" t="n">
        <v>4.96</v>
      </c>
      <c r="F3743" t="n">
        <v>5.77</v>
      </c>
      <c r="G3743" t="n">
        <v>6.72</v>
      </c>
      <c r="H3743" t="n">
        <v>5.35</v>
      </c>
      <c r="I3743" t="n">
        <v>6.23</v>
      </c>
      <c r="J3743" t="n">
        <v>7.26</v>
      </c>
      <c r="K3743" t="n">
        <v>8.449999999999999</v>
      </c>
    </row>
    <row r="3744">
      <c r="C3744" t="n">
        <v>15000</v>
      </c>
      <c r="D3744" t="n">
        <v>3.99</v>
      </c>
      <c r="E3744" t="n">
        <v>4.64</v>
      </c>
      <c r="F3744" t="n">
        <v>5.39</v>
      </c>
      <c r="G3744" t="n">
        <v>6.26</v>
      </c>
      <c r="H3744" t="n">
        <v>5</v>
      </c>
      <c r="I3744" t="n">
        <v>5.81</v>
      </c>
      <c r="J3744" t="n">
        <v>6.74</v>
      </c>
      <c r="K3744" t="n">
        <v>7.83</v>
      </c>
    </row>
    <row r="3745">
      <c r="C3745" t="n">
        <v>20000</v>
      </c>
      <c r="D3745" t="n">
        <v>3.83</v>
      </c>
      <c r="E3745" t="n">
        <v>4.44</v>
      </c>
      <c r="F3745" t="n">
        <v>5.15</v>
      </c>
      <c r="G3745" t="n">
        <v>5.97</v>
      </c>
      <c r="H3745" t="n">
        <v>4.78</v>
      </c>
      <c r="I3745" t="n">
        <v>5.54</v>
      </c>
      <c r="J3745" t="n">
        <v>6.41</v>
      </c>
      <c r="K3745" t="n">
        <v>7.43</v>
      </c>
    </row>
    <row r="3746">
      <c r="C3746" t="n">
        <v>30000</v>
      </c>
      <c r="D3746" t="n">
        <v>3.6</v>
      </c>
      <c r="E3746" t="n">
        <v>4.16</v>
      </c>
      <c r="F3746" t="n">
        <v>4.8</v>
      </c>
      <c r="G3746" t="n">
        <v>5.54</v>
      </c>
      <c r="H3746" t="n">
        <v>4.48</v>
      </c>
      <c r="I3746" t="n">
        <v>5.17</v>
      </c>
      <c r="J3746" t="n">
        <v>5.97</v>
      </c>
      <c r="K3746" t="n">
        <v>6.89</v>
      </c>
    </row>
    <row r="3747">
      <c r="C3747" t="n">
        <v>50000</v>
      </c>
      <c r="D3747" t="n">
        <v>3.35</v>
      </c>
      <c r="E3747" t="n">
        <v>3.85</v>
      </c>
      <c r="F3747" t="n">
        <v>4.42</v>
      </c>
      <c r="G3747" t="n">
        <v>5.07</v>
      </c>
      <c r="H3747" t="n">
        <v>4.13</v>
      </c>
      <c r="I3747" t="n">
        <v>4.73</v>
      </c>
      <c r="J3747" t="n">
        <v>5.43</v>
      </c>
      <c r="K3747" t="n">
        <v>6.22</v>
      </c>
    </row>
    <row r="3748">
      <c r="C3748" t="n">
        <v>75000</v>
      </c>
      <c r="D3748" t="n">
        <v>3.11</v>
      </c>
      <c r="E3748" t="n">
        <v>3.57</v>
      </c>
      <c r="F3748" t="n">
        <v>4.1</v>
      </c>
      <c r="G3748" t="n">
        <v>4.7</v>
      </c>
      <c r="H3748" t="n">
        <v>3.83</v>
      </c>
      <c r="I3748" t="n">
        <v>4.39</v>
      </c>
      <c r="J3748" t="n">
        <v>5.03</v>
      </c>
      <c r="K3748" t="n">
        <v>5.76</v>
      </c>
    </row>
    <row r="3749">
      <c r="C3749" t="n">
        <v>100000</v>
      </c>
      <c r="D3749" t="n">
        <v>2.97</v>
      </c>
      <c r="E3749" t="n">
        <v>3.41</v>
      </c>
      <c r="F3749" t="n">
        <v>3.91</v>
      </c>
      <c r="G3749" t="n">
        <v>4.48</v>
      </c>
      <c r="H3749" t="n">
        <v>3.65</v>
      </c>
      <c r="I3749" t="n">
        <v>4.18</v>
      </c>
      <c r="J3749" t="n">
        <v>4.79</v>
      </c>
      <c r="K3749" t="n">
        <v>5.49</v>
      </c>
    </row>
    <row r="3750">
      <c r="C3750" t="n">
        <v>150000</v>
      </c>
      <c r="D3750" t="n">
        <v>2.79</v>
      </c>
      <c r="E3750" t="n">
        <v>3.2</v>
      </c>
      <c r="F3750" t="n">
        <v>3.66</v>
      </c>
      <c r="G3750" t="n">
        <v>4.19</v>
      </c>
      <c r="H3750" t="n">
        <v>3.43</v>
      </c>
      <c r="I3750" t="n">
        <v>3.92</v>
      </c>
      <c r="J3750" t="n">
        <v>4.49</v>
      </c>
      <c r="K3750" t="n">
        <v>5.13</v>
      </c>
    </row>
    <row r="3751">
      <c r="C3751" t="n">
        <v>200000</v>
      </c>
      <c r="D3751" t="n">
        <v>2.7</v>
      </c>
      <c r="E3751" t="n">
        <v>3.07</v>
      </c>
      <c r="F3751" t="n">
        <v>3.49</v>
      </c>
      <c r="G3751" t="n">
        <v>3.97</v>
      </c>
      <c r="H3751" t="n">
        <v>3.29</v>
      </c>
      <c r="I3751" t="n">
        <v>3.73</v>
      </c>
      <c r="J3751" t="n">
        <v>4.24</v>
      </c>
      <c r="K3751" t="n">
        <v>4.81</v>
      </c>
    </row>
    <row r="3752">
      <c r="C3752" t="n">
        <v>300000</v>
      </c>
      <c r="D3752" t="n">
        <v>2.52</v>
      </c>
      <c r="E3752" t="n">
        <v>2.86</v>
      </c>
      <c r="F3752" t="n">
        <v>3.24</v>
      </c>
      <c r="G3752" t="n">
        <v>3.68</v>
      </c>
      <c r="H3752" t="n">
        <v>3.05</v>
      </c>
      <c r="I3752" t="n">
        <v>3.46</v>
      </c>
      <c r="J3752" t="n">
        <v>3.93</v>
      </c>
      <c r="K3752" t="n">
        <v>4.46</v>
      </c>
    </row>
    <row r="3753">
      <c r="C3753" t="n">
        <v>400000</v>
      </c>
      <c r="D3753" t="n">
        <v>2.43</v>
      </c>
      <c r="E3753" t="n">
        <v>2.74</v>
      </c>
      <c r="F3753" t="n">
        <v>3.09</v>
      </c>
      <c r="G3753" t="n">
        <v>3.49</v>
      </c>
      <c r="H3753" t="n">
        <v>2.91</v>
      </c>
      <c r="I3753" t="n">
        <v>3.29</v>
      </c>
      <c r="J3753" t="n">
        <v>3.71</v>
      </c>
      <c r="K3753" t="n">
        <v>4.19</v>
      </c>
    </row>
    <row r="3754">
      <c r="C3754" t="n">
        <v>600000</v>
      </c>
      <c r="D3754" t="n">
        <v>2.27</v>
      </c>
      <c r="E3754" t="n">
        <v>2.56</v>
      </c>
      <c r="F3754" t="n">
        <v>2.9</v>
      </c>
      <c r="G3754" t="n">
        <v>3.27</v>
      </c>
      <c r="H3754" t="n">
        <v>2.72</v>
      </c>
      <c r="I3754" t="n">
        <v>3.07</v>
      </c>
      <c r="J3754" t="n">
        <v>3.46</v>
      </c>
      <c r="K3754" t="n">
        <v>3.91</v>
      </c>
    </row>
    <row r="3755">
      <c r="C3755" t="n">
        <v>800000</v>
      </c>
      <c r="D3755" t="n">
        <v>2.19</v>
      </c>
      <c r="E3755" t="n">
        <v>2.46</v>
      </c>
      <c r="F3755" t="n">
        <v>2.77</v>
      </c>
      <c r="G3755" t="n">
        <v>3.11</v>
      </c>
      <c r="H3755" t="n">
        <v>2.62</v>
      </c>
      <c r="I3755" t="n">
        <v>2.94</v>
      </c>
      <c r="J3755" t="n">
        <v>3.31</v>
      </c>
      <c r="K3755" t="n">
        <v>3.72</v>
      </c>
    </row>
    <row r="3756">
      <c r="C3756" t="n">
        <v>1000000</v>
      </c>
      <c r="D3756" t="n">
        <v>2.11</v>
      </c>
      <c r="E3756" t="n">
        <v>2.37</v>
      </c>
      <c r="F3756" t="n">
        <v>2.66</v>
      </c>
      <c r="G3756" t="n">
        <v>2.99</v>
      </c>
      <c r="H3756" t="n">
        <v>2.52</v>
      </c>
      <c r="I3756" t="n">
        <v>2.83</v>
      </c>
      <c r="J3756" t="n">
        <v>3.17</v>
      </c>
      <c r="K3756" t="n">
        <v>3.56</v>
      </c>
    </row>
    <row r="3758">
      <c r="B3758" s="168" t="inlineStr">
        <is>
          <t>Section 14 -- MVS 14-37</t>
        </is>
      </c>
      <c r="C3758" s="306" t="inlineStr">
        <is>
          <t>Coverage (SF)</t>
        </is>
      </c>
      <c r="D3758" s="306" t="inlineStr">
        <is>
          <t>Wet-Low</t>
        </is>
      </c>
      <c r="E3758" s="306" t="inlineStr">
        <is>
          <t>Wet-Avg</t>
        </is>
      </c>
      <c r="F3758" s="306" t="inlineStr">
        <is>
          <t>Wet-Good</t>
        </is>
      </c>
      <c r="G3758" s="306" t="inlineStr">
        <is>
          <t>Wet-Excl</t>
        </is>
      </c>
      <c r="H3758" s="306" t="inlineStr">
        <is>
          <t>Dry-Low</t>
        </is>
      </c>
      <c r="I3758" s="306" t="inlineStr">
        <is>
          <t>Dry-Avg</t>
        </is>
      </c>
      <c r="J3758" s="306" t="inlineStr">
        <is>
          <t>Dry-Good</t>
        </is>
      </c>
      <c r="K3758" s="306" t="inlineStr">
        <is>
          <t>Dry-Excl</t>
        </is>
      </c>
    </row>
    <row r="3759">
      <c r="C3759" t="n">
        <v>2500</v>
      </c>
      <c r="D3759" t="n">
        <v>4.64</v>
      </c>
      <c r="E3759" t="n">
        <v>5.62</v>
      </c>
      <c r="F3759" t="n">
        <v>6.8</v>
      </c>
      <c r="G3759" t="n">
        <v>8.24</v>
      </c>
      <c r="H3759" t="n">
        <v>6.17</v>
      </c>
      <c r="I3759" t="n">
        <v>7.47</v>
      </c>
      <c r="J3759" t="n">
        <v>9.039999999999999</v>
      </c>
      <c r="K3759" t="n">
        <v>10.95</v>
      </c>
    </row>
    <row r="3760">
      <c r="C3760" t="n">
        <v>5000</v>
      </c>
      <c r="D3760" t="n">
        <v>4.17</v>
      </c>
      <c r="E3760" t="n">
        <v>5.02</v>
      </c>
      <c r="F3760" t="n">
        <v>6.05</v>
      </c>
      <c r="G3760" t="n">
        <v>7.28</v>
      </c>
      <c r="H3760" t="n">
        <v>5.51</v>
      </c>
      <c r="I3760" t="n">
        <v>6.64</v>
      </c>
      <c r="J3760" t="n">
        <v>7.99</v>
      </c>
      <c r="K3760" t="n">
        <v>9.630000000000001</v>
      </c>
    </row>
    <row r="3761">
      <c r="C3761" t="n">
        <v>10000</v>
      </c>
      <c r="D3761" t="n">
        <v>3.77</v>
      </c>
      <c r="E3761" t="n">
        <v>4.52</v>
      </c>
      <c r="F3761" t="n">
        <v>5.41</v>
      </c>
      <c r="G3761" t="n">
        <v>6.48</v>
      </c>
      <c r="H3761" t="n">
        <v>4.95</v>
      </c>
      <c r="I3761" t="n">
        <v>5.93</v>
      </c>
      <c r="J3761" t="n">
        <v>7.09</v>
      </c>
      <c r="K3761" t="n">
        <v>8.49</v>
      </c>
    </row>
    <row r="3762">
      <c r="C3762" t="n">
        <v>15000</v>
      </c>
      <c r="D3762" t="n">
        <v>3.54</v>
      </c>
      <c r="E3762" t="n">
        <v>4.23</v>
      </c>
      <c r="F3762" t="n">
        <v>5.05</v>
      </c>
      <c r="G3762" t="n">
        <v>6.03</v>
      </c>
      <c r="H3762" t="n">
        <v>4.62</v>
      </c>
      <c r="I3762" t="n">
        <v>5.52</v>
      </c>
      <c r="J3762" t="n">
        <v>6.6</v>
      </c>
      <c r="K3762" t="n">
        <v>7.88</v>
      </c>
    </row>
    <row r="3763">
      <c r="C3763" t="n">
        <v>20000</v>
      </c>
      <c r="D3763" t="n">
        <v>3.37</v>
      </c>
      <c r="E3763" t="n">
        <v>4.02</v>
      </c>
      <c r="F3763" t="n">
        <v>4.78</v>
      </c>
      <c r="G3763" t="n">
        <v>5.7</v>
      </c>
      <c r="H3763" t="n">
        <v>4.37</v>
      </c>
      <c r="I3763" t="n">
        <v>5.21</v>
      </c>
      <c r="J3763" t="n">
        <v>6.22</v>
      </c>
      <c r="K3763" t="n">
        <v>7.42</v>
      </c>
    </row>
    <row r="3764">
      <c r="C3764" t="n">
        <v>30000</v>
      </c>
      <c r="D3764" t="n">
        <v>3.18</v>
      </c>
      <c r="E3764" t="n">
        <v>3.78</v>
      </c>
      <c r="F3764" t="n">
        <v>4.49</v>
      </c>
      <c r="G3764" t="n">
        <v>5.34</v>
      </c>
      <c r="H3764" t="n">
        <v>4.12</v>
      </c>
      <c r="I3764" t="n">
        <v>4.89</v>
      </c>
      <c r="J3764" t="n">
        <v>5.8</v>
      </c>
      <c r="K3764" t="n">
        <v>6.89</v>
      </c>
    </row>
    <row r="3765">
      <c r="C3765" t="n">
        <v>40000</v>
      </c>
      <c r="D3765" t="n">
        <v>3.04</v>
      </c>
      <c r="E3765" t="n">
        <v>3.6</v>
      </c>
      <c r="F3765" t="n">
        <v>4.27</v>
      </c>
      <c r="G3765" t="n">
        <v>5.06</v>
      </c>
      <c r="H3765" t="n">
        <v>3.93</v>
      </c>
      <c r="I3765" t="n">
        <v>4.65</v>
      </c>
      <c r="J3765" t="n">
        <v>5.51</v>
      </c>
      <c r="K3765" t="n">
        <v>6.53</v>
      </c>
    </row>
    <row r="3766">
      <c r="C3766" t="n">
        <v>50000</v>
      </c>
      <c r="D3766" t="n">
        <v>2.96</v>
      </c>
      <c r="E3766" t="n">
        <v>3.5</v>
      </c>
      <c r="F3766" t="n">
        <v>4.14</v>
      </c>
      <c r="G3766" t="n">
        <v>4.89</v>
      </c>
      <c r="H3766" t="n">
        <v>3.79</v>
      </c>
      <c r="I3766" t="n">
        <v>4.48</v>
      </c>
      <c r="J3766" t="n">
        <v>5.3</v>
      </c>
      <c r="K3766" t="n">
        <v>6.27</v>
      </c>
    </row>
    <row r="3767">
      <c r="C3767" t="n">
        <v>60000</v>
      </c>
      <c r="D3767" t="n">
        <v>2.87</v>
      </c>
      <c r="E3767" t="n">
        <v>3.39</v>
      </c>
      <c r="F3767" t="n">
        <v>3.99</v>
      </c>
      <c r="G3767" t="n">
        <v>4.71</v>
      </c>
      <c r="H3767" t="n">
        <v>3.67</v>
      </c>
      <c r="I3767" t="n">
        <v>4.33</v>
      </c>
      <c r="J3767" t="n">
        <v>5.11</v>
      </c>
      <c r="K3767" t="n">
        <v>6.03</v>
      </c>
    </row>
    <row r="3768">
      <c r="C3768" t="n">
        <v>80000</v>
      </c>
      <c r="D3768" t="n">
        <v>2.74</v>
      </c>
      <c r="E3768" t="n">
        <v>3.22</v>
      </c>
      <c r="F3768" t="n">
        <v>3.79</v>
      </c>
      <c r="G3768" t="n">
        <v>4.46</v>
      </c>
      <c r="H3768" t="n">
        <v>3.49</v>
      </c>
      <c r="I3768" t="n">
        <v>4.11</v>
      </c>
      <c r="J3768" t="n">
        <v>4.85</v>
      </c>
      <c r="K3768" t="n">
        <v>5.72</v>
      </c>
    </row>
    <row r="3769">
      <c r="C3769" t="n">
        <v>100000</v>
      </c>
      <c r="D3769" t="n">
        <v>2.66</v>
      </c>
      <c r="E3769" t="n">
        <v>3.13</v>
      </c>
      <c r="F3769" t="n">
        <v>3.68</v>
      </c>
      <c r="G3769" t="n">
        <v>4.32</v>
      </c>
      <c r="H3769" t="n">
        <v>3.4</v>
      </c>
      <c r="I3769" t="n">
        <v>3.99</v>
      </c>
      <c r="J3769" t="n">
        <v>4.69</v>
      </c>
      <c r="K3769" t="n">
        <v>5.51</v>
      </c>
    </row>
    <row r="3770">
      <c r="C3770" t="n">
        <v>125000</v>
      </c>
      <c r="D3770" t="n">
        <v>2.57</v>
      </c>
      <c r="E3770" t="n">
        <v>3.02</v>
      </c>
      <c r="F3770" t="n">
        <v>3.54</v>
      </c>
      <c r="G3770" t="n">
        <v>4.15</v>
      </c>
      <c r="H3770" t="n">
        <v>3.26</v>
      </c>
      <c r="I3770" t="n">
        <v>3.83</v>
      </c>
      <c r="J3770" t="n">
        <v>4.5</v>
      </c>
      <c r="K3770" t="n">
        <v>5.28</v>
      </c>
    </row>
    <row r="3771">
      <c r="C3771" t="n">
        <v>150000</v>
      </c>
      <c r="D3771" t="n">
        <v>2.49</v>
      </c>
      <c r="E3771" t="n">
        <v>2.92</v>
      </c>
      <c r="F3771" t="n">
        <v>3.43</v>
      </c>
      <c r="G3771" t="n">
        <v>4.03</v>
      </c>
      <c r="H3771" t="n">
        <v>3.16</v>
      </c>
      <c r="I3771" t="n">
        <v>3.71</v>
      </c>
      <c r="J3771" t="n">
        <v>4.35</v>
      </c>
      <c r="K3771" t="n">
        <v>5.11</v>
      </c>
    </row>
    <row r="3772">
      <c r="C3772" t="n">
        <v>200000</v>
      </c>
      <c r="D3772" t="n">
        <v>2.4</v>
      </c>
      <c r="E3772" t="n">
        <v>2.81</v>
      </c>
      <c r="F3772" t="n">
        <v>3.28</v>
      </c>
      <c r="G3772" t="n">
        <v>3.84</v>
      </c>
      <c r="H3772" t="n">
        <v>3.04</v>
      </c>
      <c r="I3772" t="n">
        <v>3.55</v>
      </c>
      <c r="J3772" t="n">
        <v>4.16</v>
      </c>
      <c r="K3772" t="n">
        <v>4.86</v>
      </c>
    </row>
    <row r="3773">
      <c r="C3773" t="n">
        <v>250000</v>
      </c>
      <c r="D3773" t="n">
        <v>2.32</v>
      </c>
      <c r="E3773" t="n">
        <v>2.71</v>
      </c>
      <c r="F3773" t="n">
        <v>3.16</v>
      </c>
      <c r="G3773" t="n">
        <v>3.68</v>
      </c>
      <c r="H3773" t="n">
        <v>2.91</v>
      </c>
      <c r="I3773" t="n">
        <v>3.4</v>
      </c>
      <c r="J3773" t="n">
        <v>3.97</v>
      </c>
      <c r="K3773" t="n">
        <v>4.64</v>
      </c>
    </row>
    <row r="3774">
      <c r="C3774" t="n">
        <v>300000</v>
      </c>
      <c r="D3774" t="n">
        <v>2.26</v>
      </c>
      <c r="E3774" t="n">
        <v>2.63</v>
      </c>
      <c r="F3774" t="n">
        <v>3.06</v>
      </c>
      <c r="G3774" t="n">
        <v>3.56</v>
      </c>
      <c r="H3774" t="n">
        <v>2.83</v>
      </c>
      <c r="I3774" t="n">
        <v>3.29</v>
      </c>
      <c r="J3774" t="n">
        <v>3.83</v>
      </c>
      <c r="K3774" t="n">
        <v>4.45</v>
      </c>
    </row>
    <row r="3775">
      <c r="C3775" t="n">
        <v>400000</v>
      </c>
      <c r="D3775" t="n">
        <v>2.18</v>
      </c>
      <c r="E3775" t="n">
        <v>2.53</v>
      </c>
      <c r="F3775" t="n">
        <v>2.93</v>
      </c>
      <c r="G3775" t="n">
        <v>3.4</v>
      </c>
      <c r="H3775" t="n">
        <v>2.73</v>
      </c>
      <c r="I3775" t="n">
        <v>3.16</v>
      </c>
      <c r="J3775" t="n">
        <v>3.66</v>
      </c>
      <c r="K3775" t="n">
        <v>4.23</v>
      </c>
    </row>
    <row r="3776">
      <c r="C3776" t="n">
        <v>600000</v>
      </c>
      <c r="D3776" t="n">
        <v>2.02</v>
      </c>
      <c r="E3776" t="n">
        <v>2.34</v>
      </c>
      <c r="F3776" t="n">
        <v>2.72</v>
      </c>
      <c r="G3776" t="n">
        <v>3.15</v>
      </c>
      <c r="H3776" t="n">
        <v>2.52</v>
      </c>
      <c r="I3776" t="n">
        <v>2.93</v>
      </c>
      <c r="J3776" t="n">
        <v>3.4</v>
      </c>
      <c r="K3776" t="n">
        <v>3.95</v>
      </c>
    </row>
    <row r="3777">
      <c r="C3777" t="n">
        <v>800000</v>
      </c>
      <c r="D3777" t="n">
        <v>1.94</v>
      </c>
      <c r="E3777" t="n">
        <v>2.25</v>
      </c>
      <c r="F3777" t="n">
        <v>2.61</v>
      </c>
      <c r="G3777" t="n">
        <v>3.02</v>
      </c>
      <c r="H3777" t="n">
        <v>2.43</v>
      </c>
      <c r="I3777" t="n">
        <v>2.81</v>
      </c>
      <c r="J3777" t="n">
        <v>3.25</v>
      </c>
      <c r="K3777" t="n">
        <v>3.76</v>
      </c>
    </row>
    <row r="3778">
      <c r="C3778" t="n">
        <v>1000000</v>
      </c>
      <c r="D3778" t="n">
        <v>1.86</v>
      </c>
      <c r="E3778" t="n">
        <v>2.15</v>
      </c>
      <c r="F3778" t="n">
        <v>2.49</v>
      </c>
      <c r="G3778" t="n">
        <v>2.88</v>
      </c>
      <c r="H3778" t="n">
        <v>2.32</v>
      </c>
      <c r="I3778" t="n">
        <v>2.68</v>
      </c>
      <c r="J3778" t="n">
        <v>3.1</v>
      </c>
      <c r="K3778" t="n">
        <v>3.59</v>
      </c>
    </row>
    <row r="3780">
      <c r="B3780" s="168" t="inlineStr">
        <is>
          <t>Section 15 -- MVS 15-37</t>
        </is>
      </c>
      <c r="C3780" s="306" t="inlineStr">
        <is>
          <t>Coverage (SF)</t>
        </is>
      </c>
      <c r="D3780" s="306" t="inlineStr">
        <is>
          <t>Wet-Low</t>
        </is>
      </c>
      <c r="E3780" s="306" t="inlineStr">
        <is>
          <t>Wet-Avg</t>
        </is>
      </c>
      <c r="F3780" s="306" t="inlineStr">
        <is>
          <t>Wet-Good</t>
        </is>
      </c>
      <c r="G3780" s="306" t="inlineStr">
        <is>
          <t>Wet-Excl</t>
        </is>
      </c>
      <c r="H3780" s="306" t="inlineStr">
        <is>
          <t>Dry-Low</t>
        </is>
      </c>
      <c r="I3780" s="306" t="inlineStr">
        <is>
          <t>Dry-Avg</t>
        </is>
      </c>
      <c r="J3780" s="306" t="inlineStr">
        <is>
          <t>Dry-Good</t>
        </is>
      </c>
      <c r="K3780" s="306" t="inlineStr">
        <is>
          <t>Dry-Excl</t>
        </is>
      </c>
    </row>
    <row r="3781">
      <c r="C3781" t="n">
        <v>1500</v>
      </c>
      <c r="D3781" t="n">
        <v>6.24</v>
      </c>
      <c r="E3781" t="n">
        <v>7.41</v>
      </c>
      <c r="F3781" t="n">
        <v>8.800000000000001</v>
      </c>
      <c r="G3781" t="n">
        <v>10.45</v>
      </c>
      <c r="H3781" t="n">
        <v>8.08</v>
      </c>
      <c r="I3781" t="n">
        <v>9.6</v>
      </c>
      <c r="J3781" t="n">
        <v>11.4</v>
      </c>
      <c r="K3781" t="n">
        <v>13.55</v>
      </c>
    </row>
    <row r="3782">
      <c r="C3782" t="n">
        <v>5000</v>
      </c>
      <c r="D3782" t="n">
        <v>5.17</v>
      </c>
      <c r="E3782" t="n">
        <v>6.09</v>
      </c>
      <c r="F3782" t="n">
        <v>7.16</v>
      </c>
      <c r="G3782" t="n">
        <v>8.43</v>
      </c>
      <c r="H3782" t="n">
        <v>6.58</v>
      </c>
      <c r="I3782" t="n">
        <v>7.75</v>
      </c>
      <c r="J3782" t="n">
        <v>9.130000000000001</v>
      </c>
      <c r="K3782" t="n">
        <v>10.75</v>
      </c>
    </row>
    <row r="3783">
      <c r="C3783" t="n">
        <v>10000</v>
      </c>
      <c r="D3783" t="n">
        <v>4.65</v>
      </c>
      <c r="E3783" t="n">
        <v>5.45</v>
      </c>
      <c r="F3783" t="n">
        <v>6.38</v>
      </c>
      <c r="G3783" t="n">
        <v>7.47</v>
      </c>
      <c r="H3783" t="n">
        <v>5.89</v>
      </c>
      <c r="I3783" t="n">
        <v>6.9</v>
      </c>
      <c r="J3783" t="n">
        <v>8.07</v>
      </c>
      <c r="K3783" t="n">
        <v>9.449999999999999</v>
      </c>
    </row>
    <row r="3784">
      <c r="C3784" t="n">
        <v>20000</v>
      </c>
      <c r="D3784" t="n">
        <v>4.14</v>
      </c>
      <c r="E3784" t="n">
        <v>4.83</v>
      </c>
      <c r="F3784" t="n">
        <v>5.64</v>
      </c>
      <c r="G3784" t="n">
        <v>6.58</v>
      </c>
      <c r="H3784" t="n">
        <v>5.23</v>
      </c>
      <c r="I3784" t="n">
        <v>6.1</v>
      </c>
      <c r="J3784" t="n">
        <v>7.12</v>
      </c>
      <c r="K3784" t="n">
        <v>8.300000000000001</v>
      </c>
    </row>
    <row r="3785">
      <c r="C3785" t="n">
        <v>50000</v>
      </c>
      <c r="D3785" t="n">
        <v>3.61</v>
      </c>
      <c r="E3785" t="n">
        <v>4.17</v>
      </c>
      <c r="F3785" t="n">
        <v>4.83</v>
      </c>
      <c r="G3785" t="n">
        <v>5.58</v>
      </c>
      <c r="H3785" t="n">
        <v>4.47</v>
      </c>
      <c r="I3785" t="n">
        <v>5.18</v>
      </c>
      <c r="J3785" t="n">
        <v>6</v>
      </c>
      <c r="K3785" t="n">
        <v>6.96</v>
      </c>
    </row>
    <row r="3786">
      <c r="C3786" t="n">
        <v>100000</v>
      </c>
      <c r="D3786" t="n">
        <v>3.26</v>
      </c>
      <c r="E3786" t="n">
        <v>3.75</v>
      </c>
      <c r="F3786" t="n">
        <v>4.31</v>
      </c>
      <c r="G3786" t="n">
        <v>4.95</v>
      </c>
      <c r="H3786" t="n">
        <v>4</v>
      </c>
      <c r="I3786" t="n">
        <v>4.61</v>
      </c>
      <c r="J3786" t="n">
        <v>5.31</v>
      </c>
      <c r="K3786" t="n">
        <v>6.11</v>
      </c>
    </row>
    <row r="3787">
      <c r="C3787" t="n">
        <v>250000</v>
      </c>
      <c r="D3787" t="n">
        <v>2.8</v>
      </c>
      <c r="E3787" t="n">
        <v>3.21</v>
      </c>
      <c r="F3787" t="n">
        <v>3.67</v>
      </c>
      <c r="G3787" t="n">
        <v>4.21</v>
      </c>
      <c r="H3787" t="n">
        <v>3.43</v>
      </c>
      <c r="I3787" t="n">
        <v>3.93</v>
      </c>
      <c r="J3787" t="n">
        <v>4.5</v>
      </c>
      <c r="K3787" t="n">
        <v>5.15</v>
      </c>
    </row>
    <row r="3788">
      <c r="C3788" t="n">
        <v>500000</v>
      </c>
      <c r="D3788" t="n">
        <v>2.52</v>
      </c>
      <c r="E3788" t="n">
        <v>2.87</v>
      </c>
      <c r="F3788" t="n">
        <v>3.27</v>
      </c>
      <c r="G3788" t="n">
        <v>3.72</v>
      </c>
      <c r="H3788" t="n">
        <v>3.06</v>
      </c>
      <c r="I3788" t="n">
        <v>3.48</v>
      </c>
      <c r="J3788" t="n">
        <v>3.95</v>
      </c>
      <c r="K3788" t="n">
        <v>4.49</v>
      </c>
    </row>
    <row r="3790">
      <c r="B3790" s="168" t="inlineStr">
        <is>
          <t>Section 16 -- MVS 16-25</t>
        </is>
      </c>
      <c r="C3790" s="306" t="inlineStr">
        <is>
          <t>Coverage (SF)</t>
        </is>
      </c>
      <c r="D3790" s="306" t="inlineStr">
        <is>
          <t>Wet-Low</t>
        </is>
      </c>
      <c r="E3790" s="306" t="inlineStr">
        <is>
          <t>Wet-Avg</t>
        </is>
      </c>
      <c r="F3790" s="306" t="inlineStr">
        <is>
          <t>Wet-Good</t>
        </is>
      </c>
      <c r="G3790" s="306" t="inlineStr">
        <is>
          <t>Wet-Excl</t>
        </is>
      </c>
      <c r="H3790" s="306" t="inlineStr">
        <is>
          <t>Dry-Low</t>
        </is>
      </c>
      <c r="I3790" s="306" t="inlineStr">
        <is>
          <t>Dry-Avg</t>
        </is>
      </c>
      <c r="J3790" s="306" t="inlineStr">
        <is>
          <t>Dry-Good</t>
        </is>
      </c>
      <c r="K3790" s="306" t="inlineStr">
        <is>
          <t>Dry-Excl</t>
        </is>
      </c>
    </row>
    <row r="3791">
      <c r="C3791" t="n">
        <v>3000</v>
      </c>
      <c r="D3791" t="n">
        <v>5.55</v>
      </c>
      <c r="E3791" t="n">
        <v>6.53</v>
      </c>
      <c r="F3791" t="n">
        <v>7.67</v>
      </c>
      <c r="G3791" t="n">
        <v>9.02</v>
      </c>
      <c r="H3791" t="n">
        <v>7.09</v>
      </c>
      <c r="I3791" t="n">
        <v>8.33</v>
      </c>
      <c r="J3791" t="n">
        <v>9.789999999999999</v>
      </c>
      <c r="K3791" t="n">
        <v>11.5</v>
      </c>
    </row>
    <row r="3792">
      <c r="C3792" t="n">
        <v>5000</v>
      </c>
      <c r="D3792" t="n">
        <v>5.15</v>
      </c>
      <c r="E3792" t="n">
        <v>6.02</v>
      </c>
      <c r="F3792" t="n">
        <v>7.05</v>
      </c>
      <c r="G3792" t="n">
        <v>8.24</v>
      </c>
      <c r="H3792" t="n">
        <v>6.51</v>
      </c>
      <c r="I3792" t="n">
        <v>7.61</v>
      </c>
      <c r="J3792" t="n">
        <v>8.9</v>
      </c>
      <c r="K3792" t="n">
        <v>10.4</v>
      </c>
    </row>
    <row r="3793">
      <c r="C3793" t="n">
        <v>10000</v>
      </c>
      <c r="D3793" t="n">
        <v>4.64</v>
      </c>
      <c r="E3793" t="n">
        <v>5.39</v>
      </c>
      <c r="F3793" t="n">
        <v>6.27</v>
      </c>
      <c r="G3793" t="n">
        <v>7.28</v>
      </c>
      <c r="H3793" t="n">
        <v>5.8</v>
      </c>
      <c r="I3793" t="n">
        <v>6.73</v>
      </c>
      <c r="J3793" t="n">
        <v>7.82</v>
      </c>
      <c r="K3793" t="n">
        <v>9.08</v>
      </c>
    </row>
    <row r="3794">
      <c r="C3794" t="n">
        <v>15000</v>
      </c>
      <c r="D3794" t="n">
        <v>4.33</v>
      </c>
      <c r="E3794" t="n">
        <v>5.03</v>
      </c>
      <c r="F3794" t="n">
        <v>5.84</v>
      </c>
      <c r="G3794" t="n">
        <v>6.78</v>
      </c>
      <c r="H3794" t="n">
        <v>5.41</v>
      </c>
      <c r="I3794" t="n">
        <v>6.28</v>
      </c>
      <c r="J3794" t="n">
        <v>7.3</v>
      </c>
      <c r="K3794" t="n">
        <v>8.48</v>
      </c>
    </row>
    <row r="3795">
      <c r="C3795" t="n">
        <v>20000</v>
      </c>
      <c r="D3795" t="n">
        <v>4.15</v>
      </c>
      <c r="E3795" t="n">
        <v>4.81</v>
      </c>
      <c r="F3795" t="n">
        <v>5.57</v>
      </c>
      <c r="G3795" t="n">
        <v>6.45</v>
      </c>
      <c r="H3795" t="n">
        <v>5.17</v>
      </c>
      <c r="I3795" t="n">
        <v>5.98</v>
      </c>
      <c r="J3795" t="n">
        <v>6.93</v>
      </c>
      <c r="K3795" t="n">
        <v>8.02</v>
      </c>
    </row>
    <row r="3796">
      <c r="C3796" t="n">
        <v>30000</v>
      </c>
      <c r="D3796" t="n">
        <v>3.88</v>
      </c>
      <c r="E3796" t="n">
        <v>4.49</v>
      </c>
      <c r="F3796" t="n">
        <v>5.19</v>
      </c>
      <c r="G3796" t="n">
        <v>6.01</v>
      </c>
      <c r="H3796" t="n">
        <v>4.83</v>
      </c>
      <c r="I3796" t="n">
        <v>5.59</v>
      </c>
      <c r="J3796" t="n">
        <v>6.46</v>
      </c>
      <c r="K3796" t="n">
        <v>7.47</v>
      </c>
    </row>
    <row r="3797">
      <c r="C3797" t="n">
        <v>40000</v>
      </c>
      <c r="D3797" t="n">
        <v>3.73</v>
      </c>
      <c r="E3797" t="n">
        <v>4.3</v>
      </c>
      <c r="F3797" t="n">
        <v>4.95</v>
      </c>
      <c r="G3797" t="n">
        <v>5.71</v>
      </c>
      <c r="H3797" t="n">
        <v>4.61</v>
      </c>
      <c r="I3797" t="n">
        <v>5.31</v>
      </c>
      <c r="J3797" t="n">
        <v>6.12</v>
      </c>
      <c r="K3797" t="n">
        <v>7.05</v>
      </c>
    </row>
    <row r="3798">
      <c r="C3798" t="n">
        <v>60000</v>
      </c>
      <c r="D3798" t="n">
        <v>3.52</v>
      </c>
      <c r="E3798" t="n">
        <v>4.03</v>
      </c>
      <c r="F3798" t="n">
        <v>4.62</v>
      </c>
      <c r="G3798" t="n">
        <v>5.29</v>
      </c>
      <c r="H3798" t="n">
        <v>4.31</v>
      </c>
      <c r="I3798" t="n">
        <v>4.95</v>
      </c>
      <c r="J3798" t="n">
        <v>5.67</v>
      </c>
      <c r="K3798" t="n">
        <v>6.51</v>
      </c>
    </row>
    <row r="3799">
      <c r="C3799" t="n">
        <v>80000</v>
      </c>
      <c r="D3799" t="n">
        <v>3.36</v>
      </c>
      <c r="E3799" t="n">
        <v>3.85</v>
      </c>
      <c r="F3799" t="n">
        <v>4.4</v>
      </c>
      <c r="G3799" t="n">
        <v>5.04</v>
      </c>
      <c r="H3799" t="n">
        <v>4.12</v>
      </c>
      <c r="I3799" t="n">
        <v>4.72</v>
      </c>
      <c r="J3799" t="n">
        <v>5.4</v>
      </c>
      <c r="K3799" t="n">
        <v>6.18</v>
      </c>
    </row>
    <row r="3800">
      <c r="C3800" t="n">
        <v>100000</v>
      </c>
      <c r="D3800" t="n">
        <v>3.23</v>
      </c>
      <c r="E3800" t="n">
        <v>3.69</v>
      </c>
      <c r="F3800" t="n">
        <v>4.22</v>
      </c>
      <c r="G3800" t="n">
        <v>4.83</v>
      </c>
      <c r="H3800" t="n">
        <v>3.96</v>
      </c>
      <c r="I3800" t="n">
        <v>4.53</v>
      </c>
      <c r="J3800" t="n">
        <v>5.17</v>
      </c>
      <c r="K3800" t="n">
        <v>5.91</v>
      </c>
    </row>
    <row r="3801">
      <c r="C3801" t="n">
        <v>125000</v>
      </c>
      <c r="D3801" t="n">
        <v>3.15</v>
      </c>
      <c r="E3801" t="n">
        <v>3.59</v>
      </c>
      <c r="F3801" t="n">
        <v>4.09</v>
      </c>
      <c r="G3801" t="n">
        <v>4.66</v>
      </c>
      <c r="H3801" t="n">
        <v>3.84</v>
      </c>
      <c r="I3801" t="n">
        <v>4.37</v>
      </c>
      <c r="J3801" t="n">
        <v>4.98</v>
      </c>
      <c r="K3801" t="n">
        <v>5.67</v>
      </c>
    </row>
    <row r="3802">
      <c r="C3802" t="n">
        <v>150000</v>
      </c>
      <c r="D3802" t="n">
        <v>3.03</v>
      </c>
      <c r="E3802" t="n">
        <v>3.45</v>
      </c>
      <c r="F3802" t="n">
        <v>3.93</v>
      </c>
      <c r="G3802" t="n">
        <v>4.47</v>
      </c>
      <c r="H3802" t="n">
        <v>3.68</v>
      </c>
      <c r="I3802" t="n">
        <v>4.19</v>
      </c>
      <c r="J3802" t="n">
        <v>4.78</v>
      </c>
      <c r="K3802" t="n">
        <v>5.45</v>
      </c>
    </row>
    <row r="3803">
      <c r="C3803" t="n">
        <v>200000</v>
      </c>
      <c r="D3803" t="n">
        <v>2.92</v>
      </c>
      <c r="E3803" t="n">
        <v>3.32</v>
      </c>
      <c r="F3803" t="n">
        <v>3.77</v>
      </c>
      <c r="G3803" t="n">
        <v>4.28</v>
      </c>
      <c r="H3803" t="n">
        <v>3.53</v>
      </c>
      <c r="I3803" t="n">
        <v>4.01</v>
      </c>
      <c r="J3803" t="n">
        <v>4.56</v>
      </c>
      <c r="K3803" t="n">
        <v>5.18</v>
      </c>
    </row>
    <row r="3804">
      <c r="C3804" t="n">
        <v>250000</v>
      </c>
      <c r="D3804" t="n">
        <v>2.81</v>
      </c>
      <c r="E3804" t="n">
        <v>3.19</v>
      </c>
      <c r="F3804" t="n">
        <v>3.63</v>
      </c>
      <c r="G3804" t="n">
        <v>4.12</v>
      </c>
      <c r="H3804" t="n">
        <v>3.39</v>
      </c>
      <c r="I3804" t="n">
        <v>3.85</v>
      </c>
      <c r="J3804" t="n">
        <v>4.38</v>
      </c>
      <c r="K3804" t="n">
        <v>4.98</v>
      </c>
    </row>
    <row r="3805">
      <c r="C3805" t="n">
        <v>300000</v>
      </c>
      <c r="D3805" t="n">
        <v>2.74</v>
      </c>
      <c r="E3805" t="n">
        <v>3.1</v>
      </c>
      <c r="F3805" t="n">
        <v>3.51</v>
      </c>
      <c r="G3805" t="n">
        <v>3.98</v>
      </c>
      <c r="H3805" t="n">
        <v>3.3</v>
      </c>
      <c r="I3805" t="n">
        <v>3.74</v>
      </c>
      <c r="J3805" t="n">
        <v>4.23</v>
      </c>
      <c r="K3805" t="n">
        <v>4.79</v>
      </c>
    </row>
    <row r="3806">
      <c r="C3806" t="n">
        <v>400000</v>
      </c>
      <c r="D3806" t="n">
        <v>2.62</v>
      </c>
      <c r="E3806" t="n">
        <v>2.96</v>
      </c>
      <c r="F3806" t="n">
        <v>3.35</v>
      </c>
      <c r="G3806" t="n">
        <v>3.79</v>
      </c>
      <c r="H3806" t="n">
        <v>3.15</v>
      </c>
      <c r="I3806" t="n">
        <v>3.57</v>
      </c>
      <c r="J3806" t="n">
        <v>4.04</v>
      </c>
      <c r="K3806" t="n">
        <v>4.57</v>
      </c>
    </row>
    <row r="3807">
      <c r="C3807" t="n">
        <v>500000</v>
      </c>
      <c r="D3807" t="n">
        <v>2.55</v>
      </c>
      <c r="E3807" t="n">
        <v>2.87</v>
      </c>
      <c r="F3807" t="n">
        <v>3.24</v>
      </c>
      <c r="G3807" t="n">
        <v>3.65</v>
      </c>
      <c r="H3807" t="n">
        <v>3.04</v>
      </c>
      <c r="I3807" t="n">
        <v>3.42</v>
      </c>
      <c r="J3807" t="n">
        <v>3.85</v>
      </c>
      <c r="K3807" t="n">
        <v>4.34</v>
      </c>
    </row>
    <row r="3809">
      <c r="B3809" s="168" t="inlineStr">
        <is>
          <t>Section 18 -- MVS 18-36</t>
        </is>
      </c>
      <c r="C3809" s="306" t="inlineStr">
        <is>
          <t>Coverage (SF)</t>
        </is>
      </c>
      <c r="D3809" s="306" t="inlineStr">
        <is>
          <t>Wet-Low</t>
        </is>
      </c>
      <c r="E3809" s="306" t="inlineStr">
        <is>
          <t>Wet-Avg</t>
        </is>
      </c>
      <c r="F3809" s="306" t="inlineStr">
        <is>
          <t>Wet-Good</t>
        </is>
      </c>
      <c r="G3809" s="306" t="inlineStr">
        <is>
          <t>Wet-Excl</t>
        </is>
      </c>
      <c r="H3809" s="306" t="inlineStr">
        <is>
          <t>Dry-Low</t>
        </is>
      </c>
      <c r="I3809" s="306" t="inlineStr">
        <is>
          <t>Dry-Avg</t>
        </is>
      </c>
      <c r="J3809" s="306" t="inlineStr">
        <is>
          <t>Dry-Good</t>
        </is>
      </c>
      <c r="K3809" s="306" t="inlineStr">
        <is>
          <t>Dry-Excl</t>
        </is>
      </c>
    </row>
    <row r="3810">
      <c r="C3810" t="n">
        <v>3000</v>
      </c>
      <c r="D3810" t="n">
        <v>5.58</v>
      </c>
      <c r="E3810" t="n">
        <v>6.58</v>
      </c>
      <c r="F3810" t="n">
        <v>7.76</v>
      </c>
      <c r="G3810" t="n">
        <v>9.15</v>
      </c>
      <c r="H3810" t="n">
        <v>7.16</v>
      </c>
      <c r="I3810" t="n">
        <v>8.43</v>
      </c>
      <c r="J3810" t="n">
        <v>9.93</v>
      </c>
      <c r="K3810" t="n">
        <v>11.7</v>
      </c>
    </row>
    <row r="3811">
      <c r="C3811" t="n">
        <v>5000</v>
      </c>
      <c r="D3811" t="n">
        <v>5.19</v>
      </c>
      <c r="E3811" t="n">
        <v>6.09</v>
      </c>
      <c r="F3811" t="n">
        <v>7.14</v>
      </c>
      <c r="G3811" t="n">
        <v>8.369999999999999</v>
      </c>
      <c r="H3811" t="n">
        <v>6.59</v>
      </c>
      <c r="I3811" t="n">
        <v>7.73</v>
      </c>
      <c r="J3811" t="n">
        <v>9.08</v>
      </c>
      <c r="K3811" t="n">
        <v>10.65</v>
      </c>
    </row>
    <row r="3812">
      <c r="C3812" t="n">
        <v>10000</v>
      </c>
      <c r="D3812" t="n">
        <v>4.67</v>
      </c>
      <c r="E3812" t="n">
        <v>5.45</v>
      </c>
      <c r="F3812" t="n">
        <v>6.35</v>
      </c>
      <c r="G3812" t="n">
        <v>7.41</v>
      </c>
      <c r="H3812" t="n">
        <v>5.87</v>
      </c>
      <c r="I3812" t="n">
        <v>6.85</v>
      </c>
      <c r="J3812" t="n">
        <v>7.98</v>
      </c>
      <c r="K3812" t="n">
        <v>9.31</v>
      </c>
    </row>
    <row r="3813">
      <c r="C3813" t="n">
        <v>15000</v>
      </c>
      <c r="D3813" t="n">
        <v>4.38</v>
      </c>
      <c r="E3813" t="n">
        <v>5.09</v>
      </c>
      <c r="F3813" t="n">
        <v>5.92</v>
      </c>
      <c r="G3813" t="n">
        <v>6.88</v>
      </c>
      <c r="H3813" t="n">
        <v>5.49</v>
      </c>
      <c r="I3813" t="n">
        <v>6.38</v>
      </c>
      <c r="J3813" t="n">
        <v>7.41</v>
      </c>
      <c r="K3813" t="n">
        <v>8.609999999999999</v>
      </c>
    </row>
    <row r="3814">
      <c r="C3814" t="n">
        <v>20000</v>
      </c>
      <c r="D3814" t="n">
        <v>4.16</v>
      </c>
      <c r="E3814" t="n">
        <v>4.83</v>
      </c>
      <c r="F3814" t="n">
        <v>5.61</v>
      </c>
      <c r="G3814" t="n">
        <v>6.51</v>
      </c>
      <c r="H3814" t="n">
        <v>5.2</v>
      </c>
      <c r="I3814" t="n">
        <v>6.04</v>
      </c>
      <c r="J3814" t="n">
        <v>7.02</v>
      </c>
      <c r="K3814" t="n">
        <v>8.15</v>
      </c>
    </row>
    <row r="3815">
      <c r="C3815" t="n">
        <v>30000</v>
      </c>
      <c r="D3815" t="n">
        <v>3.93</v>
      </c>
      <c r="E3815" t="n">
        <v>4.55</v>
      </c>
      <c r="F3815" t="n">
        <v>5.26</v>
      </c>
      <c r="G3815" t="n">
        <v>6.09</v>
      </c>
      <c r="H3815" t="n">
        <v>4.89</v>
      </c>
      <c r="I3815" t="n">
        <v>5.65</v>
      </c>
      <c r="J3815" t="n">
        <v>6.53</v>
      </c>
      <c r="K3815" t="n">
        <v>7.55</v>
      </c>
    </row>
    <row r="3816">
      <c r="C3816" t="n">
        <v>50000</v>
      </c>
      <c r="D3816" t="n">
        <v>3.64</v>
      </c>
      <c r="E3816" t="n">
        <v>4.19</v>
      </c>
      <c r="F3816" t="n">
        <v>4.82</v>
      </c>
      <c r="G3816" t="n">
        <v>5.55</v>
      </c>
      <c r="H3816" t="n">
        <v>4.49</v>
      </c>
      <c r="I3816" t="n">
        <v>5.17</v>
      </c>
      <c r="J3816" t="n">
        <v>5.96</v>
      </c>
      <c r="K3816" t="n">
        <v>6.86</v>
      </c>
    </row>
    <row r="3817">
      <c r="C3817" t="n">
        <v>75000</v>
      </c>
      <c r="D3817" t="n">
        <v>3.45</v>
      </c>
      <c r="E3817" t="n">
        <v>3.95</v>
      </c>
      <c r="F3817" t="n">
        <v>4.53</v>
      </c>
      <c r="G3817" t="n">
        <v>5.19</v>
      </c>
      <c r="H3817" t="n">
        <v>4.23</v>
      </c>
      <c r="I3817" t="n">
        <v>4.85</v>
      </c>
      <c r="J3817" t="n">
        <v>5.55</v>
      </c>
      <c r="K3817" t="n">
        <v>6.36</v>
      </c>
    </row>
    <row r="3818">
      <c r="C3818" t="n">
        <v>100000</v>
      </c>
      <c r="D3818" t="n">
        <v>3.3</v>
      </c>
      <c r="E3818" t="n">
        <v>3.76</v>
      </c>
      <c r="F3818" t="n">
        <v>4.3</v>
      </c>
      <c r="G3818" t="n">
        <v>4.9</v>
      </c>
      <c r="H3818" t="n">
        <v>4.02</v>
      </c>
      <c r="I3818" t="n">
        <v>4.59</v>
      </c>
      <c r="J3818" t="n">
        <v>5.24</v>
      </c>
      <c r="K3818" t="n">
        <v>5.99</v>
      </c>
    </row>
    <row r="3819">
      <c r="C3819" t="n">
        <v>125000</v>
      </c>
      <c r="D3819" t="n">
        <v>3.17</v>
      </c>
      <c r="E3819" t="n">
        <v>3.62</v>
      </c>
      <c r="F3819" t="n">
        <v>4.14</v>
      </c>
      <c r="G3819" t="n">
        <v>4.73</v>
      </c>
      <c r="H3819" t="n">
        <v>3.86</v>
      </c>
      <c r="I3819" t="n">
        <v>4.41</v>
      </c>
      <c r="J3819" t="n">
        <v>5.05</v>
      </c>
      <c r="K3819" t="n">
        <v>5.77</v>
      </c>
    </row>
    <row r="3820">
      <c r="C3820" t="n">
        <v>150000</v>
      </c>
      <c r="D3820" t="n">
        <v>3.11</v>
      </c>
      <c r="E3820" t="n">
        <v>3.54</v>
      </c>
      <c r="F3820" t="n">
        <v>4.02</v>
      </c>
      <c r="G3820" t="n">
        <v>4.57</v>
      </c>
      <c r="H3820" t="n">
        <v>3.77</v>
      </c>
      <c r="I3820" t="n">
        <v>4.29</v>
      </c>
      <c r="J3820" t="n">
        <v>4.88</v>
      </c>
      <c r="K3820" t="n">
        <v>5.55</v>
      </c>
    </row>
    <row r="3821">
      <c r="C3821" t="n">
        <v>200000</v>
      </c>
      <c r="D3821" t="n">
        <v>2.98</v>
      </c>
      <c r="E3821" t="n">
        <v>3.38</v>
      </c>
      <c r="F3821" t="n">
        <v>3.83</v>
      </c>
      <c r="G3821" t="n">
        <v>4.35</v>
      </c>
      <c r="H3821" t="n">
        <v>3.6</v>
      </c>
      <c r="I3821" t="n">
        <v>4.08</v>
      </c>
      <c r="J3821" t="n">
        <v>4.63</v>
      </c>
      <c r="K3821" t="n">
        <v>5.25</v>
      </c>
    </row>
    <row r="3822">
      <c r="C3822" t="n">
        <v>250000</v>
      </c>
      <c r="D3822" t="n">
        <v>2.87</v>
      </c>
      <c r="E3822" t="n">
        <v>3.25</v>
      </c>
      <c r="F3822" t="n">
        <v>3.69</v>
      </c>
      <c r="G3822" t="n">
        <v>4.18</v>
      </c>
      <c r="H3822" t="n">
        <v>3.47</v>
      </c>
      <c r="I3822" t="n">
        <v>3.93</v>
      </c>
      <c r="J3822" t="n">
        <v>4.46</v>
      </c>
      <c r="K3822" t="n">
        <v>5.05</v>
      </c>
    </row>
    <row r="3823">
      <c r="C3823" t="n">
        <v>300000</v>
      </c>
      <c r="D3823" t="n">
        <v>2.78</v>
      </c>
      <c r="E3823" t="n">
        <v>3.15</v>
      </c>
      <c r="F3823" t="n">
        <v>3.57</v>
      </c>
      <c r="G3823" t="n">
        <v>4.04</v>
      </c>
      <c r="H3823" t="n">
        <v>3.34</v>
      </c>
      <c r="I3823" t="n">
        <v>3.78</v>
      </c>
      <c r="J3823" t="n">
        <v>4.29</v>
      </c>
      <c r="K3823" t="n">
        <v>4.86</v>
      </c>
    </row>
    <row r="3824">
      <c r="C3824" t="n">
        <v>400000</v>
      </c>
      <c r="D3824" t="n">
        <v>2.67</v>
      </c>
      <c r="E3824" t="n">
        <v>3.01</v>
      </c>
      <c r="F3824" t="n">
        <v>3.4</v>
      </c>
      <c r="G3824" t="n">
        <v>3.83</v>
      </c>
      <c r="H3824" t="n">
        <v>3.19</v>
      </c>
      <c r="I3824" t="n">
        <v>3.61</v>
      </c>
      <c r="J3824" t="n">
        <v>4.08</v>
      </c>
      <c r="K3824" t="n">
        <v>4.61</v>
      </c>
    </row>
    <row r="3825">
      <c r="C3825" t="n">
        <v>500000</v>
      </c>
      <c r="D3825" t="n">
        <v>2.57</v>
      </c>
      <c r="E3825" t="n">
        <v>2.9</v>
      </c>
      <c r="F3825" t="n">
        <v>3.27</v>
      </c>
      <c r="G3825" t="n">
        <v>3.69</v>
      </c>
      <c r="H3825" t="n">
        <v>3.09</v>
      </c>
      <c r="I3825" t="n">
        <v>3.48</v>
      </c>
      <c r="J3825" t="n">
        <v>3.92</v>
      </c>
      <c r="K3825" t="n">
        <v>4.42</v>
      </c>
    </row>
    <row r="3828">
      <c r="B3828" s="305" t="inlineStr">
        <is>
          <t>REFERENCE 7 -- Elevator Lump-Sum + Per-Stop Cost Tables (per MVS section) -- for manual add/deduct</t>
        </is>
      </c>
    </row>
    <row r="3829">
      <c r="B3829" s="168" t="inlineStr">
        <is>
          <t>Section 11 -- MVS 11-35</t>
        </is>
      </c>
      <c r="C3829" s="306" t="inlineStr">
        <is>
          <t>Type</t>
        </is>
      </c>
      <c r="D3829" s="306" t="inlineStr">
        <is>
          <t>Low</t>
        </is>
      </c>
      <c r="E3829" s="306" t="inlineStr">
        <is>
          <t>Average</t>
        </is>
      </c>
      <c r="F3829" s="306" t="inlineStr">
        <is>
          <t>Good</t>
        </is>
      </c>
      <c r="G3829" s="306" t="inlineStr">
        <is>
          <t>Excellent</t>
        </is>
      </c>
    </row>
    <row r="3830">
      <c r="C3830" t="inlineStr">
        <is>
          <t>Passenger, 2-3 story (base)</t>
        </is>
      </c>
      <c r="D3830" t="n">
        <v>67500</v>
      </c>
      <c r="E3830" t="n">
        <v>79500</v>
      </c>
      <c r="F3830" t="n">
        <v>93750</v>
      </c>
      <c r="G3830" t="n">
        <v>110000</v>
      </c>
    </row>
    <row r="3831">
      <c r="C3831" t="inlineStr">
        <is>
          <t>Passenger, 4-7 story (base)</t>
        </is>
      </c>
      <c r="D3831" t="n">
        <v>117000</v>
      </c>
      <c r="E3831" t="n">
        <v>135000</v>
      </c>
      <c r="F3831" t="n">
        <v>154000</v>
      </c>
      <c r="G3831" t="n">
        <v>177000</v>
      </c>
    </row>
    <row r="3832">
      <c r="C3832" t="inlineStr">
        <is>
          <t>Passenger, 8-story+ (base)</t>
        </is>
      </c>
      <c r="D3832" t="n">
        <v>180000</v>
      </c>
      <c r="E3832" t="n">
        <v>228000</v>
      </c>
      <c r="F3832" t="n">
        <v>287000</v>
      </c>
      <c r="G3832" t="n">
        <v>363000</v>
      </c>
    </row>
    <row r="3833">
      <c r="C3833" t="inlineStr">
        <is>
          <t>Passenger, per stop</t>
        </is>
      </c>
      <c r="D3833" t="n">
        <v>9700</v>
      </c>
      <c r="E3833" t="n">
        <v>11100</v>
      </c>
      <c r="F3833" t="n">
        <v>12800</v>
      </c>
      <c r="G3833" t="n">
        <v>14700</v>
      </c>
    </row>
    <row r="3834">
      <c r="C3834" t="inlineStr">
        <is>
          <t>Freight, 2-3 story (base)</t>
        </is>
      </c>
      <c r="D3834" t="n">
        <v>51000</v>
      </c>
      <c r="E3834" t="n">
        <v>67500</v>
      </c>
      <c r="F3834" t="n">
        <v>89000</v>
      </c>
      <c r="G3834" t="n">
        <v>118000</v>
      </c>
    </row>
    <row r="3835">
      <c r="C3835" t="inlineStr">
        <is>
          <t>Freight, 4-story+ (base)</t>
        </is>
      </c>
      <c r="D3835" t="n">
        <v>100000</v>
      </c>
      <c r="E3835" t="n">
        <v>126000</v>
      </c>
      <c r="F3835" t="n">
        <v>160000</v>
      </c>
      <c r="G3835" t="n">
        <v>202000</v>
      </c>
    </row>
    <row r="3836">
      <c r="C3836" t="inlineStr">
        <is>
          <t>Freight, per stop (manual doors)</t>
        </is>
      </c>
      <c r="D3836" t="n">
        <v>12900</v>
      </c>
      <c r="E3836" t="n">
        <v>14100</v>
      </c>
      <c r="F3836" t="n">
        <v>15300</v>
      </c>
      <c r="G3836" t="n">
        <v>16700</v>
      </c>
    </row>
    <row r="3837">
      <c r="C3837" t="inlineStr">
        <is>
          <t>Freight, per stop (power doors)</t>
        </is>
      </c>
      <c r="D3837" t="n">
        <v>22400</v>
      </c>
      <c r="E3837" t="n">
        <v>24400</v>
      </c>
      <c r="F3837" t="n">
        <v>26600</v>
      </c>
      <c r="G3837" t="n">
        <v>29000</v>
      </c>
    </row>
    <row r="3838">
      <c r="C3838" t="inlineStr">
        <is>
          <t>Escalator, per stairway</t>
        </is>
      </c>
      <c r="D3838" t="n">
        <v>260000</v>
      </c>
      <c r="E3838" t="n">
        <v>276000</v>
      </c>
      <c r="F3838" t="n">
        <v>294000</v>
      </c>
      <c r="G3838" t="n">
        <v>312000</v>
      </c>
    </row>
    <row r="3839">
      <c r="C3839" t="inlineStr">
        <is>
          <t>Vertical wheelchair lift, each</t>
        </is>
      </c>
      <c r="D3839" t="n">
        <v>17200</v>
      </c>
      <c r="E3839" t="n">
        <v>22300</v>
      </c>
      <c r="F3839" t="n">
        <v>29000</v>
      </c>
      <c r="G3839" t="n">
        <v>37600</v>
      </c>
    </row>
    <row r="3841">
      <c r="B3841" s="168" t="inlineStr">
        <is>
          <t>Section 12 -- MVS 12-38</t>
        </is>
      </c>
      <c r="C3841" s="306" t="inlineStr">
        <is>
          <t>Type</t>
        </is>
      </c>
      <c r="D3841" s="306" t="inlineStr">
        <is>
          <t>Low</t>
        </is>
      </c>
      <c r="E3841" s="306" t="inlineStr">
        <is>
          <t>Average</t>
        </is>
      </c>
      <c r="F3841" s="306" t="inlineStr">
        <is>
          <t>Good</t>
        </is>
      </c>
      <c r="G3841" s="306" t="inlineStr">
        <is>
          <t>Excellent</t>
        </is>
      </c>
    </row>
    <row r="3842">
      <c r="C3842" t="inlineStr">
        <is>
          <t>Passenger, 2-3 story (base)</t>
        </is>
      </c>
      <c r="D3842" t="n">
        <v>61500</v>
      </c>
      <c r="E3842" t="n">
        <v>71750</v>
      </c>
      <c r="F3842" t="n">
        <v>84000</v>
      </c>
      <c r="G3842" t="n">
        <v>99000</v>
      </c>
    </row>
    <row r="3843">
      <c r="C3843" t="inlineStr">
        <is>
          <t>Passenger, per stop</t>
        </is>
      </c>
      <c r="D3843" t="n">
        <v>8550</v>
      </c>
      <c r="E3843" t="n">
        <v>9950</v>
      </c>
      <c r="F3843" t="n">
        <v>11700</v>
      </c>
      <c r="G3843" t="n">
        <v>13700</v>
      </c>
    </row>
    <row r="3844">
      <c r="C3844" t="inlineStr">
        <is>
          <t>Vertical wheelchair lift, each</t>
        </is>
      </c>
      <c r="D3844" t="n">
        <v>14800</v>
      </c>
      <c r="E3844" t="n">
        <v>19000</v>
      </c>
      <c r="F3844" t="n">
        <v>24500</v>
      </c>
      <c r="G3844" t="n">
        <v>31400</v>
      </c>
    </row>
    <row r="3846">
      <c r="B3846" s="168" t="inlineStr">
        <is>
          <t>Section 13 [Sec.14 schedule applies] -- MVS 13-39</t>
        </is>
      </c>
      <c r="C3846" s="306" t="inlineStr">
        <is>
          <t>Type</t>
        </is>
      </c>
      <c r="D3846" s="306" t="inlineStr">
        <is>
          <t>Low</t>
        </is>
      </c>
      <c r="E3846" s="306" t="inlineStr">
        <is>
          <t>Average</t>
        </is>
      </c>
      <c r="F3846" s="306" t="inlineStr">
        <is>
          <t>Good</t>
        </is>
      </c>
      <c r="G3846" s="306" t="inlineStr">
        <is>
          <t>Excellent</t>
        </is>
      </c>
    </row>
    <row r="3847">
      <c r="C3847" t="inlineStr">
        <is>
          <t>Passenger, 2-3 story (base) [see Sec.14 sched.]</t>
        </is>
      </c>
      <c r="D3847" t="n">
        <v>66250</v>
      </c>
      <c r="E3847" t="n">
        <v>78000</v>
      </c>
      <c r="F3847" t="n">
        <v>92000</v>
      </c>
      <c r="G3847" t="n">
        <v>108000</v>
      </c>
    </row>
    <row r="3848">
      <c r="C3848" t="inlineStr">
        <is>
          <t>Passenger, per stop [see Sec.14 sched.]</t>
        </is>
      </c>
      <c r="D3848" t="n">
        <v>9650</v>
      </c>
      <c r="E3848" t="n">
        <v>11100</v>
      </c>
      <c r="F3848" t="n">
        <v>12700</v>
      </c>
      <c r="G3848" t="n">
        <v>14600</v>
      </c>
    </row>
    <row r="3850">
      <c r="B3850" s="168" t="inlineStr">
        <is>
          <t>Section 14 -- MVS 14-36</t>
        </is>
      </c>
      <c r="C3850" s="306" t="inlineStr">
        <is>
          <t>Type</t>
        </is>
      </c>
      <c r="D3850" s="306" t="inlineStr">
        <is>
          <t>Low</t>
        </is>
      </c>
      <c r="E3850" s="306" t="inlineStr">
        <is>
          <t>Average</t>
        </is>
      </c>
      <c r="F3850" s="306" t="inlineStr">
        <is>
          <t>Good</t>
        </is>
      </c>
      <c r="G3850" s="306" t="inlineStr">
        <is>
          <t>Excellent</t>
        </is>
      </c>
    </row>
    <row r="3851">
      <c r="C3851" t="inlineStr">
        <is>
          <t>Passenger, 2-3 story (base)</t>
        </is>
      </c>
      <c r="D3851" t="n">
        <v>66250</v>
      </c>
      <c r="E3851" t="n">
        <v>78000</v>
      </c>
      <c r="F3851" t="n">
        <v>92000</v>
      </c>
      <c r="G3851" t="n">
        <v>108000</v>
      </c>
    </row>
    <row r="3852">
      <c r="C3852" t="inlineStr">
        <is>
          <t>Passenger, 4-story+ (base)</t>
        </is>
      </c>
      <c r="D3852" t="n">
        <v>116000</v>
      </c>
      <c r="E3852" t="n">
        <v>133000</v>
      </c>
      <c r="F3852" t="n">
        <v>152000</v>
      </c>
      <c r="G3852" t="n">
        <v>175000</v>
      </c>
    </row>
    <row r="3853">
      <c r="C3853" t="inlineStr">
        <is>
          <t>Passenger, per stop</t>
        </is>
      </c>
      <c r="D3853" t="n">
        <v>9650</v>
      </c>
      <c r="E3853" t="n">
        <v>11100</v>
      </c>
      <c r="F3853" t="n">
        <v>12700</v>
      </c>
      <c r="G3853" t="n">
        <v>14600</v>
      </c>
    </row>
    <row r="3854">
      <c r="C3854" t="inlineStr">
        <is>
          <t>Freight, 2-3 story (base)</t>
        </is>
      </c>
      <c r="D3854" t="n">
        <v>51250</v>
      </c>
      <c r="E3854" t="n">
        <v>67750</v>
      </c>
      <c r="F3854" t="n">
        <v>89500</v>
      </c>
      <c r="G3854" t="n">
        <v>118000</v>
      </c>
    </row>
    <row r="3855">
      <c r="C3855" t="inlineStr">
        <is>
          <t>Freight, 4-story+ (base)</t>
        </is>
      </c>
      <c r="D3855" t="n">
        <v>101000</v>
      </c>
      <c r="E3855" t="n">
        <v>127000</v>
      </c>
      <c r="F3855" t="n">
        <v>160000</v>
      </c>
      <c r="G3855" t="n">
        <v>203000</v>
      </c>
    </row>
    <row r="3856">
      <c r="C3856" t="inlineStr">
        <is>
          <t>Freight, per stop (manual doors)</t>
        </is>
      </c>
      <c r="D3856" t="n">
        <v>13000</v>
      </c>
      <c r="E3856" t="n">
        <v>14100</v>
      </c>
      <c r="F3856" t="n">
        <v>15400</v>
      </c>
      <c r="G3856" t="n">
        <v>16700</v>
      </c>
    </row>
    <row r="3857">
      <c r="C3857" t="inlineStr">
        <is>
          <t>Freight, per stop (power doors)</t>
        </is>
      </c>
      <c r="D3857" t="n">
        <v>22600</v>
      </c>
      <c r="E3857" t="n">
        <v>24600</v>
      </c>
      <c r="F3857" t="n">
        <v>26900</v>
      </c>
      <c r="G3857" t="n">
        <v>29300</v>
      </c>
    </row>
    <row r="3858">
      <c r="C3858" t="inlineStr">
        <is>
          <t>Escalator, per stairway</t>
        </is>
      </c>
      <c r="D3858" t="n">
        <v>270000</v>
      </c>
      <c r="E3858" t="n">
        <v>289000</v>
      </c>
      <c r="F3858" t="n">
        <v>309000</v>
      </c>
      <c r="G3858" t="n">
        <v>330000</v>
      </c>
    </row>
    <row r="3859">
      <c r="C3859" t="inlineStr">
        <is>
          <t>Vertical wheelchair lift, each</t>
        </is>
      </c>
      <c r="D3859" t="n">
        <v>17500</v>
      </c>
      <c r="E3859" t="n">
        <v>22200</v>
      </c>
      <c r="F3859" t="n">
        <v>28300</v>
      </c>
      <c r="G3859" t="n">
        <v>36000</v>
      </c>
    </row>
    <row r="3861">
      <c r="B3861" s="168" t="inlineStr">
        <is>
          <t>Section 15 -- MVS 15-36</t>
        </is>
      </c>
      <c r="C3861" s="306" t="inlineStr">
        <is>
          <t>Type</t>
        </is>
      </c>
      <c r="D3861" s="306" t="inlineStr">
        <is>
          <t>Low</t>
        </is>
      </c>
      <c r="E3861" s="306" t="inlineStr">
        <is>
          <t>Average</t>
        </is>
      </c>
      <c r="F3861" s="306" t="inlineStr">
        <is>
          <t>Good</t>
        </is>
      </c>
      <c r="G3861" s="306" t="inlineStr">
        <is>
          <t>Excellent</t>
        </is>
      </c>
    </row>
    <row r="3862">
      <c r="C3862" t="inlineStr">
        <is>
          <t>Passenger, 2-3 story (base)</t>
        </is>
      </c>
      <c r="D3862" t="n">
        <v>67500</v>
      </c>
      <c r="E3862" t="n">
        <v>80000</v>
      </c>
      <c r="F3862" t="n">
        <v>94250</v>
      </c>
      <c r="G3862" t="n">
        <v>111000</v>
      </c>
    </row>
    <row r="3863">
      <c r="C3863" t="inlineStr">
        <is>
          <t>Passenger, 4-7 story (base)</t>
        </is>
      </c>
      <c r="D3863" t="n">
        <v>117000</v>
      </c>
      <c r="E3863" t="n">
        <v>134000</v>
      </c>
      <c r="F3863" t="n">
        <v>154000</v>
      </c>
      <c r="G3863" t="n">
        <v>176000</v>
      </c>
    </row>
    <row r="3864">
      <c r="C3864" t="inlineStr">
        <is>
          <t>Passenger, 8-story+ (base)</t>
        </is>
      </c>
      <c r="D3864" t="n">
        <v>179000</v>
      </c>
      <c r="E3864" t="n">
        <v>227000</v>
      </c>
      <c r="F3864" t="n">
        <v>285000</v>
      </c>
      <c r="G3864" t="n">
        <v>362000</v>
      </c>
    </row>
    <row r="3865">
      <c r="C3865" t="inlineStr">
        <is>
          <t>Passenger, per stop</t>
        </is>
      </c>
      <c r="D3865" t="n">
        <v>9350</v>
      </c>
      <c r="E3865" t="n">
        <v>10800</v>
      </c>
      <c r="F3865" t="n">
        <v>12500</v>
      </c>
      <c r="G3865" t="n">
        <v>14300</v>
      </c>
    </row>
    <row r="3866">
      <c r="C3866" t="inlineStr">
        <is>
          <t>Freight, 2-3 story (base)</t>
        </is>
      </c>
      <c r="D3866" t="n">
        <v>49800</v>
      </c>
      <c r="E3866" t="n">
        <v>66000</v>
      </c>
      <c r="F3866" t="n">
        <v>87500</v>
      </c>
      <c r="G3866" t="n">
        <v>115000</v>
      </c>
    </row>
    <row r="3867">
      <c r="C3867" t="inlineStr">
        <is>
          <t>Freight, 4-story+ (base)</t>
        </is>
      </c>
      <c r="D3867" t="n">
        <v>97500</v>
      </c>
      <c r="E3867" t="n">
        <v>123000</v>
      </c>
      <c r="F3867" t="n">
        <v>157000</v>
      </c>
      <c r="G3867" t="n">
        <v>199000</v>
      </c>
    </row>
    <row r="3868">
      <c r="C3868" t="inlineStr">
        <is>
          <t>Freight, per stop (manual doors)</t>
        </is>
      </c>
      <c r="D3868" t="n">
        <v>12600</v>
      </c>
      <c r="E3868" t="n">
        <v>13700</v>
      </c>
      <c r="F3868" t="n">
        <v>15100</v>
      </c>
      <c r="G3868" t="n">
        <v>16400</v>
      </c>
    </row>
    <row r="3869">
      <c r="C3869" t="inlineStr">
        <is>
          <t>Freight, per stop (power doors)</t>
        </is>
      </c>
      <c r="D3869" t="n">
        <v>22000</v>
      </c>
      <c r="E3869" t="n">
        <v>23900</v>
      </c>
      <c r="F3869" t="n">
        <v>26200</v>
      </c>
      <c r="G3869" t="n">
        <v>28400</v>
      </c>
    </row>
    <row r="3870">
      <c r="C3870" t="inlineStr">
        <is>
          <t>Escalator, per stairway</t>
        </is>
      </c>
      <c r="D3870" t="n">
        <v>262000</v>
      </c>
      <c r="E3870" t="n">
        <v>278000</v>
      </c>
      <c r="F3870" t="n">
        <v>296000</v>
      </c>
      <c r="G3870" t="n">
        <v>315000</v>
      </c>
    </row>
    <row r="3871">
      <c r="C3871" t="inlineStr">
        <is>
          <t>Vertical wheelchair lift, each</t>
        </is>
      </c>
      <c r="D3871" t="n">
        <v>18100</v>
      </c>
      <c r="E3871" t="n">
        <v>23300</v>
      </c>
      <c r="F3871" t="n">
        <v>30300</v>
      </c>
      <c r="G3871" t="n">
        <v>39000</v>
      </c>
    </row>
    <row r="3873">
      <c r="B3873" s="168" t="inlineStr">
        <is>
          <t>Section 16 -- MVS 16-24</t>
        </is>
      </c>
      <c r="C3873" s="306" t="inlineStr">
        <is>
          <t>Type</t>
        </is>
      </c>
      <c r="D3873" s="306" t="inlineStr">
        <is>
          <t>Low</t>
        </is>
      </c>
      <c r="E3873" s="306" t="inlineStr">
        <is>
          <t>Average</t>
        </is>
      </c>
      <c r="F3873" s="306" t="inlineStr">
        <is>
          <t>Good</t>
        </is>
      </c>
      <c r="G3873" s="306" t="inlineStr">
        <is>
          <t>Excellent</t>
        </is>
      </c>
    </row>
    <row r="3874">
      <c r="C3874" t="inlineStr">
        <is>
          <t>Passenger, 2-3 story (base)</t>
        </is>
      </c>
      <c r="D3874" t="n">
        <v>64250</v>
      </c>
      <c r="E3874" t="n">
        <v>76000</v>
      </c>
      <c r="F3874" t="n">
        <v>89000</v>
      </c>
      <c r="G3874" t="n">
        <v>105000</v>
      </c>
    </row>
    <row r="3875">
      <c r="C3875" t="inlineStr">
        <is>
          <t>Passenger, 4-story+ (base)</t>
        </is>
      </c>
      <c r="D3875" t="n">
        <v>110000</v>
      </c>
      <c r="E3875" t="n">
        <v>127000</v>
      </c>
      <c r="F3875" t="n">
        <v>145000</v>
      </c>
      <c r="G3875" t="n">
        <v>167000</v>
      </c>
    </row>
    <row r="3876">
      <c r="C3876" t="inlineStr">
        <is>
          <t>Passenger, per stop</t>
        </is>
      </c>
      <c r="D3876" t="n">
        <v>8850</v>
      </c>
      <c r="E3876" t="n">
        <v>10200</v>
      </c>
      <c r="F3876" t="n">
        <v>11800</v>
      </c>
      <c r="G3876" t="n">
        <v>13500</v>
      </c>
    </row>
    <row r="3877">
      <c r="C3877" t="inlineStr">
        <is>
          <t>Freight, 2-3 story (base)</t>
        </is>
      </c>
      <c r="D3877" t="n">
        <v>46400</v>
      </c>
      <c r="E3877" t="n">
        <v>61250</v>
      </c>
      <c r="F3877" t="n">
        <v>81000</v>
      </c>
      <c r="G3877" t="n">
        <v>107000</v>
      </c>
    </row>
    <row r="3878">
      <c r="C3878" t="inlineStr">
        <is>
          <t>Freight, 4-story+ (base)</t>
        </is>
      </c>
      <c r="D3878" t="n">
        <v>91250</v>
      </c>
      <c r="E3878" t="n">
        <v>115000</v>
      </c>
      <c r="F3878" t="n">
        <v>145000</v>
      </c>
      <c r="G3878" t="n">
        <v>183000</v>
      </c>
    </row>
    <row r="3879">
      <c r="C3879" t="inlineStr">
        <is>
          <t>Freight, per stop (manual doors)</t>
        </is>
      </c>
      <c r="D3879" t="n">
        <v>11800</v>
      </c>
      <c r="E3879" t="n">
        <v>12800</v>
      </c>
      <c r="F3879" t="n">
        <v>13900</v>
      </c>
      <c r="G3879" t="n">
        <v>15200</v>
      </c>
    </row>
    <row r="3880">
      <c r="C3880" t="inlineStr">
        <is>
          <t>Freight, per stop (power doors)</t>
        </is>
      </c>
      <c r="D3880" t="n">
        <v>20400</v>
      </c>
      <c r="E3880" t="n">
        <v>22200</v>
      </c>
      <c r="F3880" t="n">
        <v>24300</v>
      </c>
      <c r="G3880" t="n">
        <v>26300</v>
      </c>
    </row>
    <row r="3881">
      <c r="C3881" t="inlineStr">
        <is>
          <t>Orchestra lifts</t>
        </is>
      </c>
      <c r="D3881" t="n">
        <v>155000</v>
      </c>
      <c r="E3881" t="n">
        <v>193000</v>
      </c>
      <c r="F3881" t="n">
        <v>243000</v>
      </c>
      <c r="G3881" t="n">
        <v>301000</v>
      </c>
    </row>
    <row r="3882">
      <c r="C3882" t="inlineStr">
        <is>
          <t>Escalator, per stairway</t>
        </is>
      </c>
      <c r="D3882" t="n">
        <v>256000</v>
      </c>
      <c r="E3882" t="n">
        <v>274000</v>
      </c>
      <c r="F3882" t="n">
        <v>293000</v>
      </c>
      <c r="G3882" t="n">
        <v>314000</v>
      </c>
    </row>
    <row r="3883">
      <c r="C3883" t="inlineStr">
        <is>
          <t>Vertical wheelchair lift, each</t>
        </is>
      </c>
      <c r="D3883" t="n">
        <v>17100</v>
      </c>
      <c r="E3883" t="n">
        <v>21600</v>
      </c>
      <c r="F3883" t="n">
        <v>27200</v>
      </c>
      <c r="G3883" t="n">
        <v>34400</v>
      </c>
    </row>
    <row r="3885">
      <c r="B3885" s="168" t="inlineStr">
        <is>
          <t>Section 18 -- MVS 18-35</t>
        </is>
      </c>
      <c r="C3885" s="306" t="inlineStr">
        <is>
          <t>Type</t>
        </is>
      </c>
      <c r="D3885" s="306" t="inlineStr">
        <is>
          <t>Low</t>
        </is>
      </c>
      <c r="E3885" s="306" t="inlineStr">
        <is>
          <t>Average</t>
        </is>
      </c>
      <c r="F3885" s="306" t="inlineStr">
        <is>
          <t>Good</t>
        </is>
      </c>
      <c r="G3885" s="306" t="inlineStr">
        <is>
          <t>Excellent</t>
        </is>
      </c>
    </row>
    <row r="3886">
      <c r="C3886" t="inlineStr">
        <is>
          <t>Passenger, 2-3 story (base)</t>
        </is>
      </c>
      <c r="D3886" t="n">
        <v>68750</v>
      </c>
      <c r="E3886" t="n">
        <v>81500</v>
      </c>
      <c r="F3886" t="n">
        <v>95500</v>
      </c>
      <c r="G3886" t="n">
        <v>113000</v>
      </c>
    </row>
    <row r="3887">
      <c r="C3887" t="inlineStr">
        <is>
          <t>Passenger, 4-7 story (base)</t>
        </is>
      </c>
      <c r="D3887" t="n">
        <v>119000</v>
      </c>
      <c r="E3887" t="n">
        <v>137000</v>
      </c>
      <c r="F3887" t="n">
        <v>158000</v>
      </c>
      <c r="G3887" t="n">
        <v>181000</v>
      </c>
    </row>
    <row r="3888">
      <c r="C3888" t="inlineStr">
        <is>
          <t>Passenger, 8-story+ (base)</t>
        </is>
      </c>
      <c r="D3888" t="n">
        <v>183000</v>
      </c>
      <c r="E3888" t="n">
        <v>228000</v>
      </c>
      <c r="F3888" t="n">
        <v>286000</v>
      </c>
      <c r="G3888" t="n">
        <v>361000</v>
      </c>
    </row>
    <row r="3889">
      <c r="C3889" t="inlineStr">
        <is>
          <t>Passenger, per stop</t>
        </is>
      </c>
      <c r="D3889" t="n">
        <v>9650</v>
      </c>
      <c r="E3889" t="n">
        <v>11000</v>
      </c>
      <c r="F3889" t="n">
        <v>12500</v>
      </c>
      <c r="G3889" t="n">
        <v>14300</v>
      </c>
    </row>
    <row r="3890">
      <c r="C3890" t="inlineStr">
        <is>
          <t>Freight, 2-3 story (base)</t>
        </is>
      </c>
      <c r="D3890" t="n">
        <v>49700</v>
      </c>
      <c r="E3890" t="n">
        <v>65500</v>
      </c>
      <c r="F3890" t="n">
        <v>86500</v>
      </c>
      <c r="G3890" t="n">
        <v>114000</v>
      </c>
    </row>
    <row r="3891">
      <c r="C3891" t="inlineStr">
        <is>
          <t>Freight, 4-story+ (base)</t>
        </is>
      </c>
      <c r="D3891" t="n">
        <v>97000</v>
      </c>
      <c r="E3891" t="n">
        <v>123000</v>
      </c>
      <c r="F3891" t="n">
        <v>157000</v>
      </c>
      <c r="G3891" t="n">
        <v>198000</v>
      </c>
    </row>
    <row r="3892">
      <c r="C3892" t="inlineStr">
        <is>
          <t>Freight, per stop (manual doors)</t>
        </is>
      </c>
      <c r="D3892" t="n">
        <v>12400</v>
      </c>
      <c r="E3892" t="n">
        <v>13600</v>
      </c>
      <c r="F3892" t="n">
        <v>14900</v>
      </c>
      <c r="G3892" t="n">
        <v>16300</v>
      </c>
    </row>
    <row r="3893">
      <c r="C3893" t="inlineStr">
        <is>
          <t>Freight, per stop (power doors)</t>
        </is>
      </c>
      <c r="D3893" t="n">
        <v>21900</v>
      </c>
      <c r="E3893" t="n">
        <v>24200</v>
      </c>
      <c r="F3893" t="n">
        <v>27000</v>
      </c>
      <c r="G3893" t="n">
        <v>29900</v>
      </c>
    </row>
    <row r="3894">
      <c r="C3894" t="inlineStr">
        <is>
          <t>Escalator, per stairway</t>
        </is>
      </c>
      <c r="D3894" t="n">
        <v>256000</v>
      </c>
      <c r="E3894" t="n">
        <v>271000</v>
      </c>
      <c r="F3894" t="n">
        <v>286000</v>
      </c>
      <c r="G3894" t="n">
        <v>305000</v>
      </c>
    </row>
    <row r="3895">
      <c r="C3895" t="inlineStr">
        <is>
          <t>Orchestra lifts</t>
        </is>
      </c>
      <c r="D3895" t="n">
        <v>169000</v>
      </c>
      <c r="E3895" t="n">
        <v>210000</v>
      </c>
      <c r="F3895" t="n">
        <v>260000</v>
      </c>
      <c r="G3895" t="n">
        <v>326000</v>
      </c>
    </row>
    <row r="3896">
      <c r="C3896" t="inlineStr">
        <is>
          <t>Vertical wheelchair lift, each</t>
        </is>
      </c>
      <c r="D3896" t="n">
        <v>18600</v>
      </c>
      <c r="E3896" t="n">
        <v>23200</v>
      </c>
      <c r="F3896" t="n">
        <v>28800</v>
      </c>
      <c r="G3896" t="n">
        <v>36100</v>
      </c>
    </row>
    <row r="3898">
      <c r="B3898" s="305" t="inlineStr">
        <is>
          <t>REFERENCE 8 -- Current Cost Multipliers, by Region x Class x Calculator Section (MVS Sec.99 p.3, Jan 2025 insert). Colorado assumed WESTERN region.</t>
        </is>
      </c>
    </row>
    <row r="3899">
      <c r="B3899" t="inlineStr">
        <is>
          <t>Region</t>
        </is>
      </c>
      <c r="C3899" t="inlineStr">
        <is>
          <t>Class</t>
        </is>
      </c>
      <c r="D3899" t="inlineStr">
        <is>
          <t>Sec.11</t>
        </is>
      </c>
      <c r="E3899" t="inlineStr">
        <is>
          <t>Sec.12</t>
        </is>
      </c>
      <c r="F3899" t="inlineStr">
        <is>
          <t>Sec.13</t>
        </is>
      </c>
      <c r="G3899" t="inlineStr">
        <is>
          <t>Sec.14</t>
        </is>
      </c>
      <c r="H3899" t="inlineStr">
        <is>
          <t>Sec.15</t>
        </is>
      </c>
      <c r="I3899" t="inlineStr">
        <is>
          <t>Sec.16</t>
        </is>
      </c>
      <c r="J3899" t="inlineStr">
        <is>
          <t>Sec.17</t>
        </is>
      </c>
      <c r="K3899" t="inlineStr">
        <is>
          <t>Sec.18</t>
        </is>
      </c>
    </row>
    <row r="3900">
      <c r="B3900" t="inlineStr">
        <is>
          <t>EASTERN</t>
        </is>
      </c>
      <c r="C3900" t="inlineStr">
        <is>
          <t>A</t>
        </is>
      </c>
      <c r="D3900" t="n">
        <v>1.04</v>
      </c>
      <c r="E3900" t="n">
        <v>1.04</v>
      </c>
      <c r="F3900" t="n">
        <v>1.04</v>
      </c>
      <c r="G3900" t="n">
        <v>1.02</v>
      </c>
      <c r="H3900" t="n">
        <v>1.04</v>
      </c>
      <c r="I3900" t="n">
        <v>1.06</v>
      </c>
      <c r="J3900" t="n">
        <v>1.08</v>
      </c>
      <c r="K3900" t="n">
        <v>1.1</v>
      </c>
    </row>
    <row r="3901">
      <c r="B3901" t="inlineStr">
        <is>
          <t>EASTERN</t>
        </is>
      </c>
      <c r="C3901" t="inlineStr">
        <is>
          <t>B</t>
        </is>
      </c>
      <c r="D3901" t="n">
        <v>1.04</v>
      </c>
      <c r="E3901" t="n">
        <v>1.05</v>
      </c>
      <c r="F3901" t="n">
        <v>1.02</v>
      </c>
      <c r="G3901" t="n">
        <v>1.04</v>
      </c>
      <c r="H3901" t="n">
        <v>1.01</v>
      </c>
      <c r="I3901" t="n">
        <v>1.02</v>
      </c>
      <c r="J3901" t="n">
        <v>1.05</v>
      </c>
      <c r="K3901" t="n">
        <v>1.07</v>
      </c>
    </row>
    <row r="3902">
      <c r="B3902" t="inlineStr">
        <is>
          <t>EASTERN</t>
        </is>
      </c>
      <c r="C3902" t="inlineStr">
        <is>
          <t>C</t>
        </is>
      </c>
      <c r="D3902" t="n">
        <v>1.02</v>
      </c>
      <c r="E3902" t="n">
        <v>1.01</v>
      </c>
      <c r="F3902" t="n">
        <v>1.03</v>
      </c>
      <c r="G3902" t="n">
        <v>1.03</v>
      </c>
      <c r="H3902" t="n">
        <v>1.04</v>
      </c>
      <c r="I3902" t="n">
        <v>1.05</v>
      </c>
      <c r="J3902" t="n">
        <v>1.06</v>
      </c>
      <c r="K3902" t="n">
        <v>1.01</v>
      </c>
    </row>
    <row r="3903">
      <c r="B3903" t="inlineStr">
        <is>
          <t>EASTERN</t>
        </is>
      </c>
      <c r="C3903" t="inlineStr">
        <is>
          <t>D</t>
        </is>
      </c>
      <c r="D3903" t="n">
        <v>1.01</v>
      </c>
      <c r="E3903" t="n">
        <v>1.02</v>
      </c>
      <c r="F3903" t="n">
        <v>1.02</v>
      </c>
      <c r="G3903" t="n">
        <v>1.01</v>
      </c>
      <c r="H3903" t="n">
        <v>1.01</v>
      </c>
      <c r="I3903" t="n">
        <v>1.02</v>
      </c>
      <c r="J3903" t="n">
        <v>1</v>
      </c>
      <c r="K3903" t="n">
        <v>0.99</v>
      </c>
    </row>
    <row r="3904">
      <c r="B3904" t="inlineStr">
        <is>
          <t>EASTERN</t>
        </is>
      </c>
      <c r="C3904" t="inlineStr">
        <is>
          <t>S</t>
        </is>
      </c>
      <c r="D3904" t="n">
        <v>1.07</v>
      </c>
      <c r="E3904" t="n">
        <v>1.06</v>
      </c>
      <c r="F3904" t="n">
        <v>1.04</v>
      </c>
      <c r="G3904" t="n">
        <v>1.03</v>
      </c>
      <c r="H3904" t="n">
        <v>1.05</v>
      </c>
      <c r="I3904" t="n">
        <v>1.02</v>
      </c>
      <c r="J3904" t="n">
        <v>1.01</v>
      </c>
      <c r="K3904" t="n">
        <v>1.05</v>
      </c>
    </row>
    <row r="3905">
      <c r="B3905" t="inlineStr">
        <is>
          <t>CENTRAL</t>
        </is>
      </c>
      <c r="C3905" t="inlineStr">
        <is>
          <t>A</t>
        </is>
      </c>
      <c r="D3905" t="n">
        <v>0.99</v>
      </c>
      <c r="E3905" t="n">
        <v>0.98</v>
      </c>
      <c r="F3905" t="n">
        <v>0.98</v>
      </c>
      <c r="G3905" t="n">
        <v>1</v>
      </c>
      <c r="H3905" t="n">
        <v>1</v>
      </c>
      <c r="I3905" t="n">
        <v>1.02</v>
      </c>
      <c r="J3905" t="n">
        <v>1.02</v>
      </c>
      <c r="K3905" t="n">
        <v>1.02</v>
      </c>
    </row>
    <row r="3906">
      <c r="B3906" t="inlineStr">
        <is>
          <t>CENTRAL</t>
        </is>
      </c>
      <c r="C3906" t="inlineStr">
        <is>
          <t>B</t>
        </is>
      </c>
      <c r="D3906" t="n">
        <v>0.98</v>
      </c>
      <c r="E3906" t="n">
        <v>0.99</v>
      </c>
      <c r="F3906" t="n">
        <v>0.98</v>
      </c>
      <c r="G3906" t="n">
        <v>0.99</v>
      </c>
      <c r="H3906" t="n">
        <v>1.01</v>
      </c>
      <c r="I3906" t="n">
        <v>0.99</v>
      </c>
      <c r="J3906" t="n">
        <v>0.98</v>
      </c>
      <c r="K3906" t="n">
        <v>0.99</v>
      </c>
    </row>
    <row r="3907">
      <c r="B3907" t="inlineStr">
        <is>
          <t>CENTRAL</t>
        </is>
      </c>
      <c r="C3907" t="inlineStr">
        <is>
          <t>C</t>
        </is>
      </c>
      <c r="D3907" t="n">
        <v>0.99</v>
      </c>
      <c r="E3907" t="n">
        <v>0.99</v>
      </c>
      <c r="F3907" t="n">
        <v>1</v>
      </c>
      <c r="G3907" t="n">
        <v>0.99</v>
      </c>
      <c r="H3907" t="n">
        <v>1</v>
      </c>
      <c r="I3907" t="n">
        <v>0.98</v>
      </c>
      <c r="J3907" t="n">
        <v>0.99</v>
      </c>
      <c r="K3907" t="n">
        <v>0.98</v>
      </c>
    </row>
    <row r="3908">
      <c r="B3908" t="inlineStr">
        <is>
          <t>CENTRAL</t>
        </is>
      </c>
      <c r="C3908" t="inlineStr">
        <is>
          <t>D</t>
        </is>
      </c>
      <c r="D3908" t="n">
        <v>0.97</v>
      </c>
      <c r="E3908" t="n">
        <v>0.99</v>
      </c>
      <c r="F3908" t="n">
        <v>0.99</v>
      </c>
      <c r="G3908" t="n">
        <v>0.99</v>
      </c>
      <c r="H3908" t="n">
        <v>1.02</v>
      </c>
      <c r="I3908" t="n">
        <v>1.02</v>
      </c>
      <c r="J3908" t="n">
        <v>0.97</v>
      </c>
      <c r="K3908" t="n">
        <v>0.97</v>
      </c>
    </row>
    <row r="3909">
      <c r="B3909" t="inlineStr">
        <is>
          <t>CENTRAL</t>
        </is>
      </c>
      <c r="C3909" t="inlineStr">
        <is>
          <t>S</t>
        </is>
      </c>
      <c r="D3909" t="n">
        <v>0.95</v>
      </c>
      <c r="E3909" t="n">
        <v>0.98</v>
      </c>
      <c r="F3909" t="n">
        <v>0.95</v>
      </c>
      <c r="G3909" t="n">
        <v>0.99</v>
      </c>
      <c r="H3909" t="n">
        <v>0.99</v>
      </c>
      <c r="I3909" t="n">
        <v>0.97</v>
      </c>
      <c r="J3909" t="n">
        <v>1</v>
      </c>
      <c r="K3909" t="n">
        <v>0.97</v>
      </c>
    </row>
    <row r="3910">
      <c r="B3910" t="inlineStr">
        <is>
          <t>WESTERN</t>
        </is>
      </c>
      <c r="C3910" t="inlineStr">
        <is>
          <t>A</t>
        </is>
      </c>
      <c r="D3910" t="n">
        <v>0.99</v>
      </c>
      <c r="E3910" t="n">
        <v>1.03</v>
      </c>
      <c r="F3910" t="n">
        <v>1.05</v>
      </c>
      <c r="G3910" t="n">
        <v>1.07</v>
      </c>
      <c r="H3910" t="n">
        <v>1.06</v>
      </c>
      <c r="I3910" t="n">
        <v>1.05</v>
      </c>
      <c r="J3910" t="n">
        <v>1.05</v>
      </c>
      <c r="K3910" t="n">
        <v>1.01</v>
      </c>
    </row>
    <row r="3911">
      <c r="B3911" t="inlineStr">
        <is>
          <t>WESTERN</t>
        </is>
      </c>
      <c r="C3911" t="inlineStr">
        <is>
          <t>B</t>
        </is>
      </c>
      <c r="D3911" t="n">
        <v>0.99</v>
      </c>
      <c r="E3911" t="n">
        <v>1</v>
      </c>
      <c r="F3911" t="n">
        <v>1.06</v>
      </c>
      <c r="G3911" t="n">
        <v>1.04</v>
      </c>
      <c r="H3911" t="n">
        <v>1.05</v>
      </c>
      <c r="I3911" t="n">
        <v>1.06</v>
      </c>
      <c r="J3911" t="n">
        <v>1.05</v>
      </c>
      <c r="K3911" t="n">
        <v>1.02</v>
      </c>
    </row>
    <row r="3912">
      <c r="B3912" t="inlineStr">
        <is>
          <t>WESTERN</t>
        </is>
      </c>
      <c r="C3912" t="inlineStr">
        <is>
          <t>C</t>
        </is>
      </c>
      <c r="D3912" t="n">
        <v>1</v>
      </c>
      <c r="E3912" t="n">
        <v>1.03</v>
      </c>
      <c r="F3912" t="n">
        <v>1.02</v>
      </c>
      <c r="G3912" t="n">
        <v>1.06</v>
      </c>
      <c r="H3912" t="n">
        <v>1.04</v>
      </c>
      <c r="I3912" t="n">
        <v>1.05</v>
      </c>
      <c r="J3912" t="n">
        <v>1.03</v>
      </c>
      <c r="K3912" t="n">
        <v>1.04</v>
      </c>
    </row>
    <row r="3913">
      <c r="B3913" t="inlineStr">
        <is>
          <t>WESTERN</t>
        </is>
      </c>
      <c r="C3913" t="inlineStr">
        <is>
          <t>D</t>
        </is>
      </c>
      <c r="D3913" t="n">
        <v>1.03</v>
      </c>
      <c r="E3913" t="n">
        <v>1.02</v>
      </c>
      <c r="F3913" t="n">
        <v>1.03</v>
      </c>
      <c r="G3913" t="n">
        <v>1.05</v>
      </c>
      <c r="H3913" t="n">
        <v>1.02</v>
      </c>
      <c r="I3913" t="n">
        <v>1.01</v>
      </c>
      <c r="J3913" t="n">
        <v>1.05</v>
      </c>
      <c r="K3913" t="n">
        <v>1.01</v>
      </c>
    </row>
    <row r="3914">
      <c r="B3914" t="inlineStr">
        <is>
          <t>WESTERN</t>
        </is>
      </c>
      <c r="C3914" t="inlineStr">
        <is>
          <t>S</t>
        </is>
      </c>
      <c r="D3914" t="n">
        <v>1</v>
      </c>
      <c r="E3914" t="n">
        <v>1</v>
      </c>
      <c r="F3914" t="n">
        <v>1.05</v>
      </c>
      <c r="G3914" t="n">
        <v>1.04</v>
      </c>
      <c r="H3914" t="n">
        <v>1.02</v>
      </c>
      <c r="I3914" t="n">
        <v>1.07</v>
      </c>
      <c r="J3914" t="n">
        <v>1.04</v>
      </c>
      <c r="K3914" t="n">
        <v>0.98</v>
      </c>
    </row>
    <row r="3916">
      <c r="B3916" s="305" t="inlineStr">
        <is>
          <t>REFERENCE 9 -- Local Area Multipliers, Colorado (MVS Sec.99 p.7, Jan 2025 insert)</t>
        </is>
      </c>
    </row>
    <row r="3917">
      <c r="B3917" t="inlineStr">
        <is>
          <t>City / Area</t>
        </is>
      </c>
      <c r="C3917" t="inlineStr">
        <is>
          <t>Class A</t>
        </is>
      </c>
      <c r="D3917" t="inlineStr">
        <is>
          <t>Class B</t>
        </is>
      </c>
      <c r="E3917" t="inlineStr">
        <is>
          <t>Class C</t>
        </is>
      </c>
      <c r="F3917" t="inlineStr">
        <is>
          <t>Class D</t>
        </is>
      </c>
      <c r="G3917" t="inlineStr">
        <is>
          <t>Class S</t>
        </is>
      </c>
    </row>
    <row r="3918">
      <c r="B3918" t="inlineStr">
        <is>
          <t>Colorado (statewide average)</t>
        </is>
      </c>
      <c r="C3918" t="n">
        <v>1</v>
      </c>
      <c r="D3918" t="n">
        <v>1.02</v>
      </c>
      <c r="E3918" t="n">
        <v>1.02</v>
      </c>
      <c r="F3918" t="n">
        <v>1.01</v>
      </c>
      <c r="G3918" t="n">
        <v>1.02</v>
      </c>
    </row>
    <row r="3919">
      <c r="B3919" t="inlineStr">
        <is>
          <t>Aspen</t>
        </is>
      </c>
      <c r="C3919" t="n">
        <v>1.08</v>
      </c>
      <c r="D3919" t="n">
        <v>1.13</v>
      </c>
      <c r="E3919" t="n">
        <v>1.11</v>
      </c>
      <c r="F3919" t="n">
        <v>1.11</v>
      </c>
      <c r="G3919" t="n">
        <v>1.1</v>
      </c>
    </row>
    <row r="3920">
      <c r="B3920" t="inlineStr">
        <is>
          <t>Boulder</t>
        </is>
      </c>
      <c r="C3920" t="n">
        <v>0.98</v>
      </c>
      <c r="D3920" t="n">
        <v>0.98</v>
      </c>
      <c r="E3920" t="n">
        <v>0.98</v>
      </c>
      <c r="F3920" t="n">
        <v>0.97</v>
      </c>
      <c r="G3920" t="n">
        <v>0.99</v>
      </c>
    </row>
    <row r="3921">
      <c r="B3921" t="inlineStr">
        <is>
          <t>Colorado Springs</t>
        </is>
      </c>
      <c r="C3921" t="n">
        <v>0.98</v>
      </c>
      <c r="D3921" t="n">
        <v>0.99</v>
      </c>
      <c r="E3921" t="n">
        <v>0.96</v>
      </c>
      <c r="F3921" t="n">
        <v>0.98</v>
      </c>
      <c r="G3921" t="n">
        <v>1</v>
      </c>
    </row>
    <row r="3922">
      <c r="B3922" t="inlineStr">
        <is>
          <t>Costilla County</t>
        </is>
      </c>
      <c r="C3922" t="n">
        <v>0.86</v>
      </c>
      <c r="D3922" t="n">
        <v>0.88</v>
      </c>
      <c r="E3922" t="n">
        <v>0.88</v>
      </c>
      <c r="F3922" t="n">
        <v>0.87</v>
      </c>
      <c r="G3922" t="n">
        <v>0.89</v>
      </c>
    </row>
    <row r="3923">
      <c r="B3923" t="inlineStr">
        <is>
          <t>Denver</t>
        </is>
      </c>
      <c r="C3923" t="n">
        <v>1.01</v>
      </c>
      <c r="D3923" t="n">
        <v>1</v>
      </c>
      <c r="E3923" t="n">
        <v>1</v>
      </c>
      <c r="F3923" t="n">
        <v>1</v>
      </c>
      <c r="G3923" t="n">
        <v>1.03</v>
      </c>
    </row>
    <row r="3924">
      <c r="B3924" t="inlineStr">
        <is>
          <t>Durango</t>
        </is>
      </c>
      <c r="C3924" t="n">
        <v>0.9</v>
      </c>
      <c r="D3924" t="n">
        <v>0.92</v>
      </c>
      <c r="E3924" t="n">
        <v>0.93</v>
      </c>
      <c r="F3924" t="n">
        <v>0.91</v>
      </c>
      <c r="G3924" t="n">
        <v>0.9399999999999999</v>
      </c>
    </row>
    <row r="3925">
      <c r="B3925" t="inlineStr">
        <is>
          <t>Eagle County (excl. resort areas)</t>
        </is>
      </c>
      <c r="C3925" t="n">
        <v>0.9399999999999999</v>
      </c>
      <c r="D3925" t="n">
        <v>0.95</v>
      </c>
      <c r="E3925" t="n">
        <v>0.9399999999999999</v>
      </c>
      <c r="F3925" t="n">
        <v>0.9399999999999999</v>
      </c>
      <c r="G3925" t="n">
        <v>0.95</v>
      </c>
    </row>
    <row r="3926">
      <c r="B3926" t="inlineStr">
        <is>
          <t>Fort Collins</t>
        </is>
      </c>
      <c r="C3926" t="n">
        <v>0.98</v>
      </c>
      <c r="D3926" t="n">
        <v>1</v>
      </c>
      <c r="E3926" t="n">
        <v>1.01</v>
      </c>
      <c r="F3926" t="n">
        <v>0.99</v>
      </c>
      <c r="G3926" t="n">
        <v>1.01</v>
      </c>
    </row>
    <row r="3927">
      <c r="B3927" t="inlineStr">
        <is>
          <t>Grand Junction</t>
        </is>
      </c>
      <c r="C3927" t="n">
        <v>0.98</v>
      </c>
      <c r="D3927" t="n">
        <v>0.99</v>
      </c>
      <c r="E3927" t="n">
        <v>1</v>
      </c>
      <c r="F3927" t="n">
        <v>1</v>
      </c>
      <c r="G3927" t="n">
        <v>1.02</v>
      </c>
    </row>
    <row r="3928">
      <c r="B3928" t="inlineStr">
        <is>
          <t>Greeley</t>
        </is>
      </c>
      <c r="C3928" t="n">
        <v>0.98</v>
      </c>
      <c r="D3928" t="n">
        <v>1</v>
      </c>
      <c r="E3928" t="n">
        <v>1.01</v>
      </c>
      <c r="F3928" t="n">
        <v>0.99</v>
      </c>
      <c r="G3928" t="n">
        <v>0.99</v>
      </c>
    </row>
    <row r="3929">
      <c r="B3929" t="inlineStr">
        <is>
          <t>Gunnison County</t>
        </is>
      </c>
      <c r="C3929" t="n">
        <v>0.93</v>
      </c>
      <c r="D3929" t="n">
        <v>0.99</v>
      </c>
      <c r="E3929" t="n">
        <v>0.97</v>
      </c>
      <c r="F3929" t="n">
        <v>0.96</v>
      </c>
      <c r="G3929" t="n">
        <v>0.97</v>
      </c>
    </row>
    <row r="3930">
      <c r="B3930" t="inlineStr">
        <is>
          <t>Kit Carson County</t>
        </is>
      </c>
      <c r="C3930" t="n">
        <v>0.89</v>
      </c>
      <c r="D3930" t="n">
        <v>0.89</v>
      </c>
      <c r="E3930" t="n">
        <v>0.9</v>
      </c>
      <c r="F3930" t="n">
        <v>0.89</v>
      </c>
      <c r="G3930" t="n">
        <v>0.91</v>
      </c>
    </row>
    <row r="3931">
      <c r="B3931" t="inlineStr">
        <is>
          <t>Logan County</t>
        </is>
      </c>
      <c r="C3931" t="n">
        <v>0.91</v>
      </c>
      <c r="D3931" t="n">
        <v>0.91</v>
      </c>
      <c r="E3931" t="n">
        <v>0.92</v>
      </c>
      <c r="F3931" t="n">
        <v>0.9</v>
      </c>
      <c r="G3931" t="n">
        <v>0.92</v>
      </c>
    </row>
    <row r="3932">
      <c r="B3932" t="inlineStr">
        <is>
          <t>Longmont</t>
        </is>
      </c>
      <c r="C3932" t="n">
        <v>0.97</v>
      </c>
      <c r="D3932" t="n">
        <v>0.97</v>
      </c>
      <c r="E3932" t="n">
        <v>1</v>
      </c>
      <c r="F3932" t="n">
        <v>0.98</v>
      </c>
      <c r="G3932" t="n">
        <v>1</v>
      </c>
    </row>
    <row r="3933">
      <c r="B3933" t="inlineStr">
        <is>
          <t>Loveland</t>
        </is>
      </c>
      <c r="C3933" t="n">
        <v>0.96</v>
      </c>
      <c r="D3933" t="n">
        <v>0.98</v>
      </c>
      <c r="E3933" t="n">
        <v>1.01</v>
      </c>
      <c r="F3933" t="n">
        <v>0.99</v>
      </c>
      <c r="G3933" t="n">
        <v>0.99</v>
      </c>
    </row>
    <row r="3934">
      <c r="B3934" t="inlineStr">
        <is>
          <t>Moffat County</t>
        </is>
      </c>
      <c r="C3934" t="n">
        <v>0.9</v>
      </c>
      <c r="D3934" t="n">
        <v>0.93</v>
      </c>
      <c r="E3934" t="n">
        <v>0.91</v>
      </c>
      <c r="F3934" t="n">
        <v>0.92</v>
      </c>
      <c r="G3934" t="n">
        <v>0.93</v>
      </c>
    </row>
    <row r="3935">
      <c r="B3935" t="inlineStr">
        <is>
          <t>Montrose County</t>
        </is>
      </c>
      <c r="C3935" t="n">
        <v>0.9</v>
      </c>
      <c r="D3935" t="n">
        <v>0.92</v>
      </c>
      <c r="E3935" t="n">
        <v>0.93</v>
      </c>
      <c r="F3935" t="n">
        <v>0.9</v>
      </c>
      <c r="G3935" t="n">
        <v>0.92</v>
      </c>
    </row>
    <row r="3936">
      <c r="B3936" t="inlineStr">
        <is>
          <t>Prowers County</t>
        </is>
      </c>
      <c r="C3936" t="n">
        <v>0.9</v>
      </c>
      <c r="D3936" t="n">
        <v>0.92</v>
      </c>
      <c r="E3936" t="n">
        <v>0.91</v>
      </c>
      <c r="F3936" t="n">
        <v>0.91</v>
      </c>
      <c r="G3936" t="n">
        <v>0.91</v>
      </c>
    </row>
    <row r="3937">
      <c r="B3937" t="inlineStr">
        <is>
          <t>Pueblo</t>
        </is>
      </c>
      <c r="C3937" t="n">
        <v>0.95</v>
      </c>
      <c r="D3937" t="n">
        <v>0.95</v>
      </c>
      <c r="E3937" t="n">
        <v>0.95</v>
      </c>
      <c r="F3937" t="n">
        <v>0.95</v>
      </c>
      <c r="G3937" t="n">
        <v>0.95</v>
      </c>
    </row>
    <row r="3938">
      <c r="B3938" t="inlineStr">
        <is>
          <t>Steamboat Springs</t>
        </is>
      </c>
      <c r="C3938" t="n">
        <v>1.15</v>
      </c>
      <c r="D3938" t="n">
        <v>1.17</v>
      </c>
      <c r="E3938" t="n">
        <v>1.16</v>
      </c>
      <c r="F3938" t="n">
        <v>1.14</v>
      </c>
      <c r="G3938" t="n">
        <v>1.14</v>
      </c>
    </row>
    <row r="3939">
      <c r="B3939" t="inlineStr">
        <is>
          <t>Vail</t>
        </is>
      </c>
      <c r="C3939" t="n">
        <v>1.13</v>
      </c>
      <c r="D3939" t="n">
        <v>1.16</v>
      </c>
      <c r="E3939" t="n">
        <v>1.14</v>
      </c>
      <c r="F3939" t="n">
        <v>1.13</v>
      </c>
      <c r="G3939" t="n">
        <v>1.13</v>
      </c>
    </row>
    <row r="3941">
      <c r="B3941" s="305" t="inlineStr">
        <is>
          <t>REFERENCE 10 -- Section 98 Denver-Specific Quarterly Cost Index (for De-Trend to Appraisal Date; Jan 2025 = 1.000)</t>
        </is>
      </c>
    </row>
    <row r="3942">
      <c r="B3942" t="inlineStr">
        <is>
          <t>Do NOT combine with the Local Area Multiplier above -- Sec.98's district/city index is already geographically resolved to Denver (MVS explicit warning, Sec.98 p.1/p.5).</t>
        </is>
      </c>
    </row>
    <row r="3943">
      <c r="B3943" t="inlineStr">
        <is>
          <t>Quarter</t>
        </is>
      </c>
      <c r="C3943" t="inlineStr">
        <is>
          <t>Class A</t>
        </is>
      </c>
      <c r="D3943" t="inlineStr">
        <is>
          <t>Class B</t>
        </is>
      </c>
      <c r="E3943" t="inlineStr">
        <is>
          <t>Class C</t>
        </is>
      </c>
      <c r="F3943" t="inlineStr">
        <is>
          <t>Class D</t>
        </is>
      </c>
      <c r="G3943" t="inlineStr">
        <is>
          <t>Class S</t>
        </is>
      </c>
    </row>
    <row r="3944">
      <c r="B3944" t="inlineStr">
        <is>
          <t>Jan 2025</t>
        </is>
      </c>
      <c r="C3944" t="n">
        <v>1</v>
      </c>
      <c r="D3944" t="n">
        <v>1</v>
      </c>
      <c r="E3944" t="n">
        <v>1</v>
      </c>
      <c r="F3944" t="n">
        <v>1</v>
      </c>
      <c r="G3944" t="n">
        <v>1</v>
      </c>
    </row>
    <row r="3945">
      <c r="B3945" t="inlineStr">
        <is>
          <t>Oct 2024</t>
        </is>
      </c>
      <c r="C3945" t="n">
        <v>1.016</v>
      </c>
      <c r="D3945" t="n">
        <v>1.008</v>
      </c>
      <c r="E3945" t="n">
        <v>0.999</v>
      </c>
      <c r="F3945" t="n">
        <v>1.006</v>
      </c>
      <c r="G3945" t="n">
        <v>1.01</v>
      </c>
    </row>
    <row r="3946">
      <c r="B3946" t="inlineStr">
        <is>
          <t>Jul 2024</t>
        </is>
      </c>
      <c r="C3946" t="n">
        <v>1.017</v>
      </c>
      <c r="D3946" t="n">
        <v>1.014</v>
      </c>
      <c r="E3946" t="n">
        <v>1.004</v>
      </c>
      <c r="F3946" t="n">
        <v>1.008</v>
      </c>
      <c r="G3946" t="n">
        <v>1.014</v>
      </c>
    </row>
    <row r="3947">
      <c r="B3947" t="inlineStr">
        <is>
          <t>Apr 2024</t>
        </is>
      </c>
      <c r="C3947" t="n">
        <v>1.034</v>
      </c>
      <c r="D3947" t="n">
        <v>1.027</v>
      </c>
      <c r="E3947" t="n">
        <v>1.012</v>
      </c>
      <c r="F3947" t="n">
        <v>1.016</v>
      </c>
      <c r="G3947" t="n">
        <v>1.024</v>
      </c>
    </row>
    <row r="3948">
      <c r="B3948" t="inlineStr">
        <is>
          <t>Jan 2024</t>
        </is>
      </c>
      <c r="C3948" t="n">
        <v>1.037</v>
      </c>
      <c r="D3948" t="n">
        <v>1.027</v>
      </c>
      <c r="E3948" t="n">
        <v>1.02</v>
      </c>
      <c r="F3948" t="n">
        <v>1.015</v>
      </c>
      <c r="G3948" t="n">
        <v>1.026</v>
      </c>
    </row>
    <row r="3949">
      <c r="B3949" t="inlineStr">
        <is>
          <t>Oct 2023</t>
        </is>
      </c>
      <c r="C3949" t="n">
        <v>1.046</v>
      </c>
      <c r="D3949" t="n">
        <v>1.025</v>
      </c>
      <c r="E3949" t="n">
        <v>1.021</v>
      </c>
      <c r="F3949" t="n">
        <v>1.015</v>
      </c>
      <c r="G3949" t="n">
        <v>1.029</v>
      </c>
    </row>
    <row r="3950">
      <c r="B3950" t="inlineStr">
        <is>
          <t>Jul 2023</t>
        </is>
      </c>
      <c r="C3950" t="n">
        <v>1.064</v>
      </c>
      <c r="D3950" t="n">
        <v>1.029</v>
      </c>
      <c r="E3950" t="n">
        <v>1.022</v>
      </c>
      <c r="F3950" t="n">
        <v>1.014</v>
      </c>
      <c r="G3950" t="n">
        <v>1.034</v>
      </c>
    </row>
    <row r="3951">
      <c r="B3951" t="inlineStr">
        <is>
          <t>Apr 2023</t>
        </is>
      </c>
      <c r="C3951" t="n">
        <v>1.078</v>
      </c>
      <c r="D3951" t="n">
        <v>1.034</v>
      </c>
      <c r="E3951" t="n">
        <v>1.017</v>
      </c>
      <c r="F3951" t="n">
        <v>1.007</v>
      </c>
      <c r="G3951" t="n">
        <v>1.03</v>
      </c>
    </row>
    <row r="3952">
      <c r="B3952" t="inlineStr">
        <is>
          <t>Jan 2023</t>
        </is>
      </c>
      <c r="C3952" t="n">
        <v>1.076</v>
      </c>
      <c r="D3952" t="n">
        <v>1.033</v>
      </c>
      <c r="E3952" t="n">
        <v>1.011</v>
      </c>
      <c r="F3952" t="n">
        <v>0.998</v>
      </c>
      <c r="G3952" t="n">
        <v>1.023</v>
      </c>
    </row>
    <row r="3953">
      <c r="B3953" t="inlineStr">
        <is>
          <t>Oct 2022</t>
        </is>
      </c>
      <c r="C3953" t="n">
        <v>1.077</v>
      </c>
      <c r="D3953" t="n">
        <v>1.032</v>
      </c>
      <c r="E3953" t="n">
        <v>1.005</v>
      </c>
      <c r="F3953" t="n">
        <v>0.987</v>
      </c>
      <c r="G3953" t="n">
        <v>1.005</v>
      </c>
    </row>
    <row r="3954">
      <c r="B3954" t="inlineStr">
        <is>
          <t>Jul 2022</t>
        </is>
      </c>
      <c r="C3954" t="n">
        <v>1.091</v>
      </c>
      <c r="D3954" t="n">
        <v>1.046</v>
      </c>
      <c r="E3954" t="n">
        <v>1.011</v>
      </c>
      <c r="F3954" t="n">
        <v>0.985</v>
      </c>
      <c r="G3954" t="n">
        <v>1.006</v>
      </c>
    </row>
    <row r="3955">
      <c r="B3955" t="inlineStr">
        <is>
          <t>Apr 2022</t>
        </is>
      </c>
      <c r="C3955" t="n">
        <v>1.156</v>
      </c>
      <c r="D3955" t="n">
        <v>1.134</v>
      </c>
      <c r="E3955" t="n">
        <v>1.103</v>
      </c>
      <c r="F3955" t="n">
        <v>1.089</v>
      </c>
      <c r="G3955" t="n">
        <v>1.108</v>
      </c>
    </row>
    <row r="3956">
      <c r="B3956" t="inlineStr">
        <is>
          <t>Jan 2022</t>
        </is>
      </c>
      <c r="C3956" t="n">
        <v>1.229</v>
      </c>
      <c r="D3956" t="n">
        <v>1.179</v>
      </c>
      <c r="E3956" t="n">
        <v>1.148</v>
      </c>
      <c r="F3956" t="n">
        <v>1.123</v>
      </c>
      <c r="G3956" t="n">
        <v>1.158</v>
      </c>
    </row>
    <row r="3958">
      <c r="B3958" s="305" t="inlineStr">
        <is>
          <t>REFERENCE 11 -- Typical Building Life Expectancy, Years (MVS Sec.97 pp.10-16, full transcription mapped to every occupancy above). Where the manual prints joint tiers (e.g. "good and excellent"), each selectable Quality gets its bucket's values. Blank = not tabulated for that class.</t>
        </is>
      </c>
    </row>
    <row r="3959">
      <c r="B3959" s="306" t="inlineStr">
        <is>
          <t>Occupancy Name</t>
        </is>
      </c>
      <c r="C3959" s="306" t="inlineStr">
        <is>
          <t>Quality</t>
        </is>
      </c>
      <c r="D3959" s="306" t="inlineStr">
        <is>
          <t>Class A</t>
        </is>
      </c>
      <c r="E3959" s="306" t="inlineStr">
        <is>
          <t>Class B</t>
        </is>
      </c>
      <c r="F3959" s="306" t="inlineStr">
        <is>
          <t>Class C</t>
        </is>
      </c>
      <c r="G3959" s="306" t="inlineStr">
        <is>
          <t>Class D</t>
        </is>
      </c>
      <c r="H3959" s="306" t="inlineStr">
        <is>
          <t>Class S</t>
        </is>
      </c>
      <c r="I3959" s="306" t="inlineStr">
        <is>
          <t>Key</t>
        </is>
      </c>
      <c r="J3959" s="306" t="inlineStr">
        <is>
          <t>MVS bucket used</t>
        </is>
      </c>
    </row>
    <row r="3960">
      <c r="B3960" t="inlineStr">
        <is>
          <t>Homes For the Elderly</t>
        </is>
      </c>
      <c r="C3960" t="inlineStr">
        <is>
          <t>Good</t>
        </is>
      </c>
      <c r="D3960" t="n">
        <v>60</v>
      </c>
      <c r="E3960" t="n">
        <v>60</v>
      </c>
      <c r="F3960" t="n">
        <v>50</v>
      </c>
      <c r="G3960" t="n">
        <v>45</v>
      </c>
      <c r="H3960" t="n">
        <v>45</v>
      </c>
      <c r="I3960">
        <f>B3960&amp;"|"&amp;C3960</f>
        <v/>
      </c>
      <c r="J3960" t="inlineStr">
        <is>
          <t>Homes for the elderly, good</t>
        </is>
      </c>
    </row>
    <row r="3961">
      <c r="B3961" t="inlineStr">
        <is>
          <t>Homes For the Elderly</t>
        </is>
      </c>
      <c r="C3961" t="inlineStr">
        <is>
          <t>Average</t>
        </is>
      </c>
      <c r="D3961" t="n">
        <v>50</v>
      </c>
      <c r="E3961" t="n">
        <v>50</v>
      </c>
      <c r="F3961" t="n">
        <v>45</v>
      </c>
      <c r="G3961" t="n">
        <v>40</v>
      </c>
      <c r="H3961" t="n">
        <v>40</v>
      </c>
      <c r="I3961">
        <f>B3961&amp;"|"&amp;C3961</f>
        <v/>
      </c>
      <c r="J3961" t="inlineStr">
        <is>
          <t>low cost and average</t>
        </is>
      </c>
    </row>
    <row r="3962">
      <c r="B3962" t="inlineStr">
        <is>
          <t>Homes For the Elderly</t>
        </is>
      </c>
      <c r="C3962" t="inlineStr">
        <is>
          <t>Low Cost</t>
        </is>
      </c>
      <c r="D3962" t="n">
        <v>50</v>
      </c>
      <c r="E3962" t="n">
        <v>50</v>
      </c>
      <c r="F3962" t="n">
        <v>45</v>
      </c>
      <c r="G3962" t="n">
        <v>40</v>
      </c>
      <c r="H3962" t="n">
        <v>40</v>
      </c>
      <c r="I3962">
        <f>B3962&amp;"|"&amp;C3962</f>
        <v/>
      </c>
      <c r="J3962" t="inlineStr">
        <is>
          <t>low cost and average</t>
        </is>
      </c>
    </row>
    <row r="3963">
      <c r="B3963" t="inlineStr">
        <is>
          <t>Dormitories</t>
        </is>
      </c>
      <c r="C3963" t="inlineStr">
        <is>
          <t>Excellent</t>
        </is>
      </c>
      <c r="D3963" t="n">
        <v>60</v>
      </c>
      <c r="E3963" t="n">
        <v>60</v>
      </c>
      <c r="F3963" t="n">
        <v>55</v>
      </c>
      <c r="G3963" t="n">
        <v>50</v>
      </c>
      <c r="I3963">
        <f>B3963&amp;"|"&amp;C3963</f>
        <v/>
      </c>
      <c r="J3963" t="inlineStr">
        <is>
          <t>Dormitories, good and excellent</t>
        </is>
      </c>
    </row>
    <row r="3964">
      <c r="B3964" t="inlineStr">
        <is>
          <t>Dormitories</t>
        </is>
      </c>
      <c r="C3964" t="inlineStr">
        <is>
          <t>Very Good</t>
        </is>
      </c>
      <c r="D3964" t="n">
        <v>60</v>
      </c>
      <c r="E3964" t="n">
        <v>60</v>
      </c>
      <c r="F3964" t="n">
        <v>55</v>
      </c>
      <c r="G3964" t="n">
        <v>50</v>
      </c>
      <c r="I3964">
        <f>B3964&amp;"|"&amp;C3964</f>
        <v/>
      </c>
      <c r="J3964" t="inlineStr">
        <is>
          <t>Dormitories, good and excellent</t>
        </is>
      </c>
    </row>
    <row r="3965">
      <c r="B3965" t="inlineStr">
        <is>
          <t>Dormitories</t>
        </is>
      </c>
      <c r="C3965" t="inlineStr">
        <is>
          <t>Good</t>
        </is>
      </c>
      <c r="D3965" t="n">
        <v>60</v>
      </c>
      <c r="E3965" t="n">
        <v>60</v>
      </c>
      <c r="F3965" t="n">
        <v>55</v>
      </c>
      <c r="G3965" t="n">
        <v>50</v>
      </c>
      <c r="I3965">
        <f>B3965&amp;"|"&amp;C3965</f>
        <v/>
      </c>
      <c r="J3965" t="inlineStr">
        <is>
          <t>Dormitories, good and excellent</t>
        </is>
      </c>
    </row>
    <row r="3966">
      <c r="B3966" t="inlineStr">
        <is>
          <t>Dormitories</t>
        </is>
      </c>
      <c r="C3966" t="inlineStr">
        <is>
          <t>Average</t>
        </is>
      </c>
      <c r="D3966" t="n">
        <v>50</v>
      </c>
      <c r="E3966" t="n">
        <v>50</v>
      </c>
      <c r="F3966" t="n">
        <v>45</v>
      </c>
      <c r="G3966" t="n">
        <v>40</v>
      </c>
      <c r="H3966" t="n">
        <v>40</v>
      </c>
      <c r="I3966">
        <f>B3966&amp;"|"&amp;C3966</f>
        <v/>
      </c>
      <c r="J3966" t="inlineStr">
        <is>
          <t>low cost and average</t>
        </is>
      </c>
    </row>
    <row r="3967">
      <c r="B3967" t="inlineStr">
        <is>
          <t>Dormitories</t>
        </is>
      </c>
      <c r="C3967" t="inlineStr">
        <is>
          <t>Low Cost</t>
        </is>
      </c>
      <c r="D3967" t="n">
        <v>50</v>
      </c>
      <c r="E3967" t="n">
        <v>50</v>
      </c>
      <c r="F3967" t="n">
        <v>45</v>
      </c>
      <c r="G3967" t="n">
        <v>40</v>
      </c>
      <c r="H3967" t="n">
        <v>40</v>
      </c>
      <c r="I3967">
        <f>B3967&amp;"|"&amp;C3967</f>
        <v/>
      </c>
      <c r="J3967" t="inlineStr">
        <is>
          <t>low cost and average</t>
        </is>
      </c>
    </row>
    <row r="3968">
      <c r="B3968" t="inlineStr">
        <is>
          <t>Luxury Apartments (High-Rise)</t>
        </is>
      </c>
      <c r="C3968" t="inlineStr">
        <is>
          <t>Good</t>
        </is>
      </c>
      <c r="D3968" t="n">
        <v>60</v>
      </c>
      <c r="E3968" t="n">
        <v>60</v>
      </c>
      <c r="F3968" t="n">
        <v>55</v>
      </c>
      <c r="G3968" t="n">
        <v>50</v>
      </c>
      <c r="H3968" t="n">
        <v>50</v>
      </c>
      <c r="I3968">
        <f>B3968&amp;"|"&amp;C3968</f>
        <v/>
      </c>
      <c r="J3968" t="inlineStr">
        <is>
          <t>Apartments, mid-, high-rise, good, excellent and luxury</t>
        </is>
      </c>
    </row>
    <row r="3969">
      <c r="B3969" t="inlineStr">
        <is>
          <t>Luxury Apartments (High-Rise)</t>
        </is>
      </c>
      <c r="C3969" t="inlineStr">
        <is>
          <t>Average</t>
        </is>
      </c>
      <c r="D3969" t="n">
        <v>55</v>
      </c>
      <c r="E3969" t="n">
        <v>55</v>
      </c>
      <c r="F3969" t="n">
        <v>50</v>
      </c>
      <c r="G3969" t="n">
        <v>45</v>
      </c>
      <c r="H3969" t="n">
        <v>45</v>
      </c>
      <c r="I3969">
        <f>B3969&amp;"|"&amp;C3969</f>
        <v/>
      </c>
      <c r="J3969" t="inlineStr">
        <is>
          <t>low cost and average</t>
        </is>
      </c>
    </row>
    <row r="3970">
      <c r="B3970" t="inlineStr">
        <is>
          <t>Luxury Apartments (High-Rise)</t>
        </is>
      </c>
      <c r="C3970" t="inlineStr">
        <is>
          <t>Excellent</t>
        </is>
      </c>
      <c r="D3970" t="n">
        <v>60</v>
      </c>
      <c r="E3970" t="n">
        <v>60</v>
      </c>
      <c r="F3970" t="n">
        <v>55</v>
      </c>
      <c r="G3970" t="n">
        <v>50</v>
      </c>
      <c r="H3970" t="n">
        <v>50</v>
      </c>
      <c r="I3970">
        <f>B3970&amp;"|"&amp;C3970</f>
        <v/>
      </c>
      <c r="J3970" t="inlineStr">
        <is>
          <t>Apartments, mid-, high-rise, good, excellent and luxury</t>
        </is>
      </c>
    </row>
    <row r="3971">
      <c r="B3971" t="inlineStr">
        <is>
          <t>Shell Luxury Apartment Buildings</t>
        </is>
      </c>
      <c r="C3971" t="inlineStr">
        <is>
          <t>Good</t>
        </is>
      </c>
      <c r="D3971" t="n">
        <v>60</v>
      </c>
      <c r="E3971" t="n">
        <v>60</v>
      </c>
      <c r="F3971" t="n">
        <v>55</v>
      </c>
      <c r="G3971" t="n">
        <v>50</v>
      </c>
      <c r="H3971" t="n">
        <v>50</v>
      </c>
      <c r="I3971">
        <f>B3971&amp;"|"&amp;C3971</f>
        <v/>
      </c>
      <c r="J3971" t="inlineStr">
        <is>
          <t>Apartments, mid-, high-rise, good, excellent and luxury</t>
        </is>
      </c>
    </row>
    <row r="3972">
      <c r="B3972" t="inlineStr">
        <is>
          <t>Shell Luxury Apartment Buildings</t>
        </is>
      </c>
      <c r="C3972" t="inlineStr">
        <is>
          <t>Average</t>
        </is>
      </c>
      <c r="D3972" t="n">
        <v>55</v>
      </c>
      <c r="E3972" t="n">
        <v>55</v>
      </c>
      <c r="F3972" t="n">
        <v>50</v>
      </c>
      <c r="G3972" t="n">
        <v>45</v>
      </c>
      <c r="H3972" t="n">
        <v>45</v>
      </c>
      <c r="I3972">
        <f>B3972&amp;"|"&amp;C3972</f>
        <v/>
      </c>
      <c r="J3972" t="inlineStr">
        <is>
          <t>low cost and average</t>
        </is>
      </c>
    </row>
    <row r="3973">
      <c r="B3973" t="inlineStr">
        <is>
          <t>Shell Luxury Apartment Buildings</t>
        </is>
      </c>
      <c r="C3973" t="inlineStr">
        <is>
          <t>Excellent</t>
        </is>
      </c>
      <c r="D3973" t="n">
        <v>60</v>
      </c>
      <c r="E3973" t="n">
        <v>60</v>
      </c>
      <c r="F3973" t="n">
        <v>55</v>
      </c>
      <c r="G3973" t="n">
        <v>50</v>
      </c>
      <c r="H3973" t="n">
        <v>50</v>
      </c>
      <c r="I3973">
        <f>B3973&amp;"|"&amp;C3973</f>
        <v/>
      </c>
      <c r="J3973" t="inlineStr">
        <is>
          <t>Apartments, mid-, high-rise, good, excellent and luxury</t>
        </is>
      </c>
    </row>
    <row r="3974">
      <c r="B3974" t="inlineStr">
        <is>
          <t>Apartments (High-Rise)</t>
        </is>
      </c>
      <c r="C3974" t="inlineStr">
        <is>
          <t>Good</t>
        </is>
      </c>
      <c r="D3974" t="n">
        <v>60</v>
      </c>
      <c r="E3974" t="n">
        <v>60</v>
      </c>
      <c r="F3974" t="n">
        <v>55</v>
      </c>
      <c r="G3974" t="n">
        <v>50</v>
      </c>
      <c r="H3974" t="n">
        <v>50</v>
      </c>
      <c r="I3974">
        <f>B3974&amp;"|"&amp;C3974</f>
        <v/>
      </c>
      <c r="J3974" t="inlineStr">
        <is>
          <t>Apartments, mid-, high-rise, good, excellent and luxury</t>
        </is>
      </c>
    </row>
    <row r="3975">
      <c r="B3975" t="inlineStr">
        <is>
          <t>Apartments (High-Rise)</t>
        </is>
      </c>
      <c r="C3975" t="inlineStr">
        <is>
          <t>Average</t>
        </is>
      </c>
      <c r="D3975" t="n">
        <v>55</v>
      </c>
      <c r="E3975" t="n">
        <v>55</v>
      </c>
      <c r="F3975" t="n">
        <v>50</v>
      </c>
      <c r="G3975" t="n">
        <v>45</v>
      </c>
      <c r="H3975" t="n">
        <v>45</v>
      </c>
      <c r="I3975">
        <f>B3975&amp;"|"&amp;C3975</f>
        <v/>
      </c>
      <c r="J3975" t="inlineStr">
        <is>
          <t>low cost and average</t>
        </is>
      </c>
    </row>
    <row r="3976">
      <c r="B3976" t="inlineStr">
        <is>
          <t>Apartments (High-Rise)</t>
        </is>
      </c>
      <c r="C3976" t="inlineStr">
        <is>
          <t>Low Cost</t>
        </is>
      </c>
      <c r="D3976" t="n">
        <v>55</v>
      </c>
      <c r="E3976" t="n">
        <v>55</v>
      </c>
      <c r="F3976" t="n">
        <v>50</v>
      </c>
      <c r="G3976" t="n">
        <v>45</v>
      </c>
      <c r="H3976" t="n">
        <v>45</v>
      </c>
      <c r="I3976">
        <f>B3976&amp;"|"&amp;C3976</f>
        <v/>
      </c>
      <c r="J3976" t="inlineStr">
        <is>
          <t>low cost and average</t>
        </is>
      </c>
    </row>
    <row r="3977">
      <c r="B3977" t="inlineStr">
        <is>
          <t>City Clubs</t>
        </is>
      </c>
      <c r="C3977" t="inlineStr">
        <is>
          <t>Good</t>
        </is>
      </c>
      <c r="D3977" t="n">
        <v>60</v>
      </c>
      <c r="E3977" t="n">
        <v>60</v>
      </c>
      <c r="F3977" t="n">
        <v>50</v>
      </c>
      <c r="I3977">
        <f>B3977&amp;"|"&amp;C3977</f>
        <v/>
      </c>
      <c r="J3977" t="inlineStr">
        <is>
          <t>City clubs, good</t>
        </is>
      </c>
    </row>
    <row r="3978">
      <c r="B3978" t="inlineStr">
        <is>
          <t>City Clubs</t>
        </is>
      </c>
      <c r="C3978" t="inlineStr">
        <is>
          <t>Average</t>
        </is>
      </c>
      <c r="D3978" t="n">
        <v>50</v>
      </c>
      <c r="E3978" t="n">
        <v>50</v>
      </c>
      <c r="F3978" t="n">
        <v>45</v>
      </c>
      <c r="I3978">
        <f>B3978&amp;"|"&amp;C3978</f>
        <v/>
      </c>
      <c r="J3978" t="inlineStr">
        <is>
          <t>average</t>
        </is>
      </c>
    </row>
    <row r="3979">
      <c r="B3979" t="inlineStr">
        <is>
          <t>Shell Apartment Buildings</t>
        </is>
      </c>
      <c r="C3979" t="inlineStr">
        <is>
          <t>Good</t>
        </is>
      </c>
      <c r="D3979" t="n">
        <v>60</v>
      </c>
      <c r="E3979" t="n">
        <v>60</v>
      </c>
      <c r="F3979" t="n">
        <v>55</v>
      </c>
      <c r="G3979" t="n">
        <v>50</v>
      </c>
      <c r="H3979" t="n">
        <v>50</v>
      </c>
      <c r="I3979">
        <f>B3979&amp;"|"&amp;C3979</f>
        <v/>
      </c>
      <c r="J3979" t="inlineStr">
        <is>
          <t>Apartments, mid-, high-rise, good, excellent and luxury</t>
        </is>
      </c>
    </row>
    <row r="3980">
      <c r="B3980" t="inlineStr">
        <is>
          <t>Shell Apartment Buildings</t>
        </is>
      </c>
      <c r="C3980" t="inlineStr">
        <is>
          <t>Average</t>
        </is>
      </c>
      <c r="D3980" t="n">
        <v>55</v>
      </c>
      <c r="E3980" t="n">
        <v>55</v>
      </c>
      <c r="F3980" t="n">
        <v>50</v>
      </c>
      <c r="G3980" t="n">
        <v>45</v>
      </c>
      <c r="H3980" t="n">
        <v>45</v>
      </c>
      <c r="I3980">
        <f>B3980&amp;"|"&amp;C3980</f>
        <v/>
      </c>
      <c r="J3980" t="inlineStr">
        <is>
          <t>low cost and average</t>
        </is>
      </c>
    </row>
    <row r="3981">
      <c r="B3981" t="inlineStr">
        <is>
          <t>Shell Apartment Buildings</t>
        </is>
      </c>
      <c r="C3981" t="inlineStr">
        <is>
          <t>Low Cost</t>
        </is>
      </c>
      <c r="D3981" t="n">
        <v>55</v>
      </c>
      <c r="E3981" t="n">
        <v>55</v>
      </c>
      <c r="F3981" t="n">
        <v>50</v>
      </c>
      <c r="G3981" t="n">
        <v>45</v>
      </c>
      <c r="H3981" t="n">
        <v>45</v>
      </c>
      <c r="I3981">
        <f>B3981&amp;"|"&amp;C3981</f>
        <v/>
      </c>
      <c r="J3981" t="inlineStr">
        <is>
          <t>low cost and average</t>
        </is>
      </c>
    </row>
    <row r="3982">
      <c r="B3982" t="inlineStr">
        <is>
          <t>Hotels, Limited Service</t>
        </is>
      </c>
      <c r="C3982" t="inlineStr">
        <is>
          <t>Excellent</t>
        </is>
      </c>
      <c r="D3982" t="n">
        <v>60</v>
      </c>
      <c r="E3982" t="n">
        <v>60</v>
      </c>
      <c r="F3982" t="n">
        <v>50</v>
      </c>
      <c r="I3982">
        <f>B3982&amp;"|"&amp;C3982</f>
        <v/>
      </c>
      <c r="J3982" t="inlineStr">
        <is>
          <t>limited service, excellent</t>
        </is>
      </c>
    </row>
    <row r="3983">
      <c r="B3983" t="inlineStr">
        <is>
          <t>Hotels, Limited Service</t>
        </is>
      </c>
      <c r="C3983" t="inlineStr">
        <is>
          <t>Good</t>
        </is>
      </c>
      <c r="D3983" t="n">
        <v>55</v>
      </c>
      <c r="E3983" t="n">
        <v>55</v>
      </c>
      <c r="F3983" t="n">
        <v>50</v>
      </c>
      <c r="G3983" t="n">
        <v>45</v>
      </c>
      <c r="I3983">
        <f>B3983&amp;"|"&amp;C3983</f>
        <v/>
      </c>
      <c r="J3983" t="inlineStr">
        <is>
          <t>good</t>
        </is>
      </c>
    </row>
    <row r="3984">
      <c r="B3984" t="inlineStr">
        <is>
          <t>Hotels, Limited Service</t>
        </is>
      </c>
      <c r="C3984" t="inlineStr">
        <is>
          <t>Average</t>
        </is>
      </c>
      <c r="D3984" t="n">
        <v>50</v>
      </c>
      <c r="E3984" t="n">
        <v>50</v>
      </c>
      <c r="F3984" t="n">
        <v>45</v>
      </c>
      <c r="G3984" t="n">
        <v>40</v>
      </c>
      <c r="H3984" t="n">
        <v>40</v>
      </c>
      <c r="I3984">
        <f>B3984&amp;"|"&amp;C3984</f>
        <v/>
      </c>
      <c r="J3984" t="inlineStr">
        <is>
          <t>low cost and average</t>
        </is>
      </c>
    </row>
    <row r="3985">
      <c r="B3985" t="inlineStr">
        <is>
          <t>Hotels, Limited Service</t>
        </is>
      </c>
      <c r="C3985" t="inlineStr">
        <is>
          <t>Low Cost</t>
        </is>
      </c>
      <c r="D3985" t="n">
        <v>50</v>
      </c>
      <c r="E3985" t="n">
        <v>50</v>
      </c>
      <c r="F3985" t="n">
        <v>45</v>
      </c>
      <c r="G3985" t="n">
        <v>40</v>
      </c>
      <c r="H3985" t="n">
        <v>40</v>
      </c>
      <c r="I3985">
        <f>B3985&amp;"|"&amp;C3985</f>
        <v/>
      </c>
      <c r="J3985" t="inlineStr">
        <is>
          <t>low cost and average</t>
        </is>
      </c>
    </row>
    <row r="3986">
      <c r="B3986" t="inlineStr">
        <is>
          <t>Shell Hotels: Limited Service Buildings</t>
        </is>
      </c>
      <c r="C3986" t="inlineStr">
        <is>
          <t>Excellent</t>
        </is>
      </c>
      <c r="D3986" t="n">
        <v>60</v>
      </c>
      <c r="E3986" t="n">
        <v>60</v>
      </c>
      <c r="F3986" t="n">
        <v>50</v>
      </c>
      <c r="I3986">
        <f>B3986&amp;"|"&amp;C3986</f>
        <v/>
      </c>
      <c r="J3986" t="inlineStr">
        <is>
          <t>limited service, excellent</t>
        </is>
      </c>
    </row>
    <row r="3987">
      <c r="B3987" t="inlineStr">
        <is>
          <t>Shell Hotels: Limited Service Buildings</t>
        </is>
      </c>
      <c r="C3987" t="inlineStr">
        <is>
          <t>Good</t>
        </is>
      </c>
      <c r="D3987" t="n">
        <v>55</v>
      </c>
      <c r="E3987" t="n">
        <v>55</v>
      </c>
      <c r="F3987" t="n">
        <v>50</v>
      </c>
      <c r="G3987" t="n">
        <v>45</v>
      </c>
      <c r="I3987">
        <f>B3987&amp;"|"&amp;C3987</f>
        <v/>
      </c>
      <c r="J3987" t="inlineStr">
        <is>
          <t>good</t>
        </is>
      </c>
    </row>
    <row r="3988">
      <c r="B3988" t="inlineStr">
        <is>
          <t>Shell Hotels: Limited Service Buildings</t>
        </is>
      </c>
      <c r="C3988" t="inlineStr">
        <is>
          <t>Average</t>
        </is>
      </c>
      <c r="D3988" t="n">
        <v>50</v>
      </c>
      <c r="E3988" t="n">
        <v>50</v>
      </c>
      <c r="F3988" t="n">
        <v>45</v>
      </c>
      <c r="G3988" t="n">
        <v>40</v>
      </c>
      <c r="H3988" t="n">
        <v>40</v>
      </c>
      <c r="I3988">
        <f>B3988&amp;"|"&amp;C3988</f>
        <v/>
      </c>
      <c r="J3988" t="inlineStr">
        <is>
          <t>low cost and average</t>
        </is>
      </c>
    </row>
    <row r="3989">
      <c r="B3989" t="inlineStr">
        <is>
          <t>Shell Hotels: Limited Service Buildings</t>
        </is>
      </c>
      <c r="C3989" t="inlineStr">
        <is>
          <t>Low Cost</t>
        </is>
      </c>
      <c r="D3989" t="n">
        <v>50</v>
      </c>
      <c r="E3989" t="n">
        <v>50</v>
      </c>
      <c r="F3989" t="n">
        <v>45</v>
      </c>
      <c r="G3989" t="n">
        <v>40</v>
      </c>
      <c r="H3989" t="n">
        <v>40</v>
      </c>
      <c r="I3989">
        <f>B3989&amp;"|"&amp;C3989</f>
        <v/>
      </c>
      <c r="J3989" t="inlineStr">
        <is>
          <t>low cost and average</t>
        </is>
      </c>
    </row>
    <row r="3990">
      <c r="B3990" t="inlineStr">
        <is>
          <t>Hotels, Full Service</t>
        </is>
      </c>
      <c r="C3990" t="inlineStr">
        <is>
          <t>Excellent</t>
        </is>
      </c>
      <c r="D3990" t="n">
        <v>60</v>
      </c>
      <c r="E3990" t="n">
        <v>60</v>
      </c>
      <c r="F3990" t="n">
        <v>50</v>
      </c>
      <c r="G3990" t="n">
        <v>45</v>
      </c>
      <c r="I3990">
        <f>B3990&amp;"|"&amp;C3990</f>
        <v/>
      </c>
      <c r="J3990" t="inlineStr">
        <is>
          <t>Hotels, full service, good and excellent</t>
        </is>
      </c>
    </row>
    <row r="3991">
      <c r="B3991" t="inlineStr">
        <is>
          <t>Hotels, Full Service</t>
        </is>
      </c>
      <c r="C3991" t="inlineStr">
        <is>
          <t>Good</t>
        </is>
      </c>
      <c r="D3991" t="n">
        <v>60</v>
      </c>
      <c r="E3991" t="n">
        <v>60</v>
      </c>
      <c r="F3991" t="n">
        <v>50</v>
      </c>
      <c r="G3991" t="n">
        <v>45</v>
      </c>
      <c r="I3991">
        <f>B3991&amp;"|"&amp;C3991</f>
        <v/>
      </c>
      <c r="J3991" t="inlineStr">
        <is>
          <t>Hotels, full service, good and excellent</t>
        </is>
      </c>
    </row>
    <row r="3992">
      <c r="B3992" t="inlineStr">
        <is>
          <t>Hotels, Full Service</t>
        </is>
      </c>
      <c r="C3992" t="inlineStr">
        <is>
          <t>Average</t>
        </is>
      </c>
      <c r="D3992" t="n">
        <v>55</v>
      </c>
      <c r="E3992" t="n">
        <v>55</v>
      </c>
      <c r="F3992" t="n">
        <v>50</v>
      </c>
      <c r="G3992" t="n">
        <v>45</v>
      </c>
      <c r="I3992">
        <f>B3992&amp;"|"&amp;C3992</f>
        <v/>
      </c>
      <c r="J3992" t="inlineStr">
        <is>
          <t>average</t>
        </is>
      </c>
    </row>
    <row r="3993">
      <c r="B3993" t="inlineStr">
        <is>
          <t>Hotels, Full Service</t>
        </is>
      </c>
      <c r="C3993" t="inlineStr">
        <is>
          <t>Low Cost</t>
        </is>
      </c>
      <c r="D3993" t="n">
        <v>50</v>
      </c>
      <c r="E3993" t="n">
        <v>50</v>
      </c>
      <c r="F3993" t="n">
        <v>45</v>
      </c>
      <c r="G3993" t="n">
        <v>40</v>
      </c>
      <c r="I3993">
        <f>B3993&amp;"|"&amp;C3993</f>
        <v/>
      </c>
      <c r="J3993" t="inlineStr">
        <is>
          <t>low cost</t>
        </is>
      </c>
    </row>
    <row r="3994">
      <c r="B3994" t="inlineStr">
        <is>
          <t>Shell Hotels: Full Service Buildings</t>
        </is>
      </c>
      <c r="C3994" t="inlineStr">
        <is>
          <t>Excellent</t>
        </is>
      </c>
      <c r="D3994" t="n">
        <v>60</v>
      </c>
      <c r="E3994" t="n">
        <v>60</v>
      </c>
      <c r="F3994" t="n">
        <v>50</v>
      </c>
      <c r="G3994" t="n">
        <v>45</v>
      </c>
      <c r="I3994">
        <f>B3994&amp;"|"&amp;C3994</f>
        <v/>
      </c>
      <c r="J3994" t="inlineStr">
        <is>
          <t>Hotels, full service, good and excellent</t>
        </is>
      </c>
    </row>
    <row r="3995">
      <c r="B3995" t="inlineStr">
        <is>
          <t>Shell Hotels: Full Service Buildings</t>
        </is>
      </c>
      <c r="C3995" t="inlineStr">
        <is>
          <t>Good</t>
        </is>
      </c>
      <c r="D3995" t="n">
        <v>60</v>
      </c>
      <c r="E3995" t="n">
        <v>60</v>
      </c>
      <c r="F3995" t="n">
        <v>50</v>
      </c>
      <c r="G3995" t="n">
        <v>45</v>
      </c>
      <c r="I3995">
        <f>B3995&amp;"|"&amp;C3995</f>
        <v/>
      </c>
      <c r="J3995" t="inlineStr">
        <is>
          <t>Hotels, full service, good and excellent</t>
        </is>
      </c>
    </row>
    <row r="3996">
      <c r="B3996" t="inlineStr">
        <is>
          <t>Shell Hotels: Full Service Buildings</t>
        </is>
      </c>
      <c r="C3996" t="inlineStr">
        <is>
          <t>Average</t>
        </is>
      </c>
      <c r="D3996" t="n">
        <v>55</v>
      </c>
      <c r="E3996" t="n">
        <v>55</v>
      </c>
      <c r="F3996" t="n">
        <v>50</v>
      </c>
      <c r="G3996" t="n">
        <v>45</v>
      </c>
      <c r="I3996">
        <f>B3996&amp;"|"&amp;C3996</f>
        <v/>
      </c>
      <c r="J3996" t="inlineStr">
        <is>
          <t>average</t>
        </is>
      </c>
    </row>
    <row r="3997">
      <c r="B3997" t="inlineStr">
        <is>
          <t>Shell Hotels: Full Service Buildings</t>
        </is>
      </c>
      <c r="C3997" t="inlineStr">
        <is>
          <t>Low Cost</t>
        </is>
      </c>
      <c r="D3997" t="n">
        <v>50</v>
      </c>
      <c r="E3997" t="n">
        <v>50</v>
      </c>
      <c r="F3997" t="n">
        <v>45</v>
      </c>
      <c r="G3997" t="n">
        <v>40</v>
      </c>
      <c r="I3997">
        <f>B3997&amp;"|"&amp;C3997</f>
        <v/>
      </c>
      <c r="J3997" t="inlineStr">
        <is>
          <t>low cost</t>
        </is>
      </c>
    </row>
    <row r="3998">
      <c r="B3998" t="inlineStr">
        <is>
          <t>Rooming Houses</t>
        </is>
      </c>
      <c r="C3998" t="inlineStr">
        <is>
          <t>Good</t>
        </is>
      </c>
      <c r="F3998" t="n">
        <v>55</v>
      </c>
      <c r="G3998" t="n">
        <v>50</v>
      </c>
      <c r="I3998">
        <f>B3998&amp;"|"&amp;C3998</f>
        <v/>
      </c>
      <c r="J3998" t="inlineStr">
        <is>
          <t>Rooming houses, good</t>
        </is>
      </c>
    </row>
    <row r="3999">
      <c r="B3999" t="inlineStr">
        <is>
          <t>Rooming Houses</t>
        </is>
      </c>
      <c r="C3999" t="inlineStr">
        <is>
          <t>Average</t>
        </is>
      </c>
      <c r="F3999" t="n">
        <v>50</v>
      </c>
      <c r="G3999" t="n">
        <v>45</v>
      </c>
      <c r="I3999">
        <f>B3999&amp;"|"&amp;C3999</f>
        <v/>
      </c>
      <c r="J3999" t="inlineStr">
        <is>
          <t>average</t>
        </is>
      </c>
    </row>
    <row r="4000">
      <c r="B4000" t="inlineStr">
        <is>
          <t>Rooming Houses</t>
        </is>
      </c>
      <c r="C4000" t="inlineStr">
        <is>
          <t>Fair</t>
        </is>
      </c>
      <c r="F4000" t="n">
        <v>45</v>
      </c>
      <c r="G4000" t="n">
        <v>40</v>
      </c>
      <c r="I4000">
        <f>B4000&amp;"|"&amp;C4000</f>
        <v/>
      </c>
      <c r="J4000" t="inlineStr">
        <is>
          <t>low cost and fair</t>
        </is>
      </c>
    </row>
    <row r="4001">
      <c r="B4001" t="inlineStr">
        <is>
          <t>Rooming Houses</t>
        </is>
      </c>
      <c r="C4001" t="inlineStr">
        <is>
          <t>Low Cost</t>
        </is>
      </c>
      <c r="F4001" t="n">
        <v>45</v>
      </c>
      <c r="G4001" t="n">
        <v>40</v>
      </c>
      <c r="I4001">
        <f>B4001&amp;"|"&amp;C4001</f>
        <v/>
      </c>
      <c r="J4001" t="inlineStr">
        <is>
          <t>low cost and fair</t>
        </is>
      </c>
    </row>
    <row r="4002">
      <c r="B4002" t="inlineStr">
        <is>
          <t>Rectories</t>
        </is>
      </c>
      <c r="C4002" t="inlineStr">
        <is>
          <t>Excellent</t>
        </is>
      </c>
      <c r="F4002" t="n">
        <v>55</v>
      </c>
      <c r="G4002" t="n">
        <v>50</v>
      </c>
      <c r="I4002">
        <f>B4002&amp;"|"&amp;C4002</f>
        <v/>
      </c>
      <c r="J4002" t="inlineStr">
        <is>
          <t>Rectories, good and excellent</t>
        </is>
      </c>
    </row>
    <row r="4003">
      <c r="B4003" t="inlineStr">
        <is>
          <t>Rectories</t>
        </is>
      </c>
      <c r="C4003" t="inlineStr">
        <is>
          <t>Good</t>
        </is>
      </c>
      <c r="F4003" t="n">
        <v>55</v>
      </c>
      <c r="G4003" t="n">
        <v>50</v>
      </c>
      <c r="I4003">
        <f>B4003&amp;"|"&amp;C4003</f>
        <v/>
      </c>
      <c r="J4003" t="inlineStr">
        <is>
          <t>Rectories, good and excellent</t>
        </is>
      </c>
    </row>
    <row r="4004">
      <c r="B4004" t="inlineStr">
        <is>
          <t>Rectories</t>
        </is>
      </c>
      <c r="C4004" t="inlineStr">
        <is>
          <t>Average</t>
        </is>
      </c>
      <c r="F4004" t="n">
        <v>50</v>
      </c>
      <c r="G4004" t="n">
        <v>45</v>
      </c>
      <c r="I4004">
        <f>B4004&amp;"|"&amp;C4004</f>
        <v/>
      </c>
      <c r="J4004" t="inlineStr">
        <is>
          <t>average</t>
        </is>
      </c>
    </row>
    <row r="4005">
      <c r="B4005" t="inlineStr">
        <is>
          <t>Rectories</t>
        </is>
      </c>
      <c r="C4005" t="inlineStr">
        <is>
          <t>Low Cost</t>
        </is>
      </c>
      <c r="F4005" t="n">
        <v>45</v>
      </c>
      <c r="G4005" t="n">
        <v>40</v>
      </c>
      <c r="I4005">
        <f>B4005&amp;"|"&amp;C4005</f>
        <v/>
      </c>
      <c r="J4005" t="inlineStr">
        <is>
          <t>low cost</t>
        </is>
      </c>
    </row>
    <row r="4006">
      <c r="B4006" t="inlineStr">
        <is>
          <t>Fraternity Housing</t>
        </is>
      </c>
      <c r="C4006" t="inlineStr">
        <is>
          <t>Excellent</t>
        </is>
      </c>
      <c r="F4006" t="n">
        <v>55</v>
      </c>
      <c r="G4006" t="n">
        <v>50</v>
      </c>
      <c r="I4006">
        <f>B4006&amp;"|"&amp;C4006</f>
        <v/>
      </c>
      <c r="J4006" t="inlineStr">
        <is>
          <t>Fraternity houses, good and excellent</t>
        </is>
      </c>
    </row>
    <row r="4007">
      <c r="B4007" t="inlineStr">
        <is>
          <t>Fraternity Housing</t>
        </is>
      </c>
      <c r="C4007" t="inlineStr">
        <is>
          <t>Good</t>
        </is>
      </c>
      <c r="F4007" t="n">
        <v>55</v>
      </c>
      <c r="G4007" t="n">
        <v>50</v>
      </c>
      <c r="I4007">
        <f>B4007&amp;"|"&amp;C4007</f>
        <v/>
      </c>
      <c r="J4007" t="inlineStr">
        <is>
          <t>Fraternity houses, good and excellent</t>
        </is>
      </c>
    </row>
    <row r="4008">
      <c r="B4008" t="inlineStr">
        <is>
          <t>Fraternity Housing</t>
        </is>
      </c>
      <c r="C4008" t="inlineStr">
        <is>
          <t>Average</t>
        </is>
      </c>
      <c r="F4008" t="n">
        <v>50</v>
      </c>
      <c r="G4008" t="n">
        <v>45</v>
      </c>
      <c r="I4008">
        <f>B4008&amp;"|"&amp;C4008</f>
        <v/>
      </c>
      <c r="J4008" t="inlineStr">
        <is>
          <t>average</t>
        </is>
      </c>
    </row>
    <row r="4009">
      <c r="B4009" t="inlineStr">
        <is>
          <t>Group Care Homes</t>
        </is>
      </c>
      <c r="C4009" t="inlineStr">
        <is>
          <t>Excellent</t>
        </is>
      </c>
      <c r="F4009" t="n">
        <v>55</v>
      </c>
      <c r="G4009" t="n">
        <v>50</v>
      </c>
      <c r="I4009">
        <f>B4009&amp;"|"&amp;C4009</f>
        <v/>
      </c>
      <c r="J4009" t="inlineStr">
        <is>
          <t>Group care homes, good, very good and excellent</t>
        </is>
      </c>
    </row>
    <row r="4010">
      <c r="B4010" t="inlineStr">
        <is>
          <t>Group Care Homes</t>
        </is>
      </c>
      <c r="C4010" t="inlineStr">
        <is>
          <t>Very Good</t>
        </is>
      </c>
      <c r="F4010" t="n">
        <v>55</v>
      </c>
      <c r="G4010" t="n">
        <v>50</v>
      </c>
      <c r="I4010">
        <f>B4010&amp;"|"&amp;C4010</f>
        <v/>
      </c>
      <c r="J4010" t="inlineStr">
        <is>
          <t>Group care homes, good, very good and excellent</t>
        </is>
      </c>
    </row>
    <row r="4011">
      <c r="B4011" t="inlineStr">
        <is>
          <t>Group Care Homes</t>
        </is>
      </c>
      <c r="C4011" t="inlineStr">
        <is>
          <t>Good</t>
        </is>
      </c>
      <c r="F4011" t="n">
        <v>55</v>
      </c>
      <c r="G4011" t="n">
        <v>50</v>
      </c>
      <c r="I4011">
        <f>B4011&amp;"|"&amp;C4011</f>
        <v/>
      </c>
      <c r="J4011" t="inlineStr">
        <is>
          <t>Group care homes, good, very good and excellent</t>
        </is>
      </c>
    </row>
    <row r="4012">
      <c r="B4012" t="inlineStr">
        <is>
          <t>Group Care Homes</t>
        </is>
      </c>
      <c r="C4012" t="inlineStr">
        <is>
          <t>Average</t>
        </is>
      </c>
      <c r="F4012" t="n">
        <v>50</v>
      </c>
      <c r="G4012" t="n">
        <v>45</v>
      </c>
      <c r="I4012">
        <f>B4012&amp;"|"&amp;C4012</f>
        <v/>
      </c>
      <c r="J4012" t="inlineStr">
        <is>
          <t>average</t>
        </is>
      </c>
    </row>
    <row r="4013">
      <c r="B4013" t="inlineStr">
        <is>
          <t>Group Care Homes</t>
        </is>
      </c>
      <c r="C4013" t="inlineStr">
        <is>
          <t>Low Cost</t>
        </is>
      </c>
      <c r="F4013" t="n">
        <v>45</v>
      </c>
      <c r="G4013" t="n">
        <v>40</v>
      </c>
      <c r="I4013">
        <f>B4013&amp;"|"&amp;C4013</f>
        <v/>
      </c>
      <c r="J4013" t="inlineStr">
        <is>
          <t>low cost</t>
        </is>
      </c>
    </row>
    <row r="4014">
      <c r="B4014" t="inlineStr">
        <is>
          <t>Recreational (Pool) Enclosures</t>
        </is>
      </c>
      <c r="C4014" t="inlineStr">
        <is>
          <t>Good</t>
        </is>
      </c>
      <c r="F4014" t="n">
        <v>45</v>
      </c>
      <c r="G4014" t="n">
        <v>40</v>
      </c>
      <c r="H4014" t="n">
        <v>40</v>
      </c>
      <c r="I4014">
        <f>B4014&amp;"|"&amp;C4014</f>
        <v/>
      </c>
      <c r="J4014" t="inlineStr">
        <is>
          <t>Recreational (pool) enclosures, good</t>
        </is>
      </c>
    </row>
    <row r="4015">
      <c r="B4015" t="inlineStr">
        <is>
          <t>Recreational (Pool) Enclosures</t>
        </is>
      </c>
      <c r="C4015" t="inlineStr">
        <is>
          <t>Average</t>
        </is>
      </c>
      <c r="F4015" t="n">
        <v>40</v>
      </c>
      <c r="G4015" t="n">
        <v>35</v>
      </c>
      <c r="H4015" t="n">
        <v>35</v>
      </c>
      <c r="I4015">
        <f>B4015&amp;"|"&amp;C4015</f>
        <v/>
      </c>
      <c r="J4015" t="inlineStr">
        <is>
          <t>average</t>
        </is>
      </c>
    </row>
    <row r="4016">
      <c r="B4016" t="inlineStr">
        <is>
          <t>Recreational (Pool) Enclosures</t>
        </is>
      </c>
      <c r="C4016" t="inlineStr">
        <is>
          <t>Low Cost</t>
        </is>
      </c>
      <c r="F4016" t="n">
        <v>35</v>
      </c>
      <c r="G4016" t="n">
        <v>25</v>
      </c>
      <c r="H4016" t="n">
        <v>20</v>
      </c>
      <c r="I4016">
        <f>B4016&amp;"|"&amp;C4016</f>
        <v/>
      </c>
      <c r="J4016" t="inlineStr">
        <is>
          <t>low cost</t>
        </is>
      </c>
    </row>
    <row r="4017">
      <c r="B4017" t="inlineStr">
        <is>
          <t>Recreational (Pool) Enclosures</t>
        </is>
      </c>
      <c r="C4017" t="inlineStr">
        <is>
          <t>Cheap</t>
        </is>
      </c>
      <c r="H4017" t="n">
        <v>10</v>
      </c>
      <c r="I4017">
        <f>B4017&amp;"|"&amp;C4017</f>
        <v/>
      </c>
      <c r="J4017" t="inlineStr">
        <is>
          <t>cheap</t>
        </is>
      </c>
    </row>
    <row r="4018">
      <c r="B4018" t="inlineStr">
        <is>
          <t>Clubhouses</t>
        </is>
      </c>
      <c r="C4018" t="inlineStr">
        <is>
          <t>Excellent</t>
        </is>
      </c>
      <c r="F4018" t="n">
        <v>45</v>
      </c>
      <c r="G4018" t="n">
        <v>40</v>
      </c>
      <c r="H4018" t="n">
        <v>40</v>
      </c>
      <c r="I4018">
        <f>B4018&amp;"|"&amp;C4018</f>
        <v/>
      </c>
      <c r="J4018" t="inlineStr">
        <is>
          <t>Clubhouses and senior centers, good and excellent</t>
        </is>
      </c>
    </row>
    <row r="4019">
      <c r="B4019" t="inlineStr">
        <is>
          <t>Clubhouses</t>
        </is>
      </c>
      <c r="C4019" t="inlineStr">
        <is>
          <t>Good</t>
        </is>
      </c>
      <c r="F4019" t="n">
        <v>45</v>
      </c>
      <c r="G4019" t="n">
        <v>40</v>
      </c>
      <c r="H4019" t="n">
        <v>40</v>
      </c>
      <c r="I4019">
        <f>B4019&amp;"|"&amp;C4019</f>
        <v/>
      </c>
      <c r="J4019" t="inlineStr">
        <is>
          <t>Clubhouses and senior centers, good and excellent</t>
        </is>
      </c>
    </row>
    <row r="4020">
      <c r="B4020" t="inlineStr">
        <is>
          <t>Clubhouses</t>
        </is>
      </c>
      <c r="C4020" t="inlineStr">
        <is>
          <t>Average</t>
        </is>
      </c>
      <c r="F4020" t="n">
        <v>40</v>
      </c>
      <c r="G4020" t="n">
        <v>35</v>
      </c>
      <c r="H4020" t="n">
        <v>35</v>
      </c>
      <c r="I4020">
        <f>B4020&amp;"|"&amp;C4020</f>
        <v/>
      </c>
      <c r="J4020" t="inlineStr">
        <is>
          <t>low cost and average</t>
        </is>
      </c>
    </row>
    <row r="4021">
      <c r="B4021" t="inlineStr">
        <is>
          <t>Clubhouses</t>
        </is>
      </c>
      <c r="C4021" t="inlineStr">
        <is>
          <t>Low Cost</t>
        </is>
      </c>
      <c r="F4021" t="n">
        <v>40</v>
      </c>
      <c r="G4021" t="n">
        <v>35</v>
      </c>
      <c r="H4021" t="n">
        <v>35</v>
      </c>
      <c r="I4021">
        <f>B4021&amp;"|"&amp;C4021</f>
        <v/>
      </c>
      <c r="J4021" t="inlineStr">
        <is>
          <t>low cost and average</t>
        </is>
      </c>
    </row>
    <row r="4022">
      <c r="B4022" t="inlineStr">
        <is>
          <t>Senior (Clubhouse) Centers</t>
        </is>
      </c>
      <c r="C4022" t="inlineStr">
        <is>
          <t>Excellent</t>
        </is>
      </c>
      <c r="F4022" t="n">
        <v>45</v>
      </c>
      <c r="G4022" t="n">
        <v>40</v>
      </c>
      <c r="H4022" t="n">
        <v>40</v>
      </c>
      <c r="I4022">
        <f>B4022&amp;"|"&amp;C4022</f>
        <v/>
      </c>
      <c r="J4022" t="inlineStr">
        <is>
          <t>Clubhouses and senior centers, good and excellent</t>
        </is>
      </c>
    </row>
    <row r="4023">
      <c r="B4023" t="inlineStr">
        <is>
          <t>Senior (Clubhouse) Centers</t>
        </is>
      </c>
      <c r="C4023" t="inlineStr">
        <is>
          <t>Good</t>
        </is>
      </c>
      <c r="F4023" t="n">
        <v>45</v>
      </c>
      <c r="G4023" t="n">
        <v>40</v>
      </c>
      <c r="H4023" t="n">
        <v>40</v>
      </c>
      <c r="I4023">
        <f>B4023&amp;"|"&amp;C4023</f>
        <v/>
      </c>
      <c r="J4023" t="inlineStr">
        <is>
          <t>Clubhouses and senior centers, good and excellent</t>
        </is>
      </c>
    </row>
    <row r="4024">
      <c r="B4024" t="inlineStr">
        <is>
          <t>Senior (Clubhouse) Centers</t>
        </is>
      </c>
      <c r="C4024" t="inlineStr">
        <is>
          <t>Average</t>
        </is>
      </c>
      <c r="F4024" t="n">
        <v>40</v>
      </c>
      <c r="G4024" t="n">
        <v>35</v>
      </c>
      <c r="H4024" t="n">
        <v>35</v>
      </c>
      <c r="I4024">
        <f>B4024&amp;"|"&amp;C4024</f>
        <v/>
      </c>
      <c r="J4024" t="inlineStr">
        <is>
          <t>low cost and average</t>
        </is>
      </c>
    </row>
    <row r="4025">
      <c r="B4025" t="inlineStr">
        <is>
          <t>Senior (Clubhouse) Centers</t>
        </is>
      </c>
      <c r="C4025" t="inlineStr">
        <is>
          <t>Low Cost</t>
        </is>
      </c>
      <c r="F4025" t="n">
        <v>40</v>
      </c>
      <c r="G4025" t="n">
        <v>35</v>
      </c>
      <c r="H4025" t="n">
        <v>35</v>
      </c>
      <c r="I4025">
        <f>B4025&amp;"|"&amp;C4025</f>
        <v/>
      </c>
      <c r="J4025" t="inlineStr">
        <is>
          <t>low cost and average</t>
        </is>
      </c>
    </row>
    <row r="4026">
      <c r="B4026" t="inlineStr">
        <is>
          <t>Country Clubs</t>
        </is>
      </c>
      <c r="C4026" t="inlineStr">
        <is>
          <t>Excellent</t>
        </is>
      </c>
      <c r="F4026" t="n">
        <v>50</v>
      </c>
      <c r="G4026" t="n">
        <v>45</v>
      </c>
      <c r="I4026">
        <f>B4026&amp;"|"&amp;C4026</f>
        <v/>
      </c>
      <c r="J4026" t="inlineStr">
        <is>
          <t>Country clubs, good and excellent</t>
        </is>
      </c>
    </row>
    <row r="4027">
      <c r="B4027" t="inlineStr">
        <is>
          <t>Country Clubs</t>
        </is>
      </c>
      <c r="C4027" t="inlineStr">
        <is>
          <t>Good</t>
        </is>
      </c>
      <c r="F4027" t="n">
        <v>50</v>
      </c>
      <c r="G4027" t="n">
        <v>45</v>
      </c>
      <c r="I4027">
        <f>B4027&amp;"|"&amp;C4027</f>
        <v/>
      </c>
      <c r="J4027" t="inlineStr">
        <is>
          <t>Country clubs, good and excellent</t>
        </is>
      </c>
    </row>
    <row r="4028">
      <c r="B4028" t="inlineStr">
        <is>
          <t>Country Clubs</t>
        </is>
      </c>
      <c r="C4028" t="inlineStr">
        <is>
          <t>Average</t>
        </is>
      </c>
      <c r="F4028" t="n">
        <v>45</v>
      </c>
      <c r="G4028" t="n">
        <v>40</v>
      </c>
      <c r="H4028" t="n">
        <v>40</v>
      </c>
      <c r="I4028">
        <f>B4028&amp;"|"&amp;C4028</f>
        <v/>
      </c>
      <c r="J4028" t="inlineStr">
        <is>
          <t>low cost and average</t>
        </is>
      </c>
    </row>
    <row r="4029">
      <c r="B4029" t="inlineStr">
        <is>
          <t>Country Clubs</t>
        </is>
      </c>
      <c r="C4029" t="inlineStr">
        <is>
          <t>Low Cost</t>
        </is>
      </c>
      <c r="F4029" t="n">
        <v>45</v>
      </c>
      <c r="G4029" t="n">
        <v>40</v>
      </c>
      <c r="H4029" t="n">
        <v>40</v>
      </c>
      <c r="I4029">
        <f>B4029&amp;"|"&amp;C4029</f>
        <v/>
      </c>
      <c r="J4029" t="inlineStr">
        <is>
          <t>low cost and average</t>
        </is>
      </c>
    </row>
    <row r="4030">
      <c r="B4030" t="inlineStr">
        <is>
          <t>Health Clubs (Spas)</t>
        </is>
      </c>
      <c r="C4030" t="inlineStr">
        <is>
          <t>Good</t>
        </is>
      </c>
      <c r="F4030" t="n">
        <v>45</v>
      </c>
      <c r="G4030" t="n">
        <v>40</v>
      </c>
      <c r="H4030" t="n">
        <v>40</v>
      </c>
      <c r="I4030">
        <f>B4030&amp;"|"&amp;C4030</f>
        <v/>
      </c>
      <c r="J4030" t="inlineStr">
        <is>
          <t>Health clubs and spas, good and excellent</t>
        </is>
      </c>
    </row>
    <row r="4031">
      <c r="B4031" t="inlineStr">
        <is>
          <t>Health Clubs (Spas)</t>
        </is>
      </c>
      <c r="C4031" t="inlineStr">
        <is>
          <t>Average</t>
        </is>
      </c>
      <c r="F4031" t="n">
        <v>40</v>
      </c>
      <c r="G4031" t="n">
        <v>35</v>
      </c>
      <c r="H4031" t="n">
        <v>35</v>
      </c>
      <c r="I4031">
        <f>B4031&amp;"|"&amp;C4031</f>
        <v/>
      </c>
      <c r="J4031" t="inlineStr">
        <is>
          <t>low cost and average</t>
        </is>
      </c>
    </row>
    <row r="4032">
      <c r="B4032" t="inlineStr">
        <is>
          <t>Health Clubs (Spas)</t>
        </is>
      </c>
      <c r="C4032" t="inlineStr">
        <is>
          <t>Low Cost</t>
        </is>
      </c>
      <c r="F4032" t="n">
        <v>40</v>
      </c>
      <c r="G4032" t="n">
        <v>35</v>
      </c>
      <c r="H4032" t="n">
        <v>35</v>
      </c>
      <c r="I4032">
        <f>B4032&amp;"|"&amp;C4032</f>
        <v/>
      </c>
      <c r="J4032" t="inlineStr">
        <is>
          <t>low cost and average</t>
        </is>
      </c>
    </row>
    <row r="4033">
      <c r="B4033" t="inlineStr">
        <is>
          <t>Mortuaries / Funeral Homes</t>
        </is>
      </c>
      <c r="C4033" t="inlineStr">
        <is>
          <t>Good</t>
        </is>
      </c>
      <c r="D4033" t="n">
        <v>50</v>
      </c>
      <c r="E4033" t="n">
        <v>50</v>
      </c>
      <c r="F4033" t="n">
        <v>45</v>
      </c>
      <c r="G4033" t="n">
        <v>45</v>
      </c>
      <c r="H4033" t="n">
        <v>45</v>
      </c>
      <c r="I4033">
        <f>B4033&amp;"|"&amp;C4033</f>
        <v/>
      </c>
      <c r="J4033" t="inlineStr">
        <is>
          <t>average and good</t>
        </is>
      </c>
    </row>
    <row r="4034">
      <c r="B4034" t="inlineStr">
        <is>
          <t>Mortuaries / Funeral Homes</t>
        </is>
      </c>
      <c r="C4034" t="inlineStr">
        <is>
          <t>Average</t>
        </is>
      </c>
      <c r="D4034" t="n">
        <v>50</v>
      </c>
      <c r="E4034" t="n">
        <v>50</v>
      </c>
      <c r="F4034" t="n">
        <v>45</v>
      </c>
      <c r="G4034" t="n">
        <v>45</v>
      </c>
      <c r="H4034" t="n">
        <v>45</v>
      </c>
      <c r="I4034">
        <f>B4034&amp;"|"&amp;C4034</f>
        <v/>
      </c>
      <c r="J4034" t="inlineStr">
        <is>
          <t>average and good</t>
        </is>
      </c>
    </row>
    <row r="4035">
      <c r="B4035" t="inlineStr">
        <is>
          <t>Mortuaries / Funeral Homes</t>
        </is>
      </c>
      <c r="C4035" t="inlineStr">
        <is>
          <t>Excellent</t>
        </is>
      </c>
      <c r="F4035" t="n">
        <v>50</v>
      </c>
      <c r="G4035" t="n">
        <v>50</v>
      </c>
      <c r="I4035">
        <f>B4035&amp;"|"&amp;C4035</f>
        <v/>
      </c>
      <c r="J4035" t="inlineStr">
        <is>
          <t>Mortuaries, excellent</t>
        </is>
      </c>
    </row>
    <row r="4036">
      <c r="B4036" t="inlineStr">
        <is>
          <t>Mortuaries / Funeral Homes</t>
        </is>
      </c>
      <c r="C4036" t="inlineStr">
        <is>
          <t>Low Cost</t>
        </is>
      </c>
      <c r="F4036" t="n">
        <v>40</v>
      </c>
      <c r="G4036" t="n">
        <v>35</v>
      </c>
      <c r="H4036" t="n">
        <v>35</v>
      </c>
      <c r="I4036">
        <f>B4036&amp;"|"&amp;C4036</f>
        <v/>
      </c>
      <c r="J4036" t="inlineStr">
        <is>
          <t>low cost</t>
        </is>
      </c>
    </row>
    <row r="4037">
      <c r="B4037" t="inlineStr">
        <is>
          <t>High-Rise Row (Town) Houses</t>
        </is>
      </c>
      <c r="C4037" t="inlineStr">
        <is>
          <t>Excellent</t>
        </is>
      </c>
      <c r="F4037" t="n">
        <v>60</v>
      </c>
      <c r="G4037" t="n">
        <v>55</v>
      </c>
      <c r="I4037">
        <f>B4037&amp;"|"&amp;C4037</f>
        <v/>
      </c>
      <c r="J4037" t="inlineStr">
        <is>
          <t>Row houses, high-rise, good and excellent</t>
        </is>
      </c>
    </row>
    <row r="4038">
      <c r="B4038" t="inlineStr">
        <is>
          <t>High-Rise Row (Town) Houses</t>
        </is>
      </c>
      <c r="C4038" t="inlineStr">
        <is>
          <t>Good</t>
        </is>
      </c>
      <c r="F4038" t="n">
        <v>60</v>
      </c>
      <c r="G4038" t="n">
        <v>55</v>
      </c>
      <c r="I4038">
        <f>B4038&amp;"|"&amp;C4038</f>
        <v/>
      </c>
      <c r="J4038" t="inlineStr">
        <is>
          <t>Row houses, high-rise, good and excellent</t>
        </is>
      </c>
    </row>
    <row r="4039">
      <c r="B4039" t="inlineStr">
        <is>
          <t>High-Rise Row (Town) Houses</t>
        </is>
      </c>
      <c r="C4039" t="inlineStr">
        <is>
          <t>Average</t>
        </is>
      </c>
      <c r="F4039" t="n">
        <v>55</v>
      </c>
      <c r="G4039" t="n">
        <v>50</v>
      </c>
      <c r="I4039">
        <f>B4039&amp;"|"&amp;C4039</f>
        <v/>
      </c>
      <c r="J4039" t="inlineStr">
        <is>
          <t>low cost and average</t>
        </is>
      </c>
    </row>
    <row r="4040">
      <c r="B4040" t="inlineStr">
        <is>
          <t>Motels</t>
        </is>
      </c>
      <c r="C4040" t="inlineStr">
        <is>
          <t>Excellent</t>
        </is>
      </c>
      <c r="F4040" t="n">
        <v>45</v>
      </c>
      <c r="G4040" t="n">
        <v>40</v>
      </c>
      <c r="I4040">
        <f>B4040&amp;"|"&amp;C4040</f>
        <v/>
      </c>
      <c r="J4040" t="inlineStr">
        <is>
          <t>Motels and extended-stay motels, good and excellent</t>
        </is>
      </c>
    </row>
    <row r="4041">
      <c r="B4041" t="inlineStr">
        <is>
          <t>Motels</t>
        </is>
      </c>
      <c r="C4041" t="inlineStr">
        <is>
          <t>Good</t>
        </is>
      </c>
      <c r="F4041" t="n">
        <v>45</v>
      </c>
      <c r="G4041" t="n">
        <v>40</v>
      </c>
      <c r="I4041">
        <f>B4041&amp;"|"&amp;C4041</f>
        <v/>
      </c>
      <c r="J4041" t="inlineStr">
        <is>
          <t>Motels and extended-stay motels, good and excellent</t>
        </is>
      </c>
    </row>
    <row r="4042">
      <c r="B4042" t="inlineStr">
        <is>
          <t>Motels</t>
        </is>
      </c>
      <c r="C4042" t="inlineStr">
        <is>
          <t>Average</t>
        </is>
      </c>
      <c r="F4042" t="n">
        <v>40</v>
      </c>
      <c r="G4042" t="n">
        <v>35</v>
      </c>
      <c r="H4042" t="n">
        <v>35</v>
      </c>
      <c r="I4042">
        <f>B4042&amp;"|"&amp;C4042</f>
        <v/>
      </c>
      <c r="J4042" t="inlineStr">
        <is>
          <t>average</t>
        </is>
      </c>
    </row>
    <row r="4043">
      <c r="B4043" t="inlineStr">
        <is>
          <t>Motels</t>
        </is>
      </c>
      <c r="C4043" t="inlineStr">
        <is>
          <t>Fair</t>
        </is>
      </c>
      <c r="F4043" t="n">
        <v>35</v>
      </c>
      <c r="G4043" t="n">
        <v>30</v>
      </c>
      <c r="I4043">
        <f>B4043&amp;"|"&amp;C4043</f>
        <v/>
      </c>
      <c r="J4043" t="inlineStr">
        <is>
          <t>fair, low cost and cheap</t>
        </is>
      </c>
    </row>
    <row r="4044">
      <c r="B4044" t="inlineStr">
        <is>
          <t>Motels</t>
        </is>
      </c>
      <c r="C4044" t="inlineStr">
        <is>
          <t>Low Cost</t>
        </is>
      </c>
      <c r="F4044" t="n">
        <v>35</v>
      </c>
      <c r="G4044" t="n">
        <v>30</v>
      </c>
      <c r="I4044">
        <f>B4044&amp;"|"&amp;C4044</f>
        <v/>
      </c>
      <c r="J4044" t="inlineStr">
        <is>
          <t>fair, low cost and cheap</t>
        </is>
      </c>
    </row>
    <row r="4045">
      <c r="B4045" t="inlineStr">
        <is>
          <t>Motels</t>
        </is>
      </c>
      <c r="C4045" t="inlineStr">
        <is>
          <t>Cheap</t>
        </is>
      </c>
      <c r="F4045" t="n">
        <v>35</v>
      </c>
      <c r="G4045" t="n">
        <v>30</v>
      </c>
      <c r="I4045">
        <f>B4045&amp;"|"&amp;C4045</f>
        <v/>
      </c>
      <c r="J4045" t="inlineStr">
        <is>
          <t>fair, low cost and cheap</t>
        </is>
      </c>
    </row>
    <row r="4046">
      <c r="B4046" t="inlineStr">
        <is>
          <t>Shell Motels</t>
        </is>
      </c>
      <c r="C4046" t="inlineStr">
        <is>
          <t>Excellent</t>
        </is>
      </c>
      <c r="F4046" t="n">
        <v>45</v>
      </c>
      <c r="G4046" t="n">
        <v>40</v>
      </c>
      <c r="I4046">
        <f>B4046&amp;"|"&amp;C4046</f>
        <v/>
      </c>
      <c r="J4046" t="inlineStr">
        <is>
          <t>Motels and extended-stay motels, good and excellent</t>
        </is>
      </c>
    </row>
    <row r="4047">
      <c r="B4047" t="inlineStr">
        <is>
          <t>Shell Motels</t>
        </is>
      </c>
      <c r="C4047" t="inlineStr">
        <is>
          <t>Good</t>
        </is>
      </c>
      <c r="F4047" t="n">
        <v>45</v>
      </c>
      <c r="G4047" t="n">
        <v>40</v>
      </c>
      <c r="I4047">
        <f>B4047&amp;"|"&amp;C4047</f>
        <v/>
      </c>
      <c r="J4047" t="inlineStr">
        <is>
          <t>Motels and extended-stay motels, good and excellent</t>
        </is>
      </c>
    </row>
    <row r="4048">
      <c r="B4048" t="inlineStr">
        <is>
          <t>Shell Motels</t>
        </is>
      </c>
      <c r="C4048" t="inlineStr">
        <is>
          <t>Average</t>
        </is>
      </c>
      <c r="F4048" t="n">
        <v>40</v>
      </c>
      <c r="G4048" t="n">
        <v>35</v>
      </c>
      <c r="H4048" t="n">
        <v>35</v>
      </c>
      <c r="I4048">
        <f>B4048&amp;"|"&amp;C4048</f>
        <v/>
      </c>
      <c r="J4048" t="inlineStr">
        <is>
          <t>average</t>
        </is>
      </c>
    </row>
    <row r="4049">
      <c r="B4049" t="inlineStr">
        <is>
          <t>Shell Motels</t>
        </is>
      </c>
      <c r="C4049" t="inlineStr">
        <is>
          <t>Fair</t>
        </is>
      </c>
      <c r="F4049" t="n">
        <v>35</v>
      </c>
      <c r="G4049" t="n">
        <v>30</v>
      </c>
      <c r="I4049">
        <f>B4049&amp;"|"&amp;C4049</f>
        <v/>
      </c>
      <c r="J4049" t="inlineStr">
        <is>
          <t>fair, low cost and cheap</t>
        </is>
      </c>
    </row>
    <row r="4050">
      <c r="B4050" t="inlineStr">
        <is>
          <t>Shell Motels</t>
        </is>
      </c>
      <c r="C4050" t="inlineStr">
        <is>
          <t>Low Cost</t>
        </is>
      </c>
      <c r="F4050" t="n">
        <v>35</v>
      </c>
      <c r="G4050" t="n">
        <v>30</v>
      </c>
      <c r="I4050">
        <f>B4050&amp;"|"&amp;C4050</f>
        <v/>
      </c>
      <c r="J4050" t="inlineStr">
        <is>
          <t>fair, low cost and cheap</t>
        </is>
      </c>
    </row>
    <row r="4051">
      <c r="B4051" t="inlineStr">
        <is>
          <t>Shell Motels</t>
        </is>
      </c>
      <c r="C4051" t="inlineStr">
        <is>
          <t>Cheap</t>
        </is>
      </c>
      <c r="F4051" t="n">
        <v>35</v>
      </c>
      <c r="G4051" t="n">
        <v>30</v>
      </c>
      <c r="I4051">
        <f>B4051&amp;"|"&amp;C4051</f>
        <v/>
      </c>
      <c r="J4051" t="inlineStr">
        <is>
          <t>fair, low cost and cheap</t>
        </is>
      </c>
    </row>
    <row r="4052">
      <c r="B4052" t="inlineStr">
        <is>
          <t>Extended-Stay Motels</t>
        </is>
      </c>
      <c r="C4052" t="inlineStr">
        <is>
          <t>Excellent</t>
        </is>
      </c>
      <c r="F4052" t="n">
        <v>45</v>
      </c>
      <c r="G4052" t="n">
        <v>40</v>
      </c>
      <c r="I4052">
        <f>B4052&amp;"|"&amp;C4052</f>
        <v/>
      </c>
      <c r="J4052" t="inlineStr">
        <is>
          <t>Motels and extended-stay motels, good and excellent</t>
        </is>
      </c>
    </row>
    <row r="4053">
      <c r="B4053" t="inlineStr">
        <is>
          <t>Extended-Stay Motels</t>
        </is>
      </c>
      <c r="C4053" t="inlineStr">
        <is>
          <t>Good</t>
        </is>
      </c>
      <c r="F4053" t="n">
        <v>45</v>
      </c>
      <c r="G4053" t="n">
        <v>40</v>
      </c>
      <c r="I4053">
        <f>B4053&amp;"|"&amp;C4053</f>
        <v/>
      </c>
      <c r="J4053" t="inlineStr">
        <is>
          <t>Motels and extended-stay motels, good and excellent</t>
        </is>
      </c>
    </row>
    <row r="4054">
      <c r="B4054" t="inlineStr">
        <is>
          <t>Extended-Stay Motels</t>
        </is>
      </c>
      <c r="C4054" t="inlineStr">
        <is>
          <t>Average</t>
        </is>
      </c>
      <c r="F4054" t="n">
        <v>40</v>
      </c>
      <c r="G4054" t="n">
        <v>35</v>
      </c>
      <c r="H4054" t="n">
        <v>35</v>
      </c>
      <c r="I4054">
        <f>B4054&amp;"|"&amp;C4054</f>
        <v/>
      </c>
      <c r="J4054" t="inlineStr">
        <is>
          <t>average</t>
        </is>
      </c>
    </row>
    <row r="4055">
      <c r="B4055" t="inlineStr">
        <is>
          <t>Extended-Stay Motels</t>
        </is>
      </c>
      <c r="C4055" t="inlineStr">
        <is>
          <t>Fair</t>
        </is>
      </c>
      <c r="F4055" t="n">
        <v>35</v>
      </c>
      <c r="G4055" t="n">
        <v>30</v>
      </c>
      <c r="I4055">
        <f>B4055&amp;"|"&amp;C4055</f>
        <v/>
      </c>
      <c r="J4055" t="inlineStr">
        <is>
          <t>fair, low cost and cheap</t>
        </is>
      </c>
    </row>
    <row r="4056">
      <c r="B4056" t="inlineStr">
        <is>
          <t>Extended-Stay Motels</t>
        </is>
      </c>
      <c r="C4056" t="inlineStr">
        <is>
          <t>Low Cost</t>
        </is>
      </c>
      <c r="F4056" t="n">
        <v>35</v>
      </c>
      <c r="G4056" t="n">
        <v>30</v>
      </c>
      <c r="I4056">
        <f>B4056&amp;"|"&amp;C4056</f>
        <v/>
      </c>
      <c r="J4056" t="inlineStr">
        <is>
          <t>fair, low cost and cheap</t>
        </is>
      </c>
    </row>
    <row r="4057">
      <c r="B4057" t="inlineStr">
        <is>
          <t>Shell Extended Stay - Motels</t>
        </is>
      </c>
      <c r="C4057" t="inlineStr">
        <is>
          <t>Excellent</t>
        </is>
      </c>
      <c r="F4057" t="n">
        <v>45</v>
      </c>
      <c r="G4057" t="n">
        <v>40</v>
      </c>
      <c r="I4057">
        <f>B4057&amp;"|"&amp;C4057</f>
        <v/>
      </c>
      <c r="J4057" t="inlineStr">
        <is>
          <t>Motels and extended-stay motels, good and excellent</t>
        </is>
      </c>
    </row>
    <row r="4058">
      <c r="B4058" t="inlineStr">
        <is>
          <t>Shell Extended Stay - Motels</t>
        </is>
      </c>
      <c r="C4058" t="inlineStr">
        <is>
          <t>Good</t>
        </is>
      </c>
      <c r="F4058" t="n">
        <v>45</v>
      </c>
      <c r="G4058" t="n">
        <v>40</v>
      </c>
      <c r="I4058">
        <f>B4058&amp;"|"&amp;C4058</f>
        <v/>
      </c>
      <c r="J4058" t="inlineStr">
        <is>
          <t>Motels and extended-stay motels, good and excellent</t>
        </is>
      </c>
    </row>
    <row r="4059">
      <c r="B4059" t="inlineStr">
        <is>
          <t>Shell Extended Stay - Motels</t>
        </is>
      </c>
      <c r="C4059" t="inlineStr">
        <is>
          <t>Average</t>
        </is>
      </c>
      <c r="F4059" t="n">
        <v>40</v>
      </c>
      <c r="G4059" t="n">
        <v>35</v>
      </c>
      <c r="H4059" t="n">
        <v>35</v>
      </c>
      <c r="I4059">
        <f>B4059&amp;"|"&amp;C4059</f>
        <v/>
      </c>
      <c r="J4059" t="inlineStr">
        <is>
          <t>average</t>
        </is>
      </c>
    </row>
    <row r="4060">
      <c r="B4060" t="inlineStr">
        <is>
          <t>Shell Extended Stay - Motels</t>
        </is>
      </c>
      <c r="C4060" t="inlineStr">
        <is>
          <t>Fair</t>
        </is>
      </c>
      <c r="F4060" t="n">
        <v>35</v>
      </c>
      <c r="G4060" t="n">
        <v>30</v>
      </c>
      <c r="I4060">
        <f>B4060&amp;"|"&amp;C4060</f>
        <v/>
      </c>
      <c r="J4060" t="inlineStr">
        <is>
          <t>fair, low cost and cheap</t>
        </is>
      </c>
    </row>
    <row r="4061">
      <c r="B4061" t="inlineStr">
        <is>
          <t>Shell Extended Stay - Motels</t>
        </is>
      </c>
      <c r="C4061" t="inlineStr">
        <is>
          <t>Low Cost</t>
        </is>
      </c>
      <c r="F4061" t="n">
        <v>35</v>
      </c>
      <c r="G4061" t="n">
        <v>30</v>
      </c>
      <c r="I4061">
        <f>B4061&amp;"|"&amp;C4061</f>
        <v/>
      </c>
      <c r="J4061" t="inlineStr">
        <is>
          <t>fair, low cost and cheap</t>
        </is>
      </c>
    </row>
    <row r="4062">
      <c r="B4062" t="inlineStr">
        <is>
          <t>Office-Apartments</t>
        </is>
      </c>
      <c r="C4062" t="inlineStr">
        <is>
          <t>Excellent</t>
        </is>
      </c>
      <c r="F4062" t="n">
        <v>45</v>
      </c>
      <c r="G4062" t="n">
        <v>40</v>
      </c>
      <c r="I4062">
        <f>B4062&amp;"|"&amp;C4062</f>
        <v/>
      </c>
      <c r="J4062" t="inlineStr">
        <is>
          <t>Office apartments, good and excellent</t>
        </is>
      </c>
    </row>
    <row r="4063">
      <c r="B4063" t="inlineStr">
        <is>
          <t>Office-Apartments</t>
        </is>
      </c>
      <c r="C4063" t="inlineStr">
        <is>
          <t>Good</t>
        </is>
      </c>
      <c r="F4063" t="n">
        <v>45</v>
      </c>
      <c r="G4063" t="n">
        <v>40</v>
      </c>
      <c r="I4063">
        <f>B4063&amp;"|"&amp;C4063</f>
        <v/>
      </c>
      <c r="J4063" t="inlineStr">
        <is>
          <t>Office apartments, good and excellent</t>
        </is>
      </c>
    </row>
    <row r="4064">
      <c r="B4064" t="inlineStr">
        <is>
          <t>Office-Apartments</t>
        </is>
      </c>
      <c r="C4064" t="inlineStr">
        <is>
          <t>Average</t>
        </is>
      </c>
      <c r="F4064" t="n">
        <v>40</v>
      </c>
      <c r="G4064" t="n">
        <v>35</v>
      </c>
      <c r="H4064" t="n">
        <v>35</v>
      </c>
      <c r="I4064">
        <f>B4064&amp;"|"&amp;C4064</f>
        <v/>
      </c>
      <c r="J4064" t="inlineStr">
        <is>
          <t>average</t>
        </is>
      </c>
    </row>
    <row r="4065">
      <c r="B4065" t="inlineStr">
        <is>
          <t>Office-Apartments</t>
        </is>
      </c>
      <c r="C4065" t="inlineStr">
        <is>
          <t>Low Cost</t>
        </is>
      </c>
      <c r="F4065" t="n">
        <v>35</v>
      </c>
      <c r="G4065" t="n">
        <v>30</v>
      </c>
      <c r="I4065">
        <f>B4065&amp;"|"&amp;C4065</f>
        <v/>
      </c>
      <c r="J4065" t="inlineStr">
        <is>
          <t>low cost</t>
        </is>
      </c>
    </row>
    <row r="4066">
      <c r="B4066" t="inlineStr">
        <is>
          <t>Office-Apartments</t>
        </is>
      </c>
      <c r="C4066" t="inlineStr">
        <is>
          <t>Cheap</t>
        </is>
      </c>
      <c r="F4066" t="n">
        <v>35</v>
      </c>
      <c r="G4066" t="n">
        <v>30</v>
      </c>
      <c r="I4066">
        <f>B4066&amp;"|"&amp;C4066</f>
        <v/>
      </c>
      <c r="J4066" t="inlineStr">
        <is>
          <t>cheap</t>
        </is>
      </c>
    </row>
    <row r="4067">
      <c r="B4067" t="inlineStr">
        <is>
          <t>Motel Guest Rooms</t>
        </is>
      </c>
      <c r="C4067" t="inlineStr">
        <is>
          <t>Excellent</t>
        </is>
      </c>
      <c r="F4067" t="n">
        <v>45</v>
      </c>
      <c r="G4067" t="n">
        <v>40</v>
      </c>
      <c r="I4067">
        <f>B4067&amp;"|"&amp;C4067</f>
        <v/>
      </c>
      <c r="J4067" t="inlineStr">
        <is>
          <t>Motels and extended-stay motels, good and excellent</t>
        </is>
      </c>
    </row>
    <row r="4068">
      <c r="B4068" t="inlineStr">
        <is>
          <t>Motel Guest Rooms</t>
        </is>
      </c>
      <c r="C4068" t="inlineStr">
        <is>
          <t>Good</t>
        </is>
      </c>
      <c r="F4068" t="n">
        <v>45</v>
      </c>
      <c r="G4068" t="n">
        <v>40</v>
      </c>
      <c r="I4068">
        <f>B4068&amp;"|"&amp;C4068</f>
        <v/>
      </c>
      <c r="J4068" t="inlineStr">
        <is>
          <t>Motels and extended-stay motels, good and excellent</t>
        </is>
      </c>
    </row>
    <row r="4069">
      <c r="B4069" t="inlineStr">
        <is>
          <t>Motel Guest Rooms</t>
        </is>
      </c>
      <c r="C4069" t="inlineStr">
        <is>
          <t>Average</t>
        </is>
      </c>
      <c r="F4069" t="n">
        <v>40</v>
      </c>
      <c r="G4069" t="n">
        <v>35</v>
      </c>
      <c r="H4069" t="n">
        <v>35</v>
      </c>
      <c r="I4069">
        <f>B4069&amp;"|"&amp;C4069</f>
        <v/>
      </c>
      <c r="J4069" t="inlineStr">
        <is>
          <t>average</t>
        </is>
      </c>
    </row>
    <row r="4070">
      <c r="B4070" t="inlineStr">
        <is>
          <t>Motel Guest Rooms</t>
        </is>
      </c>
      <c r="C4070" t="inlineStr">
        <is>
          <t>Low Cost</t>
        </is>
      </c>
      <c r="F4070" t="n">
        <v>35</v>
      </c>
      <c r="G4070" t="n">
        <v>30</v>
      </c>
      <c r="I4070">
        <f>B4070&amp;"|"&amp;C4070</f>
        <v/>
      </c>
      <c r="J4070" t="inlineStr">
        <is>
          <t>fair, low cost and cheap</t>
        </is>
      </c>
    </row>
    <row r="4071">
      <c r="B4071" t="inlineStr">
        <is>
          <t>Motel Guest Rooms</t>
        </is>
      </c>
      <c r="C4071" t="inlineStr">
        <is>
          <t>Cheap</t>
        </is>
      </c>
      <c r="F4071" t="n">
        <v>35</v>
      </c>
      <c r="G4071" t="n">
        <v>30</v>
      </c>
      <c r="I4071">
        <f>B4071&amp;"|"&amp;C4071</f>
        <v/>
      </c>
      <c r="J4071" t="inlineStr">
        <is>
          <t>fair, low cost and cheap</t>
        </is>
      </c>
    </row>
    <row r="4072">
      <c r="B4072" t="inlineStr">
        <is>
          <t>Lodges</t>
        </is>
      </c>
      <c r="C4072" t="inlineStr">
        <is>
          <t>Excellent</t>
        </is>
      </c>
      <c r="F4072" t="n">
        <v>50</v>
      </c>
      <c r="G4072" t="n">
        <v>45</v>
      </c>
      <c r="I4072">
        <f>B4072&amp;"|"&amp;C4072</f>
        <v/>
      </c>
      <c r="J4072" t="inlineStr">
        <is>
          <t>Lodges, very good and excellent</t>
        </is>
      </c>
    </row>
    <row r="4073">
      <c r="B4073" t="inlineStr">
        <is>
          <t>Lodges</t>
        </is>
      </c>
      <c r="C4073" t="inlineStr">
        <is>
          <t>Very Good</t>
        </is>
      </c>
      <c r="F4073" t="n">
        <v>50</v>
      </c>
      <c r="G4073" t="n">
        <v>45</v>
      </c>
      <c r="I4073">
        <f>B4073&amp;"|"&amp;C4073</f>
        <v/>
      </c>
      <c r="J4073" t="inlineStr">
        <is>
          <t>Lodges, very good and excellent</t>
        </is>
      </c>
    </row>
    <row r="4074">
      <c r="B4074" t="inlineStr">
        <is>
          <t>Lodges</t>
        </is>
      </c>
      <c r="C4074" t="inlineStr">
        <is>
          <t>Good</t>
        </is>
      </c>
      <c r="F4074" t="n">
        <v>45</v>
      </c>
      <c r="G4074" t="n">
        <v>40</v>
      </c>
      <c r="I4074">
        <f>B4074&amp;"|"&amp;C4074</f>
        <v/>
      </c>
      <c r="J4074" t="inlineStr">
        <is>
          <t>good</t>
        </is>
      </c>
    </row>
    <row r="4075">
      <c r="B4075" t="inlineStr">
        <is>
          <t>Lodges</t>
        </is>
      </c>
      <c r="C4075" t="inlineStr">
        <is>
          <t>Average</t>
        </is>
      </c>
      <c r="F4075" t="n">
        <v>40</v>
      </c>
      <c r="G4075" t="n">
        <v>35</v>
      </c>
      <c r="I4075">
        <f>B4075&amp;"|"&amp;C4075</f>
        <v/>
      </c>
      <c r="J4075" t="inlineStr">
        <is>
          <t>average</t>
        </is>
      </c>
    </row>
    <row r="4076">
      <c r="B4076" t="inlineStr">
        <is>
          <t>Lodges</t>
        </is>
      </c>
      <c r="C4076" t="inlineStr">
        <is>
          <t>Fair</t>
        </is>
      </c>
      <c r="F4076" t="n">
        <v>35</v>
      </c>
      <c r="G4076" t="n">
        <v>30</v>
      </c>
      <c r="I4076">
        <f>B4076&amp;"|"&amp;C4076</f>
        <v/>
      </c>
      <c r="J4076" t="inlineStr">
        <is>
          <t>low cost and fair</t>
        </is>
      </c>
    </row>
    <row r="4077">
      <c r="B4077" t="inlineStr">
        <is>
          <t>Lodges</t>
        </is>
      </c>
      <c r="C4077" t="inlineStr">
        <is>
          <t>Low Cost</t>
        </is>
      </c>
      <c r="F4077" t="n">
        <v>35</v>
      </c>
      <c r="G4077" t="n">
        <v>30</v>
      </c>
      <c r="I4077">
        <f>B4077&amp;"|"&amp;C4077</f>
        <v/>
      </c>
      <c r="J4077" t="inlineStr">
        <is>
          <t>low cost and fair</t>
        </is>
      </c>
    </row>
    <row r="4078">
      <c r="B4078" t="inlineStr">
        <is>
          <t>Lodges</t>
        </is>
      </c>
      <c r="C4078" t="inlineStr">
        <is>
          <t>Cheap</t>
        </is>
      </c>
      <c r="F4078" t="n">
        <v>35</v>
      </c>
      <c r="G4078" t="n">
        <v>30</v>
      </c>
      <c r="I4078">
        <f>B4078&amp;"|"&amp;C4078</f>
        <v/>
      </c>
      <c r="J4078" t="inlineStr">
        <is>
          <t>cheap</t>
        </is>
      </c>
    </row>
    <row r="4079">
      <c r="B4079" t="inlineStr">
        <is>
          <t>Guest Cottages</t>
        </is>
      </c>
      <c r="C4079" t="inlineStr">
        <is>
          <t>Excellent</t>
        </is>
      </c>
      <c r="F4079" t="n">
        <v>50</v>
      </c>
      <c r="G4079" t="n">
        <v>45</v>
      </c>
      <c r="I4079">
        <f>B4079&amp;"|"&amp;C4079</f>
        <v/>
      </c>
      <c r="J4079" t="inlineStr">
        <is>
          <t>Guest cottages, excellent</t>
        </is>
      </c>
    </row>
    <row r="4080">
      <c r="B4080" t="inlineStr">
        <is>
          <t>Guest Cottages</t>
        </is>
      </c>
      <c r="C4080" t="inlineStr">
        <is>
          <t>Good</t>
        </is>
      </c>
      <c r="F4080" t="n">
        <v>45</v>
      </c>
      <c r="G4080" t="n">
        <v>40</v>
      </c>
      <c r="I4080">
        <f>B4080&amp;"|"&amp;C4080</f>
        <v/>
      </c>
      <c r="J4080" t="inlineStr">
        <is>
          <t>good</t>
        </is>
      </c>
    </row>
    <row r="4081">
      <c r="B4081" t="inlineStr">
        <is>
          <t>Guest Cottages</t>
        </is>
      </c>
      <c r="C4081" t="inlineStr">
        <is>
          <t>Average</t>
        </is>
      </c>
      <c r="F4081" t="n">
        <v>40</v>
      </c>
      <c r="G4081" t="n">
        <v>35</v>
      </c>
      <c r="I4081">
        <f>B4081&amp;"|"&amp;C4081</f>
        <v/>
      </c>
      <c r="J4081" t="inlineStr">
        <is>
          <t>average</t>
        </is>
      </c>
    </row>
    <row r="4082">
      <c r="B4082" t="inlineStr">
        <is>
          <t>Guest Cottages</t>
        </is>
      </c>
      <c r="C4082" t="inlineStr">
        <is>
          <t>Fair</t>
        </is>
      </c>
      <c r="F4082" t="n">
        <v>35</v>
      </c>
      <c r="G4082" t="n">
        <v>30</v>
      </c>
      <c r="I4082">
        <f>B4082&amp;"|"&amp;C4082</f>
        <v/>
      </c>
      <c r="J4082" t="inlineStr">
        <is>
          <t>low cost and fair</t>
        </is>
      </c>
    </row>
    <row r="4083">
      <c r="B4083" t="inlineStr">
        <is>
          <t>Guest Cottages</t>
        </is>
      </c>
      <c r="C4083" t="inlineStr">
        <is>
          <t>Low Cost</t>
        </is>
      </c>
      <c r="F4083" t="n">
        <v>35</v>
      </c>
      <c r="G4083" t="n">
        <v>30</v>
      </c>
      <c r="I4083">
        <f>B4083&amp;"|"&amp;C4083</f>
        <v/>
      </c>
      <c r="J4083" t="inlineStr">
        <is>
          <t>low cost and fair</t>
        </is>
      </c>
    </row>
    <row r="4084">
      <c r="B4084" t="inlineStr">
        <is>
          <t>Guest Cottages</t>
        </is>
      </c>
      <c r="C4084" t="inlineStr">
        <is>
          <t>Cheap</t>
        </is>
      </c>
      <c r="G4084" t="n">
        <v>25</v>
      </c>
      <c r="I4084">
        <f>B4084&amp;"|"&amp;C4084</f>
        <v/>
      </c>
      <c r="J4084" t="inlineStr">
        <is>
          <t>cheap</t>
        </is>
      </c>
    </row>
    <row r="4085">
      <c r="B4085" t="inlineStr">
        <is>
          <t>Bed and Breakfast Inns</t>
        </is>
      </c>
      <c r="C4085" t="inlineStr">
        <is>
          <t>Excellent</t>
        </is>
      </c>
      <c r="F4085" t="n">
        <v>65</v>
      </c>
      <c r="G4085" t="n">
        <v>60</v>
      </c>
      <c r="I4085">
        <f>B4085&amp;"|"&amp;C4085</f>
        <v/>
      </c>
      <c r="J4085" t="inlineStr">
        <is>
          <t>Bed and breakfast inns, excellent</t>
        </is>
      </c>
    </row>
    <row r="4086">
      <c r="B4086" t="inlineStr">
        <is>
          <t>Bed and Breakfast Inns</t>
        </is>
      </c>
      <c r="C4086" t="inlineStr">
        <is>
          <t>Good</t>
        </is>
      </c>
      <c r="F4086" t="n">
        <v>60</v>
      </c>
      <c r="G4086" t="n">
        <v>55</v>
      </c>
      <c r="I4086">
        <f>B4086&amp;"|"&amp;C4086</f>
        <v/>
      </c>
      <c r="J4086" t="inlineStr">
        <is>
          <t>good</t>
        </is>
      </c>
    </row>
    <row r="4087">
      <c r="B4087" t="inlineStr">
        <is>
          <t>Bed and Breakfast Inns</t>
        </is>
      </c>
      <c r="C4087" t="inlineStr">
        <is>
          <t>Average</t>
        </is>
      </c>
      <c r="F4087" t="n">
        <v>55</v>
      </c>
      <c r="G4087" t="n">
        <v>50</v>
      </c>
      <c r="I4087">
        <f>B4087&amp;"|"&amp;C4087</f>
        <v/>
      </c>
      <c r="J4087" t="inlineStr">
        <is>
          <t>average</t>
        </is>
      </c>
    </row>
    <row r="4088">
      <c r="B4088" t="inlineStr">
        <is>
          <t>Bed and Breakfast Inns</t>
        </is>
      </c>
      <c r="C4088" t="inlineStr">
        <is>
          <t>Low Cost</t>
        </is>
      </c>
      <c r="F4088" t="n">
        <v>50</v>
      </c>
      <c r="G4088" t="n">
        <v>45</v>
      </c>
      <c r="I4088">
        <f>B4088&amp;"|"&amp;C4088</f>
        <v/>
      </c>
      <c r="J4088" t="inlineStr">
        <is>
          <t>low cost</t>
        </is>
      </c>
    </row>
    <row r="4089">
      <c r="B4089" t="inlineStr">
        <is>
          <t>Multiple Residences</t>
        </is>
      </c>
      <c r="C4089" t="inlineStr">
        <is>
          <t>Excellent</t>
        </is>
      </c>
      <c r="F4089" t="n">
        <v>60</v>
      </c>
      <c r="G4089" t="n">
        <v>55</v>
      </c>
      <c r="I4089">
        <f>B4089&amp;"|"&amp;C4089</f>
        <v/>
      </c>
      <c r="J4089" t="inlineStr">
        <is>
          <t>Multiple residences, excellent</t>
        </is>
      </c>
    </row>
    <row r="4090">
      <c r="B4090" t="inlineStr">
        <is>
          <t>Multiple Residences</t>
        </is>
      </c>
      <c r="C4090" t="inlineStr">
        <is>
          <t>Good</t>
        </is>
      </c>
      <c r="F4090" t="n">
        <v>55</v>
      </c>
      <c r="G4090" t="n">
        <v>50</v>
      </c>
      <c r="H4090" t="n">
        <v>50</v>
      </c>
      <c r="I4090">
        <f>B4090&amp;"|"&amp;C4090</f>
        <v/>
      </c>
      <c r="J4090" t="inlineStr">
        <is>
          <t>good</t>
        </is>
      </c>
    </row>
    <row r="4091">
      <c r="B4091" t="inlineStr">
        <is>
          <t>Multiple Residences</t>
        </is>
      </c>
      <c r="C4091" t="inlineStr">
        <is>
          <t>Average</t>
        </is>
      </c>
      <c r="F4091" t="n">
        <v>55</v>
      </c>
      <c r="G4091" t="n">
        <v>50</v>
      </c>
      <c r="H4091" t="n">
        <v>50</v>
      </c>
      <c r="I4091">
        <f>B4091&amp;"|"&amp;C4091</f>
        <v/>
      </c>
      <c r="J4091" t="inlineStr">
        <is>
          <t>average</t>
        </is>
      </c>
    </row>
    <row r="4092">
      <c r="B4092" t="inlineStr">
        <is>
          <t>Multiple Residences</t>
        </is>
      </c>
      <c r="C4092" t="inlineStr">
        <is>
          <t>Fair</t>
        </is>
      </c>
      <c r="F4092" t="n">
        <v>50</v>
      </c>
      <c r="G4092" t="n">
        <v>45</v>
      </c>
      <c r="I4092">
        <f>B4092&amp;"|"&amp;C4092</f>
        <v/>
      </c>
      <c r="J4092" t="inlineStr">
        <is>
          <t>low cost and fair</t>
        </is>
      </c>
    </row>
    <row r="4093">
      <c r="B4093" t="inlineStr">
        <is>
          <t>Multiple Residences</t>
        </is>
      </c>
      <c r="C4093" t="inlineStr">
        <is>
          <t>Low Cost</t>
        </is>
      </c>
      <c r="F4093" t="n">
        <v>50</v>
      </c>
      <c r="G4093" t="n">
        <v>45</v>
      </c>
      <c r="I4093">
        <f>B4093&amp;"|"&amp;C4093</f>
        <v/>
      </c>
      <c r="J4093" t="inlineStr">
        <is>
          <t>low cost and fair</t>
        </is>
      </c>
    </row>
    <row r="4094">
      <c r="B4094" t="inlineStr">
        <is>
          <t>Shell Multiple Residence Buildings</t>
        </is>
      </c>
      <c r="C4094" t="inlineStr">
        <is>
          <t>Excellent</t>
        </is>
      </c>
      <c r="F4094" t="n">
        <v>60</v>
      </c>
      <c r="G4094" t="n">
        <v>55</v>
      </c>
      <c r="I4094">
        <f>B4094&amp;"|"&amp;C4094</f>
        <v/>
      </c>
      <c r="J4094" t="inlineStr">
        <is>
          <t>Multiple residences, excellent</t>
        </is>
      </c>
    </row>
    <row r="4095">
      <c r="B4095" t="inlineStr">
        <is>
          <t>Shell Multiple Residence Buildings</t>
        </is>
      </c>
      <c r="C4095" t="inlineStr">
        <is>
          <t>Good</t>
        </is>
      </c>
      <c r="F4095" t="n">
        <v>55</v>
      </c>
      <c r="G4095" t="n">
        <v>50</v>
      </c>
      <c r="H4095" t="n">
        <v>50</v>
      </c>
      <c r="I4095">
        <f>B4095&amp;"|"&amp;C4095</f>
        <v/>
      </c>
      <c r="J4095" t="inlineStr">
        <is>
          <t>good</t>
        </is>
      </c>
    </row>
    <row r="4096">
      <c r="B4096" t="inlineStr">
        <is>
          <t>Shell Multiple Residence Buildings</t>
        </is>
      </c>
      <c r="C4096" t="inlineStr">
        <is>
          <t>Average</t>
        </is>
      </c>
      <c r="F4096" t="n">
        <v>55</v>
      </c>
      <c r="G4096" t="n">
        <v>50</v>
      </c>
      <c r="H4096" t="n">
        <v>50</v>
      </c>
      <c r="I4096">
        <f>B4096&amp;"|"&amp;C4096</f>
        <v/>
      </c>
      <c r="J4096" t="inlineStr">
        <is>
          <t>average</t>
        </is>
      </c>
    </row>
    <row r="4097">
      <c r="B4097" t="inlineStr">
        <is>
          <t>Shell Multiple Residence Buildings</t>
        </is>
      </c>
      <c r="C4097" t="inlineStr">
        <is>
          <t>Fair</t>
        </is>
      </c>
      <c r="F4097" t="n">
        <v>50</v>
      </c>
      <c r="G4097" t="n">
        <v>45</v>
      </c>
      <c r="I4097">
        <f>B4097&amp;"|"&amp;C4097</f>
        <v/>
      </c>
      <c r="J4097" t="inlineStr">
        <is>
          <t>low cost and fair</t>
        </is>
      </c>
    </row>
    <row r="4098">
      <c r="B4098" t="inlineStr">
        <is>
          <t>Multiple Residences – Senior Citizen</t>
        </is>
      </c>
      <c r="C4098" t="inlineStr">
        <is>
          <t>Excellent</t>
        </is>
      </c>
      <c r="F4098" t="n">
        <v>60</v>
      </c>
      <c r="G4098" t="n">
        <v>55</v>
      </c>
      <c r="I4098">
        <f>B4098&amp;"|"&amp;C4098</f>
        <v/>
      </c>
      <c r="J4098" t="inlineStr">
        <is>
          <t>Multiple residences, excellent</t>
        </is>
      </c>
    </row>
    <row r="4099">
      <c r="B4099" t="inlineStr">
        <is>
          <t>Multiple Residences – Senior Citizen</t>
        </is>
      </c>
      <c r="C4099" t="inlineStr">
        <is>
          <t>Good</t>
        </is>
      </c>
      <c r="F4099" t="n">
        <v>55</v>
      </c>
      <c r="G4099" t="n">
        <v>50</v>
      </c>
      <c r="H4099" t="n">
        <v>50</v>
      </c>
      <c r="I4099">
        <f>B4099&amp;"|"&amp;C4099</f>
        <v/>
      </c>
      <c r="J4099" t="inlineStr">
        <is>
          <t>good</t>
        </is>
      </c>
    </row>
    <row r="4100">
      <c r="B4100" t="inlineStr">
        <is>
          <t>Multiple Residences – Senior Citizen</t>
        </is>
      </c>
      <c r="C4100" t="inlineStr">
        <is>
          <t>Average</t>
        </is>
      </c>
      <c r="F4100" t="n">
        <v>55</v>
      </c>
      <c r="G4100" t="n">
        <v>50</v>
      </c>
      <c r="H4100" t="n">
        <v>50</v>
      </c>
      <c r="I4100">
        <f>B4100&amp;"|"&amp;C4100</f>
        <v/>
      </c>
      <c r="J4100" t="inlineStr">
        <is>
          <t>average</t>
        </is>
      </c>
    </row>
    <row r="4101">
      <c r="B4101" t="inlineStr">
        <is>
          <t>Multiple Residences – Senior Citizen</t>
        </is>
      </c>
      <c r="C4101" t="inlineStr">
        <is>
          <t>Fair</t>
        </is>
      </c>
      <c r="F4101" t="n">
        <v>50</v>
      </c>
      <c r="G4101" t="n">
        <v>45</v>
      </c>
      <c r="I4101">
        <f>B4101&amp;"|"&amp;C4101</f>
        <v/>
      </c>
      <c r="J4101" t="inlineStr">
        <is>
          <t>low cost and fair</t>
        </is>
      </c>
    </row>
    <row r="4102">
      <c r="B4102" t="inlineStr">
        <is>
          <t>Multiple Residences – Senior Citizen</t>
        </is>
      </c>
      <c r="C4102" t="inlineStr">
        <is>
          <t>Low Cost</t>
        </is>
      </c>
      <c r="F4102" t="n">
        <v>50</v>
      </c>
      <c r="G4102" t="n">
        <v>45</v>
      </c>
      <c r="I4102">
        <f>B4102&amp;"|"&amp;C4102</f>
        <v/>
      </c>
      <c r="J4102" t="inlineStr">
        <is>
          <t>low cost and fair</t>
        </is>
      </c>
    </row>
    <row r="4103">
      <c r="B4103" t="inlineStr">
        <is>
          <t>Shell Multiple Residences - Senior Citizen</t>
        </is>
      </c>
      <c r="C4103" t="inlineStr">
        <is>
          <t>Excellent</t>
        </is>
      </c>
      <c r="F4103" t="n">
        <v>60</v>
      </c>
      <c r="G4103" t="n">
        <v>55</v>
      </c>
      <c r="I4103">
        <f>B4103&amp;"|"&amp;C4103</f>
        <v/>
      </c>
      <c r="J4103" t="inlineStr">
        <is>
          <t>Multiple residences, excellent</t>
        </is>
      </c>
    </row>
    <row r="4104">
      <c r="B4104" t="inlineStr">
        <is>
          <t>Shell Multiple Residences - Senior Citizen</t>
        </is>
      </c>
      <c r="C4104" t="inlineStr">
        <is>
          <t>Good</t>
        </is>
      </c>
      <c r="F4104" t="n">
        <v>55</v>
      </c>
      <c r="G4104" t="n">
        <v>50</v>
      </c>
      <c r="H4104" t="n">
        <v>50</v>
      </c>
      <c r="I4104">
        <f>B4104&amp;"|"&amp;C4104</f>
        <v/>
      </c>
      <c r="J4104" t="inlineStr">
        <is>
          <t>good</t>
        </is>
      </c>
    </row>
    <row r="4105">
      <c r="B4105" t="inlineStr">
        <is>
          <t>Shell Multiple Residences - Senior Citizen</t>
        </is>
      </c>
      <c r="C4105" t="inlineStr">
        <is>
          <t>Average</t>
        </is>
      </c>
      <c r="F4105" t="n">
        <v>55</v>
      </c>
      <c r="G4105" t="n">
        <v>50</v>
      </c>
      <c r="H4105" t="n">
        <v>50</v>
      </c>
      <c r="I4105">
        <f>B4105&amp;"|"&amp;C4105</f>
        <v/>
      </c>
      <c r="J4105" t="inlineStr">
        <is>
          <t>average</t>
        </is>
      </c>
    </row>
    <row r="4106">
      <c r="B4106" t="inlineStr">
        <is>
          <t>Shell Multiple Residences - Senior Citizen</t>
        </is>
      </c>
      <c r="C4106" t="inlineStr">
        <is>
          <t>Fair</t>
        </is>
      </c>
      <c r="F4106" t="n">
        <v>50</v>
      </c>
      <c r="G4106" t="n">
        <v>45</v>
      </c>
      <c r="I4106">
        <f>B4106&amp;"|"&amp;C4106</f>
        <v/>
      </c>
      <c r="J4106" t="inlineStr">
        <is>
          <t>low cost and fair</t>
        </is>
      </c>
    </row>
    <row r="4107">
      <c r="B4107" t="inlineStr">
        <is>
          <t>Shell Multiple Residences - Senior Citizen</t>
        </is>
      </c>
      <c r="C4107" t="inlineStr">
        <is>
          <t>Low Cost</t>
        </is>
      </c>
      <c r="F4107" t="n">
        <v>50</v>
      </c>
      <c r="G4107" t="n">
        <v>45</v>
      </c>
      <c r="I4107">
        <f>B4107&amp;"|"&amp;C4107</f>
        <v/>
      </c>
      <c r="J4107" t="inlineStr">
        <is>
          <t>low cost and fair</t>
        </is>
      </c>
    </row>
    <row r="4108">
      <c r="B4108" t="inlineStr">
        <is>
          <t>Multiple Residences – Elderly Assisted Living</t>
        </is>
      </c>
      <c r="C4108" t="inlineStr">
        <is>
          <t>Excellent</t>
        </is>
      </c>
      <c r="F4108" t="n">
        <v>60</v>
      </c>
      <c r="G4108" t="n">
        <v>55</v>
      </c>
      <c r="I4108">
        <f>B4108&amp;"|"&amp;C4108</f>
        <v/>
      </c>
      <c r="J4108" t="inlineStr">
        <is>
          <t>Assisted living/retirement complexes, excellent</t>
        </is>
      </c>
    </row>
    <row r="4109">
      <c r="B4109" t="inlineStr">
        <is>
          <t>Multiple Residences – Elderly Assisted Living</t>
        </is>
      </c>
      <c r="C4109" t="inlineStr">
        <is>
          <t>Good</t>
        </is>
      </c>
      <c r="F4109" t="n">
        <v>55</v>
      </c>
      <c r="G4109" t="n">
        <v>50</v>
      </c>
      <c r="H4109" t="n">
        <v>50</v>
      </c>
      <c r="I4109">
        <f>B4109&amp;"|"&amp;C4109</f>
        <v/>
      </c>
      <c r="J4109" t="inlineStr">
        <is>
          <t>average and good</t>
        </is>
      </c>
    </row>
    <row r="4110">
      <c r="B4110" t="inlineStr">
        <is>
          <t>Multiple Residences – Elderly Assisted Living</t>
        </is>
      </c>
      <c r="C4110" t="inlineStr">
        <is>
          <t>Average</t>
        </is>
      </c>
      <c r="F4110" t="n">
        <v>55</v>
      </c>
      <c r="G4110" t="n">
        <v>50</v>
      </c>
      <c r="H4110" t="n">
        <v>50</v>
      </c>
      <c r="I4110">
        <f>B4110&amp;"|"&amp;C4110</f>
        <v/>
      </c>
      <c r="J4110" t="inlineStr">
        <is>
          <t>average and good</t>
        </is>
      </c>
    </row>
    <row r="4111">
      <c r="B4111" t="inlineStr">
        <is>
          <t>Multiple Residences – Elderly Assisted Living</t>
        </is>
      </c>
      <c r="C4111" t="inlineStr">
        <is>
          <t>Fair</t>
        </is>
      </c>
      <c r="F4111" t="n">
        <v>50</v>
      </c>
      <c r="G4111" t="n">
        <v>45</v>
      </c>
      <c r="H4111" t="n">
        <v>45</v>
      </c>
      <c r="I4111">
        <f>B4111&amp;"|"&amp;C4111</f>
        <v/>
      </c>
      <c r="J4111" t="inlineStr">
        <is>
          <t>low cost and fair</t>
        </is>
      </c>
    </row>
    <row r="4112">
      <c r="B4112" t="inlineStr">
        <is>
          <t>Multiple Residences – Elderly Assisted Living</t>
        </is>
      </c>
      <c r="C4112" t="inlineStr">
        <is>
          <t>Low Cost</t>
        </is>
      </c>
      <c r="F4112" t="n">
        <v>50</v>
      </c>
      <c r="G4112" t="n">
        <v>45</v>
      </c>
      <c r="H4112" t="n">
        <v>45</v>
      </c>
      <c r="I4112">
        <f>B4112&amp;"|"&amp;C4112</f>
        <v/>
      </c>
      <c r="J4112" t="inlineStr">
        <is>
          <t>low cost and fair</t>
        </is>
      </c>
    </row>
    <row r="4113">
      <c r="B4113" t="inlineStr">
        <is>
          <t>Shell Multiple Residences - Elderly Assisted Living</t>
        </is>
      </c>
      <c r="C4113" t="inlineStr">
        <is>
          <t>Excellent</t>
        </is>
      </c>
      <c r="F4113" t="n">
        <v>60</v>
      </c>
      <c r="G4113" t="n">
        <v>55</v>
      </c>
      <c r="I4113">
        <f>B4113&amp;"|"&amp;C4113</f>
        <v/>
      </c>
      <c r="J4113" t="inlineStr">
        <is>
          <t>Assisted living/retirement complexes, excellent</t>
        </is>
      </c>
    </row>
    <row r="4114">
      <c r="B4114" t="inlineStr">
        <is>
          <t>Shell Multiple Residences - Elderly Assisted Living</t>
        </is>
      </c>
      <c r="C4114" t="inlineStr">
        <is>
          <t>Good</t>
        </is>
      </c>
      <c r="F4114" t="n">
        <v>55</v>
      </c>
      <c r="G4114" t="n">
        <v>50</v>
      </c>
      <c r="H4114" t="n">
        <v>50</v>
      </c>
      <c r="I4114">
        <f>B4114&amp;"|"&amp;C4114</f>
        <v/>
      </c>
      <c r="J4114" t="inlineStr">
        <is>
          <t>average and good</t>
        </is>
      </c>
    </row>
    <row r="4115">
      <c r="B4115" t="inlineStr">
        <is>
          <t>Shell Multiple Residences - Elderly Assisted Living</t>
        </is>
      </c>
      <c r="C4115" t="inlineStr">
        <is>
          <t>Average</t>
        </is>
      </c>
      <c r="F4115" t="n">
        <v>55</v>
      </c>
      <c r="G4115" t="n">
        <v>50</v>
      </c>
      <c r="H4115" t="n">
        <v>50</v>
      </c>
      <c r="I4115">
        <f>B4115&amp;"|"&amp;C4115</f>
        <v/>
      </c>
      <c r="J4115" t="inlineStr">
        <is>
          <t>average and good</t>
        </is>
      </c>
    </row>
    <row r="4116">
      <c r="B4116" t="inlineStr">
        <is>
          <t>Shell Multiple Residences - Elderly Assisted Living</t>
        </is>
      </c>
      <c r="C4116" t="inlineStr">
        <is>
          <t>Fair</t>
        </is>
      </c>
      <c r="F4116" t="n">
        <v>50</v>
      </c>
      <c r="G4116" t="n">
        <v>45</v>
      </c>
      <c r="H4116" t="n">
        <v>45</v>
      </c>
      <c r="I4116">
        <f>B4116&amp;"|"&amp;C4116</f>
        <v/>
      </c>
      <c r="J4116" t="inlineStr">
        <is>
          <t>low cost and fair</t>
        </is>
      </c>
    </row>
    <row r="4117">
      <c r="B4117" t="inlineStr">
        <is>
          <t>Shell Multiple Residences - Elderly Assisted Living</t>
        </is>
      </c>
      <c r="C4117" t="inlineStr">
        <is>
          <t>Low Cost</t>
        </is>
      </c>
      <c r="F4117" t="n">
        <v>50</v>
      </c>
      <c r="G4117" t="n">
        <v>45</v>
      </c>
      <c r="H4117" t="n">
        <v>45</v>
      </c>
      <c r="I4117">
        <f>B4117&amp;"|"&amp;C4117</f>
        <v/>
      </c>
      <c r="J4117" t="inlineStr">
        <is>
          <t>low cost and fair</t>
        </is>
      </c>
    </row>
    <row r="4118">
      <c r="B4118" t="inlineStr">
        <is>
          <t>Multiple Residences – Retirement Community Complex</t>
        </is>
      </c>
      <c r="C4118" t="inlineStr">
        <is>
          <t>Good</t>
        </is>
      </c>
      <c r="F4118" t="n">
        <v>55</v>
      </c>
      <c r="G4118" t="n">
        <v>50</v>
      </c>
      <c r="H4118" t="n">
        <v>50</v>
      </c>
      <c r="I4118">
        <f>B4118&amp;"|"&amp;C4118</f>
        <v/>
      </c>
      <c r="J4118" t="inlineStr">
        <is>
          <t>average and good</t>
        </is>
      </c>
    </row>
    <row r="4119">
      <c r="B4119" t="inlineStr">
        <is>
          <t>Multiple Residences – Retirement Community Complex</t>
        </is>
      </c>
      <c r="C4119" t="inlineStr">
        <is>
          <t>Average</t>
        </is>
      </c>
      <c r="F4119" t="n">
        <v>55</v>
      </c>
      <c r="G4119" t="n">
        <v>50</v>
      </c>
      <c r="H4119" t="n">
        <v>50</v>
      </c>
      <c r="I4119">
        <f>B4119&amp;"|"&amp;C4119</f>
        <v/>
      </c>
      <c r="J4119" t="inlineStr">
        <is>
          <t>average and good</t>
        </is>
      </c>
    </row>
    <row r="4120">
      <c r="B4120" t="inlineStr">
        <is>
          <t>Multiple Residences – Retirement Community Complex</t>
        </is>
      </c>
      <c r="C4120" t="inlineStr">
        <is>
          <t>Fair</t>
        </is>
      </c>
      <c r="F4120" t="n">
        <v>50</v>
      </c>
      <c r="G4120" t="n">
        <v>45</v>
      </c>
      <c r="H4120" t="n">
        <v>45</v>
      </c>
      <c r="I4120">
        <f>B4120&amp;"|"&amp;C4120</f>
        <v/>
      </c>
      <c r="J4120" t="inlineStr">
        <is>
          <t>low cost and fair</t>
        </is>
      </c>
    </row>
    <row r="4121">
      <c r="B4121" t="inlineStr">
        <is>
          <t>Multiple Residences – Retirement Community Complex</t>
        </is>
      </c>
      <c r="C4121" t="inlineStr">
        <is>
          <t>Low Cost</t>
        </is>
      </c>
      <c r="F4121" t="n">
        <v>50</v>
      </c>
      <c r="G4121" t="n">
        <v>45</v>
      </c>
      <c r="H4121" t="n">
        <v>45</v>
      </c>
      <c r="I4121">
        <f>B4121&amp;"|"&amp;C4121</f>
        <v/>
      </c>
      <c r="J4121" t="inlineStr">
        <is>
          <t>low cost and fair</t>
        </is>
      </c>
    </row>
    <row r="4122">
      <c r="B4122" t="inlineStr">
        <is>
          <t>Shell Multiple Residences - Retirement Community Complex</t>
        </is>
      </c>
      <c r="C4122" t="inlineStr">
        <is>
          <t>Good</t>
        </is>
      </c>
      <c r="F4122" t="n">
        <v>55</v>
      </c>
      <c r="G4122" t="n">
        <v>50</v>
      </c>
      <c r="H4122" t="n">
        <v>50</v>
      </c>
      <c r="I4122">
        <f>B4122&amp;"|"&amp;C4122</f>
        <v/>
      </c>
      <c r="J4122" t="inlineStr">
        <is>
          <t>average and good</t>
        </is>
      </c>
    </row>
    <row r="4123">
      <c r="B4123" t="inlineStr">
        <is>
          <t>Shell Multiple Residences - Retirement Community Complex</t>
        </is>
      </c>
      <c r="C4123" t="inlineStr">
        <is>
          <t>Average</t>
        </is>
      </c>
      <c r="F4123" t="n">
        <v>55</v>
      </c>
      <c r="G4123" t="n">
        <v>50</v>
      </c>
      <c r="H4123" t="n">
        <v>50</v>
      </c>
      <c r="I4123">
        <f>B4123&amp;"|"&amp;C4123</f>
        <v/>
      </c>
      <c r="J4123" t="inlineStr">
        <is>
          <t>average and good</t>
        </is>
      </c>
    </row>
    <row r="4124">
      <c r="B4124" t="inlineStr">
        <is>
          <t>Shell Multiple Residences - Retirement Community Complex</t>
        </is>
      </c>
      <c r="C4124" t="inlineStr">
        <is>
          <t>Fair</t>
        </is>
      </c>
      <c r="F4124" t="n">
        <v>50</v>
      </c>
      <c r="G4124" t="n">
        <v>45</v>
      </c>
      <c r="H4124" t="n">
        <v>45</v>
      </c>
      <c r="I4124">
        <f>B4124&amp;"|"&amp;C4124</f>
        <v/>
      </c>
      <c r="J4124" t="inlineStr">
        <is>
          <t>low cost and fair</t>
        </is>
      </c>
    </row>
    <row r="4125">
      <c r="B4125" t="inlineStr">
        <is>
          <t>Shell Multiple Residences - Retirement Community Complex</t>
        </is>
      </c>
      <c r="C4125" t="inlineStr">
        <is>
          <t>Low Cost</t>
        </is>
      </c>
      <c r="F4125" t="n">
        <v>50</v>
      </c>
      <c r="G4125" t="n">
        <v>45</v>
      </c>
      <c r="H4125" t="n">
        <v>45</v>
      </c>
      <c r="I4125">
        <f>B4125&amp;"|"&amp;C4125</f>
        <v/>
      </c>
      <c r="J4125" t="inlineStr">
        <is>
          <t>low cost and fair</t>
        </is>
      </c>
    </row>
    <row r="4126">
      <c r="B4126" t="inlineStr">
        <is>
          <t>Single-Family Residences</t>
        </is>
      </c>
      <c r="C4126" t="inlineStr">
        <is>
          <t>Excellent</t>
        </is>
      </c>
      <c r="F4126" t="n">
        <v>65</v>
      </c>
      <c r="G4126" t="n">
        <v>60</v>
      </c>
      <c r="I4126">
        <f>B4126&amp;"|"&amp;C4126</f>
        <v/>
      </c>
      <c r="J4126" t="inlineStr">
        <is>
          <t>Single-family and guest houses, excellent and high value</t>
        </is>
      </c>
    </row>
    <row r="4127">
      <c r="B4127" t="inlineStr">
        <is>
          <t>Single-Family Residences</t>
        </is>
      </c>
      <c r="C4127" t="inlineStr">
        <is>
          <t>Very Good</t>
        </is>
      </c>
      <c r="F4127" t="n">
        <v>60</v>
      </c>
      <c r="G4127" t="n">
        <v>55</v>
      </c>
      <c r="H4127" t="n">
        <v>55</v>
      </c>
      <c r="I4127">
        <f>B4127&amp;"|"&amp;C4127</f>
        <v/>
      </c>
      <c r="J4127" t="inlineStr">
        <is>
          <t>average, good and very good</t>
        </is>
      </c>
    </row>
    <row r="4128">
      <c r="B4128" t="inlineStr">
        <is>
          <t>Single-Family Residences</t>
        </is>
      </c>
      <c r="C4128" t="inlineStr">
        <is>
          <t>Good</t>
        </is>
      </c>
      <c r="F4128" t="n">
        <v>60</v>
      </c>
      <c r="G4128" t="n">
        <v>55</v>
      </c>
      <c r="H4128" t="n">
        <v>55</v>
      </c>
      <c r="I4128">
        <f>B4128&amp;"|"&amp;C4128</f>
        <v/>
      </c>
      <c r="J4128" t="inlineStr">
        <is>
          <t>average, good and very good</t>
        </is>
      </c>
    </row>
    <row r="4129">
      <c r="B4129" t="inlineStr">
        <is>
          <t>Single-Family Residences</t>
        </is>
      </c>
      <c r="C4129" t="inlineStr">
        <is>
          <t>Average</t>
        </is>
      </c>
      <c r="F4129" t="n">
        <v>60</v>
      </c>
      <c r="G4129" t="n">
        <v>55</v>
      </c>
      <c r="H4129" t="n">
        <v>55</v>
      </c>
      <c r="I4129">
        <f>B4129&amp;"|"&amp;C4129</f>
        <v/>
      </c>
      <c r="J4129" t="inlineStr">
        <is>
          <t>average, good and very good</t>
        </is>
      </c>
    </row>
    <row r="4130">
      <c r="B4130" t="inlineStr">
        <is>
          <t>Single-Family Residences</t>
        </is>
      </c>
      <c r="C4130" t="inlineStr">
        <is>
          <t>Fair</t>
        </is>
      </c>
      <c r="F4130" t="n">
        <v>55</v>
      </c>
      <c r="G4130" t="n">
        <v>50</v>
      </c>
      <c r="I4130">
        <f>B4130&amp;"|"&amp;C4130</f>
        <v/>
      </c>
      <c r="J4130" t="inlineStr">
        <is>
          <t>fair quality</t>
        </is>
      </c>
    </row>
    <row r="4131">
      <c r="B4131" t="inlineStr">
        <is>
          <t>Single-Family Residences</t>
        </is>
      </c>
      <c r="C4131" t="inlineStr">
        <is>
          <t>Low Cost</t>
        </is>
      </c>
      <c r="F4131" t="n">
        <v>50</v>
      </c>
      <c r="G4131" t="n">
        <v>45</v>
      </c>
      <c r="I4131">
        <f>B4131&amp;"|"&amp;C4131</f>
        <v/>
      </c>
      <c r="J4131" t="inlineStr">
        <is>
          <t>low cost</t>
        </is>
      </c>
    </row>
    <row r="4132">
      <c r="B4132" t="inlineStr">
        <is>
          <t>Single-Family Residences</t>
        </is>
      </c>
      <c r="C4132" t="inlineStr">
        <is>
          <t>Cheap</t>
        </is>
      </c>
      <c r="F4132" t="n">
        <v>35</v>
      </c>
      <c r="G4132" t="n">
        <v>30</v>
      </c>
      <c r="I4132">
        <f>B4132&amp;"|"&amp;C4132</f>
        <v/>
      </c>
      <c r="J4132" t="inlineStr">
        <is>
          <t>substandard</t>
        </is>
      </c>
    </row>
    <row r="4133">
      <c r="B4133" t="inlineStr">
        <is>
          <t>Guest Houses</t>
        </is>
      </c>
      <c r="C4133" t="inlineStr">
        <is>
          <t>Excellent</t>
        </is>
      </c>
      <c r="F4133" t="n">
        <v>65</v>
      </c>
      <c r="G4133" t="n">
        <v>60</v>
      </c>
      <c r="I4133">
        <f>B4133&amp;"|"&amp;C4133</f>
        <v/>
      </c>
      <c r="J4133" t="inlineStr">
        <is>
          <t>Single-family and guest houses, excellent and high value</t>
        </is>
      </c>
    </row>
    <row r="4134">
      <c r="B4134" t="inlineStr">
        <is>
          <t>Guest Houses</t>
        </is>
      </c>
      <c r="C4134" t="inlineStr">
        <is>
          <t>Very Good</t>
        </is>
      </c>
      <c r="F4134" t="n">
        <v>60</v>
      </c>
      <c r="G4134" t="n">
        <v>55</v>
      </c>
      <c r="H4134" t="n">
        <v>55</v>
      </c>
      <c r="I4134">
        <f>B4134&amp;"|"&amp;C4134</f>
        <v/>
      </c>
      <c r="J4134" t="inlineStr">
        <is>
          <t>average, good and very good</t>
        </is>
      </c>
    </row>
    <row r="4135">
      <c r="B4135" t="inlineStr">
        <is>
          <t>Guest Houses</t>
        </is>
      </c>
      <c r="C4135" t="inlineStr">
        <is>
          <t>Good</t>
        </is>
      </c>
      <c r="F4135" t="n">
        <v>60</v>
      </c>
      <c r="G4135" t="n">
        <v>55</v>
      </c>
      <c r="H4135" t="n">
        <v>55</v>
      </c>
      <c r="I4135">
        <f>B4135&amp;"|"&amp;C4135</f>
        <v/>
      </c>
      <c r="J4135" t="inlineStr">
        <is>
          <t>average, good and very good</t>
        </is>
      </c>
    </row>
    <row r="4136">
      <c r="B4136" t="inlineStr">
        <is>
          <t>Guest Houses</t>
        </is>
      </c>
      <c r="C4136" t="inlineStr">
        <is>
          <t>Average</t>
        </is>
      </c>
      <c r="F4136" t="n">
        <v>60</v>
      </c>
      <c r="G4136" t="n">
        <v>55</v>
      </c>
      <c r="H4136" t="n">
        <v>55</v>
      </c>
      <c r="I4136">
        <f>B4136&amp;"|"&amp;C4136</f>
        <v/>
      </c>
      <c r="J4136" t="inlineStr">
        <is>
          <t>average, good and very good</t>
        </is>
      </c>
    </row>
    <row r="4137">
      <c r="B4137" t="inlineStr">
        <is>
          <t>Guest Houses</t>
        </is>
      </c>
      <c r="C4137" t="inlineStr">
        <is>
          <t>Low Cost</t>
        </is>
      </c>
      <c r="F4137" t="n">
        <v>50</v>
      </c>
      <c r="G4137" t="n">
        <v>45</v>
      </c>
      <c r="I4137">
        <f>B4137&amp;"|"&amp;C4137</f>
        <v/>
      </c>
      <c r="J4137" t="inlineStr">
        <is>
          <t>low cost</t>
        </is>
      </c>
    </row>
    <row r="4138">
      <c r="B4138" t="inlineStr">
        <is>
          <t>Guest Houses</t>
        </is>
      </c>
      <c r="C4138" t="inlineStr">
        <is>
          <t>Cheap</t>
        </is>
      </c>
      <c r="F4138" t="n">
        <v>35</v>
      </c>
      <c r="G4138" t="n">
        <v>30</v>
      </c>
      <c r="I4138">
        <f>B4138&amp;"|"&amp;C4138</f>
        <v/>
      </c>
      <c r="J4138" t="inlineStr">
        <is>
          <t>substandard</t>
        </is>
      </c>
    </row>
    <row r="4139">
      <c r="B4139" t="inlineStr">
        <is>
          <t>Log Homes</t>
        </is>
      </c>
      <c r="C4139" t="inlineStr">
        <is>
          <t>Excellent</t>
        </is>
      </c>
      <c r="G4139" t="n">
        <v>55</v>
      </c>
      <c r="I4139">
        <f>B4139&amp;"|"&amp;C4139</f>
        <v/>
      </c>
      <c r="J4139" t="inlineStr">
        <is>
          <t>Log homes, excellent</t>
        </is>
      </c>
    </row>
    <row r="4140">
      <c r="B4140" t="inlineStr">
        <is>
          <t>Log Homes</t>
        </is>
      </c>
      <c r="C4140" t="inlineStr">
        <is>
          <t>Good</t>
        </is>
      </c>
      <c r="G4140" t="n">
        <v>50</v>
      </c>
      <c r="I4140">
        <f>B4140&amp;"|"&amp;C4140</f>
        <v/>
      </c>
      <c r="J4140" t="inlineStr">
        <is>
          <t>average and good</t>
        </is>
      </c>
    </row>
    <row r="4141">
      <c r="B4141" t="inlineStr">
        <is>
          <t>Log Homes</t>
        </is>
      </c>
      <c r="C4141" t="inlineStr">
        <is>
          <t>Average</t>
        </is>
      </c>
      <c r="G4141" t="n">
        <v>50</v>
      </c>
      <c r="I4141">
        <f>B4141&amp;"|"&amp;C4141</f>
        <v/>
      </c>
      <c r="J4141" t="inlineStr">
        <is>
          <t>average and good</t>
        </is>
      </c>
    </row>
    <row r="4142">
      <c r="B4142" t="inlineStr">
        <is>
          <t>Log Homes</t>
        </is>
      </c>
      <c r="C4142" t="inlineStr">
        <is>
          <t>Low Cost</t>
        </is>
      </c>
      <c r="G4142" t="n">
        <v>45</v>
      </c>
      <c r="I4142">
        <f>B4142&amp;"|"&amp;C4142</f>
        <v/>
      </c>
      <c r="J4142" t="inlineStr">
        <is>
          <t>low cost</t>
        </is>
      </c>
    </row>
    <row r="4143">
      <c r="B4143" t="inlineStr">
        <is>
          <t>Town Houses</t>
        </is>
      </c>
      <c r="C4143" t="inlineStr">
        <is>
          <t>Excellent</t>
        </is>
      </c>
      <c r="F4143" t="n">
        <v>60</v>
      </c>
      <c r="G4143" t="n">
        <v>55</v>
      </c>
      <c r="I4143">
        <f>B4143&amp;"|"&amp;C4143</f>
        <v/>
      </c>
      <c r="J4143" t="inlineStr">
        <is>
          <t>Town and row houses, excellent</t>
        </is>
      </c>
    </row>
    <row r="4144">
      <c r="B4144" t="inlineStr">
        <is>
          <t>Town Houses</t>
        </is>
      </c>
      <c r="C4144" t="inlineStr">
        <is>
          <t>Good</t>
        </is>
      </c>
      <c r="F4144" t="n">
        <v>55</v>
      </c>
      <c r="G4144" t="n">
        <v>50</v>
      </c>
      <c r="H4144" t="n">
        <v>50</v>
      </c>
      <c r="I4144">
        <f>B4144&amp;"|"&amp;C4144</f>
        <v/>
      </c>
      <c r="J4144" t="inlineStr">
        <is>
          <t>good</t>
        </is>
      </c>
    </row>
    <row r="4145">
      <c r="B4145" t="inlineStr">
        <is>
          <t>Town Houses</t>
        </is>
      </c>
      <c r="C4145" t="inlineStr">
        <is>
          <t>Average</t>
        </is>
      </c>
      <c r="F4145" t="n">
        <v>55</v>
      </c>
      <c r="G4145" t="n">
        <v>50</v>
      </c>
      <c r="H4145" t="n">
        <v>50</v>
      </c>
      <c r="I4145">
        <f>B4145&amp;"|"&amp;C4145</f>
        <v/>
      </c>
      <c r="J4145" t="inlineStr">
        <is>
          <t>average</t>
        </is>
      </c>
    </row>
    <row r="4146">
      <c r="B4146" t="inlineStr">
        <is>
          <t>Town Houses</t>
        </is>
      </c>
      <c r="C4146" t="inlineStr">
        <is>
          <t>Fair</t>
        </is>
      </c>
      <c r="F4146" t="n">
        <v>50</v>
      </c>
      <c r="G4146" t="n">
        <v>45</v>
      </c>
      <c r="I4146">
        <f>B4146&amp;"|"&amp;C4146</f>
        <v/>
      </c>
      <c r="J4146" t="inlineStr">
        <is>
          <t>low cost and fair</t>
        </is>
      </c>
    </row>
    <row r="4147">
      <c r="B4147" t="inlineStr">
        <is>
          <t>Town Houses</t>
        </is>
      </c>
      <c r="C4147" t="inlineStr">
        <is>
          <t>Low Cost</t>
        </is>
      </c>
      <c r="F4147" t="n">
        <v>50</v>
      </c>
      <c r="G4147" t="n">
        <v>45</v>
      </c>
      <c r="I4147">
        <f>B4147&amp;"|"&amp;C4147</f>
        <v/>
      </c>
      <c r="J4147" t="inlineStr">
        <is>
          <t>low cost and fair</t>
        </is>
      </c>
    </row>
    <row r="4148">
      <c r="B4148" t="inlineStr">
        <is>
          <t>Senior Citizen Town Houses</t>
        </is>
      </c>
      <c r="C4148" t="inlineStr">
        <is>
          <t>Excellent</t>
        </is>
      </c>
      <c r="F4148" t="n">
        <v>60</v>
      </c>
      <c r="G4148" t="n">
        <v>55</v>
      </c>
      <c r="I4148">
        <f>B4148&amp;"|"&amp;C4148</f>
        <v/>
      </c>
      <c r="J4148" t="inlineStr">
        <is>
          <t>Town and row houses, excellent</t>
        </is>
      </c>
    </row>
    <row r="4149">
      <c r="B4149" t="inlineStr">
        <is>
          <t>Senior Citizen Town Houses</t>
        </is>
      </c>
      <c r="C4149" t="inlineStr">
        <is>
          <t>Good</t>
        </is>
      </c>
      <c r="F4149" t="n">
        <v>55</v>
      </c>
      <c r="G4149" t="n">
        <v>50</v>
      </c>
      <c r="H4149" t="n">
        <v>50</v>
      </c>
      <c r="I4149">
        <f>B4149&amp;"|"&amp;C4149</f>
        <v/>
      </c>
      <c r="J4149" t="inlineStr">
        <is>
          <t>good</t>
        </is>
      </c>
    </row>
    <row r="4150">
      <c r="B4150" t="inlineStr">
        <is>
          <t>Senior Citizen Town Houses</t>
        </is>
      </c>
      <c r="C4150" t="inlineStr">
        <is>
          <t>Average</t>
        </is>
      </c>
      <c r="F4150" t="n">
        <v>55</v>
      </c>
      <c r="G4150" t="n">
        <v>50</v>
      </c>
      <c r="H4150" t="n">
        <v>50</v>
      </c>
      <c r="I4150">
        <f>B4150&amp;"|"&amp;C4150</f>
        <v/>
      </c>
      <c r="J4150" t="inlineStr">
        <is>
          <t>average</t>
        </is>
      </c>
    </row>
    <row r="4151">
      <c r="B4151" t="inlineStr">
        <is>
          <t>Senior Citizen Town Houses</t>
        </is>
      </c>
      <c r="C4151" t="inlineStr">
        <is>
          <t>Fair</t>
        </is>
      </c>
      <c r="F4151" t="n">
        <v>50</v>
      </c>
      <c r="G4151" t="n">
        <v>45</v>
      </c>
      <c r="I4151">
        <f>B4151&amp;"|"&amp;C4151</f>
        <v/>
      </c>
      <c r="J4151" t="inlineStr">
        <is>
          <t>low cost and fair</t>
        </is>
      </c>
    </row>
    <row r="4152">
      <c r="B4152" t="inlineStr">
        <is>
          <t>Urban Row (Town) Houses</t>
        </is>
      </c>
      <c r="C4152" t="inlineStr">
        <is>
          <t>Excellent</t>
        </is>
      </c>
      <c r="F4152" t="n">
        <v>60</v>
      </c>
      <c r="G4152" t="n">
        <v>55</v>
      </c>
      <c r="I4152">
        <f>B4152&amp;"|"&amp;C4152</f>
        <v/>
      </c>
      <c r="J4152" t="inlineStr">
        <is>
          <t>Town and row houses, excellent</t>
        </is>
      </c>
    </row>
    <row r="4153">
      <c r="B4153" t="inlineStr">
        <is>
          <t>Urban Row (Town) Houses</t>
        </is>
      </c>
      <c r="C4153" t="inlineStr">
        <is>
          <t>Good</t>
        </is>
      </c>
      <c r="F4153" t="n">
        <v>55</v>
      </c>
      <c r="G4153" t="n">
        <v>50</v>
      </c>
      <c r="H4153" t="n">
        <v>50</v>
      </c>
      <c r="I4153">
        <f>B4153&amp;"|"&amp;C4153</f>
        <v/>
      </c>
      <c r="J4153" t="inlineStr">
        <is>
          <t>good</t>
        </is>
      </c>
    </row>
    <row r="4154">
      <c r="B4154" t="inlineStr">
        <is>
          <t>Urban Row (Town) Houses</t>
        </is>
      </c>
      <c r="C4154" t="inlineStr">
        <is>
          <t>Average</t>
        </is>
      </c>
      <c r="F4154" t="n">
        <v>55</v>
      </c>
      <c r="G4154" t="n">
        <v>50</v>
      </c>
      <c r="H4154" t="n">
        <v>50</v>
      </c>
      <c r="I4154">
        <f>B4154&amp;"|"&amp;C4154</f>
        <v/>
      </c>
      <c r="J4154" t="inlineStr">
        <is>
          <t>average</t>
        </is>
      </c>
    </row>
    <row r="4155">
      <c r="B4155" t="inlineStr">
        <is>
          <t>Urban Row (Town) Houses</t>
        </is>
      </c>
      <c r="C4155" t="inlineStr">
        <is>
          <t>Fair</t>
        </is>
      </c>
      <c r="F4155" t="n">
        <v>50</v>
      </c>
      <c r="G4155" t="n">
        <v>45</v>
      </c>
      <c r="I4155">
        <f>B4155&amp;"|"&amp;C4155</f>
        <v/>
      </c>
      <c r="J4155" t="inlineStr">
        <is>
          <t>low cost and fair</t>
        </is>
      </c>
    </row>
    <row r="4156">
      <c r="B4156" t="inlineStr">
        <is>
          <t>Shell Town House Buildings</t>
        </is>
      </c>
      <c r="C4156" t="inlineStr">
        <is>
          <t>Excellent</t>
        </is>
      </c>
      <c r="F4156" t="n">
        <v>60</v>
      </c>
      <c r="G4156" t="n">
        <v>55</v>
      </c>
      <c r="I4156">
        <f>B4156&amp;"|"&amp;C4156</f>
        <v/>
      </c>
      <c r="J4156" t="inlineStr">
        <is>
          <t>Town and row houses, excellent</t>
        </is>
      </c>
    </row>
    <row r="4157">
      <c r="B4157" t="inlineStr">
        <is>
          <t>Shell Town House Buildings</t>
        </is>
      </c>
      <c r="C4157" t="inlineStr">
        <is>
          <t>Good</t>
        </is>
      </c>
      <c r="F4157" t="n">
        <v>55</v>
      </c>
      <c r="G4157" t="n">
        <v>50</v>
      </c>
      <c r="H4157" t="n">
        <v>50</v>
      </c>
      <c r="I4157">
        <f>B4157&amp;"|"&amp;C4157</f>
        <v/>
      </c>
      <c r="J4157" t="inlineStr">
        <is>
          <t>good</t>
        </is>
      </c>
    </row>
    <row r="4158">
      <c r="B4158" t="inlineStr">
        <is>
          <t>Shell Town House Buildings</t>
        </is>
      </c>
      <c r="C4158" t="inlineStr">
        <is>
          <t>Average</t>
        </is>
      </c>
      <c r="F4158" t="n">
        <v>55</v>
      </c>
      <c r="G4158" t="n">
        <v>50</v>
      </c>
      <c r="H4158" t="n">
        <v>50</v>
      </c>
      <c r="I4158">
        <f>B4158&amp;"|"&amp;C4158</f>
        <v/>
      </c>
      <c r="J4158" t="inlineStr">
        <is>
          <t>average</t>
        </is>
      </c>
    </row>
    <row r="4159">
      <c r="B4159" t="inlineStr">
        <is>
          <t>Shell Town House Buildings</t>
        </is>
      </c>
      <c r="C4159" t="inlineStr">
        <is>
          <t>Fair</t>
        </is>
      </c>
      <c r="F4159" t="n">
        <v>50</v>
      </c>
      <c r="G4159" t="n">
        <v>45</v>
      </c>
      <c r="I4159">
        <f>B4159&amp;"|"&amp;C4159</f>
        <v/>
      </c>
      <c r="J4159" t="inlineStr">
        <is>
          <t>low cost and fair</t>
        </is>
      </c>
    </row>
    <row r="4160">
      <c r="B4160" t="inlineStr">
        <is>
          <t>Bars/Taverns</t>
        </is>
      </c>
      <c r="C4160" t="inlineStr">
        <is>
          <t>Average</t>
        </is>
      </c>
      <c r="D4160" t="n">
        <v>45</v>
      </c>
      <c r="E4160" t="n">
        <v>45</v>
      </c>
      <c r="F4160" t="n">
        <v>40</v>
      </c>
      <c r="G4160" t="n">
        <v>40</v>
      </c>
      <c r="H4160" t="n">
        <v>40</v>
      </c>
      <c r="I4160">
        <f>B4160&amp;"|"&amp;C4160</f>
        <v/>
      </c>
      <c r="J4160" t="inlineStr">
        <is>
          <t>average</t>
        </is>
      </c>
    </row>
    <row r="4161">
      <c r="B4161" t="inlineStr">
        <is>
          <t>Bars/Taverns</t>
        </is>
      </c>
      <c r="C4161" t="inlineStr">
        <is>
          <t>Good</t>
        </is>
      </c>
      <c r="F4161" t="n">
        <v>45</v>
      </c>
      <c r="G4161" t="n">
        <v>40</v>
      </c>
      <c r="I4161">
        <f>B4161&amp;"|"&amp;C4161</f>
        <v/>
      </c>
      <c r="J4161" t="inlineStr">
        <is>
          <t>Bars and taverns, good</t>
        </is>
      </c>
    </row>
    <row r="4162">
      <c r="B4162" t="inlineStr">
        <is>
          <t>Bars/Taverns</t>
        </is>
      </c>
      <c r="C4162" t="inlineStr">
        <is>
          <t>Low Cost</t>
        </is>
      </c>
      <c r="F4162" t="n">
        <v>40</v>
      </c>
      <c r="G4162" t="n">
        <v>35</v>
      </c>
      <c r="H4162" t="n">
        <v>35</v>
      </c>
      <c r="I4162">
        <f>B4162&amp;"|"&amp;C4162</f>
        <v/>
      </c>
      <c r="J4162" t="inlineStr">
        <is>
          <t>low cost</t>
        </is>
      </c>
    </row>
    <row r="4163">
      <c r="B4163" t="inlineStr">
        <is>
          <t>Cocktail Lounges</t>
        </is>
      </c>
      <c r="C4163" t="inlineStr">
        <is>
          <t>Good</t>
        </is>
      </c>
      <c r="D4163" t="n">
        <v>45</v>
      </c>
      <c r="E4163" t="n">
        <v>45</v>
      </c>
      <c r="F4163" t="n">
        <v>40</v>
      </c>
      <c r="G4163" t="n">
        <v>40</v>
      </c>
      <c r="H4163" t="n">
        <v>40</v>
      </c>
      <c r="I4163">
        <f>B4163&amp;"|"&amp;C4163</f>
        <v/>
      </c>
      <c r="J4163" t="inlineStr">
        <is>
          <t>Cocktail lounges, good and excellent</t>
        </is>
      </c>
    </row>
    <row r="4164">
      <c r="B4164" t="inlineStr">
        <is>
          <t>Cocktail Lounges</t>
        </is>
      </c>
      <c r="C4164" t="inlineStr">
        <is>
          <t>Average</t>
        </is>
      </c>
      <c r="D4164" t="n">
        <v>40</v>
      </c>
      <c r="E4164" t="n">
        <v>40</v>
      </c>
      <c r="F4164" t="n">
        <v>40</v>
      </c>
      <c r="G4164" t="n">
        <v>35</v>
      </c>
      <c r="H4164" t="n">
        <v>35</v>
      </c>
      <c r="I4164">
        <f>B4164&amp;"|"&amp;C4164</f>
        <v/>
      </c>
      <c r="J4164" t="inlineStr">
        <is>
          <t>average</t>
        </is>
      </c>
    </row>
    <row r="4165">
      <c r="B4165" t="inlineStr">
        <is>
          <t>Cocktail Lounges</t>
        </is>
      </c>
      <c r="C4165" t="inlineStr">
        <is>
          <t>Excellent</t>
        </is>
      </c>
      <c r="D4165" t="n">
        <v>45</v>
      </c>
      <c r="E4165" t="n">
        <v>45</v>
      </c>
      <c r="F4165" t="n">
        <v>40</v>
      </c>
      <c r="G4165" t="n">
        <v>40</v>
      </c>
      <c r="H4165" t="n">
        <v>40</v>
      </c>
      <c r="I4165">
        <f>B4165&amp;"|"&amp;C4165</f>
        <v/>
      </c>
      <c r="J4165" t="inlineStr">
        <is>
          <t>Cocktail lounges, good and excellent</t>
        </is>
      </c>
    </row>
    <row r="4166">
      <c r="B4166" t="inlineStr">
        <is>
          <t>Cocktail Lounges</t>
        </is>
      </c>
      <c r="C4166" t="inlineStr">
        <is>
          <t>Low Cost</t>
        </is>
      </c>
      <c r="F4166" t="n">
        <v>35</v>
      </c>
      <c r="G4166" t="n">
        <v>35</v>
      </c>
      <c r="H4166" t="n">
        <v>35</v>
      </c>
      <c r="I4166">
        <f>B4166&amp;"|"&amp;C4166</f>
        <v/>
      </c>
      <c r="J4166" t="inlineStr">
        <is>
          <t>low cost</t>
        </is>
      </c>
    </row>
    <row r="4167">
      <c r="B4167" t="inlineStr">
        <is>
          <t>Restaurants</t>
        </is>
      </c>
      <c r="C4167" t="inlineStr">
        <is>
          <t>Excellent</t>
        </is>
      </c>
      <c r="D4167" t="n">
        <v>45</v>
      </c>
      <c r="E4167" t="n">
        <v>45</v>
      </c>
      <c r="F4167" t="n">
        <v>40</v>
      </c>
      <c r="G4167" t="n">
        <v>40</v>
      </c>
      <c r="H4167" t="n">
        <v>40</v>
      </c>
      <c r="I4167">
        <f>B4167&amp;"|"&amp;C4167</f>
        <v/>
      </c>
      <c r="J4167" t="inlineStr">
        <is>
          <t>Restaurants, very good and excellent</t>
        </is>
      </c>
    </row>
    <row r="4168">
      <c r="B4168" t="inlineStr">
        <is>
          <t>Restaurants</t>
        </is>
      </c>
      <c r="C4168" t="inlineStr">
        <is>
          <t>Good</t>
        </is>
      </c>
      <c r="D4168" t="n">
        <v>40</v>
      </c>
      <c r="E4168" t="n">
        <v>40</v>
      </c>
      <c r="F4168" t="n">
        <v>35</v>
      </c>
      <c r="G4168" t="n">
        <v>35</v>
      </c>
      <c r="H4168" t="n">
        <v>35</v>
      </c>
      <c r="I4168">
        <f>B4168&amp;"|"&amp;C4168</f>
        <v/>
      </c>
      <c r="J4168" t="inlineStr">
        <is>
          <t>average and good</t>
        </is>
      </c>
    </row>
    <row r="4169">
      <c r="B4169" t="inlineStr">
        <is>
          <t>Restaurants</t>
        </is>
      </c>
      <c r="C4169" t="inlineStr">
        <is>
          <t>Average</t>
        </is>
      </c>
      <c r="D4169" t="n">
        <v>40</v>
      </c>
      <c r="E4169" t="n">
        <v>40</v>
      </c>
      <c r="F4169" t="n">
        <v>35</v>
      </c>
      <c r="G4169" t="n">
        <v>35</v>
      </c>
      <c r="H4169" t="n">
        <v>35</v>
      </c>
      <c r="I4169">
        <f>B4169&amp;"|"&amp;C4169</f>
        <v/>
      </c>
      <c r="J4169" t="inlineStr">
        <is>
          <t>average and good</t>
        </is>
      </c>
    </row>
    <row r="4170">
      <c r="B4170" t="inlineStr">
        <is>
          <t>Restaurants</t>
        </is>
      </c>
      <c r="C4170" t="inlineStr">
        <is>
          <t>Very Good</t>
        </is>
      </c>
      <c r="D4170" t="n">
        <v>45</v>
      </c>
      <c r="E4170" t="n">
        <v>45</v>
      </c>
      <c r="F4170" t="n">
        <v>40</v>
      </c>
      <c r="G4170" t="n">
        <v>40</v>
      </c>
      <c r="H4170" t="n">
        <v>40</v>
      </c>
      <c r="I4170">
        <f>B4170&amp;"|"&amp;C4170</f>
        <v/>
      </c>
      <c r="J4170" t="inlineStr">
        <is>
          <t>Restaurants, very good and excellent</t>
        </is>
      </c>
    </row>
    <row r="4171">
      <c r="B4171" t="inlineStr">
        <is>
          <t>Restaurants</t>
        </is>
      </c>
      <c r="C4171" t="inlineStr">
        <is>
          <t>Low Cost</t>
        </is>
      </c>
      <c r="F4171" t="n">
        <v>30</v>
      </c>
      <c r="G4171" t="n">
        <v>30</v>
      </c>
      <c r="H4171" t="n">
        <v>30</v>
      </c>
      <c r="I4171">
        <f>B4171&amp;"|"&amp;C4171</f>
        <v/>
      </c>
      <c r="J4171" t="inlineStr">
        <is>
          <t>low cost</t>
        </is>
      </c>
    </row>
    <row r="4172">
      <c r="B4172" t="inlineStr">
        <is>
          <t>Restaurants – Cafeterias</t>
        </is>
      </c>
      <c r="C4172" t="inlineStr">
        <is>
          <t>Good</t>
        </is>
      </c>
      <c r="D4172" t="n">
        <v>45</v>
      </c>
      <c r="E4172" t="n">
        <v>45</v>
      </c>
      <c r="F4172" t="n">
        <v>35</v>
      </c>
      <c r="G4172" t="n">
        <v>35</v>
      </c>
      <c r="H4172" t="n">
        <v>35</v>
      </c>
      <c r="I4172">
        <f>B4172&amp;"|"&amp;C4172</f>
        <v/>
      </c>
      <c r="J4172" t="inlineStr">
        <is>
          <t>good</t>
        </is>
      </c>
    </row>
    <row r="4173">
      <c r="B4173" t="inlineStr">
        <is>
          <t>Restaurants – Cafeterias</t>
        </is>
      </c>
      <c r="C4173" t="inlineStr">
        <is>
          <t>Average</t>
        </is>
      </c>
      <c r="D4173" t="n">
        <v>40</v>
      </c>
      <c r="E4173" t="n">
        <v>40</v>
      </c>
      <c r="F4173" t="n">
        <v>35</v>
      </c>
      <c r="G4173" t="n">
        <v>30</v>
      </c>
      <c r="H4173" t="n">
        <v>30</v>
      </c>
      <c r="I4173">
        <f>B4173&amp;"|"&amp;C4173</f>
        <v/>
      </c>
      <c r="J4173" t="inlineStr">
        <is>
          <t>low cost and average</t>
        </is>
      </c>
    </row>
    <row r="4174">
      <c r="B4174" t="inlineStr">
        <is>
          <t>Restaurants – Cafeterias</t>
        </is>
      </c>
      <c r="C4174" t="inlineStr">
        <is>
          <t>Excellent</t>
        </is>
      </c>
      <c r="F4174" t="n">
        <v>45</v>
      </c>
      <c r="G4174" t="n">
        <v>40</v>
      </c>
      <c r="I4174">
        <f>B4174&amp;"|"&amp;C4174</f>
        <v/>
      </c>
      <c r="J4174" t="inlineStr">
        <is>
          <t>Cafeterias, excellent</t>
        </is>
      </c>
    </row>
    <row r="4175">
      <c r="B4175" t="inlineStr">
        <is>
          <t>Restaurants – Cafeterias</t>
        </is>
      </c>
      <c r="C4175" t="inlineStr">
        <is>
          <t>Low Cost</t>
        </is>
      </c>
      <c r="D4175" t="n">
        <v>40</v>
      </c>
      <c r="E4175" t="n">
        <v>40</v>
      </c>
      <c r="F4175" t="n">
        <v>35</v>
      </c>
      <c r="G4175" t="n">
        <v>30</v>
      </c>
      <c r="H4175" t="n">
        <v>30</v>
      </c>
      <c r="I4175">
        <f>B4175&amp;"|"&amp;C4175</f>
        <v/>
      </c>
      <c r="J4175" t="inlineStr">
        <is>
          <t>low cost and average</t>
        </is>
      </c>
    </row>
    <row r="4176">
      <c r="B4176" t="inlineStr">
        <is>
          <t>Truck Stop Restaurants</t>
        </is>
      </c>
      <c r="C4176" t="inlineStr">
        <is>
          <t>Excellent</t>
        </is>
      </c>
      <c r="F4176" t="n">
        <v>35</v>
      </c>
      <c r="G4176" t="n">
        <v>35</v>
      </c>
      <c r="H4176" t="n">
        <v>35</v>
      </c>
      <c r="I4176">
        <f>B4176&amp;"|"&amp;C4176</f>
        <v/>
      </c>
      <c r="J4176" t="inlineStr">
        <is>
          <t>Truck stop restaurants, good</t>
        </is>
      </c>
    </row>
    <row r="4177">
      <c r="B4177" t="inlineStr">
        <is>
          <t>Truck Stop Restaurants</t>
        </is>
      </c>
      <c r="C4177" t="inlineStr">
        <is>
          <t>Good</t>
        </is>
      </c>
      <c r="F4177" t="n">
        <v>35</v>
      </c>
      <c r="G4177" t="n">
        <v>35</v>
      </c>
      <c r="H4177" t="n">
        <v>35</v>
      </c>
      <c r="I4177">
        <f>B4177&amp;"|"&amp;C4177</f>
        <v/>
      </c>
      <c r="J4177" t="inlineStr">
        <is>
          <t>Truck stop restaurants, good</t>
        </is>
      </c>
    </row>
    <row r="4178">
      <c r="B4178" t="inlineStr">
        <is>
          <t>Truck Stop Restaurants</t>
        </is>
      </c>
      <c r="C4178" t="inlineStr">
        <is>
          <t>Average</t>
        </is>
      </c>
      <c r="F4178" t="n">
        <v>30</v>
      </c>
      <c r="G4178" t="n">
        <v>30</v>
      </c>
      <c r="H4178" t="n">
        <v>30</v>
      </c>
      <c r="I4178">
        <f>B4178&amp;"|"&amp;C4178</f>
        <v/>
      </c>
      <c r="J4178" t="inlineStr">
        <is>
          <t>average</t>
        </is>
      </c>
    </row>
    <row r="4179">
      <c r="B4179" t="inlineStr">
        <is>
          <t>Dining Atriums/Play Rooms</t>
        </is>
      </c>
      <c r="C4179" t="inlineStr">
        <is>
          <t>Good</t>
        </is>
      </c>
      <c r="F4179" t="n">
        <v>35</v>
      </c>
      <c r="G4179" t="n">
        <v>35</v>
      </c>
      <c r="H4179" t="n">
        <v>35</v>
      </c>
      <c r="I4179">
        <f>B4179&amp;"|"&amp;C4179</f>
        <v/>
      </c>
      <c r="J4179" t="inlineStr">
        <is>
          <t>Dining atriums and playrooms, good to excellent</t>
        </is>
      </c>
    </row>
    <row r="4180">
      <c r="B4180" t="inlineStr">
        <is>
          <t>Dining Atriums/Play Rooms</t>
        </is>
      </c>
      <c r="C4180" t="inlineStr">
        <is>
          <t>Average</t>
        </is>
      </c>
      <c r="F4180" t="n">
        <v>30</v>
      </c>
      <c r="G4180" t="n">
        <v>30</v>
      </c>
      <c r="H4180" t="n">
        <v>30</v>
      </c>
      <c r="I4180">
        <f>B4180&amp;"|"&amp;C4180</f>
        <v/>
      </c>
      <c r="J4180" t="inlineStr">
        <is>
          <t>low cost and average</t>
        </is>
      </c>
    </row>
    <row r="4181">
      <c r="B4181" t="inlineStr">
        <is>
          <t>Dining Atriums/Play Rooms</t>
        </is>
      </c>
      <c r="C4181" t="inlineStr">
        <is>
          <t>Low Cost</t>
        </is>
      </c>
      <c r="F4181" t="n">
        <v>30</v>
      </c>
      <c r="G4181" t="n">
        <v>30</v>
      </c>
      <c r="H4181" t="n">
        <v>30</v>
      </c>
      <c r="I4181">
        <f>B4181&amp;"|"&amp;C4181</f>
        <v/>
      </c>
      <c r="J4181" t="inlineStr">
        <is>
          <t>low cost and average</t>
        </is>
      </c>
    </row>
    <row r="4182">
      <c r="B4182" t="inlineStr">
        <is>
          <t>Dining Atriums/Play Rooms</t>
        </is>
      </c>
      <c r="C4182" t="inlineStr">
        <is>
          <t>Excellent</t>
        </is>
      </c>
      <c r="F4182" t="n">
        <v>35</v>
      </c>
      <c r="G4182" t="n">
        <v>35</v>
      </c>
      <c r="H4182" t="n">
        <v>35</v>
      </c>
      <c r="I4182">
        <f>B4182&amp;"|"&amp;C4182</f>
        <v/>
      </c>
      <c r="J4182" t="inlineStr">
        <is>
          <t>Dining atriums and playrooms, good to excellent</t>
        </is>
      </c>
    </row>
    <row r="4183">
      <c r="B4183" t="inlineStr">
        <is>
          <t>Dining Atriums/Play Rooms</t>
        </is>
      </c>
      <c r="C4183" t="inlineStr">
        <is>
          <t>Very Good</t>
        </is>
      </c>
      <c r="F4183" t="n">
        <v>35</v>
      </c>
      <c r="G4183" t="n">
        <v>35</v>
      </c>
      <c r="H4183" t="n">
        <v>35</v>
      </c>
      <c r="I4183">
        <f>B4183&amp;"|"&amp;C4183</f>
        <v/>
      </c>
      <c r="J4183" t="inlineStr">
        <is>
          <t>Dining atriums and playrooms, good to excellent</t>
        </is>
      </c>
    </row>
    <row r="4184">
      <c r="B4184" t="inlineStr">
        <is>
          <t>Dining Atriums/Play Rooms</t>
        </is>
      </c>
      <c r="C4184" t="inlineStr">
        <is>
          <t>Cheap</t>
        </is>
      </c>
      <c r="H4184" t="n">
        <v>10</v>
      </c>
      <c r="I4184">
        <f>B4184&amp;"|"&amp;C4184</f>
        <v/>
      </c>
      <c r="J4184" t="inlineStr">
        <is>
          <t>cheap</t>
        </is>
      </c>
    </row>
    <row r="4185">
      <c r="B4185" t="inlineStr">
        <is>
          <t>Restaurants – Fast Food</t>
        </is>
      </c>
      <c r="C4185" t="inlineStr">
        <is>
          <t>Good</t>
        </is>
      </c>
      <c r="D4185" t="n">
        <v>35</v>
      </c>
      <c r="E4185" t="n">
        <v>35</v>
      </c>
      <c r="F4185" t="n">
        <v>30</v>
      </c>
      <c r="G4185" t="n">
        <v>30</v>
      </c>
      <c r="H4185" t="n">
        <v>30</v>
      </c>
      <c r="I4185">
        <f>B4185&amp;"|"&amp;C4185</f>
        <v/>
      </c>
      <c r="J4185" t="inlineStr">
        <is>
          <t>low cost, average and good</t>
        </is>
      </c>
    </row>
    <row r="4186">
      <c r="B4186" t="inlineStr">
        <is>
          <t>Restaurants – Fast Food</t>
        </is>
      </c>
      <c r="C4186" t="inlineStr">
        <is>
          <t>Average</t>
        </is>
      </c>
      <c r="D4186" t="n">
        <v>35</v>
      </c>
      <c r="E4186" t="n">
        <v>35</v>
      </c>
      <c r="F4186" t="n">
        <v>30</v>
      </c>
      <c r="G4186" t="n">
        <v>30</v>
      </c>
      <c r="H4186" t="n">
        <v>30</v>
      </c>
      <c r="I4186">
        <f>B4186&amp;"|"&amp;C4186</f>
        <v/>
      </c>
      <c r="J4186" t="inlineStr">
        <is>
          <t>low cost, average and good</t>
        </is>
      </c>
    </row>
    <row r="4187">
      <c r="B4187" t="inlineStr">
        <is>
          <t>Restaurants – Fast Food</t>
        </is>
      </c>
      <c r="C4187" t="inlineStr">
        <is>
          <t>Excellent</t>
        </is>
      </c>
      <c r="D4187" t="n">
        <v>40</v>
      </c>
      <c r="E4187" t="n">
        <v>40</v>
      </c>
      <c r="F4187" t="n">
        <v>35</v>
      </c>
      <c r="G4187" t="n">
        <v>35</v>
      </c>
      <c r="H4187" t="n">
        <v>35</v>
      </c>
      <c r="I4187">
        <f>B4187&amp;"|"&amp;C4187</f>
        <v/>
      </c>
      <c r="J4187" t="inlineStr">
        <is>
          <t>Fast-food restaurants, very good and excellent</t>
        </is>
      </c>
    </row>
    <row r="4188">
      <c r="B4188" t="inlineStr">
        <is>
          <t>Restaurants – Fast Food</t>
        </is>
      </c>
      <c r="C4188" t="inlineStr">
        <is>
          <t>Very Good</t>
        </is>
      </c>
      <c r="D4188" t="n">
        <v>40</v>
      </c>
      <c r="E4188" t="n">
        <v>40</v>
      </c>
      <c r="F4188" t="n">
        <v>35</v>
      </c>
      <c r="G4188" t="n">
        <v>35</v>
      </c>
      <c r="H4188" t="n">
        <v>35</v>
      </c>
      <c r="I4188">
        <f>B4188&amp;"|"&amp;C4188</f>
        <v/>
      </c>
      <c r="J4188" t="inlineStr">
        <is>
          <t>Fast-food restaurants, very good and excellent</t>
        </is>
      </c>
    </row>
    <row r="4189">
      <c r="B4189" t="inlineStr">
        <is>
          <t>Restaurants – Fast Food</t>
        </is>
      </c>
      <c r="C4189" t="inlineStr">
        <is>
          <t>Low Cost</t>
        </is>
      </c>
      <c r="D4189" t="n">
        <v>35</v>
      </c>
      <c r="E4189" t="n">
        <v>35</v>
      </c>
      <c r="F4189" t="n">
        <v>30</v>
      </c>
      <c r="G4189" t="n">
        <v>30</v>
      </c>
      <c r="H4189" t="n">
        <v>30</v>
      </c>
      <c r="I4189">
        <f>B4189&amp;"|"&amp;C4189</f>
        <v/>
      </c>
      <c r="J4189" t="inlineStr">
        <is>
          <t>low cost, average and good</t>
        </is>
      </c>
    </row>
    <row r="4190">
      <c r="B4190" t="inlineStr">
        <is>
          <t>Snack Bars</t>
        </is>
      </c>
      <c r="C4190" t="inlineStr">
        <is>
          <t>Excellent</t>
        </is>
      </c>
      <c r="F4190" t="n">
        <v>35</v>
      </c>
      <c r="G4190" t="n">
        <v>35</v>
      </c>
      <c r="I4190">
        <f>B4190&amp;"|"&amp;C4190</f>
        <v/>
      </c>
      <c r="J4190" t="inlineStr">
        <is>
          <t>Snack bars, excellent</t>
        </is>
      </c>
    </row>
    <row r="4191">
      <c r="B4191" t="inlineStr">
        <is>
          <t>Snack Bars</t>
        </is>
      </c>
      <c r="C4191" t="inlineStr">
        <is>
          <t>Good</t>
        </is>
      </c>
      <c r="F4191" t="n">
        <v>35</v>
      </c>
      <c r="G4191" t="n">
        <v>30</v>
      </c>
      <c r="I4191">
        <f>B4191&amp;"|"&amp;C4191</f>
        <v/>
      </c>
      <c r="J4191" t="inlineStr">
        <is>
          <t>good</t>
        </is>
      </c>
    </row>
    <row r="4192">
      <c r="B4192" t="inlineStr">
        <is>
          <t>Snack Bars</t>
        </is>
      </c>
      <c r="C4192" t="inlineStr">
        <is>
          <t>Average</t>
        </is>
      </c>
      <c r="F4192" t="n">
        <v>30</v>
      </c>
      <c r="G4192" t="n">
        <v>25</v>
      </c>
      <c r="H4192" t="n">
        <v>25</v>
      </c>
      <c r="I4192">
        <f>B4192&amp;"|"&amp;C4192</f>
        <v/>
      </c>
      <c r="J4192" t="inlineStr">
        <is>
          <t>average</t>
        </is>
      </c>
    </row>
    <row r="4193">
      <c r="B4193" t="inlineStr">
        <is>
          <t>Snack Bars</t>
        </is>
      </c>
      <c r="C4193" t="inlineStr">
        <is>
          <t>Low Cost</t>
        </is>
      </c>
      <c r="F4193" t="n">
        <v>25</v>
      </c>
      <c r="G4193" t="n">
        <v>20</v>
      </c>
      <c r="H4193" t="n">
        <v>20</v>
      </c>
      <c r="I4193">
        <f>B4193&amp;"|"&amp;C4193</f>
        <v/>
      </c>
      <c r="J4193" t="inlineStr">
        <is>
          <t>low cost</t>
        </is>
      </c>
    </row>
    <row r="4194">
      <c r="B4194" t="inlineStr">
        <is>
          <t>Snack Bars</t>
        </is>
      </c>
      <c r="C4194" t="inlineStr">
        <is>
          <t>Cheap</t>
        </is>
      </c>
      <c r="F4194" t="n">
        <v>20</v>
      </c>
      <c r="G4194" t="n">
        <v>15</v>
      </c>
      <c r="H4194" t="n">
        <v>15</v>
      </c>
      <c r="I4194">
        <f>B4194&amp;"|"&amp;C4194</f>
        <v/>
      </c>
      <c r="J4194" t="inlineStr">
        <is>
          <t>cheap</t>
        </is>
      </c>
    </row>
    <row r="4195">
      <c r="B4195" t="inlineStr">
        <is>
          <t>Banquet Halls</t>
        </is>
      </c>
      <c r="C4195" t="inlineStr">
        <is>
          <t>Excellent</t>
        </is>
      </c>
      <c r="F4195" t="n">
        <v>50</v>
      </c>
      <c r="G4195" t="n">
        <v>45</v>
      </c>
      <c r="I4195">
        <f>B4195&amp;"|"&amp;C4195</f>
        <v/>
      </c>
      <c r="J4195" t="inlineStr">
        <is>
          <t>Banquet halls, excellent</t>
        </is>
      </c>
    </row>
    <row r="4196">
      <c r="B4196" t="inlineStr">
        <is>
          <t>Banquet Halls</t>
        </is>
      </c>
      <c r="C4196" t="inlineStr">
        <is>
          <t>Good</t>
        </is>
      </c>
      <c r="F4196" t="n">
        <v>45</v>
      </c>
      <c r="G4196" t="n">
        <v>40</v>
      </c>
      <c r="H4196" t="n">
        <v>40</v>
      </c>
      <c r="I4196">
        <f>B4196&amp;"|"&amp;C4196</f>
        <v/>
      </c>
      <c r="J4196" t="inlineStr">
        <is>
          <t>good</t>
        </is>
      </c>
    </row>
    <row r="4197">
      <c r="B4197" t="inlineStr">
        <is>
          <t>Banquet Halls</t>
        </is>
      </c>
      <c r="C4197" t="inlineStr">
        <is>
          <t>Average</t>
        </is>
      </c>
      <c r="F4197" t="n">
        <v>40</v>
      </c>
      <c r="G4197" t="n">
        <v>35</v>
      </c>
      <c r="H4197" t="n">
        <v>35</v>
      </c>
      <c r="I4197">
        <f>B4197&amp;"|"&amp;C4197</f>
        <v/>
      </c>
      <c r="J4197" t="inlineStr">
        <is>
          <t>average</t>
        </is>
      </c>
    </row>
    <row r="4198">
      <c r="B4198" t="inlineStr">
        <is>
          <t>Banquet Halls</t>
        </is>
      </c>
      <c r="C4198" t="inlineStr">
        <is>
          <t>Low Cost</t>
        </is>
      </c>
      <c r="F4198" t="n">
        <v>35</v>
      </c>
      <c r="G4198" t="n">
        <v>30</v>
      </c>
      <c r="H4198" t="n">
        <v>30</v>
      </c>
      <c r="I4198">
        <f>B4198&amp;"|"&amp;C4198</f>
        <v/>
      </c>
      <c r="J4198" t="inlineStr">
        <is>
          <t>low cost</t>
        </is>
      </c>
    </row>
    <row r="4199">
      <c r="B4199" t="inlineStr">
        <is>
          <t>Modular Restaurants – Diners</t>
        </is>
      </c>
      <c r="C4199" t="inlineStr">
        <is>
          <t>Excellent</t>
        </is>
      </c>
      <c r="H4199" t="n">
        <v>35</v>
      </c>
      <c r="I4199">
        <f>B4199&amp;"|"&amp;C4199</f>
        <v/>
      </c>
      <c r="J4199" t="inlineStr">
        <is>
          <t>Modular, resturants excellent</t>
        </is>
      </c>
    </row>
    <row r="4200">
      <c r="B4200" t="inlineStr">
        <is>
          <t>Modular Restaurants – Diners</t>
        </is>
      </c>
      <c r="C4200" t="inlineStr">
        <is>
          <t>Good</t>
        </is>
      </c>
      <c r="H4200" t="n">
        <v>30</v>
      </c>
      <c r="I4200">
        <f>B4200&amp;"|"&amp;C4200</f>
        <v/>
      </c>
      <c r="J4200" t="inlineStr">
        <is>
          <t>low cost, average and good</t>
        </is>
      </c>
    </row>
    <row r="4201">
      <c r="B4201" t="inlineStr">
        <is>
          <t>Modular Restaurants – Diners</t>
        </is>
      </c>
      <c r="C4201" t="inlineStr">
        <is>
          <t>Average</t>
        </is>
      </c>
      <c r="H4201" t="n">
        <v>30</v>
      </c>
      <c r="I4201">
        <f>B4201&amp;"|"&amp;C4201</f>
        <v/>
      </c>
      <c r="J4201" t="inlineStr">
        <is>
          <t>low cost, average and good</t>
        </is>
      </c>
    </row>
    <row r="4202">
      <c r="B4202" t="inlineStr">
        <is>
          <t>Modular Restaurants – Diners</t>
        </is>
      </c>
      <c r="C4202" t="inlineStr">
        <is>
          <t>Low Cost</t>
        </is>
      </c>
      <c r="H4202" t="n">
        <v>30</v>
      </c>
      <c r="I4202">
        <f>B4202&amp;"|"&amp;C4202</f>
        <v/>
      </c>
      <c r="J4202" t="inlineStr">
        <is>
          <t>low cost, average and good</t>
        </is>
      </c>
    </row>
    <row r="4203">
      <c r="B4203" t="inlineStr">
        <is>
          <t>Supermarkets</t>
        </is>
      </c>
      <c r="C4203" t="inlineStr">
        <is>
          <t>Good</t>
        </is>
      </c>
      <c r="D4203" t="n">
        <v>40</v>
      </c>
      <c r="E4203" t="n">
        <v>40</v>
      </c>
      <c r="F4203" t="n">
        <v>40</v>
      </c>
      <c r="G4203" t="n">
        <v>35</v>
      </c>
      <c r="H4203" t="n">
        <v>35</v>
      </c>
      <c r="I4203">
        <f>B4203&amp;"|"&amp;C4203</f>
        <v/>
      </c>
      <c r="J4203" t="inlineStr">
        <is>
          <t>average and good</t>
        </is>
      </c>
    </row>
    <row r="4204">
      <c r="B4204" t="inlineStr">
        <is>
          <t>Supermarkets</t>
        </is>
      </c>
      <c r="C4204" t="inlineStr">
        <is>
          <t>Average</t>
        </is>
      </c>
      <c r="D4204" t="n">
        <v>40</v>
      </c>
      <c r="E4204" t="n">
        <v>40</v>
      </c>
      <c r="F4204" t="n">
        <v>40</v>
      </c>
      <c r="G4204" t="n">
        <v>35</v>
      </c>
      <c r="H4204" t="n">
        <v>35</v>
      </c>
      <c r="I4204">
        <f>B4204&amp;"|"&amp;C4204</f>
        <v/>
      </c>
      <c r="J4204" t="inlineStr">
        <is>
          <t>average and good</t>
        </is>
      </c>
    </row>
    <row r="4205">
      <c r="B4205" t="inlineStr">
        <is>
          <t>Supermarkets</t>
        </is>
      </c>
      <c r="C4205" t="inlineStr">
        <is>
          <t>Excellent</t>
        </is>
      </c>
      <c r="F4205" t="n">
        <v>45</v>
      </c>
      <c r="G4205" t="n">
        <v>40</v>
      </c>
      <c r="H4205" t="n">
        <v>40</v>
      </c>
      <c r="I4205">
        <f>B4205&amp;"|"&amp;C4205</f>
        <v/>
      </c>
      <c r="J4205" t="inlineStr">
        <is>
          <t>Markets and supermarkets, excellent</t>
        </is>
      </c>
    </row>
    <row r="4206">
      <c r="B4206" t="inlineStr">
        <is>
          <t>Supermarkets</t>
        </is>
      </c>
      <c r="C4206" t="inlineStr">
        <is>
          <t>Low Cost</t>
        </is>
      </c>
      <c r="F4206" t="n">
        <v>35</v>
      </c>
      <c r="G4206" t="n">
        <v>30</v>
      </c>
      <c r="H4206" t="n">
        <v>30</v>
      </c>
      <c r="I4206">
        <f>B4206&amp;"|"&amp;C4206</f>
        <v/>
      </c>
      <c r="J4206" t="inlineStr">
        <is>
          <t>low cost</t>
        </is>
      </c>
    </row>
    <row r="4207">
      <c r="B4207" t="inlineStr">
        <is>
          <t>Drug Stores</t>
        </is>
      </c>
      <c r="C4207" t="inlineStr">
        <is>
          <t>Average</t>
        </is>
      </c>
      <c r="D4207" t="n">
        <v>45</v>
      </c>
      <c r="E4207" t="n">
        <v>45</v>
      </c>
      <c r="F4207" t="n">
        <v>40</v>
      </c>
      <c r="G4207" t="n">
        <v>35</v>
      </c>
      <c r="I4207">
        <f>B4207&amp;"|"&amp;C4207</f>
        <v/>
      </c>
      <c r="J4207" t="inlineStr">
        <is>
          <t>average and good</t>
        </is>
      </c>
    </row>
    <row r="4208">
      <c r="B4208" t="inlineStr">
        <is>
          <t>Drug Stores</t>
        </is>
      </c>
      <c r="C4208" t="inlineStr">
        <is>
          <t>Excellent</t>
        </is>
      </c>
      <c r="F4208" t="n">
        <v>45</v>
      </c>
      <c r="G4208" t="n">
        <v>40</v>
      </c>
      <c r="I4208">
        <f>B4208&amp;"|"&amp;C4208</f>
        <v/>
      </c>
      <c r="J4208" t="inlineStr">
        <is>
          <t>Drug stores, excellent</t>
        </is>
      </c>
    </row>
    <row r="4209">
      <c r="B4209" t="inlineStr">
        <is>
          <t>Drug Stores</t>
        </is>
      </c>
      <c r="C4209" t="inlineStr">
        <is>
          <t>Good</t>
        </is>
      </c>
      <c r="D4209" t="n">
        <v>45</v>
      </c>
      <c r="E4209" t="n">
        <v>45</v>
      </c>
      <c r="F4209" t="n">
        <v>40</v>
      </c>
      <c r="G4209" t="n">
        <v>35</v>
      </c>
      <c r="I4209">
        <f>B4209&amp;"|"&amp;C4209</f>
        <v/>
      </c>
      <c r="J4209" t="inlineStr">
        <is>
          <t>average and good</t>
        </is>
      </c>
    </row>
    <row r="4210">
      <c r="B4210" t="inlineStr">
        <is>
          <t>Drug Stores</t>
        </is>
      </c>
      <c r="C4210" t="inlineStr">
        <is>
          <t>Low Cost</t>
        </is>
      </c>
      <c r="F4210" t="n">
        <v>35</v>
      </c>
      <c r="G4210" t="n">
        <v>30</v>
      </c>
      <c r="H4210" t="n">
        <v>30</v>
      </c>
      <c r="I4210">
        <f>B4210&amp;"|"&amp;C4210</f>
        <v/>
      </c>
      <c r="J4210" t="inlineStr">
        <is>
          <t>low cost</t>
        </is>
      </c>
    </row>
    <row r="4211">
      <c r="B4211" t="inlineStr">
        <is>
          <t>Markets</t>
        </is>
      </c>
      <c r="C4211" t="inlineStr">
        <is>
          <t>Average</t>
        </is>
      </c>
      <c r="D4211" t="n">
        <v>40</v>
      </c>
      <c r="E4211" t="n">
        <v>40</v>
      </c>
      <c r="F4211" t="n">
        <v>40</v>
      </c>
      <c r="G4211" t="n">
        <v>35</v>
      </c>
      <c r="H4211" t="n">
        <v>35</v>
      </c>
      <c r="I4211">
        <f>B4211&amp;"|"&amp;C4211</f>
        <v/>
      </c>
      <c r="J4211" t="inlineStr">
        <is>
          <t>average and good</t>
        </is>
      </c>
    </row>
    <row r="4212">
      <c r="B4212" t="inlineStr">
        <is>
          <t>Markets</t>
        </is>
      </c>
      <c r="C4212" t="inlineStr">
        <is>
          <t>Excellent</t>
        </is>
      </c>
      <c r="F4212" t="n">
        <v>45</v>
      </c>
      <c r="G4212" t="n">
        <v>40</v>
      </c>
      <c r="H4212" t="n">
        <v>40</v>
      </c>
      <c r="I4212">
        <f>B4212&amp;"|"&amp;C4212</f>
        <v/>
      </c>
      <c r="J4212" t="inlineStr">
        <is>
          <t>Markets and supermarkets, excellent</t>
        </is>
      </c>
    </row>
    <row r="4213">
      <c r="B4213" t="inlineStr">
        <is>
          <t>Markets</t>
        </is>
      </c>
      <c r="C4213" t="inlineStr">
        <is>
          <t>Good</t>
        </is>
      </c>
      <c r="D4213" t="n">
        <v>40</v>
      </c>
      <c r="E4213" t="n">
        <v>40</v>
      </c>
      <c r="F4213" t="n">
        <v>40</v>
      </c>
      <c r="G4213" t="n">
        <v>35</v>
      </c>
      <c r="H4213" t="n">
        <v>35</v>
      </c>
      <c r="I4213">
        <f>B4213&amp;"|"&amp;C4213</f>
        <v/>
      </c>
      <c r="J4213" t="inlineStr">
        <is>
          <t>average and good</t>
        </is>
      </c>
    </row>
    <row r="4214">
      <c r="B4214" t="inlineStr">
        <is>
          <t>Markets</t>
        </is>
      </c>
      <c r="C4214" t="inlineStr">
        <is>
          <t>Low Cost</t>
        </is>
      </c>
      <c r="F4214" t="n">
        <v>35</v>
      </c>
      <c r="G4214" t="n">
        <v>30</v>
      </c>
      <c r="H4214" t="n">
        <v>30</v>
      </c>
      <c r="I4214">
        <f>B4214&amp;"|"&amp;C4214</f>
        <v/>
      </c>
      <c r="J4214" t="inlineStr">
        <is>
          <t>low cost</t>
        </is>
      </c>
    </row>
    <row r="4215">
      <c r="B4215" t="inlineStr">
        <is>
          <t>Florist Shops</t>
        </is>
      </c>
      <c r="C4215" t="inlineStr">
        <is>
          <t>Average</t>
        </is>
      </c>
      <c r="D4215" t="n">
        <v>50</v>
      </c>
      <c r="E4215" t="n">
        <v>50</v>
      </c>
      <c r="F4215" t="n">
        <v>40</v>
      </c>
      <c r="G4215" t="n">
        <v>35</v>
      </c>
      <c r="H4215" t="n">
        <v>35</v>
      </c>
      <c r="I4215">
        <f>B4215&amp;"|"&amp;C4215</f>
        <v/>
      </c>
      <c r="J4215" t="inlineStr">
        <is>
          <t>average and good</t>
        </is>
      </c>
    </row>
    <row r="4216">
      <c r="B4216" t="inlineStr">
        <is>
          <t>Florist Shops</t>
        </is>
      </c>
      <c r="C4216" t="inlineStr">
        <is>
          <t>Excellent</t>
        </is>
      </c>
      <c r="F4216" t="n">
        <v>45</v>
      </c>
      <c r="G4216" t="n">
        <v>40</v>
      </c>
      <c r="H4216" t="n">
        <v>40</v>
      </c>
      <c r="I4216">
        <f>B4216&amp;"|"&amp;C4216</f>
        <v/>
      </c>
      <c r="J4216" t="inlineStr">
        <is>
          <t>Florist shops, excellent</t>
        </is>
      </c>
    </row>
    <row r="4217">
      <c r="B4217" t="inlineStr">
        <is>
          <t>Florist Shops</t>
        </is>
      </c>
      <c r="C4217" t="inlineStr">
        <is>
          <t>Good</t>
        </is>
      </c>
      <c r="D4217" t="n">
        <v>50</v>
      </c>
      <c r="E4217" t="n">
        <v>50</v>
      </c>
      <c r="F4217" t="n">
        <v>40</v>
      </c>
      <c r="G4217" t="n">
        <v>35</v>
      </c>
      <c r="H4217" t="n">
        <v>35</v>
      </c>
      <c r="I4217">
        <f>B4217&amp;"|"&amp;C4217</f>
        <v/>
      </c>
      <c r="J4217" t="inlineStr">
        <is>
          <t>average and good</t>
        </is>
      </c>
    </row>
    <row r="4218">
      <c r="B4218" t="inlineStr">
        <is>
          <t>Florist Shops</t>
        </is>
      </c>
      <c r="C4218" t="inlineStr">
        <is>
          <t>Low Cost</t>
        </is>
      </c>
      <c r="F4218" t="n">
        <v>35</v>
      </c>
      <c r="G4218" t="n">
        <v>30</v>
      </c>
      <c r="H4218" t="n">
        <v>30</v>
      </c>
      <c r="I4218">
        <f>B4218&amp;"|"&amp;C4218</f>
        <v/>
      </c>
      <c r="J4218" t="inlineStr">
        <is>
          <t>low cost</t>
        </is>
      </c>
    </row>
    <row r="4219">
      <c r="B4219" t="inlineStr">
        <is>
          <t>Convenience Stores</t>
        </is>
      </c>
      <c r="C4219" t="inlineStr">
        <is>
          <t>Average</t>
        </is>
      </c>
      <c r="D4219" t="n">
        <v>45</v>
      </c>
      <c r="E4219" t="n">
        <v>45</v>
      </c>
      <c r="F4219" t="n">
        <v>40</v>
      </c>
      <c r="G4219" t="n">
        <v>35</v>
      </c>
      <c r="H4219" t="n">
        <v>35</v>
      </c>
      <c r="I4219">
        <f>B4219&amp;"|"&amp;C4219</f>
        <v/>
      </c>
      <c r="J4219" t="inlineStr">
        <is>
          <t>average and good</t>
        </is>
      </c>
    </row>
    <row r="4220">
      <c r="B4220" t="inlineStr">
        <is>
          <t>Convenience Stores</t>
        </is>
      </c>
      <c r="C4220" t="inlineStr">
        <is>
          <t>Excellent</t>
        </is>
      </c>
      <c r="F4220" t="n">
        <v>45</v>
      </c>
      <c r="G4220" t="n">
        <v>40</v>
      </c>
      <c r="H4220" t="n">
        <v>40</v>
      </c>
      <c r="I4220">
        <f>B4220&amp;"|"&amp;C4220</f>
        <v/>
      </c>
      <c r="J4220" t="inlineStr">
        <is>
          <t>Convenience stores, excellent</t>
        </is>
      </c>
    </row>
    <row r="4221">
      <c r="B4221" t="inlineStr">
        <is>
          <t>Convenience Stores</t>
        </is>
      </c>
      <c r="C4221" t="inlineStr">
        <is>
          <t>Good</t>
        </is>
      </c>
      <c r="D4221" t="n">
        <v>45</v>
      </c>
      <c r="E4221" t="n">
        <v>45</v>
      </c>
      <c r="F4221" t="n">
        <v>40</v>
      </c>
      <c r="G4221" t="n">
        <v>35</v>
      </c>
      <c r="H4221" t="n">
        <v>35</v>
      </c>
      <c r="I4221">
        <f>B4221&amp;"|"&amp;C4221</f>
        <v/>
      </c>
      <c r="J4221" t="inlineStr">
        <is>
          <t>average and good</t>
        </is>
      </c>
    </row>
    <row r="4222">
      <c r="B4222" t="inlineStr">
        <is>
          <t>Convenience Stores</t>
        </is>
      </c>
      <c r="C4222" t="inlineStr">
        <is>
          <t>Low Cost</t>
        </is>
      </c>
      <c r="F4222" t="n">
        <v>35</v>
      </c>
      <c r="G4222" t="n">
        <v>30</v>
      </c>
      <c r="H4222" t="n">
        <v>30</v>
      </c>
      <c r="I4222">
        <f>B4222&amp;"|"&amp;C4222</f>
        <v/>
      </c>
      <c r="J4222" t="inlineStr">
        <is>
          <t>low cost</t>
        </is>
      </c>
    </row>
    <row r="4223">
      <c r="B4223" t="inlineStr">
        <is>
          <t>Mini-Mart Convenience Stores</t>
        </is>
      </c>
      <c r="C4223" t="inlineStr">
        <is>
          <t>Excellent</t>
        </is>
      </c>
      <c r="F4223" t="n">
        <v>40</v>
      </c>
      <c r="G4223" t="n">
        <v>35</v>
      </c>
      <c r="H4223" t="n">
        <v>30</v>
      </c>
      <c r="I4223">
        <f>B4223&amp;"|"&amp;C4223</f>
        <v/>
      </c>
      <c r="J4223" t="inlineStr">
        <is>
          <t>Mini-marts, good and excellent</t>
        </is>
      </c>
    </row>
    <row r="4224">
      <c r="B4224" t="inlineStr">
        <is>
          <t>Mini-Mart Convenience Stores</t>
        </is>
      </c>
      <c r="C4224" t="inlineStr">
        <is>
          <t>Good</t>
        </is>
      </c>
      <c r="F4224" t="n">
        <v>40</v>
      </c>
      <c r="G4224" t="n">
        <v>35</v>
      </c>
      <c r="H4224" t="n">
        <v>30</v>
      </c>
      <c r="I4224">
        <f>B4224&amp;"|"&amp;C4224</f>
        <v/>
      </c>
      <c r="J4224" t="inlineStr">
        <is>
          <t>Mini-marts, good and excellent</t>
        </is>
      </c>
    </row>
    <row r="4225">
      <c r="B4225" t="inlineStr">
        <is>
          <t>Mini-Mart Convenience Stores</t>
        </is>
      </c>
      <c r="C4225" t="inlineStr">
        <is>
          <t>Average</t>
        </is>
      </c>
      <c r="F4225" t="n">
        <v>35</v>
      </c>
      <c r="G4225" t="n">
        <v>30</v>
      </c>
      <c r="H4225" t="n">
        <v>25</v>
      </c>
      <c r="I4225">
        <f>B4225&amp;"|"&amp;C4225</f>
        <v/>
      </c>
      <c r="J4225" t="inlineStr">
        <is>
          <t>low cost and average</t>
        </is>
      </c>
    </row>
    <row r="4226">
      <c r="B4226" t="inlineStr">
        <is>
          <t>Mini-Mart Convenience Stores</t>
        </is>
      </c>
      <c r="C4226" t="inlineStr">
        <is>
          <t>Low Cost</t>
        </is>
      </c>
      <c r="F4226" t="n">
        <v>35</v>
      </c>
      <c r="G4226" t="n">
        <v>30</v>
      </c>
      <c r="H4226" t="n">
        <v>25</v>
      </c>
      <c r="I4226">
        <f>B4226&amp;"|"&amp;C4226</f>
        <v/>
      </c>
      <c r="J4226" t="inlineStr">
        <is>
          <t>low cost and average</t>
        </is>
      </c>
    </row>
    <row r="4227">
      <c r="B4227" t="inlineStr">
        <is>
          <t>Roadside Markets</t>
        </is>
      </c>
      <c r="C4227" t="inlineStr">
        <is>
          <t>Excellent</t>
        </is>
      </c>
      <c r="F4227" t="n">
        <v>40</v>
      </c>
      <c r="G4227" t="n">
        <v>35</v>
      </c>
      <c r="H4227" t="n">
        <v>35</v>
      </c>
      <c r="I4227">
        <f>B4227&amp;"|"&amp;C4227</f>
        <v/>
      </c>
      <c r="J4227" t="inlineStr">
        <is>
          <t>Roadside markets, excellent</t>
        </is>
      </c>
    </row>
    <row r="4228">
      <c r="B4228" t="inlineStr">
        <is>
          <t>Roadside Markets</t>
        </is>
      </c>
      <c r="C4228" t="inlineStr">
        <is>
          <t>Good</t>
        </is>
      </c>
      <c r="F4228" t="n">
        <v>35</v>
      </c>
      <c r="G4228" t="n">
        <v>30</v>
      </c>
      <c r="H4228" t="n">
        <v>30</v>
      </c>
      <c r="I4228">
        <f>B4228&amp;"|"&amp;C4228</f>
        <v/>
      </c>
      <c r="J4228" t="inlineStr">
        <is>
          <t>good</t>
        </is>
      </c>
    </row>
    <row r="4229">
      <c r="B4229" t="inlineStr">
        <is>
          <t>Roadside Markets</t>
        </is>
      </c>
      <c r="C4229" t="inlineStr">
        <is>
          <t>Average</t>
        </is>
      </c>
      <c r="F4229" t="n">
        <v>30</v>
      </c>
      <c r="G4229" t="n">
        <v>25</v>
      </c>
      <c r="H4229" t="n">
        <v>25</v>
      </c>
      <c r="I4229">
        <f>B4229&amp;"|"&amp;C4229</f>
        <v/>
      </c>
      <c r="J4229" t="inlineStr">
        <is>
          <t>average</t>
        </is>
      </c>
    </row>
    <row r="4230">
      <c r="B4230" t="inlineStr">
        <is>
          <t>Roadside Markets</t>
        </is>
      </c>
      <c r="C4230" t="inlineStr">
        <is>
          <t>Low Cost</t>
        </is>
      </c>
      <c r="G4230" t="n">
        <v>20</v>
      </c>
      <c r="H4230" t="n">
        <v>20</v>
      </c>
      <c r="I4230">
        <f>B4230&amp;"|"&amp;C4230</f>
        <v/>
      </c>
      <c r="J4230" t="inlineStr">
        <is>
          <t>low cost</t>
        </is>
      </c>
    </row>
    <row r="4231">
      <c r="B4231" t="inlineStr">
        <is>
          <t>Roadside Markets</t>
        </is>
      </c>
      <c r="C4231" t="inlineStr">
        <is>
          <t>Cheap</t>
        </is>
      </c>
      <c r="G4231" t="n">
        <v>15</v>
      </c>
      <c r="I4231">
        <f>B4231&amp;"|"&amp;C4231</f>
        <v/>
      </c>
      <c r="J4231" t="inlineStr">
        <is>
          <t>cheap</t>
        </is>
      </c>
    </row>
    <row r="4232">
      <c r="B4232" t="inlineStr">
        <is>
          <t>Luxury Boutiques</t>
        </is>
      </c>
      <c r="C4232" t="inlineStr">
        <is>
          <t>Good</t>
        </is>
      </c>
      <c r="D4232" t="n">
        <v>60</v>
      </c>
      <c r="E4232" t="n">
        <v>60</v>
      </c>
      <c r="F4232" t="n">
        <v>55</v>
      </c>
      <c r="G4232" t="n">
        <v>50</v>
      </c>
      <c r="I4232">
        <f>B4232&amp;"|"&amp;C4232</f>
        <v/>
      </c>
      <c r="J4232" t="inlineStr">
        <is>
          <t>Luxury boutiques, good</t>
        </is>
      </c>
    </row>
    <row r="4233">
      <c r="B4233" t="inlineStr">
        <is>
          <t>Luxury Boutiques</t>
        </is>
      </c>
      <c r="C4233" t="inlineStr">
        <is>
          <t>Average</t>
        </is>
      </c>
      <c r="D4233" t="n">
        <v>55</v>
      </c>
      <c r="E4233" t="n">
        <v>55</v>
      </c>
      <c r="F4233" t="n">
        <v>50</v>
      </c>
      <c r="G4233" t="n">
        <v>45</v>
      </c>
      <c r="I4233">
        <f>B4233&amp;"|"&amp;C4233</f>
        <v/>
      </c>
      <c r="J4233" t="inlineStr">
        <is>
          <t>low cost and average</t>
        </is>
      </c>
    </row>
    <row r="4234">
      <c r="B4234" t="inlineStr">
        <is>
          <t>Luxury Boutiques</t>
        </is>
      </c>
      <c r="C4234" t="inlineStr">
        <is>
          <t>Low Cost</t>
        </is>
      </c>
      <c r="D4234" t="n">
        <v>55</v>
      </c>
      <c r="E4234" t="n">
        <v>55</v>
      </c>
      <c r="F4234" t="n">
        <v>50</v>
      </c>
      <c r="G4234" t="n">
        <v>45</v>
      </c>
      <c r="I4234">
        <f>B4234&amp;"|"&amp;C4234</f>
        <v/>
      </c>
      <c r="J4234" t="inlineStr">
        <is>
          <t>low cost and average</t>
        </is>
      </c>
    </row>
    <row r="4235">
      <c r="B4235" t="inlineStr">
        <is>
          <t>Winery (Tasting – Display) Shops</t>
        </is>
      </c>
      <c r="C4235" t="inlineStr">
        <is>
          <t>Excellent</t>
        </is>
      </c>
      <c r="F4235" t="n">
        <v>50</v>
      </c>
      <c r="G4235" t="n">
        <v>45</v>
      </c>
      <c r="I4235">
        <f>B4235&amp;"|"&amp;C4235</f>
        <v/>
      </c>
      <c r="J4235" t="inlineStr">
        <is>
          <t>Winery shops, excellent</t>
        </is>
      </c>
    </row>
    <row r="4236">
      <c r="B4236" t="inlineStr">
        <is>
          <t>Winery (Tasting – Display) Shops</t>
        </is>
      </c>
      <c r="C4236" t="inlineStr">
        <is>
          <t>Good</t>
        </is>
      </c>
      <c r="F4236" t="n">
        <v>45</v>
      </c>
      <c r="G4236" t="n">
        <v>40</v>
      </c>
      <c r="I4236">
        <f>B4236&amp;"|"&amp;C4236</f>
        <v/>
      </c>
      <c r="J4236" t="inlineStr">
        <is>
          <t>good</t>
        </is>
      </c>
    </row>
    <row r="4237">
      <c r="B4237" t="inlineStr">
        <is>
          <t>Winery (Tasting – Display) Shops</t>
        </is>
      </c>
      <c r="C4237" t="inlineStr">
        <is>
          <t>Average</t>
        </is>
      </c>
      <c r="F4237" t="n">
        <v>40</v>
      </c>
      <c r="G4237" t="n">
        <v>35</v>
      </c>
      <c r="H4237" t="n">
        <v>35</v>
      </c>
      <c r="I4237">
        <f>B4237&amp;"|"&amp;C4237</f>
        <v/>
      </c>
      <c r="J4237" t="inlineStr">
        <is>
          <t>average</t>
        </is>
      </c>
    </row>
    <row r="4238">
      <c r="B4238" t="inlineStr">
        <is>
          <t>Winery (Tasting – Display) Shops</t>
        </is>
      </c>
      <c r="C4238" t="inlineStr">
        <is>
          <t>Low Cost</t>
        </is>
      </c>
      <c r="F4238" t="n">
        <v>35</v>
      </c>
      <c r="G4238" t="n">
        <v>30</v>
      </c>
      <c r="H4238" t="n">
        <v>30</v>
      </c>
      <c r="I4238">
        <f>B4238&amp;"|"&amp;C4238</f>
        <v/>
      </c>
      <c r="J4238" t="inlineStr">
        <is>
          <t>low cost</t>
        </is>
      </c>
    </row>
    <row r="4239">
      <c r="B4239" t="inlineStr">
        <is>
          <t>Barber Shops/Beauty Salons</t>
        </is>
      </c>
      <c r="C4239" t="inlineStr">
        <is>
          <t>Average</t>
        </is>
      </c>
      <c r="D4239" t="n">
        <v>40</v>
      </c>
      <c r="E4239" t="n">
        <v>40</v>
      </c>
      <c r="F4239" t="n">
        <v>35</v>
      </c>
      <c r="G4239" t="n">
        <v>30</v>
      </c>
      <c r="H4239" t="n">
        <v>30</v>
      </c>
      <c r="I4239">
        <f>B4239&amp;"|"&amp;C4239</f>
        <v/>
      </c>
      <c r="J4239" t="inlineStr">
        <is>
          <t>low cost and average</t>
        </is>
      </c>
    </row>
    <row r="4240">
      <c r="B4240" t="inlineStr">
        <is>
          <t>Barber Shops/Beauty Salons</t>
        </is>
      </c>
      <c r="C4240" t="inlineStr">
        <is>
          <t>Good</t>
        </is>
      </c>
      <c r="D4240" t="n">
        <v>45</v>
      </c>
      <c r="E4240" t="n">
        <v>45</v>
      </c>
      <c r="F4240" t="n">
        <v>40</v>
      </c>
      <c r="G4240" t="n">
        <v>35</v>
      </c>
      <c r="H4240" t="n">
        <v>35</v>
      </c>
      <c r="I4240">
        <f>B4240&amp;"|"&amp;C4240</f>
        <v/>
      </c>
      <c r="J4240" t="inlineStr">
        <is>
          <t>Barber and beauty shops, good</t>
        </is>
      </c>
    </row>
    <row r="4241">
      <c r="B4241" t="inlineStr">
        <is>
          <t>Laundromats</t>
        </is>
      </c>
      <c r="C4241" t="inlineStr">
        <is>
          <t>Average</t>
        </is>
      </c>
      <c r="F4241" t="n">
        <v>35</v>
      </c>
      <c r="G4241" t="n">
        <v>30</v>
      </c>
      <c r="H4241" t="n">
        <v>30</v>
      </c>
      <c r="I4241">
        <f>B4241&amp;"|"&amp;C4241</f>
        <v/>
      </c>
      <c r="J4241" t="inlineStr">
        <is>
          <t>Laundromats, average</t>
        </is>
      </c>
    </row>
    <row r="4242">
      <c r="B4242" t="inlineStr">
        <is>
          <t>Laundry/Dry Cleaning</t>
        </is>
      </c>
      <c r="C4242" t="inlineStr">
        <is>
          <t>Good</t>
        </is>
      </c>
      <c r="F4242" t="n">
        <v>45</v>
      </c>
      <c r="G4242" t="n">
        <v>40</v>
      </c>
      <c r="H4242" t="n">
        <v>40</v>
      </c>
      <c r="I4242">
        <f>B4242&amp;"|"&amp;C4242</f>
        <v/>
      </c>
      <c r="J4242" t="inlineStr">
        <is>
          <t>Laundry/dry cleaning, good</t>
        </is>
      </c>
    </row>
    <row r="4243">
      <c r="B4243" t="inlineStr">
        <is>
          <t>Laundry/Dry Cleaning</t>
        </is>
      </c>
      <c r="C4243" t="inlineStr">
        <is>
          <t>Average</t>
        </is>
      </c>
      <c r="F4243" t="n">
        <v>40</v>
      </c>
      <c r="G4243" t="n">
        <v>35</v>
      </c>
      <c r="H4243" t="n">
        <v>35</v>
      </c>
      <c r="I4243">
        <f>B4243&amp;"|"&amp;C4243</f>
        <v/>
      </c>
      <c r="J4243" t="inlineStr">
        <is>
          <t>average</t>
        </is>
      </c>
    </row>
    <row r="4244">
      <c r="B4244" t="inlineStr">
        <is>
          <t>Dairy Sales</t>
        </is>
      </c>
      <c r="C4244" t="inlineStr">
        <is>
          <t>Average</t>
        </is>
      </c>
      <c r="F4244" t="n">
        <v>35</v>
      </c>
      <c r="G4244" t="n">
        <v>30</v>
      </c>
      <c r="H4244" t="n">
        <v>30</v>
      </c>
      <c r="I4244">
        <f>B4244&amp;"|"&amp;C4244</f>
        <v/>
      </c>
      <c r="J4244" t="inlineStr">
        <is>
          <t>Dairy sales buildings, average</t>
        </is>
      </c>
    </row>
    <row r="4245">
      <c r="B4245" t="inlineStr">
        <is>
          <t>Retail Stores</t>
        </is>
      </c>
      <c r="C4245" t="inlineStr">
        <is>
          <t>Excellent</t>
        </is>
      </c>
      <c r="D4245" t="n">
        <v>55</v>
      </c>
      <c r="E4245" t="n">
        <v>55</v>
      </c>
      <c r="F4245" t="n">
        <v>50</v>
      </c>
      <c r="G4245" t="n">
        <v>45</v>
      </c>
      <c r="H4245" t="n">
        <v>45</v>
      </c>
      <c r="I4245">
        <f>B4245&amp;"|"&amp;C4245</f>
        <v/>
      </c>
      <c r="J4245" t="inlineStr">
        <is>
          <t>Retail stores, good and excellent</t>
        </is>
      </c>
    </row>
    <row r="4246">
      <c r="B4246" t="inlineStr">
        <is>
          <t>Retail Stores</t>
        </is>
      </c>
      <c r="C4246" t="inlineStr">
        <is>
          <t>Good</t>
        </is>
      </c>
      <c r="D4246" t="n">
        <v>55</v>
      </c>
      <c r="E4246" t="n">
        <v>55</v>
      </c>
      <c r="F4246" t="n">
        <v>50</v>
      </c>
      <c r="G4246" t="n">
        <v>45</v>
      </c>
      <c r="H4246" t="n">
        <v>45</v>
      </c>
      <c r="I4246">
        <f>B4246&amp;"|"&amp;C4246</f>
        <v/>
      </c>
      <c r="J4246" t="inlineStr">
        <is>
          <t>Retail stores, good and excellent</t>
        </is>
      </c>
    </row>
    <row r="4247">
      <c r="B4247" t="inlineStr">
        <is>
          <t>Retail Stores</t>
        </is>
      </c>
      <c r="C4247" t="inlineStr">
        <is>
          <t>Average</t>
        </is>
      </c>
      <c r="D4247" t="n">
        <v>50</v>
      </c>
      <c r="E4247" t="n">
        <v>50</v>
      </c>
      <c r="F4247" t="n">
        <v>45</v>
      </c>
      <c r="G4247" t="n">
        <v>40</v>
      </c>
      <c r="H4247" t="n">
        <v>40</v>
      </c>
      <c r="I4247">
        <f>B4247&amp;"|"&amp;C4247</f>
        <v/>
      </c>
      <c r="J4247" t="inlineStr">
        <is>
          <t>average</t>
        </is>
      </c>
    </row>
    <row r="4248">
      <c r="B4248" t="inlineStr">
        <is>
          <t>Retail Stores</t>
        </is>
      </c>
      <c r="C4248" t="inlineStr">
        <is>
          <t>Low Cost</t>
        </is>
      </c>
      <c r="D4248" t="n">
        <v>45</v>
      </c>
      <c r="E4248" t="n">
        <v>45</v>
      </c>
      <c r="F4248" t="n">
        <v>40</v>
      </c>
      <c r="G4248" t="n">
        <v>40</v>
      </c>
      <c r="H4248" t="n">
        <v>40</v>
      </c>
      <c r="I4248">
        <f>B4248&amp;"|"&amp;C4248</f>
        <v/>
      </c>
      <c r="J4248" t="inlineStr">
        <is>
          <t>low cost</t>
        </is>
      </c>
    </row>
    <row r="4249">
      <c r="B4249" t="inlineStr">
        <is>
          <t>Department Stores</t>
        </is>
      </c>
      <c r="C4249" t="inlineStr">
        <is>
          <t>Excellent</t>
        </is>
      </c>
      <c r="D4249" t="n">
        <v>55</v>
      </c>
      <c r="E4249" t="n">
        <v>55</v>
      </c>
      <c r="F4249" t="n">
        <v>50</v>
      </c>
      <c r="I4249">
        <f>B4249&amp;"|"&amp;C4249</f>
        <v/>
      </c>
      <c r="J4249" t="inlineStr">
        <is>
          <t>Department stores, good and excellent</t>
        </is>
      </c>
    </row>
    <row r="4250">
      <c r="B4250" t="inlineStr">
        <is>
          <t>Department Stores</t>
        </is>
      </c>
      <c r="C4250" t="inlineStr">
        <is>
          <t>Good</t>
        </is>
      </c>
      <c r="D4250" t="n">
        <v>55</v>
      </c>
      <c r="E4250" t="n">
        <v>55</v>
      </c>
      <c r="F4250" t="n">
        <v>50</v>
      </c>
      <c r="I4250">
        <f>B4250&amp;"|"&amp;C4250</f>
        <v/>
      </c>
      <c r="J4250" t="inlineStr">
        <is>
          <t>Department stores, good and excellent</t>
        </is>
      </c>
    </row>
    <row r="4251">
      <c r="B4251" t="inlineStr">
        <is>
          <t>Department Stores</t>
        </is>
      </c>
      <c r="C4251" t="inlineStr">
        <is>
          <t>Average</t>
        </is>
      </c>
      <c r="D4251" t="n">
        <v>50</v>
      </c>
      <c r="E4251" t="n">
        <v>50</v>
      </c>
      <c r="F4251" t="n">
        <v>45</v>
      </c>
      <c r="I4251">
        <f>B4251&amp;"|"&amp;C4251</f>
        <v/>
      </c>
      <c r="J4251" t="inlineStr">
        <is>
          <t>low cost and average</t>
        </is>
      </c>
    </row>
    <row r="4252">
      <c r="B4252" t="inlineStr">
        <is>
          <t>Mall Anchor (Department/Big Box) Stores</t>
        </is>
      </c>
      <c r="C4252" t="inlineStr">
        <is>
          <t>Good</t>
        </is>
      </c>
      <c r="D4252" t="n">
        <v>50</v>
      </c>
      <c r="E4252" t="n">
        <v>50</v>
      </c>
      <c r="F4252" t="n">
        <v>45</v>
      </c>
      <c r="G4252" t="n">
        <v>40</v>
      </c>
      <c r="I4252">
        <f>B4252&amp;"|"&amp;C4252</f>
        <v/>
      </c>
      <c r="J4252" t="inlineStr">
        <is>
          <t>mall anchor stores, average and good</t>
        </is>
      </c>
    </row>
    <row r="4253">
      <c r="B4253" t="inlineStr">
        <is>
          <t>Mall Anchor (Department/Big Box) Stores</t>
        </is>
      </c>
      <c r="C4253" t="inlineStr">
        <is>
          <t>Average</t>
        </is>
      </c>
      <c r="D4253" t="n">
        <v>50</v>
      </c>
      <c r="E4253" t="n">
        <v>50</v>
      </c>
      <c r="F4253" t="n">
        <v>45</v>
      </c>
      <c r="G4253" t="n">
        <v>40</v>
      </c>
      <c r="I4253">
        <f>B4253&amp;"|"&amp;C4253</f>
        <v/>
      </c>
      <c r="J4253" t="inlineStr">
        <is>
          <t>mall anchor stores, average and good</t>
        </is>
      </c>
    </row>
    <row r="4254">
      <c r="B4254" t="inlineStr">
        <is>
          <t>Mall Anchor (Department/Big Box) Stores</t>
        </is>
      </c>
      <c r="C4254" t="inlineStr">
        <is>
          <t>Low Cost</t>
        </is>
      </c>
      <c r="D4254" t="n">
        <v>45</v>
      </c>
      <c r="E4254" t="n">
        <v>45</v>
      </c>
      <c r="F4254" t="n">
        <v>40</v>
      </c>
      <c r="G4254" t="n">
        <v>35</v>
      </c>
      <c r="H4254" t="n">
        <v>35</v>
      </c>
      <c r="I4254">
        <f>B4254&amp;"|"&amp;C4254</f>
        <v/>
      </c>
      <c r="J4254" t="inlineStr">
        <is>
          <t>low cost</t>
        </is>
      </c>
    </row>
    <row r="4255">
      <c r="B4255" t="inlineStr">
        <is>
          <t>Discount Stores</t>
        </is>
      </c>
      <c r="C4255" t="inlineStr">
        <is>
          <t>Average</t>
        </is>
      </c>
      <c r="D4255" t="n">
        <v>40</v>
      </c>
      <c r="E4255" t="n">
        <v>40</v>
      </c>
      <c r="F4255" t="n">
        <v>35</v>
      </c>
      <c r="G4255" t="n">
        <v>30</v>
      </c>
      <c r="H4255" t="n">
        <v>30</v>
      </c>
      <c r="I4255">
        <f>B4255&amp;"|"&amp;C4255</f>
        <v/>
      </c>
      <c r="J4255" t="inlineStr">
        <is>
          <t>low cost and average</t>
        </is>
      </c>
    </row>
    <row r="4256">
      <c r="B4256" t="inlineStr">
        <is>
          <t>Discount Stores</t>
        </is>
      </c>
      <c r="C4256" t="inlineStr">
        <is>
          <t>Good</t>
        </is>
      </c>
      <c r="F4256" t="n">
        <v>40</v>
      </c>
      <c r="G4256" t="n">
        <v>35</v>
      </c>
      <c r="H4256" t="n">
        <v>35</v>
      </c>
      <c r="I4256">
        <f>B4256&amp;"|"&amp;C4256</f>
        <v/>
      </c>
      <c r="J4256" t="inlineStr">
        <is>
          <t>Discount stores, good</t>
        </is>
      </c>
    </row>
    <row r="4257">
      <c r="B4257" t="inlineStr">
        <is>
          <t>Discount Stores</t>
        </is>
      </c>
      <c r="C4257" t="inlineStr">
        <is>
          <t>Low Cost</t>
        </is>
      </c>
      <c r="D4257" t="n">
        <v>40</v>
      </c>
      <c r="E4257" t="n">
        <v>40</v>
      </c>
      <c r="F4257" t="n">
        <v>35</v>
      </c>
      <c r="G4257" t="n">
        <v>30</v>
      </c>
      <c r="H4257" t="n">
        <v>30</v>
      </c>
      <c r="I4257">
        <f>B4257&amp;"|"&amp;C4257</f>
        <v/>
      </c>
      <c r="J4257" t="inlineStr">
        <is>
          <t>low cost and average</t>
        </is>
      </c>
    </row>
    <row r="4258">
      <c r="B4258" t="inlineStr">
        <is>
          <t>Warehouse Discount Stores</t>
        </is>
      </c>
      <c r="C4258" t="inlineStr">
        <is>
          <t>Good</t>
        </is>
      </c>
      <c r="F4258" t="n">
        <v>35</v>
      </c>
      <c r="G4258" t="n">
        <v>30</v>
      </c>
      <c r="H4258" t="n">
        <v>30</v>
      </c>
      <c r="I4258">
        <f>B4258&amp;"|"&amp;C4258</f>
        <v/>
      </c>
      <c r="J4258" t="inlineStr">
        <is>
          <t>Warehouse discount stores, good</t>
        </is>
      </c>
    </row>
    <row r="4259">
      <c r="B4259" t="inlineStr">
        <is>
          <t>Warehouse Discount Stores</t>
        </is>
      </c>
      <c r="C4259" t="inlineStr">
        <is>
          <t>Average</t>
        </is>
      </c>
      <c r="F4259" t="n">
        <v>30</v>
      </c>
      <c r="G4259" t="n">
        <v>30</v>
      </c>
      <c r="H4259" t="n">
        <v>30</v>
      </c>
      <c r="I4259">
        <f>B4259&amp;"|"&amp;C4259</f>
        <v/>
      </c>
      <c r="J4259" t="inlineStr">
        <is>
          <t>low cost and average</t>
        </is>
      </c>
    </row>
    <row r="4260">
      <c r="B4260" t="inlineStr">
        <is>
          <t>Warehouse Discount Stores</t>
        </is>
      </c>
      <c r="C4260" t="inlineStr">
        <is>
          <t>Low Cost</t>
        </is>
      </c>
      <c r="F4260" t="n">
        <v>30</v>
      </c>
      <c r="G4260" t="n">
        <v>30</v>
      </c>
      <c r="H4260" t="n">
        <v>30</v>
      </c>
      <c r="I4260">
        <f>B4260&amp;"|"&amp;C4260</f>
        <v/>
      </c>
      <c r="J4260" t="inlineStr">
        <is>
          <t>low cost and average</t>
        </is>
      </c>
    </row>
    <row r="4261">
      <c r="B4261" t="inlineStr">
        <is>
          <t>Warehouse Showroom Stores</t>
        </is>
      </c>
      <c r="C4261" t="inlineStr">
        <is>
          <t>Good</t>
        </is>
      </c>
      <c r="F4261" t="n">
        <v>40</v>
      </c>
      <c r="G4261" t="n">
        <v>35</v>
      </c>
      <c r="H4261" t="n">
        <v>35</v>
      </c>
      <c r="I4261">
        <f>B4261&amp;"|"&amp;C4261</f>
        <v/>
      </c>
      <c r="J4261" t="inlineStr">
        <is>
          <t>showroom, good</t>
        </is>
      </c>
    </row>
    <row r="4262">
      <c r="B4262" t="inlineStr">
        <is>
          <t>Warehouse Showroom Stores</t>
        </is>
      </c>
      <c r="C4262" t="inlineStr">
        <is>
          <t>Average</t>
        </is>
      </c>
      <c r="F4262" t="n">
        <v>35</v>
      </c>
      <c r="G4262" t="n">
        <v>30</v>
      </c>
      <c r="H4262" t="n">
        <v>30</v>
      </c>
      <c r="I4262">
        <f>B4262&amp;"|"&amp;C4262</f>
        <v/>
      </c>
      <c r="J4262" t="inlineStr">
        <is>
          <t>low cost and average</t>
        </is>
      </c>
    </row>
    <row r="4263">
      <c r="B4263" t="inlineStr">
        <is>
          <t>Warehouse Showroom Stores</t>
        </is>
      </c>
      <c r="C4263" t="inlineStr">
        <is>
          <t>Low Cost</t>
        </is>
      </c>
      <c r="F4263" t="n">
        <v>35</v>
      </c>
      <c r="G4263" t="n">
        <v>30</v>
      </c>
      <c r="H4263" t="n">
        <v>30</v>
      </c>
      <c r="I4263">
        <f>B4263&amp;"|"&amp;C4263</f>
        <v/>
      </c>
      <c r="J4263" t="inlineStr">
        <is>
          <t>low cost and average</t>
        </is>
      </c>
    </row>
    <row r="4264">
      <c r="B4264" t="inlineStr">
        <is>
          <t>Warehouse Food Stores</t>
        </is>
      </c>
      <c r="C4264" t="inlineStr">
        <is>
          <t>Good</t>
        </is>
      </c>
      <c r="F4264" t="n">
        <v>40</v>
      </c>
      <c r="G4264" t="n">
        <v>35</v>
      </c>
      <c r="H4264" t="n">
        <v>35</v>
      </c>
      <c r="I4264">
        <f>B4264&amp;"|"&amp;C4264</f>
        <v/>
      </c>
      <c r="J4264" t="inlineStr">
        <is>
          <t>food, good</t>
        </is>
      </c>
    </row>
    <row r="4265">
      <c r="B4265" t="inlineStr">
        <is>
          <t>Warehouse Food Stores</t>
        </is>
      </c>
      <c r="C4265" t="inlineStr">
        <is>
          <t>Average</t>
        </is>
      </c>
      <c r="F4265" t="n">
        <v>35</v>
      </c>
      <c r="G4265" t="n">
        <v>30</v>
      </c>
      <c r="H4265" t="n">
        <v>30</v>
      </c>
      <c r="I4265">
        <f>B4265&amp;"|"&amp;C4265</f>
        <v/>
      </c>
      <c r="J4265" t="inlineStr">
        <is>
          <t>average</t>
        </is>
      </c>
    </row>
    <row r="4266">
      <c r="B4266" t="inlineStr">
        <is>
          <t>Warehouse Food Stores</t>
        </is>
      </c>
      <c r="C4266" t="inlineStr">
        <is>
          <t>Low Cost</t>
        </is>
      </c>
      <c r="F4266" t="n">
        <v>30</v>
      </c>
      <c r="G4266" t="n">
        <v>30</v>
      </c>
      <c r="H4266" t="n">
        <v>30</v>
      </c>
      <c r="I4266">
        <f>B4266&amp;"|"&amp;C4266</f>
        <v/>
      </c>
      <c r="J4266" t="inlineStr">
        <is>
          <t>low cost</t>
        </is>
      </c>
    </row>
    <row r="4267">
      <c r="B4267" t="inlineStr">
        <is>
          <t>Mega Warehouse Stores</t>
        </is>
      </c>
      <c r="C4267" t="inlineStr">
        <is>
          <t>Good</t>
        </is>
      </c>
      <c r="F4267" t="n">
        <v>35</v>
      </c>
      <c r="H4267" t="n">
        <v>30</v>
      </c>
      <c r="I4267">
        <f>B4267&amp;"|"&amp;C4267</f>
        <v/>
      </c>
      <c r="J4267" t="inlineStr">
        <is>
          <t>mega discount, average and good</t>
        </is>
      </c>
    </row>
    <row r="4268">
      <c r="B4268" t="inlineStr">
        <is>
          <t>Mega Warehouse Stores</t>
        </is>
      </c>
      <c r="C4268" t="inlineStr">
        <is>
          <t>Average</t>
        </is>
      </c>
      <c r="F4268" t="n">
        <v>35</v>
      </c>
      <c r="H4268" t="n">
        <v>30</v>
      </c>
      <c r="I4268">
        <f>B4268&amp;"|"&amp;C4268</f>
        <v/>
      </c>
      <c r="J4268" t="inlineStr">
        <is>
          <t>mega discount, average and good</t>
        </is>
      </c>
    </row>
    <row r="4269">
      <c r="B4269" t="inlineStr">
        <is>
          <t>Mega Warehouse Stores</t>
        </is>
      </c>
      <c r="C4269" t="inlineStr">
        <is>
          <t>Low Cost</t>
        </is>
      </c>
      <c r="F4269" t="n">
        <v>30</v>
      </c>
      <c r="H4269" t="n">
        <v>30</v>
      </c>
      <c r="I4269">
        <f>B4269&amp;"|"&amp;C4269</f>
        <v/>
      </c>
      <c r="J4269" t="inlineStr">
        <is>
          <t>low cost</t>
        </is>
      </c>
    </row>
    <row r="4270">
      <c r="B4270" t="inlineStr">
        <is>
          <t>Neighborhood Shopping Centers</t>
        </is>
      </c>
      <c r="C4270" t="inlineStr">
        <is>
          <t>Good</t>
        </is>
      </c>
      <c r="F4270" t="n">
        <v>45</v>
      </c>
      <c r="G4270" t="n">
        <v>40</v>
      </c>
      <c r="I4270">
        <f>B4270&amp;"|"&amp;C4270</f>
        <v/>
      </c>
      <c r="J4270" t="inlineStr">
        <is>
          <t>Shopping centers, neighborhood, good</t>
        </is>
      </c>
    </row>
    <row r="4271">
      <c r="B4271" t="inlineStr">
        <is>
          <t>Neighborhood Shopping Centers</t>
        </is>
      </c>
      <c r="C4271" t="inlineStr">
        <is>
          <t>Average</t>
        </is>
      </c>
      <c r="F4271" t="n">
        <v>40</v>
      </c>
      <c r="G4271" t="n">
        <v>35</v>
      </c>
      <c r="H4271" t="n">
        <v>35</v>
      </c>
      <c r="I4271">
        <f>B4271&amp;"|"&amp;C4271</f>
        <v/>
      </c>
      <c r="J4271" t="inlineStr">
        <is>
          <t>average</t>
        </is>
      </c>
    </row>
    <row r="4272">
      <c r="B4272" t="inlineStr">
        <is>
          <t>Neighborhood Shopping Centers</t>
        </is>
      </c>
      <c r="C4272" t="inlineStr">
        <is>
          <t>Low Cost</t>
        </is>
      </c>
      <c r="F4272" t="n">
        <v>35</v>
      </c>
      <c r="G4272" t="n">
        <v>30</v>
      </c>
      <c r="H4272" t="n">
        <v>30</v>
      </c>
      <c r="I4272">
        <f>B4272&amp;"|"&amp;C4272</f>
        <v/>
      </c>
      <c r="J4272" t="inlineStr">
        <is>
          <t>low cost</t>
        </is>
      </c>
    </row>
    <row r="4273">
      <c r="B4273" t="inlineStr">
        <is>
          <t>Mixed Retail Centers with Residential Units</t>
        </is>
      </c>
      <c r="C4273" t="inlineStr">
        <is>
          <t>Good</t>
        </is>
      </c>
      <c r="F4273" t="n">
        <v>50</v>
      </c>
      <c r="G4273" t="n">
        <v>45</v>
      </c>
      <c r="I4273">
        <f>B4273&amp;"|"&amp;C4273</f>
        <v/>
      </c>
      <c r="J4273" t="inlineStr">
        <is>
          <t>mixed retail centers with office/residential units, good</t>
        </is>
      </c>
    </row>
    <row r="4274">
      <c r="B4274" t="inlineStr">
        <is>
          <t>Mixed Retail Centers with Residential Units</t>
        </is>
      </c>
      <c r="C4274" t="inlineStr">
        <is>
          <t>Average</t>
        </is>
      </c>
      <c r="F4274" t="n">
        <v>45</v>
      </c>
      <c r="G4274" t="n">
        <v>40</v>
      </c>
      <c r="I4274">
        <f>B4274&amp;"|"&amp;C4274</f>
        <v/>
      </c>
      <c r="J4274" t="inlineStr">
        <is>
          <t>low cost and average</t>
        </is>
      </c>
    </row>
    <row r="4275">
      <c r="B4275" t="inlineStr">
        <is>
          <t>Mixed Retail Centers with Residential Units</t>
        </is>
      </c>
      <c r="C4275" t="inlineStr">
        <is>
          <t>Low Cost</t>
        </is>
      </c>
      <c r="F4275" t="n">
        <v>45</v>
      </c>
      <c r="G4275" t="n">
        <v>40</v>
      </c>
      <c r="I4275">
        <f>B4275&amp;"|"&amp;C4275</f>
        <v/>
      </c>
      <c r="J4275" t="inlineStr">
        <is>
          <t>low cost and average</t>
        </is>
      </c>
    </row>
    <row r="4276">
      <c r="B4276" t="inlineStr">
        <is>
          <t>Mixed Retail Centers with Office Units</t>
        </is>
      </c>
      <c r="C4276" t="inlineStr">
        <is>
          <t>Good</t>
        </is>
      </c>
      <c r="F4276" t="n">
        <v>50</v>
      </c>
      <c r="G4276" t="n">
        <v>45</v>
      </c>
      <c r="I4276">
        <f>B4276&amp;"|"&amp;C4276</f>
        <v/>
      </c>
      <c r="J4276" t="inlineStr">
        <is>
          <t>mixed retail centers with office/residential units, good</t>
        </is>
      </c>
    </row>
    <row r="4277">
      <c r="B4277" t="inlineStr">
        <is>
          <t>Mixed Retail Centers with Office Units</t>
        </is>
      </c>
      <c r="C4277" t="inlineStr">
        <is>
          <t>Average</t>
        </is>
      </c>
      <c r="F4277" t="n">
        <v>45</v>
      </c>
      <c r="G4277" t="n">
        <v>40</v>
      </c>
      <c r="I4277">
        <f>B4277&amp;"|"&amp;C4277</f>
        <v/>
      </c>
      <c r="J4277" t="inlineStr">
        <is>
          <t>low cost and average</t>
        </is>
      </c>
    </row>
    <row r="4278">
      <c r="B4278" t="inlineStr">
        <is>
          <t>Mixed Retail Centers with Office Units</t>
        </is>
      </c>
      <c r="C4278" t="inlineStr">
        <is>
          <t>Low Cost</t>
        </is>
      </c>
      <c r="F4278" t="n">
        <v>45</v>
      </c>
      <c r="G4278" t="n">
        <v>40</v>
      </c>
      <c r="I4278">
        <f>B4278&amp;"|"&amp;C4278</f>
        <v/>
      </c>
      <c r="J4278" t="inlineStr">
        <is>
          <t>low cost and average</t>
        </is>
      </c>
    </row>
    <row r="4279">
      <c r="B4279" t="inlineStr">
        <is>
          <t>Community Shopping Centers</t>
        </is>
      </c>
      <c r="C4279" t="inlineStr">
        <is>
          <t>Excellent</t>
        </is>
      </c>
      <c r="F4279" t="n">
        <v>50</v>
      </c>
      <c r="G4279" t="n">
        <v>45</v>
      </c>
      <c r="H4279" t="n">
        <v>45</v>
      </c>
      <c r="I4279">
        <f>B4279&amp;"|"&amp;C4279</f>
        <v/>
      </c>
      <c r="J4279" t="inlineStr">
        <is>
          <t>community, good and excellent</t>
        </is>
      </c>
    </row>
    <row r="4280">
      <c r="B4280" t="inlineStr">
        <is>
          <t>Community Shopping Centers</t>
        </is>
      </c>
      <c r="C4280" t="inlineStr">
        <is>
          <t>Good</t>
        </is>
      </c>
      <c r="F4280" t="n">
        <v>50</v>
      </c>
      <c r="G4280" t="n">
        <v>45</v>
      </c>
      <c r="H4280" t="n">
        <v>45</v>
      </c>
      <c r="I4280">
        <f>B4280&amp;"|"&amp;C4280</f>
        <v/>
      </c>
      <c r="J4280" t="inlineStr">
        <is>
          <t>community, good and excellent</t>
        </is>
      </c>
    </row>
    <row r="4281">
      <c r="B4281" t="inlineStr">
        <is>
          <t>Community Shopping Centers</t>
        </is>
      </c>
      <c r="C4281" t="inlineStr">
        <is>
          <t>Average</t>
        </is>
      </c>
      <c r="F4281" t="n">
        <v>45</v>
      </c>
      <c r="G4281" t="n">
        <v>40</v>
      </c>
      <c r="H4281" t="n">
        <v>40</v>
      </c>
      <c r="I4281">
        <f>B4281&amp;"|"&amp;C4281</f>
        <v/>
      </c>
      <c r="J4281" t="inlineStr">
        <is>
          <t>average</t>
        </is>
      </c>
    </row>
    <row r="4282">
      <c r="B4282" t="inlineStr">
        <is>
          <t>Community Shopping Centers</t>
        </is>
      </c>
      <c r="C4282" t="inlineStr">
        <is>
          <t>Low Cost</t>
        </is>
      </c>
      <c r="F4282" t="n">
        <v>45</v>
      </c>
      <c r="G4282" t="n">
        <v>40</v>
      </c>
      <c r="H4282" t="n">
        <v>40</v>
      </c>
      <c r="I4282">
        <f>B4282&amp;"|"&amp;C4282</f>
        <v/>
      </c>
      <c r="J4282" t="inlineStr">
        <is>
          <t>average</t>
        </is>
      </c>
    </row>
    <row r="4283">
      <c r="B4283" t="inlineStr">
        <is>
          <t>Regional Discount Shopping Centers</t>
        </is>
      </c>
      <c r="C4283" t="inlineStr">
        <is>
          <t>Good</t>
        </is>
      </c>
      <c r="D4283" t="n">
        <v>50</v>
      </c>
      <c r="E4283" t="n">
        <v>50</v>
      </c>
      <c r="F4283" t="n">
        <v>50</v>
      </c>
      <c r="G4283" t="n">
        <v>45</v>
      </c>
      <c r="I4283">
        <f>B4283&amp;"|"&amp;C4283</f>
        <v/>
      </c>
      <c r="J4283" t="inlineStr">
        <is>
          <t>regional discount, good</t>
        </is>
      </c>
    </row>
    <row r="4284">
      <c r="B4284" t="inlineStr">
        <is>
          <t>Regional Discount Shopping Centers</t>
        </is>
      </c>
      <c r="C4284" t="inlineStr">
        <is>
          <t>Average</t>
        </is>
      </c>
      <c r="D4284" t="n">
        <v>45</v>
      </c>
      <c r="E4284" t="n">
        <v>45</v>
      </c>
      <c r="F4284" t="n">
        <v>45</v>
      </c>
      <c r="G4284" t="n">
        <v>40</v>
      </c>
      <c r="H4284" t="n">
        <v>40</v>
      </c>
      <c r="I4284">
        <f>B4284&amp;"|"&amp;C4284</f>
        <v/>
      </c>
      <c r="J4284" t="inlineStr">
        <is>
          <t>average</t>
        </is>
      </c>
    </row>
    <row r="4285">
      <c r="B4285" t="inlineStr">
        <is>
          <t>Regional Discount Shopping Centers</t>
        </is>
      </c>
      <c r="C4285" t="inlineStr">
        <is>
          <t>Excellent</t>
        </is>
      </c>
      <c r="D4285" t="n">
        <v>50</v>
      </c>
      <c r="E4285" t="n">
        <v>50</v>
      </c>
      <c r="F4285" t="n">
        <v>50</v>
      </c>
      <c r="G4285" t="n">
        <v>45</v>
      </c>
      <c r="I4285">
        <f>B4285&amp;"|"&amp;C4285</f>
        <v/>
      </c>
      <c r="J4285" t="inlineStr">
        <is>
          <t>regional discount, good</t>
        </is>
      </c>
    </row>
    <row r="4286">
      <c r="B4286" t="inlineStr">
        <is>
          <t>Regional Shopping Centers</t>
        </is>
      </c>
      <c r="C4286" t="inlineStr">
        <is>
          <t>Excellent</t>
        </is>
      </c>
      <c r="D4286" t="n">
        <v>55</v>
      </c>
      <c r="E4286" t="n">
        <v>55</v>
      </c>
      <c r="F4286" t="n">
        <v>55</v>
      </c>
      <c r="G4286" t="n">
        <v>50</v>
      </c>
      <c r="I4286">
        <f>B4286&amp;"|"&amp;C4286</f>
        <v/>
      </c>
      <c r="J4286" t="inlineStr">
        <is>
          <t>regional, good and excellent</t>
        </is>
      </c>
    </row>
    <row r="4287">
      <c r="B4287" t="inlineStr">
        <is>
          <t>Regional Shopping Centers</t>
        </is>
      </c>
      <c r="C4287" t="inlineStr">
        <is>
          <t>Good</t>
        </is>
      </c>
      <c r="D4287" t="n">
        <v>55</v>
      </c>
      <c r="E4287" t="n">
        <v>55</v>
      </c>
      <c r="F4287" t="n">
        <v>55</v>
      </c>
      <c r="G4287" t="n">
        <v>50</v>
      </c>
      <c r="I4287">
        <f>B4287&amp;"|"&amp;C4287</f>
        <v/>
      </c>
      <c r="J4287" t="inlineStr">
        <is>
          <t>regional, good and excellent</t>
        </is>
      </c>
    </row>
    <row r="4288">
      <c r="B4288" t="inlineStr">
        <is>
          <t>Regional Shopping Centers</t>
        </is>
      </c>
      <c r="C4288" t="inlineStr">
        <is>
          <t>Average</t>
        </is>
      </c>
      <c r="F4288" t="n">
        <v>50</v>
      </c>
      <c r="G4288" t="n">
        <v>45</v>
      </c>
      <c r="H4288" t="n">
        <v>45</v>
      </c>
      <c r="I4288">
        <f>B4288&amp;"|"&amp;C4288</f>
        <v/>
      </c>
      <c r="J4288" t="inlineStr">
        <is>
          <t>average</t>
        </is>
      </c>
    </row>
    <row r="4289">
      <c r="B4289" t="inlineStr">
        <is>
          <t>Regional Shopping Center Shell Buildings</t>
        </is>
      </c>
      <c r="C4289" t="inlineStr">
        <is>
          <t>Excellent</t>
        </is>
      </c>
      <c r="D4289" t="n">
        <v>55</v>
      </c>
      <c r="E4289" t="n">
        <v>55</v>
      </c>
      <c r="F4289" t="n">
        <v>55</v>
      </c>
      <c r="G4289" t="n">
        <v>50</v>
      </c>
      <c r="I4289">
        <f>B4289&amp;"|"&amp;C4289</f>
        <v/>
      </c>
      <c r="J4289" t="inlineStr">
        <is>
          <t>regional, good and excellent</t>
        </is>
      </c>
    </row>
    <row r="4290">
      <c r="B4290" t="inlineStr">
        <is>
          <t>Regional Shopping Center Shell Buildings</t>
        </is>
      </c>
      <c r="C4290" t="inlineStr">
        <is>
          <t>Good</t>
        </is>
      </c>
      <c r="D4290" t="n">
        <v>55</v>
      </c>
      <c r="E4290" t="n">
        <v>55</v>
      </c>
      <c r="F4290" t="n">
        <v>55</v>
      </c>
      <c r="G4290" t="n">
        <v>50</v>
      </c>
      <c r="I4290">
        <f>B4290&amp;"|"&amp;C4290</f>
        <v/>
      </c>
      <c r="J4290" t="inlineStr">
        <is>
          <t>regional, good and excellent</t>
        </is>
      </c>
    </row>
    <row r="4291">
      <c r="B4291" t="inlineStr">
        <is>
          <t>Regional Shopping Center Shell Buildings</t>
        </is>
      </c>
      <c r="C4291" t="inlineStr">
        <is>
          <t>Average</t>
        </is>
      </c>
      <c r="F4291" t="n">
        <v>50</v>
      </c>
      <c r="G4291" t="n">
        <v>45</v>
      </c>
      <c r="H4291" t="n">
        <v>45</v>
      </c>
      <c r="I4291">
        <f>B4291&amp;"|"&amp;C4291</f>
        <v/>
      </c>
      <c r="J4291" t="inlineStr">
        <is>
          <t>average</t>
        </is>
      </c>
    </row>
    <row r="4292">
      <c r="B4292" t="inlineStr">
        <is>
          <t>Community Shopping Center Shell Buildings</t>
        </is>
      </c>
      <c r="C4292" t="inlineStr">
        <is>
          <t>Excellent</t>
        </is>
      </c>
      <c r="F4292" t="n">
        <v>50</v>
      </c>
      <c r="G4292" t="n">
        <v>45</v>
      </c>
      <c r="H4292" t="n">
        <v>45</v>
      </c>
      <c r="I4292">
        <f>B4292&amp;"|"&amp;C4292</f>
        <v/>
      </c>
      <c r="J4292" t="inlineStr">
        <is>
          <t>community, good and excellent</t>
        </is>
      </c>
    </row>
    <row r="4293">
      <c r="B4293" t="inlineStr">
        <is>
          <t>Community Shopping Center Shell Buildings</t>
        </is>
      </c>
      <c r="C4293" t="inlineStr">
        <is>
          <t>Good</t>
        </is>
      </c>
      <c r="F4293" t="n">
        <v>50</v>
      </c>
      <c r="G4293" t="n">
        <v>45</v>
      </c>
      <c r="H4293" t="n">
        <v>45</v>
      </c>
      <c r="I4293">
        <f>B4293&amp;"|"&amp;C4293</f>
        <v/>
      </c>
      <c r="J4293" t="inlineStr">
        <is>
          <t>community, good and excellent</t>
        </is>
      </c>
    </row>
    <row r="4294">
      <c r="B4294" t="inlineStr">
        <is>
          <t>Community Shopping Center Shell Buildings</t>
        </is>
      </c>
      <c r="C4294" t="inlineStr">
        <is>
          <t>Average</t>
        </is>
      </c>
      <c r="F4294" t="n">
        <v>45</v>
      </c>
      <c r="G4294" t="n">
        <v>40</v>
      </c>
      <c r="H4294" t="n">
        <v>40</v>
      </c>
      <c r="I4294">
        <f>B4294&amp;"|"&amp;C4294</f>
        <v/>
      </c>
      <c r="J4294" t="inlineStr">
        <is>
          <t>average</t>
        </is>
      </c>
    </row>
    <row r="4295">
      <c r="B4295" t="inlineStr">
        <is>
          <t>Neighborhood Shopping Center Shell Buildings</t>
        </is>
      </c>
      <c r="C4295" t="inlineStr">
        <is>
          <t>Good</t>
        </is>
      </c>
      <c r="F4295" t="n">
        <v>45</v>
      </c>
      <c r="G4295" t="n">
        <v>40</v>
      </c>
      <c r="I4295">
        <f>B4295&amp;"|"&amp;C4295</f>
        <v/>
      </c>
      <c r="J4295" t="inlineStr">
        <is>
          <t>Shopping centers, neighborhood, good</t>
        </is>
      </c>
    </row>
    <row r="4296">
      <c r="B4296" t="inlineStr">
        <is>
          <t>Neighborhood Shopping Center Shell Buildings</t>
        </is>
      </c>
      <c r="C4296" t="inlineStr">
        <is>
          <t>Average</t>
        </is>
      </c>
      <c r="F4296" t="n">
        <v>40</v>
      </c>
      <c r="G4296" t="n">
        <v>35</v>
      </c>
      <c r="H4296" t="n">
        <v>35</v>
      </c>
      <c r="I4296">
        <f>B4296&amp;"|"&amp;C4296</f>
        <v/>
      </c>
      <c r="J4296" t="inlineStr">
        <is>
          <t>average</t>
        </is>
      </c>
    </row>
    <row r="4297">
      <c r="B4297" t="inlineStr">
        <is>
          <t>Neighborhood Shopping Center Shell Buildings</t>
        </is>
      </c>
      <c r="C4297" t="inlineStr">
        <is>
          <t>Low Cost</t>
        </is>
      </c>
      <c r="F4297" t="n">
        <v>35</v>
      </c>
      <c r="G4297" t="n">
        <v>30</v>
      </c>
      <c r="H4297" t="n">
        <v>30</v>
      </c>
      <c r="I4297">
        <f>B4297&amp;"|"&amp;C4297</f>
        <v/>
      </c>
      <c r="J4297" t="inlineStr">
        <is>
          <t>low cost</t>
        </is>
      </c>
    </row>
    <row r="4298">
      <c r="B4298" t="inlineStr">
        <is>
          <t>Neighborhood Shopping Center Shell Buildings</t>
        </is>
      </c>
      <c r="C4298" t="inlineStr">
        <is>
          <t>Cheap</t>
        </is>
      </c>
      <c r="F4298" t="n">
        <v>35</v>
      </c>
      <c r="G4298" t="n">
        <v>30</v>
      </c>
      <c r="H4298" t="n">
        <v>30</v>
      </c>
      <c r="I4298">
        <f>B4298&amp;"|"&amp;C4298</f>
        <v/>
      </c>
      <c r="J4298" t="inlineStr">
        <is>
          <t>low cost</t>
        </is>
      </c>
    </row>
    <row r="4299">
      <c r="B4299" t="inlineStr">
        <is>
          <t>Lofts</t>
        </is>
      </c>
      <c r="C4299" t="inlineStr">
        <is>
          <t>Excellent</t>
        </is>
      </c>
      <c r="D4299" t="n">
        <v>60</v>
      </c>
      <c r="E4299" t="n">
        <v>60</v>
      </c>
      <c r="I4299">
        <f>B4299&amp;"|"&amp;C4299</f>
        <v/>
      </c>
      <c r="J4299" t="inlineStr">
        <is>
          <t>Lofts, excellent</t>
        </is>
      </c>
    </row>
    <row r="4300">
      <c r="B4300" t="inlineStr">
        <is>
          <t>Lofts</t>
        </is>
      </c>
      <c r="C4300" t="inlineStr">
        <is>
          <t>Good</t>
        </is>
      </c>
      <c r="D4300" t="n">
        <v>55</v>
      </c>
      <c r="E4300" t="n">
        <v>55</v>
      </c>
      <c r="F4300" t="n">
        <v>50</v>
      </c>
      <c r="G4300" t="n">
        <v>40</v>
      </c>
      <c r="H4300" t="n">
        <v>40</v>
      </c>
      <c r="I4300">
        <f>B4300&amp;"|"&amp;C4300</f>
        <v/>
      </c>
      <c r="J4300" t="inlineStr">
        <is>
          <t>average and good</t>
        </is>
      </c>
    </row>
    <row r="4301">
      <c r="B4301" t="inlineStr">
        <is>
          <t>Lofts</t>
        </is>
      </c>
      <c r="C4301" t="inlineStr">
        <is>
          <t>Average</t>
        </is>
      </c>
      <c r="D4301" t="n">
        <v>55</v>
      </c>
      <c r="E4301" t="n">
        <v>55</v>
      </c>
      <c r="F4301" t="n">
        <v>50</v>
      </c>
      <c r="G4301" t="n">
        <v>40</v>
      </c>
      <c r="H4301" t="n">
        <v>40</v>
      </c>
      <c r="I4301">
        <f>B4301&amp;"|"&amp;C4301</f>
        <v/>
      </c>
      <c r="J4301" t="inlineStr">
        <is>
          <t>average and good</t>
        </is>
      </c>
    </row>
    <row r="4302">
      <c r="B4302" t="inlineStr">
        <is>
          <t>Lofts</t>
        </is>
      </c>
      <c r="C4302" t="inlineStr">
        <is>
          <t>Low Cost</t>
        </is>
      </c>
      <c r="D4302" t="n">
        <v>50</v>
      </c>
      <c r="E4302" t="n">
        <v>50</v>
      </c>
      <c r="F4302" t="n">
        <v>40</v>
      </c>
      <c r="G4302" t="n">
        <v>35</v>
      </c>
      <c r="I4302">
        <f>B4302&amp;"|"&amp;C4302</f>
        <v/>
      </c>
      <c r="J4302" t="inlineStr">
        <is>
          <t>low cost</t>
        </is>
      </c>
    </row>
    <row r="4303">
      <c r="B4303" t="inlineStr">
        <is>
          <t>Industrial Flex (Mall) Buildings</t>
        </is>
      </c>
      <c r="C4303" t="inlineStr">
        <is>
          <t>Good</t>
        </is>
      </c>
      <c r="F4303" t="n">
        <v>50</v>
      </c>
      <c r="G4303" t="n">
        <v>40</v>
      </c>
      <c r="H4303" t="n">
        <v>40</v>
      </c>
      <c r="I4303">
        <f>B4303&amp;"|"&amp;C4303</f>
        <v/>
      </c>
      <c r="J4303" t="inlineStr">
        <is>
          <t>Industrial flex-mall buildings, average and good</t>
        </is>
      </c>
    </row>
    <row r="4304">
      <c r="B4304" t="inlineStr">
        <is>
          <t>Industrial Flex (Mall) Buildings</t>
        </is>
      </c>
      <c r="C4304" t="inlineStr">
        <is>
          <t>Average</t>
        </is>
      </c>
      <c r="F4304" t="n">
        <v>50</v>
      </c>
      <c r="G4304" t="n">
        <v>40</v>
      </c>
      <c r="H4304" t="n">
        <v>40</v>
      </c>
      <c r="I4304">
        <f>B4304&amp;"|"&amp;C4304</f>
        <v/>
      </c>
      <c r="J4304" t="inlineStr">
        <is>
          <t>Industrial flex-mall buildings, average and good</t>
        </is>
      </c>
    </row>
    <row r="4305">
      <c r="B4305" t="inlineStr">
        <is>
          <t>Industrial Flex (Mall) Buildings</t>
        </is>
      </c>
      <c r="C4305" t="inlineStr">
        <is>
          <t>Low Cost</t>
        </is>
      </c>
      <c r="F4305" t="n">
        <v>40</v>
      </c>
      <c r="G4305" t="n">
        <v>35</v>
      </c>
      <c r="H4305" t="n">
        <v>35</v>
      </c>
      <c r="I4305">
        <f>B4305&amp;"|"&amp;C4305</f>
        <v/>
      </c>
      <c r="J4305" t="inlineStr">
        <is>
          <t>low cost</t>
        </is>
      </c>
    </row>
    <row r="4306">
      <c r="B4306" t="inlineStr">
        <is>
          <t>Industrials, Light Manufacturing</t>
        </is>
      </c>
      <c r="C4306" t="inlineStr">
        <is>
          <t>Average</t>
        </is>
      </c>
      <c r="D4306" t="n">
        <v>50</v>
      </c>
      <c r="E4306" t="n">
        <v>50</v>
      </c>
      <c r="F4306" t="n">
        <v>40</v>
      </c>
      <c r="G4306" t="n">
        <v>35</v>
      </c>
      <c r="H4306" t="n">
        <v>35</v>
      </c>
      <c r="I4306">
        <f>B4306&amp;"|"&amp;C4306</f>
        <v/>
      </c>
      <c r="J4306" t="inlineStr">
        <is>
          <t>average</t>
        </is>
      </c>
    </row>
    <row r="4307">
      <c r="B4307" t="inlineStr">
        <is>
          <t>Industrials, Light Manufacturing</t>
        </is>
      </c>
      <c r="C4307" t="inlineStr">
        <is>
          <t>Low Cost</t>
        </is>
      </c>
      <c r="D4307" t="n">
        <v>45</v>
      </c>
      <c r="E4307" t="n">
        <v>45</v>
      </c>
      <c r="F4307" t="n">
        <v>40</v>
      </c>
      <c r="G4307" t="n">
        <v>35</v>
      </c>
      <c r="H4307" t="n">
        <v>35</v>
      </c>
      <c r="I4307">
        <f>B4307&amp;"|"&amp;C4307</f>
        <v/>
      </c>
      <c r="J4307" t="inlineStr">
        <is>
          <t>low cost</t>
        </is>
      </c>
    </row>
    <row r="4308">
      <c r="B4308" t="inlineStr">
        <is>
          <t>Industrials, Light Manufacturing</t>
        </is>
      </c>
      <c r="C4308" t="inlineStr">
        <is>
          <t>Good</t>
        </is>
      </c>
      <c r="D4308" t="n">
        <v>50</v>
      </c>
      <c r="E4308" t="n">
        <v>50</v>
      </c>
      <c r="F4308" t="n">
        <v>45</v>
      </c>
      <c r="G4308" t="n">
        <v>40</v>
      </c>
      <c r="H4308" t="n">
        <v>40</v>
      </c>
      <c r="I4308">
        <f>B4308&amp;"|"&amp;C4308</f>
        <v/>
      </c>
      <c r="J4308" t="inlineStr">
        <is>
          <t>light, good</t>
        </is>
      </c>
    </row>
    <row r="4309">
      <c r="B4309" t="inlineStr">
        <is>
          <t>Industrials, Heavy (Process) Manufacturing</t>
        </is>
      </c>
      <c r="C4309" t="inlineStr">
        <is>
          <t>Excellent</t>
        </is>
      </c>
      <c r="D4309" t="n">
        <v>60</v>
      </c>
      <c r="E4309" t="n">
        <v>60</v>
      </c>
      <c r="F4309" t="n">
        <v>55</v>
      </c>
      <c r="H4309" t="n">
        <v>50</v>
      </c>
      <c r="I4309">
        <f>B4309&amp;"|"&amp;C4309</f>
        <v/>
      </c>
      <c r="J4309" t="inlineStr">
        <is>
          <t>Industrials, manufacturing, heavy, good and excellent</t>
        </is>
      </c>
    </row>
    <row r="4310">
      <c r="B4310" t="inlineStr">
        <is>
          <t>Industrials, Heavy (Process) Manufacturing</t>
        </is>
      </c>
      <c r="C4310" t="inlineStr">
        <is>
          <t>Good</t>
        </is>
      </c>
      <c r="D4310" t="n">
        <v>60</v>
      </c>
      <c r="E4310" t="n">
        <v>60</v>
      </c>
      <c r="F4310" t="n">
        <v>55</v>
      </c>
      <c r="H4310" t="n">
        <v>50</v>
      </c>
      <c r="I4310">
        <f>B4310&amp;"|"&amp;C4310</f>
        <v/>
      </c>
      <c r="J4310" t="inlineStr">
        <is>
          <t>Industrials, manufacturing, heavy, good and excellent</t>
        </is>
      </c>
    </row>
    <row r="4311">
      <c r="B4311" t="inlineStr">
        <is>
          <t>Industrials, Heavy (Process) Manufacturing</t>
        </is>
      </c>
      <c r="C4311" t="inlineStr">
        <is>
          <t>Average</t>
        </is>
      </c>
      <c r="D4311" t="n">
        <v>55</v>
      </c>
      <c r="E4311" t="n">
        <v>55</v>
      </c>
      <c r="F4311" t="n">
        <v>50</v>
      </c>
      <c r="G4311" t="n">
        <v>45</v>
      </c>
      <c r="H4311" t="n">
        <v>45</v>
      </c>
      <c r="I4311">
        <f>B4311&amp;"|"&amp;C4311</f>
        <v/>
      </c>
      <c r="J4311" t="inlineStr">
        <is>
          <t>low cost and average</t>
        </is>
      </c>
    </row>
    <row r="4312">
      <c r="B4312" t="inlineStr">
        <is>
          <t>Industrials, Heavy (Process) Manufacturing</t>
        </is>
      </c>
      <c r="C4312" t="inlineStr">
        <is>
          <t>Low Cost</t>
        </is>
      </c>
      <c r="D4312" t="n">
        <v>55</v>
      </c>
      <c r="E4312" t="n">
        <v>55</v>
      </c>
      <c r="F4312" t="n">
        <v>50</v>
      </c>
      <c r="G4312" t="n">
        <v>45</v>
      </c>
      <c r="H4312" t="n">
        <v>45</v>
      </c>
      <c r="I4312">
        <f>B4312&amp;"|"&amp;C4312</f>
        <v/>
      </c>
      <c r="J4312" t="inlineStr">
        <is>
          <t>low cost and average</t>
        </is>
      </c>
    </row>
    <row r="4313">
      <c r="B4313" t="inlineStr">
        <is>
          <t>Industrial, Engineering (R&amp;D) Buildings</t>
        </is>
      </c>
      <c r="C4313" t="inlineStr">
        <is>
          <t>Excellent</t>
        </is>
      </c>
      <c r="D4313" t="n">
        <v>55</v>
      </c>
      <c r="E4313" t="n">
        <v>55</v>
      </c>
      <c r="F4313" t="n">
        <v>50</v>
      </c>
      <c r="G4313" t="n">
        <v>45</v>
      </c>
      <c r="H4313" t="n">
        <v>45</v>
      </c>
      <c r="I4313">
        <f>B4313&amp;"|"&amp;C4313</f>
        <v/>
      </c>
      <c r="J4313" t="inlineStr">
        <is>
          <t>Industrials, engineering, good and excellent</t>
        </is>
      </c>
    </row>
    <row r="4314">
      <c r="B4314" t="inlineStr">
        <is>
          <t>Industrial, Engineering (R&amp;D) Buildings</t>
        </is>
      </c>
      <c r="C4314" t="inlineStr">
        <is>
          <t>Good</t>
        </is>
      </c>
      <c r="D4314" t="n">
        <v>55</v>
      </c>
      <c r="E4314" t="n">
        <v>55</v>
      </c>
      <c r="F4314" t="n">
        <v>50</v>
      </c>
      <c r="G4314" t="n">
        <v>45</v>
      </c>
      <c r="H4314" t="n">
        <v>45</v>
      </c>
      <c r="I4314">
        <f>B4314&amp;"|"&amp;C4314</f>
        <v/>
      </c>
      <c r="J4314" t="inlineStr">
        <is>
          <t>Industrials, engineering, good and excellent</t>
        </is>
      </c>
    </row>
    <row r="4315">
      <c r="B4315" t="inlineStr">
        <is>
          <t>Industrial, Engineering (R&amp;D) Buildings</t>
        </is>
      </c>
      <c r="C4315" t="inlineStr">
        <is>
          <t>Average</t>
        </is>
      </c>
      <c r="D4315" t="n">
        <v>50</v>
      </c>
      <c r="E4315" t="n">
        <v>50</v>
      </c>
      <c r="F4315" t="n">
        <v>45</v>
      </c>
      <c r="G4315" t="n">
        <v>40</v>
      </c>
      <c r="H4315" t="n">
        <v>40</v>
      </c>
      <c r="I4315">
        <f>B4315&amp;"|"&amp;C4315</f>
        <v/>
      </c>
      <c r="J4315" t="inlineStr">
        <is>
          <t>average</t>
        </is>
      </c>
    </row>
    <row r="4316">
      <c r="B4316" t="inlineStr">
        <is>
          <t>Industrial, Engineering (R&amp;D) Buildings</t>
        </is>
      </c>
      <c r="C4316" t="inlineStr">
        <is>
          <t>Low Cost</t>
        </is>
      </c>
      <c r="D4316" t="n">
        <v>50</v>
      </c>
      <c r="E4316" t="n">
        <v>50</v>
      </c>
      <c r="F4316" t="n">
        <v>40</v>
      </c>
      <c r="G4316" t="n">
        <v>35</v>
      </c>
      <c r="H4316" t="n">
        <v>35</v>
      </c>
      <c r="I4316">
        <f>B4316&amp;"|"&amp;C4316</f>
        <v/>
      </c>
      <c r="J4316" t="inlineStr">
        <is>
          <t>low cost</t>
        </is>
      </c>
    </row>
    <row r="4317">
      <c r="B4317" t="inlineStr">
        <is>
          <t>Laboratory Buildings</t>
        </is>
      </c>
      <c r="C4317" t="inlineStr">
        <is>
          <t>Excellent</t>
        </is>
      </c>
      <c r="D4317" t="n">
        <v>55</v>
      </c>
      <c r="E4317" t="n">
        <v>55</v>
      </c>
      <c r="F4317" t="n">
        <v>50</v>
      </c>
      <c r="G4317" t="n">
        <v>45</v>
      </c>
      <c r="H4317" t="n">
        <v>45</v>
      </c>
      <c r="I4317">
        <f>B4317&amp;"|"&amp;C4317</f>
        <v/>
      </c>
      <c r="J4317" t="inlineStr">
        <is>
          <t>Laboratory buildings, good and excellent</t>
        </is>
      </c>
    </row>
    <row r="4318">
      <c r="B4318" t="inlineStr">
        <is>
          <t>Laboratory Buildings</t>
        </is>
      </c>
      <c r="C4318" t="inlineStr">
        <is>
          <t>Good</t>
        </is>
      </c>
      <c r="D4318" t="n">
        <v>55</v>
      </c>
      <c r="E4318" t="n">
        <v>55</v>
      </c>
      <c r="F4318" t="n">
        <v>50</v>
      </c>
      <c r="G4318" t="n">
        <v>45</v>
      </c>
      <c r="H4318" t="n">
        <v>45</v>
      </c>
      <c r="I4318">
        <f>B4318&amp;"|"&amp;C4318</f>
        <v/>
      </c>
      <c r="J4318" t="inlineStr">
        <is>
          <t>Laboratory buildings, good and excellent</t>
        </is>
      </c>
    </row>
    <row r="4319">
      <c r="B4319" t="inlineStr">
        <is>
          <t>Laboratory Buildings</t>
        </is>
      </c>
      <c r="C4319" t="inlineStr">
        <is>
          <t>Average</t>
        </is>
      </c>
      <c r="D4319" t="n">
        <v>50</v>
      </c>
      <c r="E4319" t="n">
        <v>50</v>
      </c>
      <c r="F4319" t="n">
        <v>45</v>
      </c>
      <c r="G4319" t="n">
        <v>40</v>
      </c>
      <c r="H4319" t="n">
        <v>40</v>
      </c>
      <c r="I4319">
        <f>B4319&amp;"|"&amp;C4319</f>
        <v/>
      </c>
      <c r="J4319" t="inlineStr">
        <is>
          <t>low cost and average</t>
        </is>
      </c>
    </row>
    <row r="4320">
      <c r="B4320" t="inlineStr">
        <is>
          <t>Laboratory Buildings</t>
        </is>
      </c>
      <c r="C4320" t="inlineStr">
        <is>
          <t>Low Cost</t>
        </is>
      </c>
      <c r="D4320" t="n">
        <v>50</v>
      </c>
      <c r="E4320" t="n">
        <v>50</v>
      </c>
      <c r="F4320" t="n">
        <v>45</v>
      </c>
      <c r="G4320" t="n">
        <v>40</v>
      </c>
      <c r="H4320" t="n">
        <v>40</v>
      </c>
      <c r="I4320">
        <f>B4320&amp;"|"&amp;C4320</f>
        <v/>
      </c>
      <c r="J4320" t="inlineStr">
        <is>
          <t>low cost and average</t>
        </is>
      </c>
    </row>
    <row r="4321">
      <c r="B4321" t="inlineStr">
        <is>
          <t>Computer (Data) Centers</t>
        </is>
      </c>
      <c r="C4321" t="inlineStr">
        <is>
          <t>Excellent</t>
        </is>
      </c>
      <c r="D4321" t="n">
        <v>50</v>
      </c>
      <c r="E4321" t="n">
        <v>50</v>
      </c>
      <c r="F4321" t="n">
        <v>45</v>
      </c>
      <c r="G4321" t="n">
        <v>40</v>
      </c>
      <c r="H4321" t="n">
        <v>40</v>
      </c>
      <c r="I4321">
        <f>B4321&amp;"|"&amp;C4321</f>
        <v/>
      </c>
      <c r="J4321" t="inlineStr">
        <is>
          <t>Computer centers, good and excellent</t>
        </is>
      </c>
    </row>
    <row r="4322">
      <c r="B4322" t="inlineStr">
        <is>
          <t>Computer (Data) Centers</t>
        </is>
      </c>
      <c r="C4322" t="inlineStr">
        <is>
          <t>Good</t>
        </is>
      </c>
      <c r="D4322" t="n">
        <v>50</v>
      </c>
      <c r="E4322" t="n">
        <v>50</v>
      </c>
      <c r="F4322" t="n">
        <v>45</v>
      </c>
      <c r="G4322" t="n">
        <v>40</v>
      </c>
      <c r="H4322" t="n">
        <v>40</v>
      </c>
      <c r="I4322">
        <f>B4322&amp;"|"&amp;C4322</f>
        <v/>
      </c>
      <c r="J4322" t="inlineStr">
        <is>
          <t>Computer centers, good and excellent</t>
        </is>
      </c>
    </row>
    <row r="4323">
      <c r="B4323" t="inlineStr">
        <is>
          <t>Computer (Data) Centers</t>
        </is>
      </c>
      <c r="C4323" t="inlineStr">
        <is>
          <t>Average</t>
        </is>
      </c>
      <c r="D4323" t="n">
        <v>45</v>
      </c>
      <c r="E4323" t="n">
        <v>45</v>
      </c>
      <c r="F4323" t="n">
        <v>40</v>
      </c>
      <c r="G4323" t="n">
        <v>35</v>
      </c>
      <c r="H4323" t="n">
        <v>35</v>
      </c>
      <c r="I4323">
        <f>B4323&amp;"|"&amp;C4323</f>
        <v/>
      </c>
      <c r="J4323" t="inlineStr">
        <is>
          <t>low cost and average</t>
        </is>
      </c>
    </row>
    <row r="4324">
      <c r="B4324" t="inlineStr">
        <is>
          <t>Computer (Data) Centers</t>
        </is>
      </c>
      <c r="C4324" t="inlineStr">
        <is>
          <t>Low Cost</t>
        </is>
      </c>
      <c r="D4324" t="n">
        <v>45</v>
      </c>
      <c r="E4324" t="n">
        <v>45</v>
      </c>
      <c r="F4324" t="n">
        <v>40</v>
      </c>
      <c r="G4324" t="n">
        <v>35</v>
      </c>
      <c r="H4324" t="n">
        <v>35</v>
      </c>
      <c r="I4324">
        <f>B4324&amp;"|"&amp;C4324</f>
        <v/>
      </c>
      <c r="J4324" t="inlineStr">
        <is>
          <t>low cost and average</t>
        </is>
      </c>
    </row>
    <row r="4325">
      <c r="B4325" t="inlineStr">
        <is>
          <t>Broadcasting Facilities</t>
        </is>
      </c>
      <c r="C4325" t="inlineStr">
        <is>
          <t>Good</t>
        </is>
      </c>
      <c r="D4325" t="n">
        <v>55</v>
      </c>
      <c r="E4325" t="n">
        <v>55</v>
      </c>
      <c r="F4325" t="n">
        <v>50</v>
      </c>
      <c r="G4325" t="n">
        <v>45</v>
      </c>
      <c r="H4325" t="n">
        <v>45</v>
      </c>
      <c r="I4325">
        <f>B4325&amp;"|"&amp;C4325</f>
        <v/>
      </c>
      <c r="J4325" t="inlineStr">
        <is>
          <t>Broadcasting facilities, good and excellent</t>
        </is>
      </c>
    </row>
    <row r="4326">
      <c r="B4326" t="inlineStr">
        <is>
          <t>Broadcasting Facilities</t>
        </is>
      </c>
      <c r="C4326" t="inlineStr">
        <is>
          <t>Average</t>
        </is>
      </c>
      <c r="D4326" t="n">
        <v>50</v>
      </c>
      <c r="E4326" t="n">
        <v>50</v>
      </c>
      <c r="F4326" t="n">
        <v>45</v>
      </c>
      <c r="G4326" t="n">
        <v>40</v>
      </c>
      <c r="H4326" t="n">
        <v>40</v>
      </c>
      <c r="I4326">
        <f>B4326&amp;"|"&amp;C4326</f>
        <v/>
      </c>
      <c r="J4326" t="inlineStr">
        <is>
          <t>average</t>
        </is>
      </c>
    </row>
    <row r="4327">
      <c r="B4327" t="inlineStr">
        <is>
          <t>Broadcasting Facilities</t>
        </is>
      </c>
      <c r="C4327" t="inlineStr">
        <is>
          <t>Low Cost</t>
        </is>
      </c>
      <c r="D4327" t="n">
        <v>45</v>
      </c>
      <c r="E4327" t="n">
        <v>45</v>
      </c>
      <c r="F4327" t="n">
        <v>40</v>
      </c>
      <c r="G4327" t="n">
        <v>35</v>
      </c>
      <c r="H4327" t="n">
        <v>35</v>
      </c>
      <c r="I4327">
        <f>B4327&amp;"|"&amp;C4327</f>
        <v/>
      </c>
      <c r="J4327" t="inlineStr">
        <is>
          <t>low cost</t>
        </is>
      </c>
    </row>
    <row r="4328">
      <c r="B4328" t="inlineStr">
        <is>
          <t>Broadcasting Facilities</t>
        </is>
      </c>
      <c r="C4328" t="inlineStr">
        <is>
          <t>Excellent</t>
        </is>
      </c>
      <c r="D4328" t="n">
        <v>55</v>
      </c>
      <c r="E4328" t="n">
        <v>55</v>
      </c>
      <c r="F4328" t="n">
        <v>50</v>
      </c>
      <c r="G4328" t="n">
        <v>45</v>
      </c>
      <c r="H4328" t="n">
        <v>45</v>
      </c>
      <c r="I4328">
        <f>B4328&amp;"|"&amp;C4328</f>
        <v/>
      </c>
      <c r="J4328" t="inlineStr">
        <is>
          <t>Broadcasting facilities, good and excellent</t>
        </is>
      </c>
    </row>
    <row r="4329">
      <c r="B4329" t="inlineStr">
        <is>
          <t>Passenger Terminals</t>
        </is>
      </c>
      <c r="C4329" t="inlineStr">
        <is>
          <t>Excellent</t>
        </is>
      </c>
      <c r="D4329" t="n">
        <v>45</v>
      </c>
      <c r="E4329" t="n">
        <v>45</v>
      </c>
      <c r="F4329" t="n">
        <v>40</v>
      </c>
      <c r="G4329" t="n">
        <v>40</v>
      </c>
      <c r="I4329">
        <f>B4329&amp;"|"&amp;C4329</f>
        <v/>
      </c>
      <c r="J4329" t="inlineStr">
        <is>
          <t>Passenger terminals, very good and excellent</t>
        </is>
      </c>
    </row>
    <row r="4330">
      <c r="B4330" t="inlineStr">
        <is>
          <t>Passenger Terminals</t>
        </is>
      </c>
      <c r="C4330" t="inlineStr">
        <is>
          <t>Good</t>
        </is>
      </c>
      <c r="D4330" t="n">
        <v>40</v>
      </c>
      <c r="E4330" t="n">
        <v>40</v>
      </c>
      <c r="F4330" t="n">
        <v>35</v>
      </c>
      <c r="G4330" t="n">
        <v>35</v>
      </c>
      <c r="H4330" t="n">
        <v>35</v>
      </c>
      <c r="I4330">
        <f>B4330&amp;"|"&amp;C4330</f>
        <v/>
      </c>
      <c r="J4330" t="inlineStr">
        <is>
          <t>average and good</t>
        </is>
      </c>
    </row>
    <row r="4331">
      <c r="B4331" t="inlineStr">
        <is>
          <t>Passenger Terminals</t>
        </is>
      </c>
      <c r="C4331" t="inlineStr">
        <is>
          <t>Average</t>
        </is>
      </c>
      <c r="D4331" t="n">
        <v>40</v>
      </c>
      <c r="E4331" t="n">
        <v>40</v>
      </c>
      <c r="F4331" t="n">
        <v>35</v>
      </c>
      <c r="G4331" t="n">
        <v>35</v>
      </c>
      <c r="H4331" t="n">
        <v>35</v>
      </c>
      <c r="I4331">
        <f>B4331&amp;"|"&amp;C4331</f>
        <v/>
      </c>
      <c r="J4331" t="inlineStr">
        <is>
          <t>average and good</t>
        </is>
      </c>
    </row>
    <row r="4332">
      <c r="B4332" t="inlineStr">
        <is>
          <t>Passenger Terminals</t>
        </is>
      </c>
      <c r="C4332" t="inlineStr">
        <is>
          <t>Low Cost</t>
        </is>
      </c>
      <c r="D4332" t="n">
        <v>35</v>
      </c>
      <c r="E4332" t="n">
        <v>35</v>
      </c>
      <c r="F4332" t="n">
        <v>30</v>
      </c>
      <c r="G4332" t="n">
        <v>30</v>
      </c>
      <c r="H4332" t="n">
        <v>30</v>
      </c>
      <c r="I4332">
        <f>B4332&amp;"|"&amp;C4332</f>
        <v/>
      </c>
      <c r="J4332" t="inlineStr">
        <is>
          <t>low cost and fair</t>
        </is>
      </c>
    </row>
    <row r="4333">
      <c r="B4333" t="inlineStr">
        <is>
          <t>Passenger Terminals</t>
        </is>
      </c>
      <c r="C4333" t="inlineStr">
        <is>
          <t>Very Good</t>
        </is>
      </c>
      <c r="D4333" t="n">
        <v>45</v>
      </c>
      <c r="E4333" t="n">
        <v>45</v>
      </c>
      <c r="F4333" t="n">
        <v>40</v>
      </c>
      <c r="G4333" t="n">
        <v>40</v>
      </c>
      <c r="I4333">
        <f>B4333&amp;"|"&amp;C4333</f>
        <v/>
      </c>
      <c r="J4333" t="inlineStr">
        <is>
          <t>Passenger terminals, very good and excellent</t>
        </is>
      </c>
    </row>
    <row r="4334">
      <c r="B4334" t="inlineStr">
        <is>
          <t>Passenger Terminals</t>
        </is>
      </c>
      <c r="C4334" t="inlineStr">
        <is>
          <t>Fair</t>
        </is>
      </c>
      <c r="D4334" t="n">
        <v>35</v>
      </c>
      <c r="E4334" t="n">
        <v>35</v>
      </c>
      <c r="F4334" t="n">
        <v>30</v>
      </c>
      <c r="G4334" t="n">
        <v>30</v>
      </c>
      <c r="H4334" t="n">
        <v>30</v>
      </c>
      <c r="I4334">
        <f>B4334&amp;"|"&amp;C4334</f>
        <v/>
      </c>
      <c r="J4334" t="inlineStr">
        <is>
          <t>low cost and fair</t>
        </is>
      </c>
    </row>
    <row r="4335">
      <c r="B4335" t="inlineStr">
        <is>
          <t>Main Post Offices</t>
        </is>
      </c>
      <c r="C4335" t="inlineStr">
        <is>
          <t>Good</t>
        </is>
      </c>
      <c r="D4335" t="n">
        <v>60</v>
      </c>
      <c r="E4335" t="n">
        <v>60</v>
      </c>
      <c r="F4335" t="n">
        <v>55</v>
      </c>
      <c r="G4335" t="n">
        <v>50</v>
      </c>
      <c r="H4335" t="n">
        <v>50</v>
      </c>
      <c r="I4335">
        <f>B4335&amp;"|"&amp;C4335</f>
        <v/>
      </c>
      <c r="J4335" t="inlineStr">
        <is>
          <t>Post offices, main and branch, good and excellent</t>
        </is>
      </c>
    </row>
    <row r="4336">
      <c r="B4336" t="inlineStr">
        <is>
          <t>Main Post Offices</t>
        </is>
      </c>
      <c r="C4336" t="inlineStr">
        <is>
          <t>Average</t>
        </is>
      </c>
      <c r="D4336" t="n">
        <v>55</v>
      </c>
      <c r="E4336" t="n">
        <v>55</v>
      </c>
      <c r="F4336" t="n">
        <v>50</v>
      </c>
      <c r="G4336" t="n">
        <v>45</v>
      </c>
      <c r="H4336" t="n">
        <v>45</v>
      </c>
      <c r="I4336">
        <f>B4336&amp;"|"&amp;C4336</f>
        <v/>
      </c>
      <c r="J4336" t="inlineStr">
        <is>
          <t>low cost and average</t>
        </is>
      </c>
    </row>
    <row r="4337">
      <c r="B4337" t="inlineStr">
        <is>
          <t>Main Post Offices</t>
        </is>
      </c>
      <c r="C4337" t="inlineStr">
        <is>
          <t>Excellent</t>
        </is>
      </c>
      <c r="D4337" t="n">
        <v>60</v>
      </c>
      <c r="E4337" t="n">
        <v>60</v>
      </c>
      <c r="F4337" t="n">
        <v>55</v>
      </c>
      <c r="G4337" t="n">
        <v>50</v>
      </c>
      <c r="H4337" t="n">
        <v>50</v>
      </c>
      <c r="I4337">
        <f>B4337&amp;"|"&amp;C4337</f>
        <v/>
      </c>
      <c r="J4337" t="inlineStr">
        <is>
          <t>Post offices, main and branch, good and excellent</t>
        </is>
      </c>
    </row>
    <row r="4338">
      <c r="B4338" t="inlineStr">
        <is>
          <t>Main Post Offices</t>
        </is>
      </c>
      <c r="C4338" t="inlineStr">
        <is>
          <t>Very Good</t>
        </is>
      </c>
      <c r="D4338" t="n">
        <v>60</v>
      </c>
      <c r="E4338" t="n">
        <v>60</v>
      </c>
      <c r="F4338" t="n">
        <v>55</v>
      </c>
      <c r="G4338" t="n">
        <v>50</v>
      </c>
      <c r="H4338" t="n">
        <v>50</v>
      </c>
      <c r="I4338">
        <f>B4338&amp;"|"&amp;C4338</f>
        <v/>
      </c>
      <c r="J4338" t="inlineStr">
        <is>
          <t>Post offices, main and branch, good and excellent</t>
        </is>
      </c>
    </row>
    <row r="4339">
      <c r="B4339" t="inlineStr">
        <is>
          <t>Mail - Processing Facilities</t>
        </is>
      </c>
      <c r="C4339" t="inlineStr">
        <is>
          <t>Average</t>
        </is>
      </c>
      <c r="D4339" t="n">
        <v>50</v>
      </c>
      <c r="E4339" t="n">
        <v>50</v>
      </c>
      <c r="F4339" t="n">
        <v>45</v>
      </c>
      <c r="H4339" t="n">
        <v>40</v>
      </c>
      <c r="I4339">
        <f>B4339&amp;"|"&amp;C4339</f>
        <v/>
      </c>
      <c r="J4339" t="inlineStr">
        <is>
          <t>average</t>
        </is>
      </c>
    </row>
    <row r="4340">
      <c r="B4340" t="inlineStr">
        <is>
          <t>Mail - Processing Facilities</t>
        </is>
      </c>
      <c r="C4340" t="inlineStr">
        <is>
          <t>Good</t>
        </is>
      </c>
      <c r="F4340" t="n">
        <v>50</v>
      </c>
      <c r="H4340" t="n">
        <v>45</v>
      </c>
      <c r="I4340">
        <f>B4340&amp;"|"&amp;C4340</f>
        <v/>
      </c>
      <c r="J4340" t="inlineStr">
        <is>
          <t>mail processing facilities, good</t>
        </is>
      </c>
    </row>
    <row r="4341">
      <c r="B4341" t="inlineStr">
        <is>
          <t>Branch Post Offices</t>
        </is>
      </c>
      <c r="C4341" t="inlineStr">
        <is>
          <t>Average</t>
        </is>
      </c>
      <c r="D4341" t="n">
        <v>55</v>
      </c>
      <c r="E4341" t="n">
        <v>55</v>
      </c>
      <c r="F4341" t="n">
        <v>50</v>
      </c>
      <c r="G4341" t="n">
        <v>45</v>
      </c>
      <c r="H4341" t="n">
        <v>45</v>
      </c>
      <c r="I4341">
        <f>B4341&amp;"|"&amp;C4341</f>
        <v/>
      </c>
      <c r="J4341" t="inlineStr">
        <is>
          <t>low cost and average</t>
        </is>
      </c>
    </row>
    <row r="4342">
      <c r="B4342" t="inlineStr">
        <is>
          <t>Branch Post Offices</t>
        </is>
      </c>
      <c r="C4342" t="inlineStr">
        <is>
          <t>Excellent</t>
        </is>
      </c>
      <c r="D4342" t="n">
        <v>60</v>
      </c>
      <c r="E4342" t="n">
        <v>60</v>
      </c>
      <c r="F4342" t="n">
        <v>55</v>
      </c>
      <c r="G4342" t="n">
        <v>50</v>
      </c>
      <c r="H4342" t="n">
        <v>50</v>
      </c>
      <c r="I4342">
        <f>B4342&amp;"|"&amp;C4342</f>
        <v/>
      </c>
      <c r="J4342" t="inlineStr">
        <is>
          <t>Post offices, main and branch, good and excellent</t>
        </is>
      </c>
    </row>
    <row r="4343">
      <c r="B4343" t="inlineStr">
        <is>
          <t>Branch Post Offices</t>
        </is>
      </c>
      <c r="C4343" t="inlineStr">
        <is>
          <t>Good</t>
        </is>
      </c>
      <c r="D4343" t="n">
        <v>60</v>
      </c>
      <c r="E4343" t="n">
        <v>60</v>
      </c>
      <c r="F4343" t="n">
        <v>55</v>
      </c>
      <c r="G4343" t="n">
        <v>50</v>
      </c>
      <c r="H4343" t="n">
        <v>50</v>
      </c>
      <c r="I4343">
        <f>B4343&amp;"|"&amp;C4343</f>
        <v/>
      </c>
      <c r="J4343" t="inlineStr">
        <is>
          <t>Post offices, main and branch, good and excellent</t>
        </is>
      </c>
    </row>
    <row r="4344">
      <c r="B4344" t="inlineStr">
        <is>
          <t>Branch Post Offices</t>
        </is>
      </c>
      <c r="C4344" t="inlineStr">
        <is>
          <t>Low Cost</t>
        </is>
      </c>
      <c r="D4344" t="n">
        <v>55</v>
      </c>
      <c r="E4344" t="n">
        <v>55</v>
      </c>
      <c r="F4344" t="n">
        <v>50</v>
      </c>
      <c r="G4344" t="n">
        <v>45</v>
      </c>
      <c r="H4344" t="n">
        <v>45</v>
      </c>
      <c r="I4344">
        <f>B4344&amp;"|"&amp;C4344</f>
        <v/>
      </c>
      <c r="J4344" t="inlineStr">
        <is>
          <t>low cost and average</t>
        </is>
      </c>
    </row>
    <row r="4345">
      <c r="B4345" t="inlineStr">
        <is>
          <t>Armories</t>
        </is>
      </c>
      <c r="C4345" t="inlineStr">
        <is>
          <t>Excellent</t>
        </is>
      </c>
      <c r="F4345" t="n">
        <v>55</v>
      </c>
      <c r="G4345" t="n">
        <v>50</v>
      </c>
      <c r="I4345">
        <f>B4345&amp;"|"&amp;C4345</f>
        <v/>
      </c>
      <c r="J4345" t="inlineStr">
        <is>
          <t>Armories, good and excellent</t>
        </is>
      </c>
    </row>
    <row r="4346">
      <c r="B4346" t="inlineStr">
        <is>
          <t>Armories</t>
        </is>
      </c>
      <c r="C4346" t="inlineStr">
        <is>
          <t>Good</t>
        </is>
      </c>
      <c r="F4346" t="n">
        <v>55</v>
      </c>
      <c r="G4346" t="n">
        <v>50</v>
      </c>
      <c r="I4346">
        <f>B4346&amp;"|"&amp;C4346</f>
        <v/>
      </c>
      <c r="J4346" t="inlineStr">
        <is>
          <t>Armories, good and excellent</t>
        </is>
      </c>
    </row>
    <row r="4347">
      <c r="B4347" t="inlineStr">
        <is>
          <t>Armories</t>
        </is>
      </c>
      <c r="C4347" t="inlineStr">
        <is>
          <t>Average</t>
        </is>
      </c>
      <c r="F4347" t="n">
        <v>50</v>
      </c>
      <c r="G4347" t="n">
        <v>40</v>
      </c>
      <c r="H4347" t="n">
        <v>40</v>
      </c>
      <c r="I4347">
        <f>B4347&amp;"|"&amp;C4347</f>
        <v/>
      </c>
      <c r="J4347" t="inlineStr">
        <is>
          <t>average</t>
        </is>
      </c>
    </row>
    <row r="4348">
      <c r="B4348" t="inlineStr">
        <is>
          <t>Distribution Warehouses</t>
        </is>
      </c>
      <c r="C4348" t="inlineStr">
        <is>
          <t>Good</t>
        </is>
      </c>
      <c r="D4348" t="n">
        <v>55</v>
      </c>
      <c r="E4348" t="n">
        <v>55</v>
      </c>
      <c r="F4348" t="n">
        <v>50</v>
      </c>
      <c r="G4348" t="n">
        <v>45</v>
      </c>
      <c r="H4348" t="n">
        <v>45</v>
      </c>
      <c r="I4348">
        <f>B4348&amp;"|"&amp;C4348</f>
        <v/>
      </c>
      <c r="J4348" t="inlineStr">
        <is>
          <t>Warehouses, distribution, good and excellent</t>
        </is>
      </c>
    </row>
    <row r="4349">
      <c r="B4349" t="inlineStr">
        <is>
          <t>Distribution Warehouses</t>
        </is>
      </c>
      <c r="C4349" t="inlineStr">
        <is>
          <t>Average</t>
        </is>
      </c>
      <c r="D4349" t="n">
        <v>50</v>
      </c>
      <c r="E4349" t="n">
        <v>50</v>
      </c>
      <c r="F4349" t="n">
        <v>45</v>
      </c>
      <c r="G4349" t="n">
        <v>40</v>
      </c>
      <c r="H4349" t="n">
        <v>40</v>
      </c>
      <c r="I4349">
        <f>B4349&amp;"|"&amp;C4349</f>
        <v/>
      </c>
      <c r="J4349" t="inlineStr">
        <is>
          <t>average</t>
        </is>
      </c>
    </row>
    <row r="4350">
      <c r="B4350" t="inlineStr">
        <is>
          <t>Distribution Warehouses</t>
        </is>
      </c>
      <c r="C4350" t="inlineStr">
        <is>
          <t>Excellent</t>
        </is>
      </c>
      <c r="D4350" t="n">
        <v>55</v>
      </c>
      <c r="E4350" t="n">
        <v>55</v>
      </c>
      <c r="F4350" t="n">
        <v>50</v>
      </c>
      <c r="G4350" t="n">
        <v>45</v>
      </c>
      <c r="H4350" t="n">
        <v>45</v>
      </c>
      <c r="I4350">
        <f>B4350&amp;"|"&amp;C4350</f>
        <v/>
      </c>
      <c r="J4350" t="inlineStr">
        <is>
          <t>Warehouses, distribution, good and excellent</t>
        </is>
      </c>
    </row>
    <row r="4351">
      <c r="B4351" t="inlineStr">
        <is>
          <t>Distribution Warehouses</t>
        </is>
      </c>
      <c r="C4351" t="inlineStr">
        <is>
          <t>Low Cost</t>
        </is>
      </c>
      <c r="F4351" t="n">
        <v>40</v>
      </c>
      <c r="G4351" t="n">
        <v>35</v>
      </c>
      <c r="H4351" t="n">
        <v>35</v>
      </c>
      <c r="I4351">
        <f>B4351&amp;"|"&amp;C4351</f>
        <v/>
      </c>
      <c r="J4351" t="inlineStr">
        <is>
          <t>low cost</t>
        </is>
      </c>
    </row>
    <row r="4352">
      <c r="B4352" t="inlineStr">
        <is>
          <t>Transit Warehouses</t>
        </is>
      </c>
      <c r="C4352" t="inlineStr">
        <is>
          <t>Good</t>
        </is>
      </c>
      <c r="F4352" t="n">
        <v>45</v>
      </c>
      <c r="G4352" t="n">
        <v>40</v>
      </c>
      <c r="H4352" t="n">
        <v>40</v>
      </c>
      <c r="I4352">
        <f>B4352&amp;"|"&amp;C4352</f>
        <v/>
      </c>
      <c r="J4352" t="inlineStr">
        <is>
          <t>Transit warehouses, average and good</t>
        </is>
      </c>
    </row>
    <row r="4353">
      <c r="B4353" t="inlineStr">
        <is>
          <t>Transit Warehouses</t>
        </is>
      </c>
      <c r="C4353" t="inlineStr">
        <is>
          <t>Average</t>
        </is>
      </c>
      <c r="F4353" t="n">
        <v>45</v>
      </c>
      <c r="G4353" t="n">
        <v>40</v>
      </c>
      <c r="H4353" t="n">
        <v>40</v>
      </c>
      <c r="I4353">
        <f>B4353&amp;"|"&amp;C4353</f>
        <v/>
      </c>
      <c r="J4353" t="inlineStr">
        <is>
          <t>Transit warehouses, average and good</t>
        </is>
      </c>
    </row>
    <row r="4354">
      <c r="B4354" t="inlineStr">
        <is>
          <t>Cold Storage Facilities</t>
        </is>
      </c>
      <c r="C4354" t="inlineStr">
        <is>
          <t>Good</t>
        </is>
      </c>
      <c r="D4354" t="n">
        <v>50</v>
      </c>
      <c r="E4354" t="n">
        <v>50</v>
      </c>
      <c r="F4354" t="n">
        <v>45</v>
      </c>
      <c r="G4354" t="n">
        <v>40</v>
      </c>
      <c r="H4354" t="n">
        <v>40</v>
      </c>
      <c r="I4354">
        <f>B4354&amp;"|"&amp;C4354</f>
        <v/>
      </c>
      <c r="J4354" t="inlineStr">
        <is>
          <t>average and good</t>
        </is>
      </c>
    </row>
    <row r="4355">
      <c r="B4355" t="inlineStr">
        <is>
          <t>Cold Storage Facilities</t>
        </is>
      </c>
      <c r="C4355" t="inlineStr">
        <is>
          <t>Average</t>
        </is>
      </c>
      <c r="D4355" t="n">
        <v>50</v>
      </c>
      <c r="E4355" t="n">
        <v>50</v>
      </c>
      <c r="F4355" t="n">
        <v>45</v>
      </c>
      <c r="G4355" t="n">
        <v>40</v>
      </c>
      <c r="H4355" t="n">
        <v>40</v>
      </c>
      <c r="I4355">
        <f>B4355&amp;"|"&amp;C4355</f>
        <v/>
      </c>
      <c r="J4355" t="inlineStr">
        <is>
          <t>average and good</t>
        </is>
      </c>
    </row>
    <row r="4356">
      <c r="B4356" t="inlineStr">
        <is>
          <t>Cold Storage Facilities</t>
        </is>
      </c>
      <c r="C4356" t="inlineStr">
        <is>
          <t>Excellent</t>
        </is>
      </c>
      <c r="F4356" t="n">
        <v>50</v>
      </c>
      <c r="H4356" t="n">
        <v>45</v>
      </c>
      <c r="I4356">
        <f>B4356&amp;"|"&amp;C4356</f>
        <v/>
      </c>
      <c r="J4356" t="inlineStr">
        <is>
          <t>Cold storage facilities, excellent</t>
        </is>
      </c>
    </row>
    <row r="4357">
      <c r="B4357" t="inlineStr">
        <is>
          <t>Cold Storage Facilities</t>
        </is>
      </c>
      <c r="C4357" t="inlineStr">
        <is>
          <t>Fair</t>
        </is>
      </c>
      <c r="F4357" t="n">
        <v>40</v>
      </c>
      <c r="G4357" t="n">
        <v>35</v>
      </c>
      <c r="H4357" t="n">
        <v>35</v>
      </c>
      <c r="I4357">
        <f>B4357&amp;"|"&amp;C4357</f>
        <v/>
      </c>
      <c r="J4357" t="inlineStr">
        <is>
          <t>low cost and fair</t>
        </is>
      </c>
    </row>
    <row r="4358">
      <c r="B4358" t="inlineStr">
        <is>
          <t>Cold Storage Facilities</t>
        </is>
      </c>
      <c r="C4358" t="inlineStr">
        <is>
          <t>Low Cost</t>
        </is>
      </c>
      <c r="F4358" t="n">
        <v>40</v>
      </c>
      <c r="G4358" t="n">
        <v>35</v>
      </c>
      <c r="H4358" t="n">
        <v>35</v>
      </c>
      <c r="I4358">
        <f>B4358&amp;"|"&amp;C4358</f>
        <v/>
      </c>
      <c r="J4358" t="inlineStr">
        <is>
          <t>low cost and fair</t>
        </is>
      </c>
    </row>
    <row r="4359">
      <c r="B4359" t="inlineStr">
        <is>
          <t>Creameries</t>
        </is>
      </c>
      <c r="C4359" t="inlineStr">
        <is>
          <t>Average</t>
        </is>
      </c>
      <c r="D4359" t="n">
        <v>45</v>
      </c>
      <c r="E4359" t="n">
        <v>45</v>
      </c>
      <c r="F4359" t="n">
        <v>35</v>
      </c>
      <c r="G4359" t="n">
        <v>30</v>
      </c>
      <c r="H4359" t="n">
        <v>30</v>
      </c>
      <c r="I4359">
        <f>B4359&amp;"|"&amp;C4359</f>
        <v/>
      </c>
      <c r="J4359" t="inlineStr">
        <is>
          <t>average</t>
        </is>
      </c>
    </row>
    <row r="4360">
      <c r="B4360" t="inlineStr">
        <is>
          <t>Creameries</t>
        </is>
      </c>
      <c r="C4360" t="inlineStr">
        <is>
          <t>Good</t>
        </is>
      </c>
      <c r="F4360" t="n">
        <v>45</v>
      </c>
      <c r="G4360" t="n">
        <v>45</v>
      </c>
      <c r="H4360" t="n">
        <v>45</v>
      </c>
      <c r="I4360">
        <f>B4360&amp;"|"&amp;C4360</f>
        <v/>
      </c>
      <c r="J4360" t="inlineStr">
        <is>
          <t>Creameries, good</t>
        </is>
      </c>
    </row>
    <row r="4361">
      <c r="B4361" t="inlineStr">
        <is>
          <t>Creameries</t>
        </is>
      </c>
      <c r="C4361" t="inlineStr">
        <is>
          <t>Low Cost</t>
        </is>
      </c>
      <c r="F4361" t="n">
        <v>25</v>
      </c>
      <c r="G4361" t="n">
        <v>20</v>
      </c>
      <c r="H4361" t="n">
        <v>20</v>
      </c>
      <c r="I4361">
        <f>B4361&amp;"|"&amp;C4361</f>
        <v/>
      </c>
      <c r="J4361" t="inlineStr">
        <is>
          <t>low cost</t>
        </is>
      </c>
    </row>
    <row r="4362">
      <c r="B4362" t="inlineStr">
        <is>
          <t>Mega (Storage/Distribution) Warehouses</t>
        </is>
      </c>
      <c r="C4362" t="inlineStr">
        <is>
          <t>Good</t>
        </is>
      </c>
      <c r="D4362" t="n">
        <v>50</v>
      </c>
      <c r="E4362" t="n">
        <v>50</v>
      </c>
      <c r="F4362" t="n">
        <v>45</v>
      </c>
      <c r="G4362" t="n">
        <v>40</v>
      </c>
      <c r="H4362" t="n">
        <v>40</v>
      </c>
      <c r="I4362">
        <f>B4362&amp;"|"&amp;C4362</f>
        <v/>
      </c>
      <c r="J4362" t="inlineStr">
        <is>
          <t>average and good</t>
        </is>
      </c>
    </row>
    <row r="4363">
      <c r="B4363" t="inlineStr">
        <is>
          <t>Mega (Storage/Distribution) Warehouses</t>
        </is>
      </c>
      <c r="C4363" t="inlineStr">
        <is>
          <t>Average</t>
        </is>
      </c>
      <c r="D4363" t="n">
        <v>50</v>
      </c>
      <c r="E4363" t="n">
        <v>50</v>
      </c>
      <c r="F4363" t="n">
        <v>45</v>
      </c>
      <c r="G4363" t="n">
        <v>40</v>
      </c>
      <c r="H4363" t="n">
        <v>40</v>
      </c>
      <c r="I4363">
        <f>B4363&amp;"|"&amp;C4363</f>
        <v/>
      </c>
      <c r="J4363" t="inlineStr">
        <is>
          <t>average and good</t>
        </is>
      </c>
    </row>
    <row r="4364">
      <c r="B4364" t="inlineStr">
        <is>
          <t>Mega (Storage/Distribution) Warehouses</t>
        </is>
      </c>
      <c r="C4364" t="inlineStr">
        <is>
          <t>Low Cost</t>
        </is>
      </c>
      <c r="D4364" t="n">
        <v>45</v>
      </c>
      <c r="E4364" t="n">
        <v>45</v>
      </c>
      <c r="F4364" t="n">
        <v>40</v>
      </c>
      <c r="G4364" t="n">
        <v>35</v>
      </c>
      <c r="H4364" t="n">
        <v>35</v>
      </c>
      <c r="I4364">
        <f>B4364&amp;"|"&amp;C4364</f>
        <v/>
      </c>
      <c r="J4364" t="inlineStr">
        <is>
          <t>cheap and low cost</t>
        </is>
      </c>
    </row>
    <row r="4365">
      <c r="B4365" t="inlineStr">
        <is>
          <t>Mega (Storage/Distribution) Warehouses</t>
        </is>
      </c>
      <c r="C4365" t="inlineStr">
        <is>
          <t>Cheap</t>
        </is>
      </c>
      <c r="D4365" t="n">
        <v>45</v>
      </c>
      <c r="E4365" t="n">
        <v>45</v>
      </c>
      <c r="F4365" t="n">
        <v>40</v>
      </c>
      <c r="G4365" t="n">
        <v>35</v>
      </c>
      <c r="H4365" t="n">
        <v>35</v>
      </c>
      <c r="I4365">
        <f>B4365&amp;"|"&amp;C4365</f>
        <v/>
      </c>
      <c r="J4365" t="inlineStr">
        <is>
          <t>cheap and low cost</t>
        </is>
      </c>
    </row>
    <row r="4366">
      <c r="B4366" t="inlineStr">
        <is>
          <t>Storage Warehouses</t>
        </is>
      </c>
      <c r="C4366" t="inlineStr">
        <is>
          <t>Good</t>
        </is>
      </c>
      <c r="D4366" t="n">
        <v>50</v>
      </c>
      <c r="E4366" t="n">
        <v>50</v>
      </c>
      <c r="F4366" t="n">
        <v>45</v>
      </c>
      <c r="G4366" t="n">
        <v>40</v>
      </c>
      <c r="H4366" t="n">
        <v>40</v>
      </c>
      <c r="I4366">
        <f>B4366&amp;"|"&amp;C4366</f>
        <v/>
      </c>
      <c r="J4366" t="inlineStr">
        <is>
          <t>average and good</t>
        </is>
      </c>
    </row>
    <row r="4367">
      <c r="B4367" t="inlineStr">
        <is>
          <t>Storage Warehouses</t>
        </is>
      </c>
      <c r="C4367" t="inlineStr">
        <is>
          <t>Average</t>
        </is>
      </c>
      <c r="D4367" t="n">
        <v>50</v>
      </c>
      <c r="E4367" t="n">
        <v>50</v>
      </c>
      <c r="F4367" t="n">
        <v>45</v>
      </c>
      <c r="G4367" t="n">
        <v>40</v>
      </c>
      <c r="H4367" t="n">
        <v>40</v>
      </c>
      <c r="I4367">
        <f>B4367&amp;"|"&amp;C4367</f>
        <v/>
      </c>
      <c r="J4367" t="inlineStr">
        <is>
          <t>average and good</t>
        </is>
      </c>
    </row>
    <row r="4368">
      <c r="B4368" t="inlineStr">
        <is>
          <t>Storage Warehouses</t>
        </is>
      </c>
      <c r="C4368" t="inlineStr">
        <is>
          <t>Low Cost</t>
        </is>
      </c>
      <c r="D4368" t="n">
        <v>45</v>
      </c>
      <c r="E4368" t="n">
        <v>45</v>
      </c>
      <c r="F4368" t="n">
        <v>40</v>
      </c>
      <c r="G4368" t="n">
        <v>35</v>
      </c>
      <c r="H4368" t="n">
        <v>35</v>
      </c>
      <c r="I4368">
        <f>B4368&amp;"|"&amp;C4368</f>
        <v/>
      </c>
      <c r="J4368" t="inlineStr">
        <is>
          <t>cheap and low cost</t>
        </is>
      </c>
    </row>
    <row r="4369">
      <c r="B4369" t="inlineStr">
        <is>
          <t>Storage Warehouses</t>
        </is>
      </c>
      <c r="C4369" t="inlineStr">
        <is>
          <t>Excellent</t>
        </is>
      </c>
      <c r="F4369" t="n">
        <v>50</v>
      </c>
      <c r="H4369" t="n">
        <v>45</v>
      </c>
      <c r="I4369">
        <f>B4369&amp;"|"&amp;C4369</f>
        <v/>
      </c>
      <c r="J4369" t="inlineStr">
        <is>
          <t>Storage and mega storage, excellent</t>
        </is>
      </c>
    </row>
    <row r="4370">
      <c r="B4370" t="inlineStr">
        <is>
          <t>Mini-Warehouses / Self-Storage</t>
        </is>
      </c>
      <c r="C4370" t="inlineStr">
        <is>
          <t>Good</t>
        </is>
      </c>
      <c r="F4370" t="n">
        <v>45</v>
      </c>
      <c r="G4370" t="n">
        <v>40</v>
      </c>
      <c r="H4370" t="n">
        <v>40</v>
      </c>
      <c r="I4370">
        <f>B4370&amp;"|"&amp;C4370</f>
        <v/>
      </c>
      <c r="J4370" t="inlineStr">
        <is>
          <t>Mini-warehouses, low and high rise, good</t>
        </is>
      </c>
    </row>
    <row r="4371">
      <c r="B4371" t="inlineStr">
        <is>
          <t>Mini-Warehouses / Self-Storage</t>
        </is>
      </c>
      <c r="C4371" t="inlineStr">
        <is>
          <t>Average</t>
        </is>
      </c>
      <c r="D4371" t="n">
        <v>45</v>
      </c>
      <c r="E4371" t="n">
        <v>45</v>
      </c>
      <c r="F4371" t="n">
        <v>40</v>
      </c>
      <c r="G4371" t="n">
        <v>35</v>
      </c>
      <c r="H4371" t="n">
        <v>35</v>
      </c>
      <c r="I4371">
        <f>B4371&amp;"|"&amp;C4371</f>
        <v/>
      </c>
      <c r="J4371" t="inlineStr">
        <is>
          <t>average</t>
        </is>
      </c>
    </row>
    <row r="4372">
      <c r="B4372" t="inlineStr">
        <is>
          <t>Mini-Warehouses / Self-Storage</t>
        </is>
      </c>
      <c r="C4372" t="inlineStr">
        <is>
          <t>Low Cost</t>
        </is>
      </c>
      <c r="F4372" t="n">
        <v>35</v>
      </c>
      <c r="G4372" t="n">
        <v>30</v>
      </c>
      <c r="H4372" t="n">
        <v>30</v>
      </c>
      <c r="I4372">
        <f>B4372&amp;"|"&amp;C4372</f>
        <v/>
      </c>
      <c r="J4372" t="inlineStr">
        <is>
          <t>low cost</t>
        </is>
      </c>
    </row>
    <row r="4373">
      <c r="B4373" t="inlineStr">
        <is>
          <t>Mini-Warehouses / Self-Storage</t>
        </is>
      </c>
      <c r="C4373" t="inlineStr">
        <is>
          <t>Cheap</t>
        </is>
      </c>
      <c r="F4373" t="n">
        <v>35</v>
      </c>
      <c r="G4373" t="n">
        <v>30</v>
      </c>
      <c r="H4373" t="n">
        <v>30</v>
      </c>
      <c r="I4373">
        <f>B4373&amp;"|"&amp;C4373</f>
        <v/>
      </c>
      <c r="J4373" t="inlineStr">
        <is>
          <t>low cost</t>
        </is>
      </c>
    </row>
    <row r="4374">
      <c r="B4374" t="inlineStr">
        <is>
          <t>Mini-Warehouses, High-Rise</t>
        </is>
      </c>
      <c r="C4374" t="inlineStr">
        <is>
          <t>Average</t>
        </is>
      </c>
      <c r="D4374" t="n">
        <v>45</v>
      </c>
      <c r="E4374" t="n">
        <v>45</v>
      </c>
      <c r="F4374" t="n">
        <v>40</v>
      </c>
      <c r="G4374" t="n">
        <v>35</v>
      </c>
      <c r="H4374" t="n">
        <v>35</v>
      </c>
      <c r="I4374">
        <f>B4374&amp;"|"&amp;C4374</f>
        <v/>
      </c>
      <c r="J4374" t="inlineStr">
        <is>
          <t>average</t>
        </is>
      </c>
    </row>
    <row r="4375">
      <c r="B4375" t="inlineStr">
        <is>
          <t>Mini-Warehouses, High-Rise</t>
        </is>
      </c>
      <c r="C4375" t="inlineStr">
        <is>
          <t>Good</t>
        </is>
      </c>
      <c r="F4375" t="n">
        <v>45</v>
      </c>
      <c r="G4375" t="n">
        <v>40</v>
      </c>
      <c r="H4375" t="n">
        <v>40</v>
      </c>
      <c r="I4375">
        <f>B4375&amp;"|"&amp;C4375</f>
        <v/>
      </c>
      <c r="J4375" t="inlineStr">
        <is>
          <t>Mini-warehouses, low and high rise, good</t>
        </is>
      </c>
    </row>
    <row r="4376">
      <c r="B4376" t="inlineStr">
        <is>
          <t>Maintenance Hangars</t>
        </is>
      </c>
      <c r="C4376" t="inlineStr">
        <is>
          <t>Excellent</t>
        </is>
      </c>
      <c r="F4376" t="n">
        <v>45</v>
      </c>
      <c r="H4376" t="n">
        <v>40</v>
      </c>
      <c r="I4376">
        <f>B4376&amp;"|"&amp;C4376</f>
        <v/>
      </c>
      <c r="J4376" t="inlineStr">
        <is>
          <t>Hangars, maintenance, excellent</t>
        </is>
      </c>
    </row>
    <row r="4377">
      <c r="B4377" t="inlineStr">
        <is>
          <t>Maintenance Hangars</t>
        </is>
      </c>
      <c r="C4377" t="inlineStr">
        <is>
          <t>Good</t>
        </is>
      </c>
      <c r="F4377" t="n">
        <v>40</v>
      </c>
      <c r="H4377" t="n">
        <v>40</v>
      </c>
      <c r="I4377">
        <f>B4377&amp;"|"&amp;C4377</f>
        <v/>
      </c>
      <c r="J4377" t="inlineStr">
        <is>
          <t>good</t>
        </is>
      </c>
    </row>
    <row r="4378">
      <c r="B4378" t="inlineStr">
        <is>
          <t>Maintenance Hangars</t>
        </is>
      </c>
      <c r="C4378" t="inlineStr">
        <is>
          <t>Average</t>
        </is>
      </c>
      <c r="F4378" t="n">
        <v>40</v>
      </c>
      <c r="G4378" t="n">
        <v>35</v>
      </c>
      <c r="H4378" t="n">
        <v>35</v>
      </c>
      <c r="I4378">
        <f>B4378&amp;"|"&amp;C4378</f>
        <v/>
      </c>
      <c r="J4378" t="inlineStr">
        <is>
          <t>average</t>
        </is>
      </c>
    </row>
    <row r="4379">
      <c r="B4379" t="inlineStr">
        <is>
          <t>Maintenance Hangars</t>
        </is>
      </c>
      <c r="C4379" t="inlineStr">
        <is>
          <t>Low Cost</t>
        </is>
      </c>
      <c r="F4379" t="n">
        <v>35</v>
      </c>
      <c r="G4379" t="n">
        <v>30</v>
      </c>
      <c r="H4379" t="n">
        <v>30</v>
      </c>
      <c r="I4379">
        <f>B4379&amp;"|"&amp;C4379</f>
        <v/>
      </c>
      <c r="J4379" t="inlineStr">
        <is>
          <t>low cost</t>
        </is>
      </c>
    </row>
    <row r="4380">
      <c r="B4380" t="inlineStr">
        <is>
          <t>Storage Hangars</t>
        </is>
      </c>
      <c r="C4380" t="inlineStr">
        <is>
          <t>Excellent</t>
        </is>
      </c>
      <c r="F4380" t="n">
        <v>40</v>
      </c>
      <c r="H4380" t="n">
        <v>40</v>
      </c>
      <c r="I4380">
        <f>B4380&amp;"|"&amp;C4380</f>
        <v/>
      </c>
      <c r="J4380" t="inlineStr">
        <is>
          <t>Storage, excellent</t>
        </is>
      </c>
    </row>
    <row r="4381">
      <c r="B4381" t="inlineStr">
        <is>
          <t>Storage Hangars</t>
        </is>
      </c>
      <c r="C4381" t="inlineStr">
        <is>
          <t>Good</t>
        </is>
      </c>
      <c r="F4381" t="n">
        <v>40</v>
      </c>
      <c r="H4381" t="n">
        <v>35</v>
      </c>
      <c r="I4381">
        <f>B4381&amp;"|"&amp;C4381</f>
        <v/>
      </c>
      <c r="J4381" t="inlineStr">
        <is>
          <t>good</t>
        </is>
      </c>
    </row>
    <row r="4382">
      <c r="B4382" t="inlineStr">
        <is>
          <t>Storage Hangars</t>
        </is>
      </c>
      <c r="C4382" t="inlineStr">
        <is>
          <t>Average</t>
        </is>
      </c>
      <c r="F4382" t="n">
        <v>35</v>
      </c>
      <c r="G4382" t="n">
        <v>30</v>
      </c>
      <c r="H4382" t="n">
        <v>30</v>
      </c>
      <c r="I4382">
        <f>B4382&amp;"|"&amp;C4382</f>
        <v/>
      </c>
      <c r="J4382" t="inlineStr">
        <is>
          <t>average</t>
        </is>
      </c>
    </row>
    <row r="4383">
      <c r="B4383" t="inlineStr">
        <is>
          <t>Storage Hangars</t>
        </is>
      </c>
      <c r="C4383" t="inlineStr">
        <is>
          <t>Low Cost</t>
        </is>
      </c>
      <c r="F4383" t="n">
        <v>30</v>
      </c>
      <c r="G4383" t="n">
        <v>30</v>
      </c>
      <c r="H4383" t="n">
        <v>30</v>
      </c>
      <c r="I4383">
        <f>B4383&amp;"|"&amp;C4383</f>
        <v/>
      </c>
      <c r="J4383" t="inlineStr">
        <is>
          <t>low cost</t>
        </is>
      </c>
    </row>
    <row r="4384">
      <c r="B4384" t="inlineStr">
        <is>
          <t>Storage Hangars</t>
        </is>
      </c>
      <c r="C4384" t="inlineStr">
        <is>
          <t>Cheap</t>
        </is>
      </c>
      <c r="G4384" t="n">
        <v>20</v>
      </c>
      <c r="H4384" t="n">
        <v>20</v>
      </c>
      <c r="I4384">
        <f>B4384&amp;"|"&amp;C4384</f>
        <v/>
      </c>
      <c r="J4384" t="inlineStr">
        <is>
          <t>cheap</t>
        </is>
      </c>
    </row>
    <row r="4385">
      <c r="B4385" t="inlineStr">
        <is>
          <t>T-Hangars</t>
        </is>
      </c>
      <c r="C4385" t="inlineStr">
        <is>
          <t>Average</t>
        </is>
      </c>
      <c r="F4385" t="n">
        <v>30</v>
      </c>
      <c r="H4385" t="n">
        <v>30</v>
      </c>
      <c r="I4385">
        <f>B4385&amp;"|"&amp;C4385</f>
        <v/>
      </c>
      <c r="J4385" t="inlineStr">
        <is>
          <t>T-hangars, average</t>
        </is>
      </c>
    </row>
    <row r="4386">
      <c r="B4386" t="inlineStr">
        <is>
          <t>T-Hangars</t>
        </is>
      </c>
      <c r="C4386" t="inlineStr">
        <is>
          <t>Low Cost</t>
        </is>
      </c>
      <c r="G4386" t="n">
        <v>20</v>
      </c>
      <c r="H4386" t="n">
        <v>20</v>
      </c>
      <c r="I4386">
        <f>B4386&amp;"|"&amp;C4386</f>
        <v/>
      </c>
      <c r="J4386" t="inlineStr">
        <is>
          <t>low cost</t>
        </is>
      </c>
    </row>
    <row r="4387">
      <c r="B4387" t="inlineStr">
        <is>
          <t>Complete Auto Dealerships</t>
        </is>
      </c>
      <c r="C4387" t="inlineStr">
        <is>
          <t>Average</t>
        </is>
      </c>
      <c r="D4387" t="n">
        <v>45</v>
      </c>
      <c r="E4387" t="n">
        <v>45</v>
      </c>
      <c r="F4387" t="n">
        <v>40</v>
      </c>
      <c r="G4387" t="n">
        <v>35</v>
      </c>
      <c r="H4387" t="n">
        <v>35</v>
      </c>
      <c r="I4387">
        <f>B4387&amp;"|"&amp;C4387</f>
        <v/>
      </c>
      <c r="J4387" t="inlineStr">
        <is>
          <t>average</t>
        </is>
      </c>
    </row>
    <row r="4388">
      <c r="B4388" t="inlineStr">
        <is>
          <t>Complete Auto Dealerships</t>
        </is>
      </c>
      <c r="C4388" t="inlineStr">
        <is>
          <t>Excellent</t>
        </is>
      </c>
      <c r="D4388" t="n">
        <v>50</v>
      </c>
      <c r="E4388" t="n">
        <v>50</v>
      </c>
      <c r="F4388" t="n">
        <v>45</v>
      </c>
      <c r="G4388" t="n">
        <v>40</v>
      </c>
      <c r="H4388" t="n">
        <v>40</v>
      </c>
      <c r="I4388">
        <f>B4388&amp;"|"&amp;C4388</f>
        <v/>
      </c>
      <c r="J4388" t="inlineStr">
        <is>
          <t>Complete auto dealerships, good and excellent</t>
        </is>
      </c>
    </row>
    <row r="4389">
      <c r="B4389" t="inlineStr">
        <is>
          <t>Complete Auto Dealerships</t>
        </is>
      </c>
      <c r="C4389" t="inlineStr">
        <is>
          <t>Good</t>
        </is>
      </c>
      <c r="D4389" t="n">
        <v>50</v>
      </c>
      <c r="E4389" t="n">
        <v>50</v>
      </c>
      <c r="F4389" t="n">
        <v>45</v>
      </c>
      <c r="G4389" t="n">
        <v>40</v>
      </c>
      <c r="H4389" t="n">
        <v>40</v>
      </c>
      <c r="I4389">
        <f>B4389&amp;"|"&amp;C4389</f>
        <v/>
      </c>
      <c r="J4389" t="inlineStr">
        <is>
          <t>Complete auto dealerships, good and excellent</t>
        </is>
      </c>
    </row>
    <row r="4390">
      <c r="B4390" t="inlineStr">
        <is>
          <t>Complete Auto Dealerships</t>
        </is>
      </c>
      <c r="C4390" t="inlineStr">
        <is>
          <t>Low Cost</t>
        </is>
      </c>
      <c r="F4390" t="n">
        <v>35</v>
      </c>
      <c r="G4390" t="n">
        <v>30</v>
      </c>
      <c r="H4390" t="n">
        <v>30</v>
      </c>
      <c r="I4390">
        <f>B4390&amp;"|"&amp;C4390</f>
        <v/>
      </c>
      <c r="J4390" t="inlineStr">
        <is>
          <t>low cost</t>
        </is>
      </c>
    </row>
    <row r="4391">
      <c r="B4391" t="inlineStr">
        <is>
          <t>Automotive Service Centers</t>
        </is>
      </c>
      <c r="C4391" t="inlineStr">
        <is>
          <t>Good</t>
        </is>
      </c>
      <c r="F4391" t="n">
        <v>45</v>
      </c>
      <c r="G4391" t="n">
        <v>40</v>
      </c>
      <c r="H4391" t="n">
        <v>40</v>
      </c>
      <c r="I4391">
        <f>B4391&amp;"|"&amp;C4391</f>
        <v/>
      </c>
      <c r="J4391" t="inlineStr">
        <is>
          <t>Automotive service centers, good</t>
        </is>
      </c>
    </row>
    <row r="4392">
      <c r="B4392" t="inlineStr">
        <is>
          <t>Automotive Service Centers</t>
        </is>
      </c>
      <c r="C4392" t="inlineStr">
        <is>
          <t>Average</t>
        </is>
      </c>
      <c r="F4392" t="n">
        <v>40</v>
      </c>
      <c r="G4392" t="n">
        <v>35</v>
      </c>
      <c r="H4392" t="n">
        <v>35</v>
      </c>
      <c r="I4392">
        <f>B4392&amp;"|"&amp;C4392</f>
        <v/>
      </c>
      <c r="J4392" t="inlineStr">
        <is>
          <t>average</t>
        </is>
      </c>
    </row>
    <row r="4393">
      <c r="B4393" t="inlineStr">
        <is>
          <t>Automotive Service Centers</t>
        </is>
      </c>
      <c r="C4393" t="inlineStr">
        <is>
          <t>Low Cost</t>
        </is>
      </c>
      <c r="F4393" t="n">
        <v>35</v>
      </c>
      <c r="G4393" t="n">
        <v>30</v>
      </c>
      <c r="H4393" t="n">
        <v>30</v>
      </c>
      <c r="I4393">
        <f>B4393&amp;"|"&amp;C4393</f>
        <v/>
      </c>
      <c r="J4393" t="inlineStr">
        <is>
          <t>low cost</t>
        </is>
      </c>
    </row>
    <row r="4394">
      <c r="B4394" t="inlineStr">
        <is>
          <t>Showrooms</t>
        </is>
      </c>
      <c r="C4394" t="inlineStr">
        <is>
          <t>Average</t>
        </is>
      </c>
      <c r="D4394" t="n">
        <v>45</v>
      </c>
      <c r="E4394" t="n">
        <v>45</v>
      </c>
      <c r="F4394" t="n">
        <v>40</v>
      </c>
      <c r="G4394" t="n">
        <v>35</v>
      </c>
      <c r="H4394" t="n">
        <v>35</v>
      </c>
      <c r="I4394">
        <f>B4394&amp;"|"&amp;C4394</f>
        <v/>
      </c>
      <c r="J4394" t="inlineStr">
        <is>
          <t>average</t>
        </is>
      </c>
    </row>
    <row r="4395">
      <c r="B4395" t="inlineStr">
        <is>
          <t>Showrooms</t>
        </is>
      </c>
      <c r="C4395" t="inlineStr">
        <is>
          <t>Excellent</t>
        </is>
      </c>
      <c r="D4395" t="n">
        <v>50</v>
      </c>
      <c r="E4395" t="n">
        <v>50</v>
      </c>
      <c r="F4395" t="n">
        <v>45</v>
      </c>
      <c r="G4395" t="n">
        <v>40</v>
      </c>
      <c r="H4395" t="n">
        <v>40</v>
      </c>
      <c r="I4395">
        <f>B4395&amp;"|"&amp;C4395</f>
        <v/>
      </c>
      <c r="J4395" t="inlineStr">
        <is>
          <t>Showrooms, good and excellent</t>
        </is>
      </c>
    </row>
    <row r="4396">
      <c r="B4396" t="inlineStr">
        <is>
          <t>Showrooms</t>
        </is>
      </c>
      <c r="C4396" t="inlineStr">
        <is>
          <t>Good</t>
        </is>
      </c>
      <c r="D4396" t="n">
        <v>50</v>
      </c>
      <c r="E4396" t="n">
        <v>50</v>
      </c>
      <c r="F4396" t="n">
        <v>45</v>
      </c>
      <c r="G4396" t="n">
        <v>40</v>
      </c>
      <c r="H4396" t="n">
        <v>40</v>
      </c>
      <c r="I4396">
        <f>B4396&amp;"|"&amp;C4396</f>
        <v/>
      </c>
      <c r="J4396" t="inlineStr">
        <is>
          <t>Showrooms, good and excellent</t>
        </is>
      </c>
    </row>
    <row r="4397">
      <c r="B4397" t="inlineStr">
        <is>
          <t>Showrooms</t>
        </is>
      </c>
      <c r="C4397" t="inlineStr">
        <is>
          <t>Low Cost</t>
        </is>
      </c>
      <c r="F4397" t="n">
        <v>35</v>
      </c>
      <c r="G4397" t="n">
        <v>30</v>
      </c>
      <c r="H4397" t="n">
        <v>30</v>
      </c>
      <c r="I4397">
        <f>B4397&amp;"|"&amp;C4397</f>
        <v/>
      </c>
      <c r="J4397" t="inlineStr">
        <is>
          <t>low cost</t>
        </is>
      </c>
    </row>
    <row r="4398">
      <c r="B4398" t="inlineStr">
        <is>
          <t>Service Garages (Commercial/Repair)</t>
        </is>
      </c>
      <c r="C4398" t="inlineStr">
        <is>
          <t>Average</t>
        </is>
      </c>
      <c r="D4398" t="n">
        <v>40</v>
      </c>
      <c r="E4398" t="n">
        <v>40</v>
      </c>
      <c r="F4398" t="n">
        <v>35</v>
      </c>
      <c r="G4398" t="n">
        <v>30</v>
      </c>
      <c r="H4398" t="n">
        <v>30</v>
      </c>
      <c r="I4398">
        <f>B4398&amp;"|"&amp;C4398</f>
        <v/>
      </c>
      <c r="J4398" t="inlineStr">
        <is>
          <t>low cost and average</t>
        </is>
      </c>
    </row>
    <row r="4399">
      <c r="B4399" t="inlineStr">
        <is>
          <t>Service Garages (Commercial/Repair)</t>
        </is>
      </c>
      <c r="C4399" t="inlineStr">
        <is>
          <t>Excellent</t>
        </is>
      </c>
      <c r="F4399" t="n">
        <v>40</v>
      </c>
      <c r="G4399" t="n">
        <v>35</v>
      </c>
      <c r="H4399" t="n">
        <v>35</v>
      </c>
      <c r="I4399">
        <f>B4399&amp;"|"&amp;C4399</f>
        <v/>
      </c>
      <c r="J4399" t="inlineStr">
        <is>
          <t>Service and repair garages, good and excellent</t>
        </is>
      </c>
    </row>
    <row r="4400">
      <c r="B4400" t="inlineStr">
        <is>
          <t>Service Garages (Commercial/Repair)</t>
        </is>
      </c>
      <c r="C4400" t="inlineStr">
        <is>
          <t>Good</t>
        </is>
      </c>
      <c r="F4400" t="n">
        <v>40</v>
      </c>
      <c r="G4400" t="n">
        <v>35</v>
      </c>
      <c r="H4400" t="n">
        <v>35</v>
      </c>
      <c r="I4400">
        <f>B4400&amp;"|"&amp;C4400</f>
        <v/>
      </c>
      <c r="J4400" t="inlineStr">
        <is>
          <t>Service and repair garages, good and excellent</t>
        </is>
      </c>
    </row>
    <row r="4401">
      <c r="B4401" t="inlineStr">
        <is>
          <t>Service Garages (Commercial/Repair)</t>
        </is>
      </c>
      <c r="C4401" t="inlineStr">
        <is>
          <t>Low Cost</t>
        </is>
      </c>
      <c r="D4401" t="n">
        <v>40</v>
      </c>
      <c r="E4401" t="n">
        <v>40</v>
      </c>
      <c r="F4401" t="n">
        <v>35</v>
      </c>
      <c r="G4401" t="n">
        <v>30</v>
      </c>
      <c r="H4401" t="n">
        <v>30</v>
      </c>
      <c r="I4401">
        <f>B4401&amp;"|"&amp;C4401</f>
        <v/>
      </c>
      <c r="J4401" t="inlineStr">
        <is>
          <t>low cost and average</t>
        </is>
      </c>
    </row>
    <row r="4402">
      <c r="B4402" t="inlineStr">
        <is>
          <t>Service Garage Sheds</t>
        </is>
      </c>
      <c r="C4402" t="inlineStr">
        <is>
          <t>Good</t>
        </is>
      </c>
      <c r="F4402" t="n">
        <v>35</v>
      </c>
      <c r="G4402" t="n">
        <v>30</v>
      </c>
      <c r="H4402" t="n">
        <v>30</v>
      </c>
      <c r="I4402">
        <f>B4402&amp;"|"&amp;C4402</f>
        <v/>
      </c>
      <c r="J4402" t="inlineStr">
        <is>
          <t>Service garage sheds, good</t>
        </is>
      </c>
    </row>
    <row r="4403">
      <c r="B4403" t="inlineStr">
        <is>
          <t>Service Garage Sheds</t>
        </is>
      </c>
      <c r="C4403" t="inlineStr">
        <is>
          <t>Average</t>
        </is>
      </c>
      <c r="F4403" t="n">
        <v>30</v>
      </c>
      <c r="G4403" t="n">
        <v>25</v>
      </c>
      <c r="H4403" t="n">
        <v>25</v>
      </c>
      <c r="I4403">
        <f>B4403&amp;"|"&amp;C4403</f>
        <v/>
      </c>
      <c r="J4403" t="inlineStr">
        <is>
          <t>low cost and average</t>
        </is>
      </c>
    </row>
    <row r="4404">
      <c r="B4404" t="inlineStr">
        <is>
          <t>Service Garage Sheds</t>
        </is>
      </c>
      <c r="C4404" t="inlineStr">
        <is>
          <t>Low Cost</t>
        </is>
      </c>
      <c r="F4404" t="n">
        <v>30</v>
      </c>
      <c r="G4404" t="n">
        <v>25</v>
      </c>
      <c r="H4404" t="n">
        <v>25</v>
      </c>
      <c r="I4404">
        <f>B4404&amp;"|"&amp;C4404</f>
        <v/>
      </c>
      <c r="J4404" t="inlineStr">
        <is>
          <t>low cost and average</t>
        </is>
      </c>
    </row>
    <row r="4405">
      <c r="B4405" t="inlineStr">
        <is>
          <t>Municipal Service Garages</t>
        </is>
      </c>
      <c r="C4405" t="inlineStr">
        <is>
          <t>Excellent</t>
        </is>
      </c>
      <c r="F4405" t="n">
        <v>45</v>
      </c>
      <c r="H4405" t="n">
        <v>40</v>
      </c>
      <c r="I4405">
        <f>B4405&amp;"|"&amp;C4405</f>
        <v/>
      </c>
      <c r="J4405" t="inlineStr">
        <is>
          <t>Garages, municipal service, excellent</t>
        </is>
      </c>
    </row>
    <row r="4406">
      <c r="B4406" t="inlineStr">
        <is>
          <t>Municipal Service Garages</t>
        </is>
      </c>
      <c r="C4406" t="inlineStr">
        <is>
          <t>Good</t>
        </is>
      </c>
      <c r="F4406" t="n">
        <v>40</v>
      </c>
      <c r="G4406" t="n">
        <v>35</v>
      </c>
      <c r="H4406" t="n">
        <v>35</v>
      </c>
      <c r="I4406">
        <f>B4406&amp;"|"&amp;C4406</f>
        <v/>
      </c>
      <c r="J4406" t="inlineStr">
        <is>
          <t>average and good</t>
        </is>
      </c>
    </row>
    <row r="4407">
      <c r="B4407" t="inlineStr">
        <is>
          <t>Municipal Service Garages</t>
        </is>
      </c>
      <c r="C4407" t="inlineStr">
        <is>
          <t>Average</t>
        </is>
      </c>
      <c r="F4407" t="n">
        <v>40</v>
      </c>
      <c r="G4407" t="n">
        <v>35</v>
      </c>
      <c r="H4407" t="n">
        <v>35</v>
      </c>
      <c r="I4407">
        <f>B4407&amp;"|"&amp;C4407</f>
        <v/>
      </c>
      <c r="J4407" t="inlineStr">
        <is>
          <t>average and good</t>
        </is>
      </c>
    </row>
    <row r="4408">
      <c r="B4408" t="inlineStr">
        <is>
          <t>Mini-Lube Garages</t>
        </is>
      </c>
      <c r="C4408" t="inlineStr">
        <is>
          <t>Excellent</t>
        </is>
      </c>
      <c r="F4408" t="n">
        <v>40</v>
      </c>
      <c r="G4408" t="n">
        <v>35</v>
      </c>
      <c r="H4408" t="n">
        <v>35</v>
      </c>
      <c r="I4408">
        <f>B4408&amp;"|"&amp;C4408</f>
        <v/>
      </c>
      <c r="J4408" t="inlineStr">
        <is>
          <t>Mini-lube garages, good and excellent</t>
        </is>
      </c>
    </row>
    <row r="4409">
      <c r="B4409" t="inlineStr">
        <is>
          <t>Mini-Lube Garages</t>
        </is>
      </c>
      <c r="C4409" t="inlineStr">
        <is>
          <t>Good</t>
        </is>
      </c>
      <c r="F4409" t="n">
        <v>40</v>
      </c>
      <c r="G4409" t="n">
        <v>35</v>
      </c>
      <c r="H4409" t="n">
        <v>35</v>
      </c>
      <c r="I4409">
        <f>B4409&amp;"|"&amp;C4409</f>
        <v/>
      </c>
      <c r="J4409" t="inlineStr">
        <is>
          <t>Mini-lube garages, good and excellent</t>
        </is>
      </c>
    </row>
    <row r="4410">
      <c r="B4410" t="inlineStr">
        <is>
          <t>Mini-Lube Garages</t>
        </is>
      </c>
      <c r="C4410" t="inlineStr">
        <is>
          <t>Average</t>
        </is>
      </c>
      <c r="F4410" t="n">
        <v>35</v>
      </c>
      <c r="G4410" t="n">
        <v>30</v>
      </c>
      <c r="H4410" t="n">
        <v>30</v>
      </c>
      <c r="I4410">
        <f>B4410&amp;"|"&amp;C4410</f>
        <v/>
      </c>
      <c r="J4410" t="inlineStr">
        <is>
          <t>low cost and average</t>
        </is>
      </c>
    </row>
    <row r="4411">
      <c r="B4411" t="inlineStr">
        <is>
          <t>Mini-Lube Garages</t>
        </is>
      </c>
      <c r="C4411" t="inlineStr">
        <is>
          <t>Low Cost</t>
        </is>
      </c>
      <c r="F4411" t="n">
        <v>35</v>
      </c>
      <c r="G4411" t="n">
        <v>30</v>
      </c>
      <c r="H4411" t="n">
        <v>30</v>
      </c>
      <c r="I4411">
        <f>B4411&amp;"|"&amp;C4411</f>
        <v/>
      </c>
      <c r="J4411" t="inlineStr">
        <is>
          <t>low cost and average</t>
        </is>
      </c>
    </row>
    <row r="4412">
      <c r="B4412" t="inlineStr">
        <is>
          <t>Parking (Parkade) Structures</t>
        </is>
      </c>
      <c r="C4412" t="inlineStr">
        <is>
          <t>Good</t>
        </is>
      </c>
      <c r="D4412" t="n">
        <v>45</v>
      </c>
      <c r="E4412" t="n">
        <v>45</v>
      </c>
      <c r="I4412">
        <f>B4412&amp;"|"&amp;C4412</f>
        <v/>
      </c>
      <c r="J4412" t="inlineStr">
        <is>
          <t>Parking structures/parkades, good</t>
        </is>
      </c>
    </row>
    <row r="4413">
      <c r="B4413" t="inlineStr">
        <is>
          <t>Parking (Parkade) Structures</t>
        </is>
      </c>
      <c r="C4413" t="inlineStr">
        <is>
          <t>Average</t>
        </is>
      </c>
      <c r="D4413" t="n">
        <v>40</v>
      </c>
      <c r="E4413" t="n">
        <v>40</v>
      </c>
      <c r="H4413" t="n">
        <v>35</v>
      </c>
      <c r="I4413">
        <f>B4413&amp;"|"&amp;C4413</f>
        <v/>
      </c>
      <c r="J4413" t="inlineStr">
        <is>
          <t>low cost and average</t>
        </is>
      </c>
    </row>
    <row r="4414">
      <c r="B4414" t="inlineStr">
        <is>
          <t>Parking (Parkade) Structures</t>
        </is>
      </c>
      <c r="C4414" t="inlineStr">
        <is>
          <t>Low Cost</t>
        </is>
      </c>
      <c r="D4414" t="n">
        <v>40</v>
      </c>
      <c r="E4414" t="n">
        <v>40</v>
      </c>
      <c r="H4414" t="n">
        <v>35</v>
      </c>
      <c r="I4414">
        <f>B4414&amp;"|"&amp;C4414</f>
        <v/>
      </c>
      <c r="J4414" t="inlineStr">
        <is>
          <t>low cost and average</t>
        </is>
      </c>
    </row>
    <row r="4415">
      <c r="B4415" t="inlineStr">
        <is>
          <t>Parking (Parkade) Structures</t>
        </is>
      </c>
      <c r="C4415" t="inlineStr">
        <is>
          <t>Cheap</t>
        </is>
      </c>
      <c r="H4415" t="n">
        <v>30</v>
      </c>
      <c r="I4415">
        <f>B4415&amp;"|"&amp;C4415</f>
        <v/>
      </c>
      <c r="J4415" t="inlineStr">
        <is>
          <t>cheap</t>
        </is>
      </c>
    </row>
    <row r="4416">
      <c r="B4416" t="inlineStr">
        <is>
          <t>Storage Garages</t>
        </is>
      </c>
      <c r="C4416" t="inlineStr">
        <is>
          <t>Average</t>
        </is>
      </c>
      <c r="D4416" t="n">
        <v>45</v>
      </c>
      <c r="E4416" t="n">
        <v>45</v>
      </c>
      <c r="F4416" t="n">
        <v>40</v>
      </c>
      <c r="G4416" t="n">
        <v>35</v>
      </c>
      <c r="H4416" t="n">
        <v>35</v>
      </c>
      <c r="I4416">
        <f>B4416&amp;"|"&amp;C4416</f>
        <v/>
      </c>
      <c r="J4416" t="inlineStr">
        <is>
          <t>Storage, average</t>
        </is>
      </c>
    </row>
    <row r="4417">
      <c r="B4417" t="inlineStr">
        <is>
          <t>Light Industrial/Warehouse Shell Buildings</t>
        </is>
      </c>
      <c r="C4417" t="inlineStr">
        <is>
          <t>Good</t>
        </is>
      </c>
      <c r="D4417" t="n">
        <v>50</v>
      </c>
      <c r="E4417" t="n">
        <v>50</v>
      </c>
      <c r="F4417" t="n">
        <v>45</v>
      </c>
      <c r="G4417" t="n">
        <v>40</v>
      </c>
      <c r="H4417" t="n">
        <v>40</v>
      </c>
      <c r="I4417">
        <f>B4417&amp;"|"&amp;C4417</f>
        <v/>
      </c>
      <c r="J4417" t="inlineStr">
        <is>
          <t>light, good</t>
        </is>
      </c>
    </row>
    <row r="4418">
      <c r="B4418" t="inlineStr">
        <is>
          <t>Light Industrial/Warehouse Shell Buildings</t>
        </is>
      </c>
      <c r="C4418" t="inlineStr">
        <is>
          <t>Average</t>
        </is>
      </c>
      <c r="D4418" t="n">
        <v>50</v>
      </c>
      <c r="E4418" t="n">
        <v>50</v>
      </c>
      <c r="F4418" t="n">
        <v>40</v>
      </c>
      <c r="G4418" t="n">
        <v>35</v>
      </c>
      <c r="H4418" t="n">
        <v>35</v>
      </c>
      <c r="I4418">
        <f>B4418&amp;"|"&amp;C4418</f>
        <v/>
      </c>
      <c r="J4418" t="inlineStr">
        <is>
          <t>average</t>
        </is>
      </c>
    </row>
    <row r="4419">
      <c r="B4419" t="inlineStr">
        <is>
          <t>Light Industrial/Warehouse Shell Buildings</t>
        </is>
      </c>
      <c r="C4419" t="inlineStr">
        <is>
          <t>Low Cost</t>
        </is>
      </c>
      <c r="D4419" t="n">
        <v>45</v>
      </c>
      <c r="E4419" t="n">
        <v>45</v>
      </c>
      <c r="F4419" t="n">
        <v>40</v>
      </c>
      <c r="G4419" t="n">
        <v>35</v>
      </c>
      <c r="H4419" t="n">
        <v>35</v>
      </c>
      <c r="I4419">
        <f>B4419&amp;"|"&amp;C4419</f>
        <v/>
      </c>
      <c r="J4419" t="inlineStr">
        <is>
          <t>low cost</t>
        </is>
      </c>
    </row>
    <row r="4420">
      <c r="B4420" t="inlineStr">
        <is>
          <t>Light Industrial/Warehouse Shell Buildings</t>
        </is>
      </c>
      <c r="C4420" t="inlineStr">
        <is>
          <t>Cheap</t>
        </is>
      </c>
      <c r="D4420" t="n">
        <v>45</v>
      </c>
      <c r="E4420" t="n">
        <v>45</v>
      </c>
      <c r="F4420" t="n">
        <v>40</v>
      </c>
      <c r="G4420" t="n">
        <v>35</v>
      </c>
      <c r="H4420" t="n">
        <v>35</v>
      </c>
      <c r="I4420">
        <f>B4420&amp;"|"&amp;C4420</f>
        <v/>
      </c>
      <c r="J4420" t="inlineStr">
        <is>
          <t>low cost</t>
        </is>
      </c>
    </row>
    <row r="4421">
      <c r="B4421" t="inlineStr">
        <is>
          <t>Office Buildings</t>
        </is>
      </c>
      <c r="C4421" t="inlineStr">
        <is>
          <t>Excellent</t>
        </is>
      </c>
      <c r="D4421" t="n">
        <v>60</v>
      </c>
      <c r="E4421" t="n">
        <v>60</v>
      </c>
      <c r="F4421" t="n">
        <v>55</v>
      </c>
      <c r="G4421" t="n">
        <v>50</v>
      </c>
      <c r="H4421" t="n">
        <v>50</v>
      </c>
      <c r="I4421">
        <f>B4421&amp;"|"&amp;C4421</f>
        <v/>
      </c>
      <c r="J4421" t="inlineStr">
        <is>
          <t>Offices, good and excellent</t>
        </is>
      </c>
    </row>
    <row r="4422">
      <c r="B4422" t="inlineStr">
        <is>
          <t>Office Buildings</t>
        </is>
      </c>
      <c r="C4422" t="inlineStr">
        <is>
          <t>Good</t>
        </is>
      </c>
      <c r="D4422" t="n">
        <v>60</v>
      </c>
      <c r="E4422" t="n">
        <v>60</v>
      </c>
      <c r="F4422" t="n">
        <v>55</v>
      </c>
      <c r="G4422" t="n">
        <v>50</v>
      </c>
      <c r="H4422" t="n">
        <v>50</v>
      </c>
      <c r="I4422">
        <f>B4422&amp;"|"&amp;C4422</f>
        <v/>
      </c>
      <c r="J4422" t="inlineStr">
        <is>
          <t>Offices, good and excellent</t>
        </is>
      </c>
    </row>
    <row r="4423">
      <c r="B4423" t="inlineStr">
        <is>
          <t>Office Buildings</t>
        </is>
      </c>
      <c r="C4423" t="inlineStr">
        <is>
          <t>Average</t>
        </is>
      </c>
      <c r="D4423" t="n">
        <v>55</v>
      </c>
      <c r="E4423" t="n">
        <v>55</v>
      </c>
      <c r="F4423" t="n">
        <v>50</v>
      </c>
      <c r="G4423" t="n">
        <v>45</v>
      </c>
      <c r="H4423" t="n">
        <v>45</v>
      </c>
      <c r="I4423">
        <f>B4423&amp;"|"&amp;C4423</f>
        <v/>
      </c>
      <c r="J4423" t="inlineStr">
        <is>
          <t>average</t>
        </is>
      </c>
    </row>
    <row r="4424">
      <c r="B4424" t="inlineStr">
        <is>
          <t>Office Buildings</t>
        </is>
      </c>
      <c r="C4424" t="inlineStr">
        <is>
          <t>Low Cost</t>
        </is>
      </c>
      <c r="D4424" t="n">
        <v>50</v>
      </c>
      <c r="E4424" t="n">
        <v>50</v>
      </c>
      <c r="F4424" t="n">
        <v>45</v>
      </c>
      <c r="G4424" t="n">
        <v>40</v>
      </c>
      <c r="H4424" t="n">
        <v>40</v>
      </c>
      <c r="I4424">
        <f>B4424&amp;"|"&amp;C4424</f>
        <v/>
      </c>
      <c r="J4424" t="inlineStr">
        <is>
          <t>low cost</t>
        </is>
      </c>
    </row>
    <row r="4425">
      <c r="B4425" t="inlineStr">
        <is>
          <t>Atriums/Vestibules</t>
        </is>
      </c>
      <c r="C4425" t="inlineStr">
        <is>
          <t>Excellent</t>
        </is>
      </c>
      <c r="D4425" t="n">
        <v>60</v>
      </c>
      <c r="E4425" t="n">
        <v>60</v>
      </c>
      <c r="F4425" t="n">
        <v>55</v>
      </c>
      <c r="G4425" t="n">
        <v>50</v>
      </c>
      <c r="H4425" t="n">
        <v>50</v>
      </c>
      <c r="I4425">
        <f>B4425&amp;"|"&amp;C4425</f>
        <v/>
      </c>
      <c r="J4425" t="inlineStr">
        <is>
          <t>Atriums, good and excellent</t>
        </is>
      </c>
    </row>
    <row r="4426">
      <c r="B4426" t="inlineStr">
        <is>
          <t>Atriums/Vestibules</t>
        </is>
      </c>
      <c r="C4426" t="inlineStr">
        <is>
          <t>Good</t>
        </is>
      </c>
      <c r="D4426" t="n">
        <v>60</v>
      </c>
      <c r="E4426" t="n">
        <v>60</v>
      </c>
      <c r="F4426" t="n">
        <v>55</v>
      </c>
      <c r="G4426" t="n">
        <v>50</v>
      </c>
      <c r="H4426" t="n">
        <v>50</v>
      </c>
      <c r="I4426">
        <f>B4426&amp;"|"&amp;C4426</f>
        <v/>
      </c>
      <c r="J4426" t="inlineStr">
        <is>
          <t>Atriums, good and excellent</t>
        </is>
      </c>
    </row>
    <row r="4427">
      <c r="B4427" t="inlineStr">
        <is>
          <t>Atriums/Vestibules</t>
        </is>
      </c>
      <c r="C4427" t="inlineStr">
        <is>
          <t>Average</t>
        </is>
      </c>
      <c r="D4427" t="n">
        <v>55</v>
      </c>
      <c r="E4427" t="n">
        <v>55</v>
      </c>
      <c r="F4427" t="n">
        <v>50</v>
      </c>
      <c r="G4427" t="n">
        <v>45</v>
      </c>
      <c r="H4427" t="n">
        <v>45</v>
      </c>
      <c r="I4427">
        <f>B4427&amp;"|"&amp;C4427</f>
        <v/>
      </c>
      <c r="J4427" t="inlineStr">
        <is>
          <t>average</t>
        </is>
      </c>
    </row>
    <row r="4428">
      <c r="B4428" t="inlineStr">
        <is>
          <t>Atriums/Vestibules</t>
        </is>
      </c>
      <c r="C4428" t="inlineStr">
        <is>
          <t>Low Cost</t>
        </is>
      </c>
      <c r="D4428" t="n">
        <v>55</v>
      </c>
      <c r="E4428" t="n">
        <v>55</v>
      </c>
      <c r="F4428" t="n">
        <v>50</v>
      </c>
      <c r="G4428" t="n">
        <v>45</v>
      </c>
      <c r="H4428" t="n">
        <v>45</v>
      </c>
      <c r="I4428">
        <f>B4428&amp;"|"&amp;C4428</f>
        <v/>
      </c>
      <c r="J4428" t="inlineStr">
        <is>
          <t>average</t>
        </is>
      </c>
    </row>
    <row r="4429">
      <c r="B4429" t="inlineStr">
        <is>
          <t>Atriums/Vestibules</t>
        </is>
      </c>
      <c r="C4429" t="inlineStr">
        <is>
          <t>Cheap</t>
        </is>
      </c>
      <c r="D4429" t="n">
        <v>55</v>
      </c>
      <c r="E4429" t="n">
        <v>55</v>
      </c>
      <c r="F4429" t="n">
        <v>50</v>
      </c>
      <c r="G4429" t="n">
        <v>45</v>
      </c>
      <c r="H4429" t="n">
        <v>45</v>
      </c>
      <c r="I4429">
        <f>B4429&amp;"|"&amp;C4429</f>
        <v/>
      </c>
      <c r="J4429" t="inlineStr">
        <is>
          <t>average</t>
        </is>
      </c>
    </row>
    <row r="4430">
      <c r="B4430" t="inlineStr">
        <is>
          <t>Parking Levels (Intermediate/Under Building)</t>
        </is>
      </c>
      <c r="C4430" t="inlineStr">
        <is>
          <t>Excellent</t>
        </is>
      </c>
      <c r="D4430" t="n">
        <v>60</v>
      </c>
      <c r="E4430" t="n">
        <v>60</v>
      </c>
      <c r="I4430">
        <f>B4430&amp;"|"&amp;C4430</f>
        <v/>
      </c>
      <c r="J4430" t="inlineStr">
        <is>
          <t>Parking levels, excellent</t>
        </is>
      </c>
    </row>
    <row r="4431">
      <c r="B4431" t="inlineStr">
        <is>
          <t>Parking Levels (Intermediate/Under Building)</t>
        </is>
      </c>
      <c r="C4431" t="inlineStr">
        <is>
          <t>Good</t>
        </is>
      </c>
      <c r="D4431" t="n">
        <v>55</v>
      </c>
      <c r="E4431" t="n">
        <v>55</v>
      </c>
      <c r="F4431" t="n">
        <v>50</v>
      </c>
      <c r="G4431" t="n">
        <v>50</v>
      </c>
      <c r="H4431" t="n">
        <v>50</v>
      </c>
      <c r="I4431">
        <f>B4431&amp;"|"&amp;C4431</f>
        <v/>
      </c>
      <c r="J4431" t="inlineStr">
        <is>
          <t>good</t>
        </is>
      </c>
    </row>
    <row r="4432">
      <c r="B4432" t="inlineStr">
        <is>
          <t>Parking Levels (Intermediate/Under Building)</t>
        </is>
      </c>
      <c r="C4432" t="inlineStr">
        <is>
          <t>Average</t>
        </is>
      </c>
      <c r="D4432" t="n">
        <v>50</v>
      </c>
      <c r="E4432" t="n">
        <v>50</v>
      </c>
      <c r="F4432" t="n">
        <v>45</v>
      </c>
      <c r="G4432" t="n">
        <v>45</v>
      </c>
      <c r="H4432" t="n">
        <v>45</v>
      </c>
      <c r="I4432">
        <f>B4432&amp;"|"&amp;C4432</f>
        <v/>
      </c>
      <c r="J4432" t="inlineStr">
        <is>
          <t>average</t>
        </is>
      </c>
    </row>
    <row r="4433">
      <c r="B4433" t="inlineStr">
        <is>
          <t>Parking Levels (Intermediate/Under Building)</t>
        </is>
      </c>
      <c r="C4433" t="inlineStr">
        <is>
          <t>Low Cost</t>
        </is>
      </c>
      <c r="D4433" t="n">
        <v>30</v>
      </c>
      <c r="E4433" t="n">
        <v>30</v>
      </c>
      <c r="F4433" t="n">
        <v>25</v>
      </c>
      <c r="G4433" t="n">
        <v>25</v>
      </c>
      <c r="H4433" t="n">
        <v>25</v>
      </c>
      <c r="I4433">
        <f>B4433&amp;"|"&amp;C4433</f>
        <v/>
      </c>
      <c r="J4433" t="inlineStr">
        <is>
          <t>low cost</t>
        </is>
      </c>
    </row>
    <row r="4434">
      <c r="B4434" t="inlineStr">
        <is>
          <t>Parking Levels (Intermediate/Under Building)</t>
        </is>
      </c>
      <c r="C4434" t="inlineStr">
        <is>
          <t>Cheap</t>
        </is>
      </c>
      <c r="D4434" t="n">
        <v>25</v>
      </c>
      <c r="E4434" t="n">
        <v>25</v>
      </c>
      <c r="F4434" t="n">
        <v>20</v>
      </c>
      <c r="G4434" t="n">
        <v>20</v>
      </c>
      <c r="H4434" t="n">
        <v>20</v>
      </c>
      <c r="I4434">
        <f>B4434&amp;"|"&amp;C4434</f>
        <v/>
      </c>
      <c r="J4434" t="inlineStr">
        <is>
          <t>cheap</t>
        </is>
      </c>
    </row>
    <row r="4435">
      <c r="B4435" t="inlineStr">
        <is>
          <t>Mechanical Penthouses</t>
        </is>
      </c>
      <c r="C4435" t="inlineStr">
        <is>
          <t>Excellent</t>
        </is>
      </c>
      <c r="D4435" t="n">
        <v>60</v>
      </c>
      <c r="E4435" t="n">
        <v>60</v>
      </c>
      <c r="F4435" t="n">
        <v>55</v>
      </c>
      <c r="G4435" t="n">
        <v>50</v>
      </c>
      <c r="H4435" t="n">
        <v>50</v>
      </c>
      <c r="I4435">
        <f>B4435&amp;"|"&amp;C4435</f>
        <v/>
      </c>
      <c r="J4435" t="inlineStr">
        <is>
          <t>Offices, good and excellent</t>
        </is>
      </c>
    </row>
    <row r="4436">
      <c r="B4436" t="inlineStr">
        <is>
          <t>Mechanical Penthouses</t>
        </is>
      </c>
      <c r="C4436" t="inlineStr">
        <is>
          <t>Good</t>
        </is>
      </c>
      <c r="D4436" t="n">
        <v>60</v>
      </c>
      <c r="E4436" t="n">
        <v>60</v>
      </c>
      <c r="F4436" t="n">
        <v>55</v>
      </c>
      <c r="G4436" t="n">
        <v>50</v>
      </c>
      <c r="H4436" t="n">
        <v>50</v>
      </c>
      <c r="I4436">
        <f>B4436&amp;"|"&amp;C4436</f>
        <v/>
      </c>
      <c r="J4436" t="inlineStr">
        <is>
          <t>Offices, good and excellent</t>
        </is>
      </c>
    </row>
    <row r="4437">
      <c r="B4437" t="inlineStr">
        <is>
          <t>Mechanical Penthouses</t>
        </is>
      </c>
      <c r="C4437" t="inlineStr">
        <is>
          <t>Average</t>
        </is>
      </c>
      <c r="D4437" t="n">
        <v>55</v>
      </c>
      <c r="E4437" t="n">
        <v>55</v>
      </c>
      <c r="F4437" t="n">
        <v>50</v>
      </c>
      <c r="G4437" t="n">
        <v>45</v>
      </c>
      <c r="H4437" t="n">
        <v>45</v>
      </c>
      <c r="I4437">
        <f>B4437&amp;"|"&amp;C4437</f>
        <v/>
      </c>
      <c r="J4437" t="inlineStr">
        <is>
          <t>average</t>
        </is>
      </c>
    </row>
    <row r="4438">
      <c r="B4438" t="inlineStr">
        <is>
          <t>Mechanical Penthouses</t>
        </is>
      </c>
      <c r="C4438" t="inlineStr">
        <is>
          <t>Low Cost</t>
        </is>
      </c>
      <c r="D4438" t="n">
        <v>50</v>
      </c>
      <c r="E4438" t="n">
        <v>50</v>
      </c>
      <c r="F4438" t="n">
        <v>45</v>
      </c>
      <c r="G4438" t="n">
        <v>40</v>
      </c>
      <c r="H4438" t="n">
        <v>40</v>
      </c>
      <c r="I4438">
        <f>B4438&amp;"|"&amp;C4438</f>
        <v/>
      </c>
      <c r="J4438" t="inlineStr">
        <is>
          <t>low cost</t>
        </is>
      </c>
    </row>
    <row r="4439">
      <c r="B4439" t="inlineStr">
        <is>
          <t>Banks – Central Offices</t>
        </is>
      </c>
      <c r="C4439" t="inlineStr">
        <is>
          <t>Excellent</t>
        </is>
      </c>
      <c r="D4439" t="n">
        <v>60</v>
      </c>
      <c r="E4439" t="n">
        <v>60</v>
      </c>
      <c r="F4439" t="n">
        <v>55</v>
      </c>
      <c r="G4439" t="n">
        <v>50</v>
      </c>
      <c r="H4439" t="n">
        <v>50</v>
      </c>
      <c r="I4439">
        <f>B4439&amp;"|"&amp;C4439</f>
        <v/>
      </c>
      <c r="J4439" t="inlineStr">
        <is>
          <t>Banks, branch and central, good and excellent</t>
        </is>
      </c>
    </row>
    <row r="4440">
      <c r="B4440" t="inlineStr">
        <is>
          <t>Banks – Central Offices</t>
        </is>
      </c>
      <c r="C4440" t="inlineStr">
        <is>
          <t>Good</t>
        </is>
      </c>
      <c r="D4440" t="n">
        <v>60</v>
      </c>
      <c r="E4440" t="n">
        <v>60</v>
      </c>
      <c r="F4440" t="n">
        <v>55</v>
      </c>
      <c r="G4440" t="n">
        <v>50</v>
      </c>
      <c r="H4440" t="n">
        <v>50</v>
      </c>
      <c r="I4440">
        <f>B4440&amp;"|"&amp;C4440</f>
        <v/>
      </c>
      <c r="J4440" t="inlineStr">
        <is>
          <t>Banks, branch and central, good and excellent</t>
        </is>
      </c>
    </row>
    <row r="4441">
      <c r="B4441" t="inlineStr">
        <is>
          <t>Banks – Central Offices</t>
        </is>
      </c>
      <c r="C4441" t="inlineStr">
        <is>
          <t>Average</t>
        </is>
      </c>
      <c r="D4441" t="n">
        <v>55</v>
      </c>
      <c r="E4441" t="n">
        <v>55</v>
      </c>
      <c r="F4441" t="n">
        <v>50</v>
      </c>
      <c r="G4441" t="n">
        <v>45</v>
      </c>
      <c r="H4441" t="n">
        <v>45</v>
      </c>
      <c r="I4441">
        <f>B4441&amp;"|"&amp;C4441</f>
        <v/>
      </c>
      <c r="J4441" t="inlineStr">
        <is>
          <t>average</t>
        </is>
      </c>
    </row>
    <row r="4442">
      <c r="B4442" t="inlineStr">
        <is>
          <t>Mini-Banks (Walk-Up and Drive-Through)</t>
        </is>
      </c>
      <c r="C4442" t="inlineStr">
        <is>
          <t>Good</t>
        </is>
      </c>
      <c r="D4442" t="n">
        <v>55</v>
      </c>
      <c r="E4442" t="n">
        <v>55</v>
      </c>
      <c r="F4442" t="n">
        <v>50</v>
      </c>
      <c r="G4442" t="n">
        <v>45</v>
      </c>
      <c r="H4442" t="n">
        <v>45</v>
      </c>
      <c r="I4442">
        <f>B4442&amp;"|"&amp;C4442</f>
        <v/>
      </c>
      <c r="J4442" t="inlineStr">
        <is>
          <t>mini, drive-up, good and excellent</t>
        </is>
      </c>
    </row>
    <row r="4443">
      <c r="B4443" t="inlineStr">
        <is>
          <t>Mini-Banks (Walk-Up and Drive-Through)</t>
        </is>
      </c>
      <c r="C4443" t="inlineStr">
        <is>
          <t>Average</t>
        </is>
      </c>
      <c r="D4443" t="n">
        <v>50</v>
      </c>
      <c r="E4443" t="n">
        <v>50</v>
      </c>
      <c r="F4443" t="n">
        <v>45</v>
      </c>
      <c r="G4443" t="n">
        <v>40</v>
      </c>
      <c r="H4443" t="n">
        <v>40</v>
      </c>
      <c r="I4443">
        <f>B4443&amp;"|"&amp;C4443</f>
        <v/>
      </c>
      <c r="J4443" t="inlineStr">
        <is>
          <t>low cost and average</t>
        </is>
      </c>
    </row>
    <row r="4444">
      <c r="B4444" t="inlineStr">
        <is>
          <t>Mini-Banks (Walk-Up and Drive-Through)</t>
        </is>
      </c>
      <c r="C4444" t="inlineStr">
        <is>
          <t>Excellent</t>
        </is>
      </c>
      <c r="D4444" t="n">
        <v>55</v>
      </c>
      <c r="E4444" t="n">
        <v>55</v>
      </c>
      <c r="F4444" t="n">
        <v>50</v>
      </c>
      <c r="G4444" t="n">
        <v>45</v>
      </c>
      <c r="H4444" t="n">
        <v>45</v>
      </c>
      <c r="I4444">
        <f>B4444&amp;"|"&amp;C4444</f>
        <v/>
      </c>
      <c r="J4444" t="inlineStr">
        <is>
          <t>mini, drive-up, good and excellent</t>
        </is>
      </c>
    </row>
    <row r="4445">
      <c r="B4445" t="inlineStr">
        <is>
          <t>Mini-Banks (Walk-Up and Drive-Through)</t>
        </is>
      </c>
      <c r="C4445" t="inlineStr">
        <is>
          <t>Low Cost</t>
        </is>
      </c>
      <c r="D4445" t="n">
        <v>50</v>
      </c>
      <c r="E4445" t="n">
        <v>50</v>
      </c>
      <c r="F4445" t="n">
        <v>45</v>
      </c>
      <c r="G4445" t="n">
        <v>40</v>
      </c>
      <c r="H4445" t="n">
        <v>40</v>
      </c>
      <c r="I4445">
        <f>B4445&amp;"|"&amp;C4445</f>
        <v/>
      </c>
      <c r="J4445" t="inlineStr">
        <is>
          <t>low cost and average</t>
        </is>
      </c>
    </row>
    <row r="4446">
      <c r="B4446" t="inlineStr">
        <is>
          <t>Banks, Branch</t>
        </is>
      </c>
      <c r="C4446" t="inlineStr">
        <is>
          <t>Good</t>
        </is>
      </c>
      <c r="D4446" t="n">
        <v>60</v>
      </c>
      <c r="E4446" t="n">
        <v>60</v>
      </c>
      <c r="F4446" t="n">
        <v>55</v>
      </c>
      <c r="G4446" t="n">
        <v>50</v>
      </c>
      <c r="H4446" t="n">
        <v>50</v>
      </c>
      <c r="I4446">
        <f>B4446&amp;"|"&amp;C4446</f>
        <v/>
      </c>
      <c r="J4446" t="inlineStr">
        <is>
          <t>Banks, branch and central, good and excellent</t>
        </is>
      </c>
    </row>
    <row r="4447">
      <c r="B4447" t="inlineStr">
        <is>
          <t>Banks, Branch</t>
        </is>
      </c>
      <c r="C4447" t="inlineStr">
        <is>
          <t>Average</t>
        </is>
      </c>
      <c r="D4447" t="n">
        <v>55</v>
      </c>
      <c r="E4447" t="n">
        <v>55</v>
      </c>
      <c r="F4447" t="n">
        <v>50</v>
      </c>
      <c r="G4447" t="n">
        <v>45</v>
      </c>
      <c r="H4447" t="n">
        <v>45</v>
      </c>
      <c r="I4447">
        <f>B4447&amp;"|"&amp;C4447</f>
        <v/>
      </c>
      <c r="J4447" t="inlineStr">
        <is>
          <t>average</t>
        </is>
      </c>
    </row>
    <row r="4448">
      <c r="B4448" t="inlineStr">
        <is>
          <t>Banks, Branch</t>
        </is>
      </c>
      <c r="C4448" t="inlineStr">
        <is>
          <t>Low Cost</t>
        </is>
      </c>
      <c r="D4448" t="n">
        <v>50</v>
      </c>
      <c r="E4448" t="n">
        <v>50</v>
      </c>
      <c r="F4448" t="n">
        <v>45</v>
      </c>
      <c r="G4448" t="n">
        <v>40</v>
      </c>
      <c r="H4448" t="n">
        <v>40</v>
      </c>
      <c r="I4448">
        <f>B4448&amp;"|"&amp;C4448</f>
        <v/>
      </c>
      <c r="J4448" t="inlineStr">
        <is>
          <t>low cost</t>
        </is>
      </c>
    </row>
    <row r="4449">
      <c r="B4449" t="inlineStr">
        <is>
          <t>Banks, Branch</t>
        </is>
      </c>
      <c r="C4449" t="inlineStr">
        <is>
          <t>Excellent</t>
        </is>
      </c>
      <c r="D4449" t="n">
        <v>60</v>
      </c>
      <c r="E4449" t="n">
        <v>60</v>
      </c>
      <c r="F4449" t="n">
        <v>55</v>
      </c>
      <c r="G4449" t="n">
        <v>50</v>
      </c>
      <c r="H4449" t="n">
        <v>50</v>
      </c>
      <c r="I4449">
        <f>B4449&amp;"|"&amp;C4449</f>
        <v/>
      </c>
      <c r="J4449" t="inlineStr">
        <is>
          <t>Banks, branch and central, good and excellent</t>
        </is>
      </c>
    </row>
    <row r="4450">
      <c r="B4450" t="inlineStr">
        <is>
          <t>Medical Office Buildings</t>
        </is>
      </c>
      <c r="C4450" t="inlineStr">
        <is>
          <t>Excellent</t>
        </is>
      </c>
      <c r="D4450" t="n">
        <v>50</v>
      </c>
      <c r="E4450" t="n">
        <v>50</v>
      </c>
      <c r="F4450" t="n">
        <v>45</v>
      </c>
      <c r="G4450" t="n">
        <v>40</v>
      </c>
      <c r="H4450" t="n">
        <v>40</v>
      </c>
      <c r="I4450">
        <f>B4450&amp;"|"&amp;C4450</f>
        <v/>
      </c>
      <c r="J4450" t="inlineStr">
        <is>
          <t>Medical offices, good and excellent</t>
        </is>
      </c>
    </row>
    <row r="4451">
      <c r="B4451" t="inlineStr">
        <is>
          <t>Medical Office Buildings</t>
        </is>
      </c>
      <c r="C4451" t="inlineStr">
        <is>
          <t>Good</t>
        </is>
      </c>
      <c r="D4451" t="n">
        <v>50</v>
      </c>
      <c r="E4451" t="n">
        <v>50</v>
      </c>
      <c r="F4451" t="n">
        <v>45</v>
      </c>
      <c r="G4451" t="n">
        <v>40</v>
      </c>
      <c r="H4451" t="n">
        <v>40</v>
      </c>
      <c r="I4451">
        <f>B4451&amp;"|"&amp;C4451</f>
        <v/>
      </c>
      <c r="J4451" t="inlineStr">
        <is>
          <t>Medical offices, good and excellent</t>
        </is>
      </c>
    </row>
    <row r="4452">
      <c r="B4452" t="inlineStr">
        <is>
          <t>Medical Office Buildings</t>
        </is>
      </c>
      <c r="C4452" t="inlineStr">
        <is>
          <t>Average</t>
        </is>
      </c>
      <c r="D4452" t="n">
        <v>45</v>
      </c>
      <c r="E4452" t="n">
        <v>45</v>
      </c>
      <c r="F4452" t="n">
        <v>40</v>
      </c>
      <c r="G4452" t="n">
        <v>35</v>
      </c>
      <c r="H4452" t="n">
        <v>35</v>
      </c>
      <c r="I4452">
        <f>B4452&amp;"|"&amp;C4452</f>
        <v/>
      </c>
      <c r="J4452" t="inlineStr">
        <is>
          <t>low cost and average</t>
        </is>
      </c>
    </row>
    <row r="4453">
      <c r="B4453" t="inlineStr">
        <is>
          <t>Medical Office Buildings</t>
        </is>
      </c>
      <c r="C4453" t="inlineStr">
        <is>
          <t>Low Cost</t>
        </is>
      </c>
      <c r="D4453" t="n">
        <v>45</v>
      </c>
      <c r="E4453" t="n">
        <v>45</v>
      </c>
      <c r="F4453" t="n">
        <v>40</v>
      </c>
      <c r="G4453" t="n">
        <v>35</v>
      </c>
      <c r="H4453" t="n">
        <v>35</v>
      </c>
      <c r="I4453">
        <f>B4453&amp;"|"&amp;C4453</f>
        <v/>
      </c>
      <c r="J4453" t="inlineStr">
        <is>
          <t>low cost and average</t>
        </is>
      </c>
    </row>
    <row r="4454">
      <c r="B4454" t="inlineStr">
        <is>
          <t>Dental Clinics</t>
        </is>
      </c>
      <c r="C4454" t="inlineStr">
        <is>
          <t>Excellent</t>
        </is>
      </c>
      <c r="F4454" t="n">
        <v>45</v>
      </c>
      <c r="G4454" t="n">
        <v>40</v>
      </c>
      <c r="H4454" t="n">
        <v>40</v>
      </c>
      <c r="I4454">
        <f>B4454&amp;"|"&amp;C4454</f>
        <v/>
      </c>
      <c r="J4454" t="inlineStr">
        <is>
          <t>Dental clinics, good and excellent</t>
        </is>
      </c>
    </row>
    <row r="4455">
      <c r="B4455" t="inlineStr">
        <is>
          <t>Dental Clinics</t>
        </is>
      </c>
      <c r="C4455" t="inlineStr">
        <is>
          <t>Good</t>
        </is>
      </c>
      <c r="F4455" t="n">
        <v>45</v>
      </c>
      <c r="G4455" t="n">
        <v>40</v>
      </c>
      <c r="H4455" t="n">
        <v>40</v>
      </c>
      <c r="I4455">
        <f>B4455&amp;"|"&amp;C4455</f>
        <v/>
      </c>
      <c r="J4455" t="inlineStr">
        <is>
          <t>Dental clinics, good and excellent</t>
        </is>
      </c>
    </row>
    <row r="4456">
      <c r="B4456" t="inlineStr">
        <is>
          <t>Dental Clinics</t>
        </is>
      </c>
      <c r="C4456" t="inlineStr">
        <is>
          <t>Average</t>
        </is>
      </c>
      <c r="F4456" t="n">
        <v>40</v>
      </c>
      <c r="G4456" t="n">
        <v>35</v>
      </c>
      <c r="H4456" t="n">
        <v>35</v>
      </c>
      <c r="I4456">
        <f>B4456&amp;"|"&amp;C4456</f>
        <v/>
      </c>
      <c r="J4456" t="inlineStr">
        <is>
          <t>low cost and average</t>
        </is>
      </c>
    </row>
    <row r="4457">
      <c r="B4457" t="inlineStr">
        <is>
          <t>Dental Clinics</t>
        </is>
      </c>
      <c r="C4457" t="inlineStr">
        <is>
          <t>Low Cost</t>
        </is>
      </c>
      <c r="F4457" t="n">
        <v>40</v>
      </c>
      <c r="G4457" t="n">
        <v>35</v>
      </c>
      <c r="H4457" t="n">
        <v>35</v>
      </c>
      <c r="I4457">
        <f>B4457&amp;"|"&amp;C4457</f>
        <v/>
      </c>
      <c r="J4457" t="inlineStr">
        <is>
          <t>low cost and average</t>
        </is>
      </c>
    </row>
    <row r="4458">
      <c r="B4458" t="inlineStr">
        <is>
          <t>Urgent Care Clinics</t>
        </is>
      </c>
      <c r="C4458" t="inlineStr">
        <is>
          <t>Good</t>
        </is>
      </c>
      <c r="D4458" t="n">
        <v>50</v>
      </c>
      <c r="E4458" t="n">
        <v>50</v>
      </c>
      <c r="F4458" t="n">
        <v>40</v>
      </c>
      <c r="G4458" t="n">
        <v>35</v>
      </c>
      <c r="H4458" t="n">
        <v>35</v>
      </c>
      <c r="I4458">
        <f>B4458&amp;"|"&amp;C4458</f>
        <v/>
      </c>
      <c r="J4458" t="inlineStr">
        <is>
          <t>Dispensaries and urgent care, good</t>
        </is>
      </c>
    </row>
    <row r="4459">
      <c r="B4459" t="inlineStr">
        <is>
          <t>Urgent Care Clinics</t>
        </is>
      </c>
      <c r="C4459" t="inlineStr">
        <is>
          <t>Average</t>
        </is>
      </c>
      <c r="D4459" t="n">
        <v>45</v>
      </c>
      <c r="E4459" t="n">
        <v>45</v>
      </c>
      <c r="F4459" t="n">
        <v>35</v>
      </c>
      <c r="G4459" t="n">
        <v>30</v>
      </c>
      <c r="H4459" t="n">
        <v>30</v>
      </c>
      <c r="I4459">
        <f>B4459&amp;"|"&amp;C4459</f>
        <v/>
      </c>
      <c r="J4459" t="inlineStr">
        <is>
          <t>average</t>
        </is>
      </c>
    </row>
    <row r="4460">
      <c r="B4460" t="inlineStr">
        <is>
          <t>Urgent Care Clinics</t>
        </is>
      </c>
      <c r="C4460" t="inlineStr">
        <is>
          <t>Excellent</t>
        </is>
      </c>
      <c r="D4460" t="n">
        <v>50</v>
      </c>
      <c r="E4460" t="n">
        <v>50</v>
      </c>
      <c r="F4460" t="n">
        <v>40</v>
      </c>
      <c r="G4460" t="n">
        <v>35</v>
      </c>
      <c r="H4460" t="n">
        <v>35</v>
      </c>
      <c r="I4460">
        <f>B4460&amp;"|"&amp;C4460</f>
        <v/>
      </c>
      <c r="J4460" t="inlineStr">
        <is>
          <t>Dispensaries and urgent care, good</t>
        </is>
      </c>
    </row>
    <row r="4461">
      <c r="B4461" t="inlineStr">
        <is>
          <t>General Hospitals</t>
        </is>
      </c>
      <c r="C4461" t="inlineStr">
        <is>
          <t>Excellent</t>
        </is>
      </c>
      <c r="D4461" t="n">
        <v>50</v>
      </c>
      <c r="E4461" t="n">
        <v>50</v>
      </c>
      <c r="F4461" t="n">
        <v>45</v>
      </c>
      <c r="G4461" t="n">
        <v>40</v>
      </c>
      <c r="I4461">
        <f>B4461&amp;"|"&amp;C4461</f>
        <v/>
      </c>
      <c r="J4461" t="inlineStr">
        <is>
          <t>General hospitals, good and excellent</t>
        </is>
      </c>
    </row>
    <row r="4462">
      <c r="B4462" t="inlineStr">
        <is>
          <t>General Hospitals</t>
        </is>
      </c>
      <c r="C4462" t="inlineStr">
        <is>
          <t>Good</t>
        </is>
      </c>
      <c r="D4462" t="n">
        <v>50</v>
      </c>
      <c r="E4462" t="n">
        <v>50</v>
      </c>
      <c r="F4462" t="n">
        <v>45</v>
      </c>
      <c r="G4462" t="n">
        <v>40</v>
      </c>
      <c r="I4462">
        <f>B4462&amp;"|"&amp;C4462</f>
        <v/>
      </c>
      <c r="J4462" t="inlineStr">
        <is>
          <t>General hospitals, good and excellent</t>
        </is>
      </c>
    </row>
    <row r="4463">
      <c r="B4463" t="inlineStr">
        <is>
          <t>General Hospitals</t>
        </is>
      </c>
      <c r="C4463" t="inlineStr">
        <is>
          <t>Average</t>
        </is>
      </c>
      <c r="D4463" t="n">
        <v>45</v>
      </c>
      <c r="E4463" t="n">
        <v>45</v>
      </c>
      <c r="F4463" t="n">
        <v>40</v>
      </c>
      <c r="G4463" t="n">
        <v>35</v>
      </c>
      <c r="H4463" t="n">
        <v>35</v>
      </c>
      <c r="I4463">
        <f>B4463&amp;"|"&amp;C4463</f>
        <v/>
      </c>
      <c r="J4463" t="inlineStr">
        <is>
          <t>low cost and average</t>
        </is>
      </c>
    </row>
    <row r="4464">
      <c r="B4464" t="inlineStr">
        <is>
          <t>General Hospitals</t>
        </is>
      </c>
      <c r="C4464" t="inlineStr">
        <is>
          <t>Low Cost</t>
        </is>
      </c>
      <c r="D4464" t="n">
        <v>45</v>
      </c>
      <c r="E4464" t="n">
        <v>45</v>
      </c>
      <c r="F4464" t="n">
        <v>40</v>
      </c>
      <c r="G4464" t="n">
        <v>35</v>
      </c>
      <c r="H4464" t="n">
        <v>35</v>
      </c>
      <c r="I4464">
        <f>B4464&amp;"|"&amp;C4464</f>
        <v/>
      </c>
      <c r="J4464" t="inlineStr">
        <is>
          <t>low cost and average</t>
        </is>
      </c>
    </row>
    <row r="4465">
      <c r="B4465" t="inlineStr">
        <is>
          <t>Outpatient (Surgical) Centers</t>
        </is>
      </c>
      <c r="C4465" t="inlineStr">
        <is>
          <t>Good</t>
        </is>
      </c>
      <c r="D4465" t="n">
        <v>50</v>
      </c>
      <c r="E4465" t="n">
        <v>50</v>
      </c>
      <c r="F4465" t="n">
        <v>45</v>
      </c>
      <c r="G4465" t="n">
        <v>40</v>
      </c>
      <c r="I4465">
        <f>B4465&amp;"|"&amp;C4465</f>
        <v/>
      </c>
      <c r="J4465" t="inlineStr">
        <is>
          <t>Outpatient (surgical) centers, good and excellent</t>
        </is>
      </c>
    </row>
    <row r="4466">
      <c r="B4466" t="inlineStr">
        <is>
          <t>Outpatient (Surgical) Centers</t>
        </is>
      </c>
      <c r="C4466" t="inlineStr">
        <is>
          <t>Average</t>
        </is>
      </c>
      <c r="D4466" t="n">
        <v>45</v>
      </c>
      <c r="E4466" t="n">
        <v>45</v>
      </c>
      <c r="F4466" t="n">
        <v>40</v>
      </c>
      <c r="G4466" t="n">
        <v>35</v>
      </c>
      <c r="H4466" t="n">
        <v>35</v>
      </c>
      <c r="I4466">
        <f>B4466&amp;"|"&amp;C4466</f>
        <v/>
      </c>
      <c r="J4466" t="inlineStr">
        <is>
          <t>low cost and average</t>
        </is>
      </c>
    </row>
    <row r="4467">
      <c r="B4467" t="inlineStr">
        <is>
          <t>Outpatient (Surgical) Centers</t>
        </is>
      </c>
      <c r="C4467" t="inlineStr">
        <is>
          <t>Excellent</t>
        </is>
      </c>
      <c r="D4467" t="n">
        <v>50</v>
      </c>
      <c r="E4467" t="n">
        <v>50</v>
      </c>
      <c r="F4467" t="n">
        <v>45</v>
      </c>
      <c r="G4467" t="n">
        <v>40</v>
      </c>
      <c r="I4467">
        <f>B4467&amp;"|"&amp;C4467</f>
        <v/>
      </c>
      <c r="J4467" t="inlineStr">
        <is>
          <t>Outpatient (surgical) centers, good and excellent</t>
        </is>
      </c>
    </row>
    <row r="4468">
      <c r="B4468" t="inlineStr">
        <is>
          <t>Outpatient (Surgical) Centers</t>
        </is>
      </c>
      <c r="C4468" t="inlineStr">
        <is>
          <t>Fair</t>
        </is>
      </c>
      <c r="D4468" t="n">
        <v>45</v>
      </c>
      <c r="E4468" t="n">
        <v>45</v>
      </c>
      <c r="F4468" t="n">
        <v>40</v>
      </c>
      <c r="G4468" t="n">
        <v>35</v>
      </c>
      <c r="H4468" t="n">
        <v>35</v>
      </c>
      <c r="I4468">
        <f>B4468&amp;"|"&amp;C4468</f>
        <v/>
      </c>
      <c r="J4468" t="inlineStr">
        <is>
          <t>low cost and average</t>
        </is>
      </c>
    </row>
    <row r="4469">
      <c r="B4469" t="inlineStr">
        <is>
          <t>Outpatient (Surgical) Centers</t>
        </is>
      </c>
      <c r="C4469" t="inlineStr">
        <is>
          <t>Low Cost</t>
        </is>
      </c>
      <c r="D4469" t="n">
        <v>45</v>
      </c>
      <c r="E4469" t="n">
        <v>45</v>
      </c>
      <c r="F4469" t="n">
        <v>40</v>
      </c>
      <c r="G4469" t="n">
        <v>35</v>
      </c>
      <c r="H4469" t="n">
        <v>35</v>
      </c>
      <c r="I4469">
        <f>B4469&amp;"|"&amp;C4469</f>
        <v/>
      </c>
      <c r="J4469" t="inlineStr">
        <is>
          <t>low cost and average</t>
        </is>
      </c>
    </row>
    <row r="4470">
      <c r="B4470" t="inlineStr">
        <is>
          <t>Nursing Homes (Convalescent Hospitals)</t>
        </is>
      </c>
      <c r="C4470" t="inlineStr">
        <is>
          <t>Good</t>
        </is>
      </c>
      <c r="D4470" t="n">
        <v>50</v>
      </c>
      <c r="E4470" t="n">
        <v>50</v>
      </c>
      <c r="F4470" t="n">
        <v>45</v>
      </c>
      <c r="G4470" t="n">
        <v>40</v>
      </c>
      <c r="I4470">
        <f>B4470&amp;"|"&amp;C4470</f>
        <v/>
      </c>
      <c r="J4470" t="inlineStr">
        <is>
          <t>Convalescent hospitals, good and excellent</t>
        </is>
      </c>
    </row>
    <row r="4471">
      <c r="B4471" t="inlineStr">
        <is>
          <t>Nursing Homes (Convalescent Hospitals)</t>
        </is>
      </c>
      <c r="C4471" t="inlineStr">
        <is>
          <t>Average</t>
        </is>
      </c>
      <c r="D4471" t="n">
        <v>45</v>
      </c>
      <c r="E4471" t="n">
        <v>45</v>
      </c>
      <c r="F4471" t="n">
        <v>40</v>
      </c>
      <c r="G4471" t="n">
        <v>35</v>
      </c>
      <c r="H4471" t="n">
        <v>35</v>
      </c>
      <c r="I4471">
        <f>B4471&amp;"|"&amp;C4471</f>
        <v/>
      </c>
      <c r="J4471" t="inlineStr">
        <is>
          <t>low cost and average</t>
        </is>
      </c>
    </row>
    <row r="4472">
      <c r="B4472" t="inlineStr">
        <is>
          <t>Nursing Homes (Convalescent Hospitals)</t>
        </is>
      </c>
      <c r="C4472" t="inlineStr">
        <is>
          <t>Excellent</t>
        </is>
      </c>
      <c r="D4472" t="n">
        <v>50</v>
      </c>
      <c r="E4472" t="n">
        <v>50</v>
      </c>
      <c r="F4472" t="n">
        <v>45</v>
      </c>
      <c r="G4472" t="n">
        <v>40</v>
      </c>
      <c r="I4472">
        <f>B4472&amp;"|"&amp;C4472</f>
        <v/>
      </c>
      <c r="J4472" t="inlineStr">
        <is>
          <t>Convalescent hospitals, good and excellent</t>
        </is>
      </c>
    </row>
    <row r="4473">
      <c r="B4473" t="inlineStr">
        <is>
          <t>Nursing Homes (Convalescent Hospitals)</t>
        </is>
      </c>
      <c r="C4473" t="inlineStr">
        <is>
          <t>Low Cost</t>
        </is>
      </c>
      <c r="D4473" t="n">
        <v>45</v>
      </c>
      <c r="E4473" t="n">
        <v>45</v>
      </c>
      <c r="F4473" t="n">
        <v>40</v>
      </c>
      <c r="G4473" t="n">
        <v>35</v>
      </c>
      <c r="H4473" t="n">
        <v>35</v>
      </c>
      <c r="I4473">
        <f>B4473&amp;"|"&amp;C4473</f>
        <v/>
      </c>
      <c r="J4473" t="inlineStr">
        <is>
          <t>low cost and average</t>
        </is>
      </c>
    </row>
    <row r="4474">
      <c r="B4474" t="inlineStr">
        <is>
          <t>Kennels</t>
        </is>
      </c>
      <c r="C4474" t="inlineStr">
        <is>
          <t>Excellent</t>
        </is>
      </c>
      <c r="F4474" t="n">
        <v>45</v>
      </c>
      <c r="G4474" t="n">
        <v>40</v>
      </c>
      <c r="I4474">
        <f>B4474&amp;"|"&amp;C4474</f>
        <v/>
      </c>
      <c r="J4474" t="inlineStr">
        <is>
          <t>Kennels, very good and excellent</t>
        </is>
      </c>
    </row>
    <row r="4475">
      <c r="B4475" t="inlineStr">
        <is>
          <t>Kennels</t>
        </is>
      </c>
      <c r="C4475" t="inlineStr">
        <is>
          <t>Very Good</t>
        </is>
      </c>
      <c r="F4475" t="n">
        <v>45</v>
      </c>
      <c r="G4475" t="n">
        <v>40</v>
      </c>
      <c r="I4475">
        <f>B4475&amp;"|"&amp;C4475</f>
        <v/>
      </c>
      <c r="J4475" t="inlineStr">
        <is>
          <t>Kennels, very good and excellent</t>
        </is>
      </c>
    </row>
    <row r="4476">
      <c r="B4476" t="inlineStr">
        <is>
          <t>Kennels</t>
        </is>
      </c>
      <c r="C4476" t="inlineStr">
        <is>
          <t>Good</t>
        </is>
      </c>
      <c r="F4476" t="n">
        <v>40</v>
      </c>
      <c r="G4476" t="n">
        <v>35</v>
      </c>
      <c r="H4476" t="n">
        <v>35</v>
      </c>
      <c r="I4476">
        <f>B4476&amp;"|"&amp;C4476</f>
        <v/>
      </c>
      <c r="J4476" t="inlineStr">
        <is>
          <t>average and good</t>
        </is>
      </c>
    </row>
    <row r="4477">
      <c r="B4477" t="inlineStr">
        <is>
          <t>Kennels</t>
        </is>
      </c>
      <c r="C4477" t="inlineStr">
        <is>
          <t>Average</t>
        </is>
      </c>
      <c r="F4477" t="n">
        <v>40</v>
      </c>
      <c r="G4477" t="n">
        <v>35</v>
      </c>
      <c r="H4477" t="n">
        <v>35</v>
      </c>
      <c r="I4477">
        <f>B4477&amp;"|"&amp;C4477</f>
        <v/>
      </c>
      <c r="J4477" t="inlineStr">
        <is>
          <t>average and good</t>
        </is>
      </c>
    </row>
    <row r="4478">
      <c r="B4478" t="inlineStr">
        <is>
          <t>Kennels</t>
        </is>
      </c>
      <c r="C4478" t="inlineStr">
        <is>
          <t>Low Cost</t>
        </is>
      </c>
      <c r="F4478" t="n">
        <v>35</v>
      </c>
      <c r="G4478" t="n">
        <v>30</v>
      </c>
      <c r="H4478" t="n">
        <v>30</v>
      </c>
      <c r="I4478">
        <f>B4478&amp;"|"&amp;C4478</f>
        <v/>
      </c>
      <c r="J4478" t="inlineStr">
        <is>
          <t>low cost</t>
        </is>
      </c>
    </row>
    <row r="4479">
      <c r="B4479" t="inlineStr">
        <is>
          <t>Kennels</t>
        </is>
      </c>
      <c r="C4479" t="inlineStr">
        <is>
          <t>Cheap</t>
        </is>
      </c>
      <c r="F4479" t="n">
        <v>25</v>
      </c>
      <c r="G4479" t="n">
        <v>20</v>
      </c>
      <c r="H4479" t="n">
        <v>20</v>
      </c>
      <c r="I4479">
        <f>B4479&amp;"|"&amp;C4479</f>
        <v/>
      </c>
      <c r="J4479" t="inlineStr">
        <is>
          <t>cheap</t>
        </is>
      </c>
    </row>
    <row r="4480">
      <c r="B4480" t="inlineStr">
        <is>
          <t>Veterinary Hospitals</t>
        </is>
      </c>
      <c r="C4480" t="inlineStr">
        <is>
          <t>Average</t>
        </is>
      </c>
      <c r="D4480" t="n">
        <v>45</v>
      </c>
      <c r="E4480" t="n">
        <v>45</v>
      </c>
      <c r="F4480" t="n">
        <v>40</v>
      </c>
      <c r="G4480" t="n">
        <v>35</v>
      </c>
      <c r="H4480" t="n">
        <v>35</v>
      </c>
      <c r="I4480">
        <f>B4480&amp;"|"&amp;C4480</f>
        <v/>
      </c>
      <c r="J4480" t="inlineStr">
        <is>
          <t>average and good</t>
        </is>
      </c>
    </row>
    <row r="4481">
      <c r="B4481" t="inlineStr">
        <is>
          <t>Veterinary Hospitals</t>
        </is>
      </c>
      <c r="C4481" t="inlineStr">
        <is>
          <t>Excellent</t>
        </is>
      </c>
      <c r="F4481" t="n">
        <v>45</v>
      </c>
      <c r="G4481" t="n">
        <v>40</v>
      </c>
      <c r="I4481">
        <f>B4481&amp;"|"&amp;C4481</f>
        <v/>
      </c>
      <c r="J4481" t="inlineStr">
        <is>
          <t>Veterinary hospitals, excellent</t>
        </is>
      </c>
    </row>
    <row r="4482">
      <c r="B4482" t="inlineStr">
        <is>
          <t>Veterinary Hospitals</t>
        </is>
      </c>
      <c r="C4482" t="inlineStr">
        <is>
          <t>Good</t>
        </is>
      </c>
      <c r="D4482" t="n">
        <v>45</v>
      </c>
      <c r="E4482" t="n">
        <v>45</v>
      </c>
      <c r="F4482" t="n">
        <v>40</v>
      </c>
      <c r="G4482" t="n">
        <v>35</v>
      </c>
      <c r="H4482" t="n">
        <v>35</v>
      </c>
      <c r="I4482">
        <f>B4482&amp;"|"&amp;C4482</f>
        <v/>
      </c>
      <c r="J4482" t="inlineStr">
        <is>
          <t>average and good</t>
        </is>
      </c>
    </row>
    <row r="4483">
      <c r="B4483" t="inlineStr">
        <is>
          <t>Veterinary Hospitals</t>
        </is>
      </c>
      <c r="C4483" t="inlineStr">
        <is>
          <t>Low Cost</t>
        </is>
      </c>
      <c r="F4483" t="n">
        <v>35</v>
      </c>
      <c r="G4483" t="n">
        <v>30</v>
      </c>
      <c r="H4483" t="n">
        <v>30</v>
      </c>
      <c r="I4483">
        <f>B4483&amp;"|"&amp;C4483</f>
        <v/>
      </c>
      <c r="J4483" t="inlineStr">
        <is>
          <t>low cost</t>
        </is>
      </c>
    </row>
    <row r="4484">
      <c r="B4484" t="inlineStr">
        <is>
          <t>Fire Stations – Volunteer</t>
        </is>
      </c>
      <c r="C4484" t="inlineStr">
        <is>
          <t>Average</t>
        </is>
      </c>
      <c r="D4484" t="n">
        <v>40</v>
      </c>
      <c r="E4484" t="n">
        <v>40</v>
      </c>
      <c r="F4484" t="n">
        <v>35</v>
      </c>
      <c r="G4484" t="n">
        <v>30</v>
      </c>
      <c r="H4484" t="n">
        <v>30</v>
      </c>
      <c r="I4484">
        <f>B4484&amp;"|"&amp;C4484</f>
        <v/>
      </c>
      <c r="J4484" t="inlineStr">
        <is>
          <t>low cost and average</t>
        </is>
      </c>
    </row>
    <row r="4485">
      <c r="B4485" t="inlineStr">
        <is>
          <t>Fire Stations – Volunteer</t>
        </is>
      </c>
      <c r="C4485" t="inlineStr">
        <is>
          <t>Low Cost</t>
        </is>
      </c>
      <c r="D4485" t="n">
        <v>40</v>
      </c>
      <c r="E4485" t="n">
        <v>40</v>
      </c>
      <c r="F4485" t="n">
        <v>35</v>
      </c>
      <c r="G4485" t="n">
        <v>30</v>
      </c>
      <c r="H4485" t="n">
        <v>30</v>
      </c>
      <c r="I4485">
        <f>B4485&amp;"|"&amp;C4485</f>
        <v/>
      </c>
      <c r="J4485" t="inlineStr">
        <is>
          <t>low cost and average</t>
        </is>
      </c>
    </row>
    <row r="4486">
      <c r="B4486" t="inlineStr">
        <is>
          <t>Fire Stations – Volunteer</t>
        </is>
      </c>
      <c r="C4486" t="inlineStr">
        <is>
          <t>Good</t>
        </is>
      </c>
      <c r="F4486" t="n">
        <v>40</v>
      </c>
      <c r="G4486" t="n">
        <v>35</v>
      </c>
      <c r="H4486" t="n">
        <v>35</v>
      </c>
      <c r="I4486">
        <f>B4486&amp;"|"&amp;C4486</f>
        <v/>
      </c>
      <c r="J4486" t="inlineStr">
        <is>
          <t>volunteer, good</t>
        </is>
      </c>
    </row>
    <row r="4487">
      <c r="B4487" t="inlineStr">
        <is>
          <t>Fire Stations – Staffed</t>
        </is>
      </c>
      <c r="C4487" t="inlineStr">
        <is>
          <t>Good</t>
        </is>
      </c>
      <c r="D4487" t="n">
        <v>50</v>
      </c>
      <c r="E4487" t="n">
        <v>50</v>
      </c>
      <c r="F4487" t="n">
        <v>45</v>
      </c>
      <c r="G4487" t="n">
        <v>40</v>
      </c>
      <c r="H4487" t="n">
        <v>40</v>
      </c>
      <c r="I4487">
        <f>B4487&amp;"|"&amp;C4487</f>
        <v/>
      </c>
      <c r="J4487" t="inlineStr">
        <is>
          <t>Fire stations, staffed, good, very good and excellent</t>
        </is>
      </c>
    </row>
    <row r="4488">
      <c r="B4488" t="inlineStr">
        <is>
          <t>Fire Stations – Staffed</t>
        </is>
      </c>
      <c r="C4488" t="inlineStr">
        <is>
          <t>Average</t>
        </is>
      </c>
      <c r="D4488" t="n">
        <v>45</v>
      </c>
      <c r="E4488" t="n">
        <v>45</v>
      </c>
      <c r="F4488" t="n">
        <v>40</v>
      </c>
      <c r="G4488" t="n">
        <v>35</v>
      </c>
      <c r="H4488" t="n">
        <v>35</v>
      </c>
      <c r="I4488">
        <f>B4488&amp;"|"&amp;C4488</f>
        <v/>
      </c>
      <c r="J4488" t="inlineStr">
        <is>
          <t>low cost and average</t>
        </is>
      </c>
    </row>
    <row r="4489">
      <c r="B4489" t="inlineStr">
        <is>
          <t>Fire Stations – Staffed</t>
        </is>
      </c>
      <c r="C4489" t="inlineStr">
        <is>
          <t>Excellent</t>
        </is>
      </c>
      <c r="D4489" t="n">
        <v>50</v>
      </c>
      <c r="E4489" t="n">
        <v>50</v>
      </c>
      <c r="F4489" t="n">
        <v>45</v>
      </c>
      <c r="G4489" t="n">
        <v>40</v>
      </c>
      <c r="H4489" t="n">
        <v>40</v>
      </c>
      <c r="I4489">
        <f>B4489&amp;"|"&amp;C4489</f>
        <v/>
      </c>
      <c r="J4489" t="inlineStr">
        <is>
          <t>Fire stations, staffed, good, very good and excellent</t>
        </is>
      </c>
    </row>
    <row r="4490">
      <c r="B4490" t="inlineStr">
        <is>
          <t>Fire Stations – Staffed</t>
        </is>
      </c>
      <c r="C4490" t="inlineStr">
        <is>
          <t>Very Good</t>
        </is>
      </c>
      <c r="D4490" t="n">
        <v>50</v>
      </c>
      <c r="E4490" t="n">
        <v>50</v>
      </c>
      <c r="F4490" t="n">
        <v>45</v>
      </c>
      <c r="G4490" t="n">
        <v>40</v>
      </c>
      <c r="H4490" t="n">
        <v>40</v>
      </c>
      <c r="I4490">
        <f>B4490&amp;"|"&amp;C4490</f>
        <v/>
      </c>
      <c r="J4490" t="inlineStr">
        <is>
          <t>Fire stations, staffed, good, very good and excellent</t>
        </is>
      </c>
    </row>
    <row r="4491">
      <c r="B4491" t="inlineStr">
        <is>
          <t>Fire Stations – Staffed</t>
        </is>
      </c>
      <c r="C4491" t="inlineStr">
        <is>
          <t>Low Cost</t>
        </is>
      </c>
      <c r="D4491" t="n">
        <v>45</v>
      </c>
      <c r="E4491" t="n">
        <v>45</v>
      </c>
      <c r="F4491" t="n">
        <v>40</v>
      </c>
      <c r="G4491" t="n">
        <v>35</v>
      </c>
      <c r="H4491" t="n">
        <v>35</v>
      </c>
      <c r="I4491">
        <f>B4491&amp;"|"&amp;C4491</f>
        <v/>
      </c>
      <c r="J4491" t="inlineStr">
        <is>
          <t>low cost and average</t>
        </is>
      </c>
    </row>
    <row r="4492">
      <c r="B4492" t="inlineStr">
        <is>
          <t>Governmental Buildings</t>
        </is>
      </c>
      <c r="C4492" t="inlineStr">
        <is>
          <t>Excellent</t>
        </is>
      </c>
      <c r="D4492" t="n">
        <v>60</v>
      </c>
      <c r="E4492" t="n">
        <v>60</v>
      </c>
      <c r="F4492" t="n">
        <v>55</v>
      </c>
      <c r="G4492" t="n">
        <v>50</v>
      </c>
      <c r="I4492">
        <f>B4492&amp;"|"&amp;C4492</f>
        <v/>
      </c>
      <c r="J4492" t="inlineStr">
        <is>
          <t>Governmental buildings, good and excellent</t>
        </is>
      </c>
    </row>
    <row r="4493">
      <c r="B4493" t="inlineStr">
        <is>
          <t>Governmental Buildings</t>
        </is>
      </c>
      <c r="C4493" t="inlineStr">
        <is>
          <t>Good</t>
        </is>
      </c>
      <c r="D4493" t="n">
        <v>60</v>
      </c>
      <c r="E4493" t="n">
        <v>60</v>
      </c>
      <c r="F4493" t="n">
        <v>55</v>
      </c>
      <c r="G4493" t="n">
        <v>50</v>
      </c>
      <c r="I4493">
        <f>B4493&amp;"|"&amp;C4493</f>
        <v/>
      </c>
      <c r="J4493" t="inlineStr">
        <is>
          <t>Governmental buildings, good and excellent</t>
        </is>
      </c>
    </row>
    <row r="4494">
      <c r="B4494" t="inlineStr">
        <is>
          <t>Governmental Buildings</t>
        </is>
      </c>
      <c r="C4494" t="inlineStr">
        <is>
          <t>Average</t>
        </is>
      </c>
      <c r="D4494" t="n">
        <v>55</v>
      </c>
      <c r="E4494" t="n">
        <v>55</v>
      </c>
      <c r="F4494" t="n">
        <v>50</v>
      </c>
      <c r="G4494" t="n">
        <v>40</v>
      </c>
      <c r="H4494" t="n">
        <v>40</v>
      </c>
      <c r="I4494">
        <f>B4494&amp;"|"&amp;C4494</f>
        <v/>
      </c>
      <c r="J4494" t="inlineStr">
        <is>
          <t>low cost and average</t>
        </is>
      </c>
    </row>
    <row r="4495">
      <c r="B4495" t="inlineStr">
        <is>
          <t>Governmental Buildings</t>
        </is>
      </c>
      <c r="C4495" t="inlineStr">
        <is>
          <t>Low Cost</t>
        </is>
      </c>
      <c r="D4495" t="n">
        <v>55</v>
      </c>
      <c r="E4495" t="n">
        <v>55</v>
      </c>
      <c r="F4495" t="n">
        <v>50</v>
      </c>
      <c r="G4495" t="n">
        <v>40</v>
      </c>
      <c r="H4495" t="n">
        <v>40</v>
      </c>
      <c r="I4495">
        <f>B4495&amp;"|"&amp;C4495</f>
        <v/>
      </c>
      <c r="J4495" t="inlineStr">
        <is>
          <t>low cost and average</t>
        </is>
      </c>
    </row>
    <row r="4496">
      <c r="B4496" t="inlineStr">
        <is>
          <t>Governmental – Community Service Buildings</t>
        </is>
      </c>
      <c r="C4496" t="inlineStr">
        <is>
          <t>Average</t>
        </is>
      </c>
      <c r="D4496" t="n">
        <v>55</v>
      </c>
      <c r="E4496" t="n">
        <v>55</v>
      </c>
      <c r="F4496" t="n">
        <v>50</v>
      </c>
      <c r="G4496" t="n">
        <v>40</v>
      </c>
      <c r="H4496" t="n">
        <v>40</v>
      </c>
      <c r="I4496">
        <f>B4496&amp;"|"&amp;C4496</f>
        <v/>
      </c>
      <c r="J4496" t="inlineStr">
        <is>
          <t>average and good</t>
        </is>
      </c>
    </row>
    <row r="4497">
      <c r="B4497" t="inlineStr">
        <is>
          <t>Governmental – Community Service Buildings</t>
        </is>
      </c>
      <c r="C4497" t="inlineStr">
        <is>
          <t>Low Cost</t>
        </is>
      </c>
      <c r="D4497" t="n">
        <v>50</v>
      </c>
      <c r="E4497" t="n">
        <v>50</v>
      </c>
      <c r="F4497" t="n">
        <v>45</v>
      </c>
      <c r="G4497" t="n">
        <v>35</v>
      </c>
      <c r="H4497" t="n">
        <v>35</v>
      </c>
      <c r="I4497">
        <f>B4497&amp;"|"&amp;C4497</f>
        <v/>
      </c>
      <c r="J4497" t="inlineStr">
        <is>
          <t>low cost</t>
        </is>
      </c>
    </row>
    <row r="4498">
      <c r="B4498" t="inlineStr">
        <is>
          <t>Governmental – Community Service Buildings</t>
        </is>
      </c>
      <c r="C4498" t="inlineStr">
        <is>
          <t>Excellent</t>
        </is>
      </c>
      <c r="F4498" t="n">
        <v>55</v>
      </c>
      <c r="G4498" t="n">
        <v>50</v>
      </c>
      <c r="I4498">
        <f>B4498&amp;"|"&amp;C4498</f>
        <v/>
      </c>
      <c r="J4498" t="inlineStr">
        <is>
          <t>Community service buildings, excellent</t>
        </is>
      </c>
    </row>
    <row r="4499">
      <c r="B4499" t="inlineStr">
        <is>
          <t>Governmental – Community Service Buildings</t>
        </is>
      </c>
      <c r="C4499" t="inlineStr">
        <is>
          <t>Good</t>
        </is>
      </c>
      <c r="D4499" t="n">
        <v>55</v>
      </c>
      <c r="E4499" t="n">
        <v>55</v>
      </c>
      <c r="F4499" t="n">
        <v>50</v>
      </c>
      <c r="G4499" t="n">
        <v>40</v>
      </c>
      <c r="H4499" t="n">
        <v>40</v>
      </c>
      <c r="I4499">
        <f>B4499&amp;"|"&amp;C4499</f>
        <v/>
      </c>
      <c r="J4499" t="inlineStr">
        <is>
          <t>average and good</t>
        </is>
      </c>
    </row>
    <row r="4500">
      <c r="B4500" t="inlineStr">
        <is>
          <t>Public Libraries</t>
        </is>
      </c>
      <c r="C4500" t="inlineStr">
        <is>
          <t>Good</t>
        </is>
      </c>
      <c r="D4500" t="n">
        <v>60</v>
      </c>
      <c r="E4500" t="n">
        <v>60</v>
      </c>
      <c r="F4500" t="n">
        <v>55</v>
      </c>
      <c r="G4500" t="n">
        <v>50</v>
      </c>
      <c r="H4500" t="n">
        <v>50</v>
      </c>
      <c r="I4500">
        <f>B4500&amp;"|"&amp;C4500</f>
        <v/>
      </c>
      <c r="J4500" t="inlineStr">
        <is>
          <t>Public libraries, good, very good and excellent</t>
        </is>
      </c>
    </row>
    <row r="4501">
      <c r="B4501" t="inlineStr">
        <is>
          <t>Public Libraries</t>
        </is>
      </c>
      <c r="C4501" t="inlineStr">
        <is>
          <t>Average</t>
        </is>
      </c>
      <c r="D4501" t="n">
        <v>55</v>
      </c>
      <c r="E4501" t="n">
        <v>55</v>
      </c>
      <c r="F4501" t="n">
        <v>50</v>
      </c>
      <c r="G4501" t="n">
        <v>45</v>
      </c>
      <c r="H4501" t="n">
        <v>45</v>
      </c>
      <c r="I4501">
        <f>B4501&amp;"|"&amp;C4501</f>
        <v/>
      </c>
      <c r="J4501" t="inlineStr">
        <is>
          <t>average</t>
        </is>
      </c>
    </row>
    <row r="4502">
      <c r="B4502" t="inlineStr">
        <is>
          <t>Public Libraries</t>
        </is>
      </c>
      <c r="C4502" t="inlineStr">
        <is>
          <t>Excellent</t>
        </is>
      </c>
      <c r="D4502" t="n">
        <v>60</v>
      </c>
      <c r="E4502" t="n">
        <v>60</v>
      </c>
      <c r="F4502" t="n">
        <v>55</v>
      </c>
      <c r="G4502" t="n">
        <v>50</v>
      </c>
      <c r="H4502" t="n">
        <v>50</v>
      </c>
      <c r="I4502">
        <f>B4502&amp;"|"&amp;C4502</f>
        <v/>
      </c>
      <c r="J4502" t="inlineStr">
        <is>
          <t>Public libraries, good, very good and excellent</t>
        </is>
      </c>
    </row>
    <row r="4503">
      <c r="B4503" t="inlineStr">
        <is>
          <t>Public Libraries</t>
        </is>
      </c>
      <c r="C4503" t="inlineStr">
        <is>
          <t>Very Good</t>
        </is>
      </c>
      <c r="D4503" t="n">
        <v>60</v>
      </c>
      <c r="E4503" t="n">
        <v>60</v>
      </c>
      <c r="F4503" t="n">
        <v>55</v>
      </c>
      <c r="G4503" t="n">
        <v>50</v>
      </c>
      <c r="H4503" t="n">
        <v>50</v>
      </c>
      <c r="I4503">
        <f>B4503&amp;"|"&amp;C4503</f>
        <v/>
      </c>
      <c r="J4503" t="inlineStr">
        <is>
          <t>Public libraries, good, very good and excellent</t>
        </is>
      </c>
    </row>
    <row r="4504">
      <c r="B4504" t="inlineStr">
        <is>
          <t>Public Libraries</t>
        </is>
      </c>
      <c r="C4504" t="inlineStr">
        <is>
          <t>Low Cost</t>
        </is>
      </c>
      <c r="F4504" t="n">
        <v>45</v>
      </c>
      <c r="G4504" t="n">
        <v>40</v>
      </c>
      <c r="H4504" t="n">
        <v>40</v>
      </c>
      <c r="I4504">
        <f>B4504&amp;"|"&amp;C4504</f>
        <v/>
      </c>
      <c r="J4504" t="inlineStr">
        <is>
          <t>low cost</t>
        </is>
      </c>
    </row>
    <row r="4505">
      <c r="B4505" t="inlineStr">
        <is>
          <t>Jails – Correctional Facilities</t>
        </is>
      </c>
      <c r="C4505" t="inlineStr">
        <is>
          <t>Excellent</t>
        </is>
      </c>
      <c r="D4505" t="n">
        <v>55</v>
      </c>
      <c r="E4505" t="n">
        <v>55</v>
      </c>
      <c r="F4505" t="n">
        <v>45</v>
      </c>
      <c r="G4505" t="n">
        <v>40</v>
      </c>
      <c r="I4505">
        <f>B4505&amp;"|"&amp;C4505</f>
        <v/>
      </c>
      <c r="J4505" t="inlineStr">
        <is>
          <t>Jails, correctional facilities, good and excellent</t>
        </is>
      </c>
    </row>
    <row r="4506">
      <c r="B4506" t="inlineStr">
        <is>
          <t>Jails – Correctional Facilities</t>
        </is>
      </c>
      <c r="C4506" t="inlineStr">
        <is>
          <t>Good</t>
        </is>
      </c>
      <c r="D4506" t="n">
        <v>55</v>
      </c>
      <c r="E4506" t="n">
        <v>55</v>
      </c>
      <c r="F4506" t="n">
        <v>45</v>
      </c>
      <c r="G4506" t="n">
        <v>40</v>
      </c>
      <c r="I4506">
        <f>B4506&amp;"|"&amp;C4506</f>
        <v/>
      </c>
      <c r="J4506" t="inlineStr">
        <is>
          <t>Jails, correctional facilities, good and excellent</t>
        </is>
      </c>
    </row>
    <row r="4507">
      <c r="B4507" t="inlineStr">
        <is>
          <t>Jails – Correctional Facilities</t>
        </is>
      </c>
      <c r="C4507" t="inlineStr">
        <is>
          <t>Average</t>
        </is>
      </c>
      <c r="D4507" t="n">
        <v>50</v>
      </c>
      <c r="E4507" t="n">
        <v>50</v>
      </c>
      <c r="F4507" t="n">
        <v>40</v>
      </c>
      <c r="G4507" t="n">
        <v>35</v>
      </c>
      <c r="H4507" t="n">
        <v>35</v>
      </c>
      <c r="I4507">
        <f>B4507&amp;"|"&amp;C4507</f>
        <v/>
      </c>
      <c r="J4507" t="inlineStr">
        <is>
          <t>low cost and average</t>
        </is>
      </c>
    </row>
    <row r="4508">
      <c r="B4508" t="inlineStr">
        <is>
          <t>Jails – Correctional Facilities</t>
        </is>
      </c>
      <c r="C4508" t="inlineStr">
        <is>
          <t>Low Cost</t>
        </is>
      </c>
      <c r="D4508" t="n">
        <v>50</v>
      </c>
      <c r="E4508" t="n">
        <v>50</v>
      </c>
      <c r="F4508" t="n">
        <v>40</v>
      </c>
      <c r="G4508" t="n">
        <v>35</v>
      </c>
      <c r="H4508" t="n">
        <v>35</v>
      </c>
      <c r="I4508">
        <f>B4508&amp;"|"&amp;C4508</f>
        <v/>
      </c>
      <c r="J4508" t="inlineStr">
        <is>
          <t>low cost and average</t>
        </is>
      </c>
    </row>
    <row r="4509">
      <c r="B4509" t="inlineStr">
        <is>
          <t>Jails – Police Stations</t>
        </is>
      </c>
      <c r="C4509" t="inlineStr">
        <is>
          <t>Excellent</t>
        </is>
      </c>
      <c r="D4509" t="n">
        <v>55</v>
      </c>
      <c r="E4509" t="n">
        <v>55</v>
      </c>
      <c r="F4509" t="n">
        <v>50</v>
      </c>
      <c r="G4509" t="n">
        <v>45</v>
      </c>
      <c r="I4509">
        <f>B4509&amp;"|"&amp;C4509</f>
        <v/>
      </c>
      <c r="J4509" t="inlineStr">
        <is>
          <t>Police stations, good and excellent</t>
        </is>
      </c>
    </row>
    <row r="4510">
      <c r="B4510" t="inlineStr">
        <is>
          <t>Jails – Police Stations</t>
        </is>
      </c>
      <c r="C4510" t="inlineStr">
        <is>
          <t>Good</t>
        </is>
      </c>
      <c r="D4510" t="n">
        <v>55</v>
      </c>
      <c r="E4510" t="n">
        <v>55</v>
      </c>
      <c r="F4510" t="n">
        <v>50</v>
      </c>
      <c r="G4510" t="n">
        <v>45</v>
      </c>
      <c r="I4510">
        <f>B4510&amp;"|"&amp;C4510</f>
        <v/>
      </c>
      <c r="J4510" t="inlineStr">
        <is>
          <t>Police stations, good and excellent</t>
        </is>
      </c>
    </row>
    <row r="4511">
      <c r="B4511" t="inlineStr">
        <is>
          <t>Jails – Police Stations</t>
        </is>
      </c>
      <c r="C4511" t="inlineStr">
        <is>
          <t>Average</t>
        </is>
      </c>
      <c r="D4511" t="n">
        <v>50</v>
      </c>
      <c r="E4511" t="n">
        <v>50</v>
      </c>
      <c r="F4511" t="n">
        <v>45</v>
      </c>
      <c r="G4511" t="n">
        <v>40</v>
      </c>
      <c r="I4511">
        <f>B4511&amp;"|"&amp;C4511</f>
        <v/>
      </c>
      <c r="J4511" t="inlineStr">
        <is>
          <t>average</t>
        </is>
      </c>
    </row>
    <row r="4512">
      <c r="B4512" t="inlineStr">
        <is>
          <t>Jails – Police Stations</t>
        </is>
      </c>
      <c r="C4512" t="inlineStr">
        <is>
          <t>Low Cost</t>
        </is>
      </c>
      <c r="D4512" t="n">
        <v>45</v>
      </c>
      <c r="E4512" t="n">
        <v>45</v>
      </c>
      <c r="F4512" t="n">
        <v>40</v>
      </c>
      <c r="I4512">
        <f>B4512&amp;"|"&amp;C4512</f>
        <v/>
      </c>
      <c r="J4512" t="inlineStr">
        <is>
          <t>low cost</t>
        </is>
      </c>
    </row>
    <row r="4513">
      <c r="B4513" t="inlineStr">
        <is>
          <t>Shell Office Buildings</t>
        </is>
      </c>
      <c r="C4513" t="inlineStr">
        <is>
          <t>Excellent</t>
        </is>
      </c>
      <c r="D4513" t="n">
        <v>60</v>
      </c>
      <c r="E4513" t="n">
        <v>60</v>
      </c>
      <c r="F4513" t="n">
        <v>55</v>
      </c>
      <c r="G4513" t="n">
        <v>50</v>
      </c>
      <c r="H4513" t="n">
        <v>50</v>
      </c>
      <c r="I4513">
        <f>B4513&amp;"|"&amp;C4513</f>
        <v/>
      </c>
      <c r="J4513" t="inlineStr">
        <is>
          <t>Offices, good and excellent</t>
        </is>
      </c>
    </row>
    <row r="4514">
      <c r="B4514" t="inlineStr">
        <is>
          <t>Shell Office Buildings</t>
        </is>
      </c>
      <c r="C4514" t="inlineStr">
        <is>
          <t>Good</t>
        </is>
      </c>
      <c r="D4514" t="n">
        <v>60</v>
      </c>
      <c r="E4514" t="n">
        <v>60</v>
      </c>
      <c r="F4514" t="n">
        <v>55</v>
      </c>
      <c r="G4514" t="n">
        <v>50</v>
      </c>
      <c r="H4514" t="n">
        <v>50</v>
      </c>
      <c r="I4514">
        <f>B4514&amp;"|"&amp;C4514</f>
        <v/>
      </c>
      <c r="J4514" t="inlineStr">
        <is>
          <t>Offices, good and excellent</t>
        </is>
      </c>
    </row>
    <row r="4515">
      <c r="B4515" t="inlineStr">
        <is>
          <t>Shell Office Buildings</t>
        </is>
      </c>
      <c r="C4515" t="inlineStr">
        <is>
          <t>Average</t>
        </is>
      </c>
      <c r="D4515" t="n">
        <v>55</v>
      </c>
      <c r="E4515" t="n">
        <v>55</v>
      </c>
      <c r="F4515" t="n">
        <v>50</v>
      </c>
      <c r="G4515" t="n">
        <v>45</v>
      </c>
      <c r="H4515" t="n">
        <v>45</v>
      </c>
      <c r="I4515">
        <f>B4515&amp;"|"&amp;C4515</f>
        <v/>
      </c>
      <c r="J4515" t="inlineStr">
        <is>
          <t>average</t>
        </is>
      </c>
    </row>
    <row r="4516">
      <c r="B4516" t="inlineStr">
        <is>
          <t>Shell Office Buildings</t>
        </is>
      </c>
      <c r="C4516" t="inlineStr">
        <is>
          <t>Low Cost</t>
        </is>
      </c>
      <c r="D4516" t="n">
        <v>50</v>
      </c>
      <c r="E4516" t="n">
        <v>50</v>
      </c>
      <c r="F4516" t="n">
        <v>45</v>
      </c>
      <c r="G4516" t="n">
        <v>40</v>
      </c>
      <c r="H4516" t="n">
        <v>40</v>
      </c>
      <c r="I4516">
        <f>B4516&amp;"|"&amp;C4516</f>
        <v/>
      </c>
      <c r="J4516" t="inlineStr">
        <is>
          <t>low cost</t>
        </is>
      </c>
    </row>
    <row r="4517">
      <c r="B4517" t="inlineStr">
        <is>
          <t>Churches with Sunday Schools</t>
        </is>
      </c>
      <c r="C4517" t="inlineStr">
        <is>
          <t>Good</t>
        </is>
      </c>
      <c r="D4517" t="n">
        <v>60</v>
      </c>
      <c r="E4517" t="n">
        <v>60</v>
      </c>
      <c r="F4517" t="n">
        <v>50</v>
      </c>
      <c r="G4517" t="n">
        <v>45</v>
      </c>
      <c r="H4517" t="n">
        <v>45</v>
      </c>
      <c r="I4517">
        <f>B4517&amp;"|"&amp;C4517</f>
        <v/>
      </c>
      <c r="J4517" t="inlineStr">
        <is>
          <t>good</t>
        </is>
      </c>
    </row>
    <row r="4518">
      <c r="B4518" t="inlineStr">
        <is>
          <t>Churches with Sunday Schools</t>
        </is>
      </c>
      <c r="C4518" t="inlineStr">
        <is>
          <t>Average</t>
        </is>
      </c>
      <c r="D4518" t="n">
        <v>50</v>
      </c>
      <c r="E4518" t="n">
        <v>50</v>
      </c>
      <c r="F4518" t="n">
        <v>45</v>
      </c>
      <c r="G4518" t="n">
        <v>40</v>
      </c>
      <c r="H4518" t="n">
        <v>40</v>
      </c>
      <c r="I4518">
        <f>B4518&amp;"|"&amp;C4518</f>
        <v/>
      </c>
      <c r="J4518" t="inlineStr">
        <is>
          <t>average</t>
        </is>
      </c>
    </row>
    <row r="4519">
      <c r="B4519" t="inlineStr">
        <is>
          <t>Churches with Sunday Schools</t>
        </is>
      </c>
      <c r="C4519" t="inlineStr">
        <is>
          <t>Excellent</t>
        </is>
      </c>
      <c r="D4519" t="n">
        <v>60</v>
      </c>
      <c r="E4519" t="n">
        <v>60</v>
      </c>
      <c r="F4519" t="n">
        <v>60</v>
      </c>
      <c r="G4519" t="n">
        <v>50</v>
      </c>
      <c r="I4519">
        <f>B4519&amp;"|"&amp;C4519</f>
        <v/>
      </c>
      <c r="J4519" t="inlineStr">
        <is>
          <t>Churches, sanctuaries, narthexes, classrooms, excellent</t>
        </is>
      </c>
    </row>
    <row r="4520">
      <c r="B4520" t="inlineStr">
        <is>
          <t>Churches – Sanctuaries (Chapels)</t>
        </is>
      </c>
      <c r="C4520" t="inlineStr">
        <is>
          <t>Excellent</t>
        </is>
      </c>
      <c r="D4520" t="n">
        <v>60</v>
      </c>
      <c r="E4520" t="n">
        <v>60</v>
      </c>
      <c r="F4520" t="n">
        <v>60</v>
      </c>
      <c r="G4520" t="n">
        <v>50</v>
      </c>
      <c r="I4520">
        <f>B4520&amp;"|"&amp;C4520</f>
        <v/>
      </c>
      <c r="J4520" t="inlineStr">
        <is>
          <t>Churches, sanctuaries, narthexes, classrooms, excellent</t>
        </is>
      </c>
    </row>
    <row r="4521">
      <c r="B4521" t="inlineStr">
        <is>
          <t>Churches – Sanctuaries (Chapels)</t>
        </is>
      </c>
      <c r="C4521" t="inlineStr">
        <is>
          <t>Good</t>
        </is>
      </c>
      <c r="D4521" t="n">
        <v>60</v>
      </c>
      <c r="E4521" t="n">
        <v>60</v>
      </c>
      <c r="F4521" t="n">
        <v>50</v>
      </c>
      <c r="G4521" t="n">
        <v>45</v>
      </c>
      <c r="H4521" t="n">
        <v>45</v>
      </c>
      <c r="I4521">
        <f>B4521&amp;"|"&amp;C4521</f>
        <v/>
      </c>
      <c r="J4521" t="inlineStr">
        <is>
          <t>good</t>
        </is>
      </c>
    </row>
    <row r="4522">
      <c r="B4522" t="inlineStr">
        <is>
          <t>Churches – Sanctuaries (Chapels)</t>
        </is>
      </c>
      <c r="C4522" t="inlineStr">
        <is>
          <t>Average</t>
        </is>
      </c>
      <c r="D4522" t="n">
        <v>50</v>
      </c>
      <c r="E4522" t="n">
        <v>50</v>
      </c>
      <c r="F4522" t="n">
        <v>45</v>
      </c>
      <c r="G4522" t="n">
        <v>40</v>
      </c>
      <c r="H4522" t="n">
        <v>40</v>
      </c>
      <c r="I4522">
        <f>B4522&amp;"|"&amp;C4522</f>
        <v/>
      </c>
      <c r="J4522" t="inlineStr">
        <is>
          <t>average</t>
        </is>
      </c>
    </row>
    <row r="4523">
      <c r="B4523" t="inlineStr">
        <is>
          <t>Fellowship Halls</t>
        </is>
      </c>
      <c r="C4523" t="inlineStr">
        <is>
          <t>Good</t>
        </is>
      </c>
      <c r="D4523" t="n">
        <v>50</v>
      </c>
      <c r="E4523" t="n">
        <v>50</v>
      </c>
      <c r="F4523" t="n">
        <v>45</v>
      </c>
      <c r="G4523" t="n">
        <v>40</v>
      </c>
      <c r="H4523" t="n">
        <v>40</v>
      </c>
      <c r="I4523">
        <f>B4523&amp;"|"&amp;C4523</f>
        <v/>
      </c>
      <c r="J4523" t="inlineStr">
        <is>
          <t>Fellowship halls, good and excellent</t>
        </is>
      </c>
    </row>
    <row r="4524">
      <c r="B4524" t="inlineStr">
        <is>
          <t>Fellowship Halls</t>
        </is>
      </c>
      <c r="C4524" t="inlineStr">
        <is>
          <t>Average</t>
        </is>
      </c>
      <c r="D4524" t="n">
        <v>45</v>
      </c>
      <c r="E4524" t="n">
        <v>45</v>
      </c>
      <c r="F4524" t="n">
        <v>40</v>
      </c>
      <c r="G4524" t="n">
        <v>35</v>
      </c>
      <c r="H4524" t="n">
        <v>35</v>
      </c>
      <c r="I4524">
        <f>B4524&amp;"|"&amp;C4524</f>
        <v/>
      </c>
      <c r="J4524" t="inlineStr">
        <is>
          <t>low cost and average</t>
        </is>
      </c>
    </row>
    <row r="4525">
      <c r="B4525" t="inlineStr">
        <is>
          <t>Fellowship Halls</t>
        </is>
      </c>
      <c r="C4525" t="inlineStr">
        <is>
          <t>Excellent</t>
        </is>
      </c>
      <c r="D4525" t="n">
        <v>50</v>
      </c>
      <c r="E4525" t="n">
        <v>50</v>
      </c>
      <c r="F4525" t="n">
        <v>45</v>
      </c>
      <c r="G4525" t="n">
        <v>40</v>
      </c>
      <c r="H4525" t="n">
        <v>40</v>
      </c>
      <c r="I4525">
        <f>B4525&amp;"|"&amp;C4525</f>
        <v/>
      </c>
      <c r="J4525" t="inlineStr">
        <is>
          <t>Fellowship halls, good and excellent</t>
        </is>
      </c>
    </row>
    <row r="4526">
      <c r="B4526" t="inlineStr">
        <is>
          <t>Fellowship Halls</t>
        </is>
      </c>
      <c r="C4526" t="inlineStr">
        <is>
          <t>Cheap</t>
        </is>
      </c>
      <c r="G4526" t="n">
        <v>30</v>
      </c>
      <c r="H4526" t="n">
        <v>30</v>
      </c>
      <c r="I4526">
        <f>B4526&amp;"|"&amp;C4526</f>
        <v/>
      </c>
      <c r="J4526" t="inlineStr">
        <is>
          <t>cheap</t>
        </is>
      </c>
    </row>
    <row r="4527">
      <c r="B4527" t="inlineStr">
        <is>
          <t>Foyers / Narthexes</t>
        </is>
      </c>
      <c r="C4527" t="inlineStr">
        <is>
          <t>Excellent</t>
        </is>
      </c>
      <c r="D4527" t="n">
        <v>60</v>
      </c>
      <c r="E4527" t="n">
        <v>60</v>
      </c>
      <c r="F4527" t="n">
        <v>60</v>
      </c>
      <c r="G4527" t="n">
        <v>50</v>
      </c>
      <c r="I4527">
        <f>B4527&amp;"|"&amp;C4527</f>
        <v/>
      </c>
      <c r="J4527" t="inlineStr">
        <is>
          <t>Churches, sanctuaries, narthexes, classrooms, excellent</t>
        </is>
      </c>
    </row>
    <row r="4528">
      <c r="B4528" t="inlineStr">
        <is>
          <t>Foyers / Narthexes</t>
        </is>
      </c>
      <c r="C4528" t="inlineStr">
        <is>
          <t>Good</t>
        </is>
      </c>
      <c r="D4528" t="n">
        <v>60</v>
      </c>
      <c r="E4528" t="n">
        <v>60</v>
      </c>
      <c r="F4528" t="n">
        <v>50</v>
      </c>
      <c r="G4528" t="n">
        <v>45</v>
      </c>
      <c r="H4528" t="n">
        <v>45</v>
      </c>
      <c r="I4528">
        <f>B4528&amp;"|"&amp;C4528</f>
        <v/>
      </c>
      <c r="J4528" t="inlineStr">
        <is>
          <t>good</t>
        </is>
      </c>
    </row>
    <row r="4529">
      <c r="B4529" t="inlineStr">
        <is>
          <t>Foyers / Narthexes</t>
        </is>
      </c>
      <c r="C4529" t="inlineStr">
        <is>
          <t>Average</t>
        </is>
      </c>
      <c r="D4529" t="n">
        <v>50</v>
      </c>
      <c r="E4529" t="n">
        <v>50</v>
      </c>
      <c r="F4529" t="n">
        <v>45</v>
      </c>
      <c r="G4529" t="n">
        <v>40</v>
      </c>
      <c r="H4529" t="n">
        <v>40</v>
      </c>
      <c r="I4529">
        <f>B4529&amp;"|"&amp;C4529</f>
        <v/>
      </c>
      <c r="J4529" t="inlineStr">
        <is>
          <t>average</t>
        </is>
      </c>
    </row>
    <row r="4530">
      <c r="B4530" t="inlineStr">
        <is>
          <t>Church Educational Wings</t>
        </is>
      </c>
      <c r="C4530" t="inlineStr">
        <is>
          <t>Good</t>
        </is>
      </c>
      <c r="D4530" t="n">
        <v>60</v>
      </c>
      <c r="E4530" t="n">
        <v>60</v>
      </c>
      <c r="F4530" t="n">
        <v>50</v>
      </c>
      <c r="G4530" t="n">
        <v>45</v>
      </c>
      <c r="H4530" t="n">
        <v>45</v>
      </c>
      <c r="I4530">
        <f>B4530&amp;"|"&amp;C4530</f>
        <v/>
      </c>
      <c r="J4530" t="inlineStr">
        <is>
          <t>good</t>
        </is>
      </c>
    </row>
    <row r="4531">
      <c r="B4531" t="inlineStr">
        <is>
          <t>Church Educational Wings</t>
        </is>
      </c>
      <c r="C4531" t="inlineStr">
        <is>
          <t>Average</t>
        </is>
      </c>
      <c r="D4531" t="n">
        <v>50</v>
      </c>
      <c r="E4531" t="n">
        <v>50</v>
      </c>
      <c r="F4531" t="n">
        <v>45</v>
      </c>
      <c r="G4531" t="n">
        <v>40</v>
      </c>
      <c r="H4531" t="n">
        <v>40</v>
      </c>
      <c r="I4531">
        <f>B4531&amp;"|"&amp;C4531</f>
        <v/>
      </c>
      <c r="J4531" t="inlineStr">
        <is>
          <t>average</t>
        </is>
      </c>
    </row>
    <row r="4532">
      <c r="B4532" t="inlineStr">
        <is>
          <t>Church Educational Wings</t>
        </is>
      </c>
      <c r="C4532" t="inlineStr">
        <is>
          <t>Excellent</t>
        </is>
      </c>
      <c r="D4532" t="n">
        <v>60</v>
      </c>
      <c r="E4532" t="n">
        <v>60</v>
      </c>
      <c r="F4532" t="n">
        <v>60</v>
      </c>
      <c r="G4532" t="n">
        <v>50</v>
      </c>
      <c r="I4532">
        <f>B4532&amp;"|"&amp;C4532</f>
        <v/>
      </c>
      <c r="J4532" t="inlineStr">
        <is>
          <t>Churches, sanctuaries, narthexes, classrooms, excellent</t>
        </is>
      </c>
    </row>
    <row r="4533">
      <c r="B4533" t="inlineStr">
        <is>
          <t>Theaters: Live-Stage</t>
        </is>
      </c>
      <c r="C4533" t="inlineStr">
        <is>
          <t>Excellent</t>
        </is>
      </c>
      <c r="D4533" t="n">
        <v>50</v>
      </c>
      <c r="E4533" t="n">
        <v>50</v>
      </c>
      <c r="F4533" t="n">
        <v>45</v>
      </c>
      <c r="G4533" t="n">
        <v>40</v>
      </c>
      <c r="I4533">
        <f>B4533&amp;"|"&amp;C4533</f>
        <v/>
      </c>
      <c r="J4533" t="inlineStr">
        <is>
          <t>Theaters, live-stage presentation, good and excellent</t>
        </is>
      </c>
    </row>
    <row r="4534">
      <c r="B4534" t="inlineStr">
        <is>
          <t>Theaters: Live-Stage</t>
        </is>
      </c>
      <c r="C4534" t="inlineStr">
        <is>
          <t>Good</t>
        </is>
      </c>
      <c r="D4534" t="n">
        <v>50</v>
      </c>
      <c r="E4534" t="n">
        <v>50</v>
      </c>
      <c r="F4534" t="n">
        <v>45</v>
      </c>
      <c r="G4534" t="n">
        <v>40</v>
      </c>
      <c r="I4534">
        <f>B4534&amp;"|"&amp;C4534</f>
        <v/>
      </c>
      <c r="J4534" t="inlineStr">
        <is>
          <t>Theaters, live-stage presentation, good and excellent</t>
        </is>
      </c>
    </row>
    <row r="4535">
      <c r="B4535" t="inlineStr">
        <is>
          <t>Theaters: Live-Stage</t>
        </is>
      </c>
      <c r="C4535" t="inlineStr">
        <is>
          <t>Average</t>
        </is>
      </c>
      <c r="D4535" t="n">
        <v>45</v>
      </c>
      <c r="E4535" t="n">
        <v>45</v>
      </c>
      <c r="F4535" t="n">
        <v>45</v>
      </c>
      <c r="G4535" t="n">
        <v>40</v>
      </c>
      <c r="H4535" t="n">
        <v>40</v>
      </c>
      <c r="I4535">
        <f>B4535&amp;"|"&amp;C4535</f>
        <v/>
      </c>
      <c r="J4535" t="inlineStr">
        <is>
          <t>fair and average</t>
        </is>
      </c>
    </row>
    <row r="4536">
      <c r="B4536" t="inlineStr">
        <is>
          <t>Theaters: Cinema</t>
        </is>
      </c>
      <c r="C4536" t="inlineStr">
        <is>
          <t>Good</t>
        </is>
      </c>
      <c r="D4536" t="n">
        <v>45</v>
      </c>
      <c r="E4536" t="n">
        <v>45</v>
      </c>
      <c r="F4536" t="n">
        <v>40</v>
      </c>
      <c r="G4536" t="n">
        <v>35</v>
      </c>
      <c r="H4536" t="n">
        <v>35</v>
      </c>
      <c r="I4536">
        <f>B4536&amp;"|"&amp;C4536</f>
        <v/>
      </c>
      <c r="J4536" t="inlineStr">
        <is>
          <t>average and good</t>
        </is>
      </c>
    </row>
    <row r="4537">
      <c r="B4537" t="inlineStr">
        <is>
          <t>Theaters: Cinema</t>
        </is>
      </c>
      <c r="C4537" t="inlineStr">
        <is>
          <t>Average</t>
        </is>
      </c>
      <c r="D4537" t="n">
        <v>45</v>
      </c>
      <c r="E4537" t="n">
        <v>45</v>
      </c>
      <c r="F4537" t="n">
        <v>40</v>
      </c>
      <c r="G4537" t="n">
        <v>35</v>
      </c>
      <c r="H4537" t="n">
        <v>35</v>
      </c>
      <c r="I4537">
        <f>B4537&amp;"|"&amp;C4537</f>
        <v/>
      </c>
      <c r="J4537" t="inlineStr">
        <is>
          <t>average and good</t>
        </is>
      </c>
    </row>
    <row r="4538">
      <c r="B4538" t="inlineStr">
        <is>
          <t>Theaters: Cinema</t>
        </is>
      </c>
      <c r="C4538" t="inlineStr">
        <is>
          <t>Excellent</t>
        </is>
      </c>
      <c r="D4538" t="n">
        <v>50</v>
      </c>
      <c r="E4538" t="n">
        <v>50</v>
      </c>
      <c r="F4538" t="n">
        <v>45</v>
      </c>
      <c r="G4538" t="n">
        <v>40</v>
      </c>
      <c r="I4538">
        <f>B4538&amp;"|"&amp;C4538</f>
        <v/>
      </c>
      <c r="J4538" t="inlineStr">
        <is>
          <t>Motion picture/cinema, very good and excellent</t>
        </is>
      </c>
    </row>
    <row r="4539">
      <c r="B4539" t="inlineStr">
        <is>
          <t>Theaters: Cinema</t>
        </is>
      </c>
      <c r="C4539" t="inlineStr">
        <is>
          <t>Very Good</t>
        </is>
      </c>
      <c r="D4539" t="n">
        <v>50</v>
      </c>
      <c r="E4539" t="n">
        <v>50</v>
      </c>
      <c r="F4539" t="n">
        <v>45</v>
      </c>
      <c r="G4539" t="n">
        <v>40</v>
      </c>
      <c r="I4539">
        <f>B4539&amp;"|"&amp;C4539</f>
        <v/>
      </c>
      <c r="J4539" t="inlineStr">
        <is>
          <t>Motion picture/cinema, very good and excellent</t>
        </is>
      </c>
    </row>
    <row r="4540">
      <c r="B4540" t="inlineStr">
        <is>
          <t>Theaters: Cinema</t>
        </is>
      </c>
      <c r="C4540" t="inlineStr">
        <is>
          <t>Fair</t>
        </is>
      </c>
      <c r="F4540" t="n">
        <v>35</v>
      </c>
      <c r="G4540" t="n">
        <v>30</v>
      </c>
      <c r="H4540" t="n">
        <v>30</v>
      </c>
      <c r="I4540">
        <f>B4540&amp;"|"&amp;C4540</f>
        <v/>
      </c>
      <c r="J4540" t="inlineStr">
        <is>
          <t>low cost and fair</t>
        </is>
      </c>
    </row>
    <row r="4541">
      <c r="B4541" t="inlineStr">
        <is>
          <t>Auditoriums</t>
        </is>
      </c>
      <c r="C4541" t="inlineStr">
        <is>
          <t>Excellent</t>
        </is>
      </c>
      <c r="D4541" t="n">
        <v>55</v>
      </c>
      <c r="E4541" t="n">
        <v>55</v>
      </c>
      <c r="F4541" t="n">
        <v>50</v>
      </c>
      <c r="G4541" t="n">
        <v>45</v>
      </c>
      <c r="I4541">
        <f>B4541&amp;"|"&amp;C4541</f>
        <v/>
      </c>
      <c r="J4541" t="inlineStr">
        <is>
          <t>Auditoriums, excellent</t>
        </is>
      </c>
    </row>
    <row r="4542">
      <c r="B4542" t="inlineStr">
        <is>
          <t>Auditoriums</t>
        </is>
      </c>
      <c r="C4542" t="inlineStr">
        <is>
          <t>Good</t>
        </is>
      </c>
      <c r="D4542" t="n">
        <v>50</v>
      </c>
      <c r="E4542" t="n">
        <v>50</v>
      </c>
      <c r="F4542" t="n">
        <v>45</v>
      </c>
      <c r="G4542" t="n">
        <v>40</v>
      </c>
      <c r="H4542" t="n">
        <v>40</v>
      </c>
      <c r="I4542">
        <f>B4542&amp;"|"&amp;C4542</f>
        <v/>
      </c>
      <c r="J4542" t="inlineStr">
        <is>
          <t>average and good</t>
        </is>
      </c>
    </row>
    <row r="4543">
      <c r="B4543" t="inlineStr">
        <is>
          <t>Auditoriums</t>
        </is>
      </c>
      <c r="C4543" t="inlineStr">
        <is>
          <t>Average</t>
        </is>
      </c>
      <c r="D4543" t="n">
        <v>50</v>
      </c>
      <c r="E4543" t="n">
        <v>50</v>
      </c>
      <c r="F4543" t="n">
        <v>45</v>
      </c>
      <c r="G4543" t="n">
        <v>40</v>
      </c>
      <c r="H4543" t="n">
        <v>40</v>
      </c>
      <c r="I4543">
        <f>B4543&amp;"|"&amp;C4543</f>
        <v/>
      </c>
      <c r="J4543" t="inlineStr">
        <is>
          <t>average and good</t>
        </is>
      </c>
    </row>
    <row r="4544">
      <c r="B4544" t="inlineStr">
        <is>
          <t>Fraternal Buildings</t>
        </is>
      </c>
      <c r="C4544" t="inlineStr">
        <is>
          <t>Average</t>
        </is>
      </c>
      <c r="D4544" t="n">
        <v>45</v>
      </c>
      <c r="E4544" t="n">
        <v>45</v>
      </c>
      <c r="F4544" t="n">
        <v>40</v>
      </c>
      <c r="G4544" t="n">
        <v>35</v>
      </c>
      <c r="H4544" t="n">
        <v>35</v>
      </c>
      <c r="I4544">
        <f>B4544&amp;"|"&amp;C4544</f>
        <v/>
      </c>
      <c r="J4544" t="inlineStr">
        <is>
          <t>average</t>
        </is>
      </c>
    </row>
    <row r="4545">
      <c r="B4545" t="inlineStr">
        <is>
          <t>Fraternal Buildings</t>
        </is>
      </c>
      <c r="C4545" t="inlineStr">
        <is>
          <t>Excellent</t>
        </is>
      </c>
      <c r="D4545" t="n">
        <v>55</v>
      </c>
      <c r="E4545" t="n">
        <v>55</v>
      </c>
      <c r="F4545" t="n">
        <v>50</v>
      </c>
      <c r="G4545" t="n">
        <v>45</v>
      </c>
      <c r="I4545">
        <f>B4545&amp;"|"&amp;C4545</f>
        <v/>
      </c>
      <c r="J4545" t="inlineStr">
        <is>
          <t>Fraternal buildings, excellent</t>
        </is>
      </c>
    </row>
    <row r="4546">
      <c r="B4546" t="inlineStr">
        <is>
          <t>Fraternal Buildings</t>
        </is>
      </c>
      <c r="C4546" t="inlineStr">
        <is>
          <t>Good</t>
        </is>
      </c>
      <c r="D4546" t="n">
        <v>50</v>
      </c>
      <c r="E4546" t="n">
        <v>50</v>
      </c>
      <c r="F4546" t="n">
        <v>45</v>
      </c>
      <c r="G4546" t="n">
        <v>40</v>
      </c>
      <c r="I4546">
        <f>B4546&amp;"|"&amp;C4546</f>
        <v/>
      </c>
      <c r="J4546" t="inlineStr">
        <is>
          <t>good</t>
        </is>
      </c>
    </row>
    <row r="4547">
      <c r="B4547" t="inlineStr">
        <is>
          <t>Visitor Centers</t>
        </is>
      </c>
      <c r="C4547" t="inlineStr">
        <is>
          <t>Good</t>
        </is>
      </c>
      <c r="D4547" t="n">
        <v>55</v>
      </c>
      <c r="E4547" t="n">
        <v>55</v>
      </c>
      <c r="F4547" t="n">
        <v>50</v>
      </c>
      <c r="G4547" t="n">
        <v>45</v>
      </c>
      <c r="I4547">
        <f>B4547&amp;"|"&amp;C4547</f>
        <v/>
      </c>
      <c r="J4547" t="inlineStr">
        <is>
          <t>Visitor centers, good and excellent</t>
        </is>
      </c>
    </row>
    <row r="4548">
      <c r="B4548" t="inlineStr">
        <is>
          <t>Visitor Centers</t>
        </is>
      </c>
      <c r="C4548" t="inlineStr">
        <is>
          <t>Average</t>
        </is>
      </c>
      <c r="D4548" t="n">
        <v>50</v>
      </c>
      <c r="E4548" t="n">
        <v>50</v>
      </c>
      <c r="F4548" t="n">
        <v>45</v>
      </c>
      <c r="G4548" t="n">
        <v>40</v>
      </c>
      <c r="H4548" t="n">
        <v>40</v>
      </c>
      <c r="I4548">
        <f>B4548&amp;"|"&amp;C4548</f>
        <v/>
      </c>
      <c r="J4548" t="inlineStr">
        <is>
          <t>average</t>
        </is>
      </c>
    </row>
    <row r="4549">
      <c r="B4549" t="inlineStr">
        <is>
          <t>Visitor Centers</t>
        </is>
      </c>
      <c r="C4549" t="inlineStr">
        <is>
          <t>Excellent</t>
        </is>
      </c>
      <c r="D4549" t="n">
        <v>55</v>
      </c>
      <c r="E4549" t="n">
        <v>55</v>
      </c>
      <c r="F4549" t="n">
        <v>50</v>
      </c>
      <c r="G4549" t="n">
        <v>45</v>
      </c>
      <c r="I4549">
        <f>B4549&amp;"|"&amp;C4549</f>
        <v/>
      </c>
      <c r="J4549" t="inlineStr">
        <is>
          <t>Visitor centers, good and excellent</t>
        </is>
      </c>
    </row>
    <row r="4550">
      <c r="B4550" t="inlineStr">
        <is>
          <t>Convention Centers</t>
        </is>
      </c>
      <c r="C4550" t="inlineStr">
        <is>
          <t>Good</t>
        </is>
      </c>
      <c r="D4550" t="n">
        <v>55</v>
      </c>
      <c r="E4550" t="n">
        <v>55</v>
      </c>
      <c r="F4550" t="n">
        <v>50</v>
      </c>
      <c r="G4550" t="n">
        <v>45</v>
      </c>
      <c r="I4550">
        <f>B4550&amp;"|"&amp;C4550</f>
        <v/>
      </c>
      <c r="J4550" t="inlineStr">
        <is>
          <t>Convention centers, good and excellent</t>
        </is>
      </c>
    </row>
    <row r="4551">
      <c r="B4551" t="inlineStr">
        <is>
          <t>Convention Centers</t>
        </is>
      </c>
      <c r="C4551" t="inlineStr">
        <is>
          <t>Average</t>
        </is>
      </c>
      <c r="D4551" t="n">
        <v>50</v>
      </c>
      <c r="E4551" t="n">
        <v>50</v>
      </c>
      <c r="F4551" t="n">
        <v>45</v>
      </c>
      <c r="G4551" t="n">
        <v>40</v>
      </c>
      <c r="H4551" t="n">
        <v>40</v>
      </c>
      <c r="I4551">
        <f>B4551&amp;"|"&amp;C4551</f>
        <v/>
      </c>
      <c r="J4551" t="inlineStr">
        <is>
          <t>average</t>
        </is>
      </c>
    </row>
    <row r="4552">
      <c r="B4552" t="inlineStr">
        <is>
          <t>Convention Centers</t>
        </is>
      </c>
      <c r="C4552" t="inlineStr">
        <is>
          <t>Excellent</t>
        </is>
      </c>
      <c r="D4552" t="n">
        <v>55</v>
      </c>
      <c r="E4552" t="n">
        <v>55</v>
      </c>
      <c r="F4552" t="n">
        <v>50</v>
      </c>
      <c r="G4552" t="n">
        <v>45</v>
      </c>
      <c r="I4552">
        <f>B4552&amp;"|"&amp;C4552</f>
        <v/>
      </c>
      <c r="J4552" t="inlineStr">
        <is>
          <t>Convention centers, good and excellent</t>
        </is>
      </c>
    </row>
    <row r="4553">
      <c r="B4553" t="inlineStr">
        <is>
          <t>Casinos</t>
        </is>
      </c>
      <c r="C4553" t="inlineStr">
        <is>
          <t>Excellent</t>
        </is>
      </c>
      <c r="F4553" t="n">
        <v>50</v>
      </c>
      <c r="I4553">
        <f>B4553&amp;"|"&amp;C4553</f>
        <v/>
      </c>
      <c r="J4553" t="inlineStr">
        <is>
          <t>Casinos, very good</t>
        </is>
      </c>
    </row>
    <row r="4554">
      <c r="B4554" t="inlineStr">
        <is>
          <t>Casinos</t>
        </is>
      </c>
      <c r="C4554" t="inlineStr">
        <is>
          <t>Very Good</t>
        </is>
      </c>
      <c r="F4554" t="n">
        <v>50</v>
      </c>
      <c r="I4554">
        <f>B4554&amp;"|"&amp;C4554</f>
        <v/>
      </c>
      <c r="J4554" t="inlineStr">
        <is>
          <t>Casinos, very good</t>
        </is>
      </c>
    </row>
    <row r="4555">
      <c r="B4555" t="inlineStr">
        <is>
          <t>Casinos</t>
        </is>
      </c>
      <c r="C4555" t="inlineStr">
        <is>
          <t>Good</t>
        </is>
      </c>
      <c r="F4555" t="n">
        <v>45</v>
      </c>
      <c r="G4555" t="n">
        <v>40</v>
      </c>
      <c r="I4555">
        <f>B4555&amp;"|"&amp;C4555</f>
        <v/>
      </c>
      <c r="J4555" t="inlineStr">
        <is>
          <t>good</t>
        </is>
      </c>
    </row>
    <row r="4556">
      <c r="B4556" t="inlineStr">
        <is>
          <t>Casinos</t>
        </is>
      </c>
      <c r="C4556" t="inlineStr">
        <is>
          <t>Average</t>
        </is>
      </c>
      <c r="F4556" t="n">
        <v>40</v>
      </c>
      <c r="G4556" t="n">
        <v>35</v>
      </c>
      <c r="H4556" t="n">
        <v>35</v>
      </c>
      <c r="I4556">
        <f>B4556&amp;"|"&amp;C4556</f>
        <v/>
      </c>
      <c r="J4556" t="inlineStr">
        <is>
          <t>average</t>
        </is>
      </c>
    </row>
    <row r="4557">
      <c r="B4557" t="inlineStr">
        <is>
          <t>Community Recreation Centers</t>
        </is>
      </c>
      <c r="C4557" t="inlineStr">
        <is>
          <t>Good</t>
        </is>
      </c>
      <c r="D4557" t="n">
        <v>50</v>
      </c>
      <c r="E4557" t="n">
        <v>50</v>
      </c>
      <c r="F4557" t="n">
        <v>45</v>
      </c>
      <c r="G4557" t="n">
        <v>40</v>
      </c>
      <c r="H4557" t="n">
        <v>40</v>
      </c>
      <c r="I4557">
        <f>B4557&amp;"|"&amp;C4557</f>
        <v/>
      </c>
      <c r="J4557" t="inlineStr">
        <is>
          <t>Community recreation centers, good and excellent</t>
        </is>
      </c>
    </row>
    <row r="4558">
      <c r="B4558" t="inlineStr">
        <is>
          <t>Community Recreation Centers</t>
        </is>
      </c>
      <c r="C4558" t="inlineStr">
        <is>
          <t>Average</t>
        </is>
      </c>
      <c r="D4558" t="n">
        <v>45</v>
      </c>
      <c r="E4558" t="n">
        <v>45</v>
      </c>
      <c r="F4558" t="n">
        <v>40</v>
      </c>
      <c r="G4558" t="n">
        <v>35</v>
      </c>
      <c r="H4558" t="n">
        <v>35</v>
      </c>
      <c r="I4558">
        <f>B4558&amp;"|"&amp;C4558</f>
        <v/>
      </c>
      <c r="J4558" t="inlineStr">
        <is>
          <t>low cost and average</t>
        </is>
      </c>
    </row>
    <row r="4559">
      <c r="B4559" t="inlineStr">
        <is>
          <t>Community Recreation Centers</t>
        </is>
      </c>
      <c r="C4559" t="inlineStr">
        <is>
          <t>Excellent</t>
        </is>
      </c>
      <c r="D4559" t="n">
        <v>50</v>
      </c>
      <c r="E4559" t="n">
        <v>50</v>
      </c>
      <c r="F4559" t="n">
        <v>45</v>
      </c>
      <c r="G4559" t="n">
        <v>40</v>
      </c>
      <c r="H4559" t="n">
        <v>40</v>
      </c>
      <c r="I4559">
        <f>B4559&amp;"|"&amp;C4559</f>
        <v/>
      </c>
      <c r="J4559" t="inlineStr">
        <is>
          <t>Community recreation centers, good and excellent</t>
        </is>
      </c>
    </row>
    <row r="4560">
      <c r="B4560" t="inlineStr">
        <is>
          <t>Arcade Buildings</t>
        </is>
      </c>
      <c r="C4560" t="inlineStr">
        <is>
          <t>Excellent</t>
        </is>
      </c>
      <c r="F4560" t="n">
        <v>45</v>
      </c>
      <c r="G4560" t="n">
        <v>40</v>
      </c>
      <c r="I4560">
        <f>B4560&amp;"|"&amp;C4560</f>
        <v/>
      </c>
      <c r="J4560" t="inlineStr">
        <is>
          <t>Arcade buildings, good and excellent</t>
        </is>
      </c>
    </row>
    <row r="4561">
      <c r="B4561" t="inlineStr">
        <is>
          <t>Arcade Buildings</t>
        </is>
      </c>
      <c r="C4561" t="inlineStr">
        <is>
          <t>Good</t>
        </is>
      </c>
      <c r="F4561" t="n">
        <v>45</v>
      </c>
      <c r="G4561" t="n">
        <v>40</v>
      </c>
      <c r="I4561">
        <f>B4561&amp;"|"&amp;C4561</f>
        <v/>
      </c>
      <c r="J4561" t="inlineStr">
        <is>
          <t>Arcade buildings, good and excellent</t>
        </is>
      </c>
    </row>
    <row r="4562">
      <c r="B4562" t="inlineStr">
        <is>
          <t>Arcade Buildings</t>
        </is>
      </c>
      <c r="C4562" t="inlineStr">
        <is>
          <t>Average</t>
        </is>
      </c>
      <c r="F4562" t="n">
        <v>40</v>
      </c>
      <c r="G4562" t="n">
        <v>35</v>
      </c>
      <c r="H4562" t="n">
        <v>35</v>
      </c>
      <c r="I4562">
        <f>B4562&amp;"|"&amp;C4562</f>
        <v/>
      </c>
      <c r="J4562" t="inlineStr">
        <is>
          <t>average</t>
        </is>
      </c>
    </row>
    <row r="4563">
      <c r="B4563" t="inlineStr">
        <is>
          <t>Museums</t>
        </is>
      </c>
      <c r="C4563" t="inlineStr">
        <is>
          <t>Good</t>
        </is>
      </c>
      <c r="D4563" t="n">
        <v>60</v>
      </c>
      <c r="E4563" t="n">
        <v>60</v>
      </c>
      <c r="F4563" t="n">
        <v>55</v>
      </c>
      <c r="G4563" t="n">
        <v>50</v>
      </c>
      <c r="I4563">
        <f>B4563&amp;"|"&amp;C4563</f>
        <v/>
      </c>
      <c r="J4563" t="inlineStr">
        <is>
          <t>Museums, good and excellent</t>
        </is>
      </c>
    </row>
    <row r="4564">
      <c r="B4564" t="inlineStr">
        <is>
          <t>Museums</t>
        </is>
      </c>
      <c r="C4564" t="inlineStr">
        <is>
          <t>Average</t>
        </is>
      </c>
      <c r="D4564" t="n">
        <v>55</v>
      </c>
      <c r="E4564" t="n">
        <v>55</v>
      </c>
      <c r="F4564" t="n">
        <v>50</v>
      </c>
      <c r="G4564" t="n">
        <v>45</v>
      </c>
      <c r="I4564">
        <f>B4564&amp;"|"&amp;C4564</f>
        <v/>
      </c>
      <c r="J4564" t="inlineStr">
        <is>
          <t>average</t>
        </is>
      </c>
    </row>
    <row r="4565">
      <c r="B4565" t="inlineStr">
        <is>
          <t>Museums</t>
        </is>
      </c>
      <c r="C4565" t="inlineStr">
        <is>
          <t>Excellent</t>
        </is>
      </c>
      <c r="D4565" t="n">
        <v>60</v>
      </c>
      <c r="E4565" t="n">
        <v>60</v>
      </c>
      <c r="F4565" t="n">
        <v>55</v>
      </c>
      <c r="G4565" t="n">
        <v>50</v>
      </c>
      <c r="I4565">
        <f>B4565&amp;"|"&amp;C4565</f>
        <v/>
      </c>
      <c r="J4565" t="inlineStr">
        <is>
          <t>Museums, good and excellent</t>
        </is>
      </c>
    </row>
    <row r="4566">
      <c r="B4566" t="inlineStr">
        <is>
          <t>Ice Skating Rinks</t>
        </is>
      </c>
      <c r="C4566" t="inlineStr">
        <is>
          <t>Good</t>
        </is>
      </c>
      <c r="D4566" t="n">
        <v>50</v>
      </c>
      <c r="E4566" t="n">
        <v>50</v>
      </c>
      <c r="F4566" t="n">
        <v>45</v>
      </c>
      <c r="G4566" t="n">
        <v>40</v>
      </c>
      <c r="H4566" t="n">
        <v>40</v>
      </c>
      <c r="I4566">
        <f>B4566&amp;"|"&amp;C4566</f>
        <v/>
      </c>
      <c r="J4566" t="inlineStr">
        <is>
          <t>Skating rinks, good and excellent</t>
        </is>
      </c>
    </row>
    <row r="4567">
      <c r="B4567" t="inlineStr">
        <is>
          <t>Ice Skating Rinks</t>
        </is>
      </c>
      <c r="C4567" t="inlineStr">
        <is>
          <t>Average</t>
        </is>
      </c>
      <c r="D4567" t="n">
        <v>45</v>
      </c>
      <c r="E4567" t="n">
        <v>45</v>
      </c>
      <c r="F4567" t="n">
        <v>40</v>
      </c>
      <c r="G4567" t="n">
        <v>35</v>
      </c>
      <c r="H4567" t="n">
        <v>35</v>
      </c>
      <c r="I4567">
        <f>B4567&amp;"|"&amp;C4567</f>
        <v/>
      </c>
      <c r="J4567" t="inlineStr">
        <is>
          <t>average</t>
        </is>
      </c>
    </row>
    <row r="4568">
      <c r="B4568" t="inlineStr">
        <is>
          <t>Ice Skating Rinks</t>
        </is>
      </c>
      <c r="C4568" t="inlineStr">
        <is>
          <t>Excellent</t>
        </is>
      </c>
      <c r="D4568" t="n">
        <v>50</v>
      </c>
      <c r="E4568" t="n">
        <v>50</v>
      </c>
      <c r="F4568" t="n">
        <v>45</v>
      </c>
      <c r="G4568" t="n">
        <v>40</v>
      </c>
      <c r="H4568" t="n">
        <v>40</v>
      </c>
      <c r="I4568">
        <f>B4568&amp;"|"&amp;C4568</f>
        <v/>
      </c>
      <c r="J4568" t="inlineStr">
        <is>
          <t>Skating rinks, good and excellent</t>
        </is>
      </c>
    </row>
    <row r="4569">
      <c r="B4569" t="inlineStr">
        <is>
          <t>Roller Skating Rinks</t>
        </is>
      </c>
      <c r="C4569" t="inlineStr">
        <is>
          <t>Good</t>
        </is>
      </c>
      <c r="D4569" t="n">
        <v>50</v>
      </c>
      <c r="E4569" t="n">
        <v>50</v>
      </c>
      <c r="F4569" t="n">
        <v>45</v>
      </c>
      <c r="G4569" t="n">
        <v>40</v>
      </c>
      <c r="H4569" t="n">
        <v>40</v>
      </c>
      <c r="I4569">
        <f>B4569&amp;"|"&amp;C4569</f>
        <v/>
      </c>
      <c r="J4569" t="inlineStr">
        <is>
          <t>Skating rinks, good and excellent</t>
        </is>
      </c>
    </row>
    <row r="4570">
      <c r="B4570" t="inlineStr">
        <is>
          <t>Roller Skating Rinks</t>
        </is>
      </c>
      <c r="C4570" t="inlineStr">
        <is>
          <t>Average</t>
        </is>
      </c>
      <c r="D4570" t="n">
        <v>45</v>
      </c>
      <c r="E4570" t="n">
        <v>45</v>
      </c>
      <c r="F4570" t="n">
        <v>40</v>
      </c>
      <c r="G4570" t="n">
        <v>35</v>
      </c>
      <c r="H4570" t="n">
        <v>35</v>
      </c>
      <c r="I4570">
        <f>B4570&amp;"|"&amp;C4570</f>
        <v/>
      </c>
      <c r="J4570" t="inlineStr">
        <is>
          <t>average</t>
        </is>
      </c>
    </row>
    <row r="4571">
      <c r="B4571" t="inlineStr">
        <is>
          <t>Handball/Racquetball Clubs</t>
        </is>
      </c>
      <c r="C4571" t="inlineStr">
        <is>
          <t>Good</t>
        </is>
      </c>
      <c r="F4571" t="n">
        <v>45</v>
      </c>
      <c r="G4571" t="n">
        <v>40</v>
      </c>
      <c r="H4571" t="n">
        <v>40</v>
      </c>
      <c r="I4571">
        <f>B4571&amp;"|"&amp;C4571</f>
        <v/>
      </c>
      <c r="J4571" t="inlineStr">
        <is>
          <t>Handball/racquetball clubs, good</t>
        </is>
      </c>
    </row>
    <row r="4572">
      <c r="B4572" t="inlineStr">
        <is>
          <t>Handball/Racquetball Clubs</t>
        </is>
      </c>
      <c r="C4572" t="inlineStr">
        <is>
          <t>Average</t>
        </is>
      </c>
      <c r="F4572" t="n">
        <v>40</v>
      </c>
      <c r="G4572" t="n">
        <v>35</v>
      </c>
      <c r="H4572" t="n">
        <v>35</v>
      </c>
      <c r="I4572">
        <f>B4572&amp;"|"&amp;C4572</f>
        <v/>
      </c>
      <c r="J4572" t="inlineStr">
        <is>
          <t>average</t>
        </is>
      </c>
    </row>
    <row r="4573">
      <c r="B4573" t="inlineStr">
        <is>
          <t>Fitness Centers</t>
        </is>
      </c>
      <c r="C4573" t="inlineStr">
        <is>
          <t>Good</t>
        </is>
      </c>
      <c r="D4573" t="n">
        <v>50</v>
      </c>
      <c r="E4573" t="n">
        <v>50</v>
      </c>
      <c r="F4573" t="n">
        <v>45</v>
      </c>
      <c r="G4573" t="n">
        <v>40</v>
      </c>
      <c r="H4573" t="n">
        <v>40</v>
      </c>
      <c r="I4573">
        <f>B4573&amp;"|"&amp;C4573</f>
        <v/>
      </c>
      <c r="J4573" t="inlineStr">
        <is>
          <t>Fitness centers, good and excellent</t>
        </is>
      </c>
    </row>
    <row r="4574">
      <c r="B4574" t="inlineStr">
        <is>
          <t>Fitness Centers</t>
        </is>
      </c>
      <c r="C4574" t="inlineStr">
        <is>
          <t>Average</t>
        </is>
      </c>
      <c r="D4574" t="n">
        <v>45</v>
      </c>
      <c r="E4574" t="n">
        <v>45</v>
      </c>
      <c r="F4574" t="n">
        <v>40</v>
      </c>
      <c r="G4574" t="n">
        <v>35</v>
      </c>
      <c r="H4574" t="n">
        <v>35</v>
      </c>
      <c r="I4574">
        <f>B4574&amp;"|"&amp;C4574</f>
        <v/>
      </c>
      <c r="J4574" t="inlineStr">
        <is>
          <t>average</t>
        </is>
      </c>
    </row>
    <row r="4575">
      <c r="B4575" t="inlineStr">
        <is>
          <t>Fitness Centers</t>
        </is>
      </c>
      <c r="C4575" t="inlineStr">
        <is>
          <t>Excellent</t>
        </is>
      </c>
      <c r="D4575" t="n">
        <v>50</v>
      </c>
      <c r="E4575" t="n">
        <v>50</v>
      </c>
      <c r="F4575" t="n">
        <v>45</v>
      </c>
      <c r="G4575" t="n">
        <v>40</v>
      </c>
      <c r="H4575" t="n">
        <v>40</v>
      </c>
      <c r="I4575">
        <f>B4575&amp;"|"&amp;C4575</f>
        <v/>
      </c>
      <c r="J4575" t="inlineStr">
        <is>
          <t>Fitness centers, good and excellent</t>
        </is>
      </c>
    </row>
    <row r="4576">
      <c r="B4576" t="inlineStr">
        <is>
          <t>Bowling Centers</t>
        </is>
      </c>
      <c r="C4576" t="inlineStr">
        <is>
          <t>Excellent</t>
        </is>
      </c>
      <c r="F4576" t="n">
        <v>40</v>
      </c>
      <c r="G4576" t="n">
        <v>35</v>
      </c>
      <c r="H4576" t="n">
        <v>35</v>
      </c>
      <c r="I4576">
        <f>B4576&amp;"|"&amp;C4576</f>
        <v/>
      </c>
      <c r="J4576" t="inlineStr">
        <is>
          <t>Bowling centers, good and excellent</t>
        </is>
      </c>
    </row>
    <row r="4577">
      <c r="B4577" t="inlineStr">
        <is>
          <t>Bowling Centers</t>
        </is>
      </c>
      <c r="C4577" t="inlineStr">
        <is>
          <t>Good</t>
        </is>
      </c>
      <c r="F4577" t="n">
        <v>40</v>
      </c>
      <c r="G4577" t="n">
        <v>35</v>
      </c>
      <c r="H4577" t="n">
        <v>35</v>
      </c>
      <c r="I4577">
        <f>B4577&amp;"|"&amp;C4577</f>
        <v/>
      </c>
      <c r="J4577" t="inlineStr">
        <is>
          <t>Bowling centers, good and excellent</t>
        </is>
      </c>
    </row>
    <row r="4578">
      <c r="B4578" t="inlineStr">
        <is>
          <t>Bowling Centers</t>
        </is>
      </c>
      <c r="C4578" t="inlineStr">
        <is>
          <t>Average</t>
        </is>
      </c>
      <c r="F4578" t="n">
        <v>35</v>
      </c>
      <c r="G4578" t="n">
        <v>30</v>
      </c>
      <c r="H4578" t="n">
        <v>30</v>
      </c>
      <c r="I4578">
        <f>B4578&amp;"|"&amp;C4578</f>
        <v/>
      </c>
      <c r="J4578" t="inlineStr">
        <is>
          <t>low cost and average</t>
        </is>
      </c>
    </row>
    <row r="4579">
      <c r="B4579" t="inlineStr">
        <is>
          <t>Indoor Tennis Clubs</t>
        </is>
      </c>
      <c r="C4579" t="inlineStr">
        <is>
          <t>Good</t>
        </is>
      </c>
      <c r="F4579" t="n">
        <v>45</v>
      </c>
      <c r="G4579" t="n">
        <v>40</v>
      </c>
      <c r="H4579" t="n">
        <v>40</v>
      </c>
      <c r="I4579">
        <f>B4579&amp;"|"&amp;C4579</f>
        <v/>
      </c>
      <c r="J4579" t="inlineStr">
        <is>
          <t>Indoor tennis clubs, good</t>
        </is>
      </c>
    </row>
    <row r="4580">
      <c r="B4580" t="inlineStr">
        <is>
          <t>Indoor Tennis Clubs</t>
        </is>
      </c>
      <c r="C4580" t="inlineStr">
        <is>
          <t>Average</t>
        </is>
      </c>
      <c r="F4580" t="n">
        <v>40</v>
      </c>
      <c r="G4580" t="n">
        <v>35</v>
      </c>
      <c r="H4580" t="n">
        <v>35</v>
      </c>
      <c r="I4580">
        <f>B4580&amp;"|"&amp;C4580</f>
        <v/>
      </c>
      <c r="J4580" t="inlineStr">
        <is>
          <t>average</t>
        </is>
      </c>
    </row>
    <row r="4581">
      <c r="B4581" t="inlineStr">
        <is>
          <t>Pavilions</t>
        </is>
      </c>
      <c r="C4581" t="inlineStr">
        <is>
          <t>Excellent</t>
        </is>
      </c>
      <c r="F4581" t="n">
        <v>50</v>
      </c>
      <c r="G4581" t="n">
        <v>45</v>
      </c>
      <c r="I4581">
        <f>B4581&amp;"|"&amp;C4581</f>
        <v/>
      </c>
      <c r="J4581" t="inlineStr">
        <is>
          <t>Pavillions, excellent</t>
        </is>
      </c>
    </row>
    <row r="4582">
      <c r="B4582" t="inlineStr">
        <is>
          <t>Pavilions</t>
        </is>
      </c>
      <c r="C4582" t="inlineStr">
        <is>
          <t>Very Good</t>
        </is>
      </c>
      <c r="F4582" t="n">
        <v>45</v>
      </c>
      <c r="G4582" t="n">
        <v>40</v>
      </c>
      <c r="I4582">
        <f>B4582&amp;"|"&amp;C4582</f>
        <v/>
      </c>
      <c r="J4582" t="inlineStr">
        <is>
          <t>very good</t>
        </is>
      </c>
    </row>
    <row r="4583">
      <c r="B4583" t="inlineStr">
        <is>
          <t>Pavilions</t>
        </is>
      </c>
      <c r="C4583" t="inlineStr">
        <is>
          <t>Good</t>
        </is>
      </c>
      <c r="F4583" t="n">
        <v>40</v>
      </c>
      <c r="G4583" t="n">
        <v>35</v>
      </c>
      <c r="I4583">
        <f>B4583&amp;"|"&amp;C4583</f>
        <v/>
      </c>
      <c r="J4583" t="inlineStr">
        <is>
          <t>good</t>
        </is>
      </c>
    </row>
    <row r="4584">
      <c r="B4584" t="inlineStr">
        <is>
          <t>Pavilions</t>
        </is>
      </c>
      <c r="C4584" t="inlineStr">
        <is>
          <t>Average</t>
        </is>
      </c>
      <c r="F4584" t="n">
        <v>35</v>
      </c>
      <c r="G4584" t="n">
        <v>30</v>
      </c>
      <c r="H4584" t="n">
        <v>30</v>
      </c>
      <c r="I4584">
        <f>B4584&amp;"|"&amp;C4584</f>
        <v/>
      </c>
      <c r="J4584" t="inlineStr">
        <is>
          <t>fair and averge</t>
        </is>
      </c>
    </row>
    <row r="4585">
      <c r="B4585" t="inlineStr">
        <is>
          <t>Pavilions</t>
        </is>
      </c>
      <c r="C4585" t="inlineStr">
        <is>
          <t>Fair</t>
        </is>
      </c>
      <c r="F4585" t="n">
        <v>35</v>
      </c>
      <c r="G4585" t="n">
        <v>30</v>
      </c>
      <c r="H4585" t="n">
        <v>30</v>
      </c>
      <c r="I4585">
        <f>B4585&amp;"|"&amp;C4585</f>
        <v/>
      </c>
      <c r="J4585" t="inlineStr">
        <is>
          <t>fair and averge</t>
        </is>
      </c>
    </row>
    <row r="4586">
      <c r="B4586" t="inlineStr">
        <is>
          <t>Pavilions</t>
        </is>
      </c>
      <c r="C4586" t="inlineStr">
        <is>
          <t>Cheap</t>
        </is>
      </c>
      <c r="F4586" t="n">
        <v>25</v>
      </c>
      <c r="G4586" t="n">
        <v>20</v>
      </c>
      <c r="H4586" t="n">
        <v>20</v>
      </c>
      <c r="I4586">
        <f>B4586&amp;"|"&amp;C4586</f>
        <v/>
      </c>
      <c r="J4586" t="inlineStr">
        <is>
          <t>cheap</t>
        </is>
      </c>
    </row>
    <row r="4587">
      <c r="B4587" t="inlineStr">
        <is>
          <t>Light Commercial – Commodity Warehouse</t>
        </is>
      </c>
      <c r="C4587" t="inlineStr">
        <is>
          <t>Good</t>
        </is>
      </c>
      <c r="F4587" t="n">
        <v>35</v>
      </c>
      <c r="G4587" t="n">
        <v>30</v>
      </c>
      <c r="H4587" t="n">
        <v>30</v>
      </c>
      <c r="I4587">
        <f>B4587&amp;"|"&amp;C4587</f>
        <v/>
      </c>
      <c r="J4587" t="inlineStr">
        <is>
          <t>Commodity warehouse, light commercial, good</t>
        </is>
      </c>
    </row>
    <row r="4588">
      <c r="B4588" t="inlineStr">
        <is>
          <t>Light Commercial – Commodity Warehouse</t>
        </is>
      </c>
      <c r="C4588" t="inlineStr">
        <is>
          <t>Average</t>
        </is>
      </c>
      <c r="F4588" t="n">
        <v>30</v>
      </c>
      <c r="G4588" t="n">
        <v>25</v>
      </c>
      <c r="H4588" t="n">
        <v>25</v>
      </c>
      <c r="I4588">
        <f>B4588&amp;"|"&amp;C4588</f>
        <v/>
      </c>
      <c r="J4588" t="inlineStr">
        <is>
          <t>average</t>
        </is>
      </c>
    </row>
    <row r="4589">
      <c r="B4589" t="inlineStr">
        <is>
          <t>Light Commercial – Commodity Warehouse</t>
        </is>
      </c>
      <c r="C4589" t="inlineStr">
        <is>
          <t>Low Cost</t>
        </is>
      </c>
      <c r="G4589" t="n">
        <v>20</v>
      </c>
      <c r="H4589" t="n">
        <v>20</v>
      </c>
      <c r="I4589">
        <f>B4589&amp;"|"&amp;C4589</f>
        <v/>
      </c>
      <c r="J4589" t="inlineStr">
        <is>
          <t>low cost</t>
        </is>
      </c>
    </row>
    <row r="4590">
      <c r="B4590" t="inlineStr">
        <is>
          <t>Light Commercial – Manufacturing Utility Buildings</t>
        </is>
      </c>
      <c r="C4590" t="inlineStr">
        <is>
          <t>Good</t>
        </is>
      </c>
      <c r="G4590" t="n">
        <v>30</v>
      </c>
      <c r="H4590" t="n">
        <v>35</v>
      </c>
      <c r="I4590">
        <f>B4590&amp;"|"&amp;C4590</f>
        <v/>
      </c>
      <c r="J4590" t="inlineStr">
        <is>
          <t>Manufacturing, light commerical utility, good</t>
        </is>
      </c>
    </row>
    <row r="4591">
      <c r="B4591" t="inlineStr">
        <is>
          <t>Light Commercial – Manufacturing Utility Buildings</t>
        </is>
      </c>
      <c r="C4591" t="inlineStr">
        <is>
          <t>Average</t>
        </is>
      </c>
      <c r="G4591" t="n">
        <v>25</v>
      </c>
      <c r="H4591" t="n">
        <v>30</v>
      </c>
      <c r="I4591">
        <f>B4591&amp;"|"&amp;C4591</f>
        <v/>
      </c>
      <c r="J4591" t="inlineStr">
        <is>
          <t>average</t>
        </is>
      </c>
    </row>
    <row r="4592">
      <c r="B4592" t="inlineStr">
        <is>
          <t>Light Commercial – Manufacturing Utility Buildings</t>
        </is>
      </c>
      <c r="C4592" t="inlineStr">
        <is>
          <t>Low Cost</t>
        </is>
      </c>
      <c r="G4592" t="n">
        <v>20</v>
      </c>
      <c r="H4592" t="n">
        <v>25</v>
      </c>
      <c r="I4592">
        <f>B4592&amp;"|"&amp;C4592</f>
        <v/>
      </c>
      <c r="J4592" t="inlineStr">
        <is>
          <t>low cost</t>
        </is>
      </c>
    </row>
    <row r="4593">
      <c r="B4593" t="inlineStr">
        <is>
          <t>Material – Commodity Shelters</t>
        </is>
      </c>
      <c r="C4593" t="inlineStr">
        <is>
          <t>Good</t>
        </is>
      </c>
      <c r="G4593" t="n">
        <v>25</v>
      </c>
      <c r="H4593" t="n">
        <v>30</v>
      </c>
      <c r="I4593">
        <f>B4593&amp;"|"&amp;C4593</f>
        <v/>
      </c>
      <c r="J4593" t="inlineStr">
        <is>
          <t>Material shelters, good</t>
        </is>
      </c>
    </row>
    <row r="4594">
      <c r="B4594" t="inlineStr">
        <is>
          <t>Material – Commodity Shelters</t>
        </is>
      </c>
      <c r="C4594" t="inlineStr">
        <is>
          <t>Low Cost</t>
        </is>
      </c>
      <c r="G4594" t="n">
        <v>15</v>
      </c>
      <c r="H4594" t="n">
        <v>15</v>
      </c>
      <c r="I4594">
        <f>B4594&amp;"|"&amp;C4594</f>
        <v/>
      </c>
      <c r="J4594" t="inlineStr">
        <is>
          <t>low cost</t>
        </is>
      </c>
    </row>
    <row r="4595">
      <c r="B4595" t="inlineStr">
        <is>
          <t>Material – Commodity Shelters</t>
        </is>
      </c>
      <c r="C4595" t="inlineStr">
        <is>
          <t>Very Good</t>
        </is>
      </c>
      <c r="G4595" t="n">
        <v>25</v>
      </c>
      <c r="H4595" t="n">
        <v>30</v>
      </c>
      <c r="I4595">
        <f>B4595&amp;"|"&amp;C4595</f>
        <v/>
      </c>
      <c r="J4595" t="inlineStr">
        <is>
          <t>Material shelters, good</t>
        </is>
      </c>
    </row>
    <row r="4596">
      <c r="B4596" t="inlineStr">
        <is>
          <t>Material – Commodity Shelters</t>
        </is>
      </c>
      <c r="C4596" t="inlineStr">
        <is>
          <t>Average</t>
        </is>
      </c>
      <c r="G4596" t="n">
        <v>20</v>
      </c>
      <c r="H4596" t="n">
        <v>20</v>
      </c>
      <c r="I4596">
        <f>B4596&amp;"|"&amp;C4596</f>
        <v/>
      </c>
      <c r="J4596" t="inlineStr">
        <is>
          <t>average</t>
        </is>
      </c>
    </row>
    <row r="4597">
      <c r="B4597" t="inlineStr">
        <is>
          <t>Light Commercial Utility Buildings</t>
        </is>
      </c>
      <c r="C4597" t="inlineStr">
        <is>
          <t>Good</t>
        </is>
      </c>
      <c r="F4597" t="n">
        <v>35</v>
      </c>
      <c r="G4597" t="n">
        <v>30</v>
      </c>
      <c r="H4597" t="n">
        <v>30</v>
      </c>
      <c r="I4597">
        <f>B4597&amp;"|"&amp;C4597</f>
        <v/>
      </c>
      <c r="J4597" t="inlineStr">
        <is>
          <t>Utility buildings and arch-rib, light commercial, good</t>
        </is>
      </c>
    </row>
    <row r="4598">
      <c r="B4598" t="inlineStr">
        <is>
          <t>Light Commercial Utility Buildings</t>
        </is>
      </c>
      <c r="C4598" t="inlineStr">
        <is>
          <t>Average</t>
        </is>
      </c>
      <c r="F4598" t="n">
        <v>30</v>
      </c>
      <c r="G4598" t="n">
        <v>25</v>
      </c>
      <c r="H4598" t="n">
        <v>25</v>
      </c>
      <c r="I4598">
        <f>B4598&amp;"|"&amp;C4598</f>
        <v/>
      </c>
      <c r="J4598" t="inlineStr">
        <is>
          <t>average</t>
        </is>
      </c>
    </row>
    <row r="4599">
      <c r="B4599" t="inlineStr">
        <is>
          <t>Light Commercial Utility Buildings</t>
        </is>
      </c>
      <c r="C4599" t="inlineStr">
        <is>
          <t>Low Cost</t>
        </is>
      </c>
      <c r="G4599" t="n">
        <v>20</v>
      </c>
      <c r="H4599" t="n">
        <v>20</v>
      </c>
      <c r="I4599">
        <f>B4599&amp;"|"&amp;C4599</f>
        <v/>
      </c>
      <c r="J4599" t="inlineStr">
        <is>
          <t>low cost</t>
        </is>
      </c>
    </row>
    <row r="4600">
      <c r="B4600" t="inlineStr">
        <is>
          <t>Toolshed Buildings</t>
        </is>
      </c>
      <c r="C4600" t="inlineStr">
        <is>
          <t>Good</t>
        </is>
      </c>
      <c r="F4600" t="n">
        <v>25</v>
      </c>
      <c r="G4600" t="n">
        <v>20</v>
      </c>
      <c r="I4600">
        <f>B4600&amp;"|"&amp;C4600</f>
        <v/>
      </c>
      <c r="J4600" t="inlineStr">
        <is>
          <t>Toolshed buildings, good</t>
        </is>
      </c>
    </row>
    <row r="4601">
      <c r="B4601" t="inlineStr">
        <is>
          <t>Toolshed Buildings</t>
        </is>
      </c>
      <c r="C4601" t="inlineStr">
        <is>
          <t>Average</t>
        </is>
      </c>
      <c r="G4601" t="n">
        <v>15</v>
      </c>
      <c r="I4601">
        <f>B4601&amp;"|"&amp;C4601</f>
        <v/>
      </c>
      <c r="J4601" t="inlineStr">
        <is>
          <t>average</t>
        </is>
      </c>
    </row>
    <row r="4602">
      <c r="B4602" t="inlineStr">
        <is>
          <t>Toolshed Buildings</t>
        </is>
      </c>
      <c r="C4602" t="inlineStr">
        <is>
          <t>Low Cost</t>
        </is>
      </c>
      <c r="G4602" t="n">
        <v>10</v>
      </c>
      <c r="I4602">
        <f>B4602&amp;"|"&amp;C4602</f>
        <v/>
      </c>
      <c r="J4602" t="inlineStr">
        <is>
          <t>low cost</t>
        </is>
      </c>
    </row>
    <row r="4603">
      <c r="B4603" t="inlineStr">
        <is>
          <t>Light Commercial Arch-Rib (Quonset) Buildings</t>
        </is>
      </c>
      <c r="C4603" t="inlineStr">
        <is>
          <t>Good</t>
        </is>
      </c>
      <c r="F4603" t="n">
        <v>35</v>
      </c>
      <c r="G4603" t="n">
        <v>30</v>
      </c>
      <c r="H4603" t="n">
        <v>30</v>
      </c>
      <c r="I4603">
        <f>B4603&amp;"|"&amp;C4603</f>
        <v/>
      </c>
      <c r="J4603" t="inlineStr">
        <is>
          <t>Utility buildings and arch-rib, light commercial, good</t>
        </is>
      </c>
    </row>
    <row r="4604">
      <c r="B4604" t="inlineStr">
        <is>
          <t>Light Commercial Arch-Rib (Quonset) Buildings</t>
        </is>
      </c>
      <c r="C4604" t="inlineStr">
        <is>
          <t>Average</t>
        </is>
      </c>
      <c r="F4604" t="n">
        <v>30</v>
      </c>
      <c r="G4604" t="n">
        <v>25</v>
      </c>
      <c r="H4604" t="n">
        <v>25</v>
      </c>
      <c r="I4604">
        <f>B4604&amp;"|"&amp;C4604</f>
        <v/>
      </c>
      <c r="J4604" t="inlineStr">
        <is>
          <t>average</t>
        </is>
      </c>
    </row>
    <row r="4605">
      <c r="B4605" t="inlineStr">
        <is>
          <t>Light Commercial Arch-Rib (Quonset) Buildings</t>
        </is>
      </c>
      <c r="C4605" t="inlineStr">
        <is>
          <t>Low Cost</t>
        </is>
      </c>
      <c r="G4605" t="n">
        <v>20</v>
      </c>
      <c r="H4605" t="n">
        <v>20</v>
      </c>
      <c r="I4605">
        <f>B4605&amp;"|"&amp;C4605</f>
        <v/>
      </c>
      <c r="J4605" t="inlineStr">
        <is>
          <t>low cost</t>
        </is>
      </c>
    </row>
    <row r="4606">
      <c r="B4606" t="inlineStr">
        <is>
          <t>Light Commercial Equipment (Shop) Buildings</t>
        </is>
      </c>
      <c r="C4606" t="inlineStr">
        <is>
          <t>Good</t>
        </is>
      </c>
      <c r="F4606" t="n">
        <v>35</v>
      </c>
      <c r="G4606" t="n">
        <v>30</v>
      </c>
      <c r="H4606" t="n">
        <v>30</v>
      </c>
      <c r="I4606">
        <f>B4606&amp;"|"&amp;C4606</f>
        <v/>
      </c>
      <c r="J4606" t="inlineStr">
        <is>
          <t>Equipment shop buildings, good</t>
        </is>
      </c>
    </row>
    <row r="4607">
      <c r="B4607" t="inlineStr">
        <is>
          <t>Light Commercial Equipment (Shop) Buildings</t>
        </is>
      </c>
      <c r="C4607" t="inlineStr">
        <is>
          <t>Average</t>
        </is>
      </c>
      <c r="F4607" t="n">
        <v>30</v>
      </c>
      <c r="G4607" t="n">
        <v>25</v>
      </c>
      <c r="H4607" t="n">
        <v>25</v>
      </c>
      <c r="I4607">
        <f>B4607&amp;"|"&amp;C4607</f>
        <v/>
      </c>
      <c r="J4607" t="inlineStr">
        <is>
          <t>average</t>
        </is>
      </c>
    </row>
    <row r="4608">
      <c r="B4608" t="inlineStr">
        <is>
          <t>Light Commercial Equipment Sheds</t>
        </is>
      </c>
      <c r="C4608" t="inlineStr">
        <is>
          <t>Good</t>
        </is>
      </c>
      <c r="F4608" t="n">
        <v>30</v>
      </c>
      <c r="G4608" t="n">
        <v>25</v>
      </c>
      <c r="H4608" t="n">
        <v>25</v>
      </c>
      <c r="I4608">
        <f>B4608&amp;"|"&amp;C4608</f>
        <v/>
      </c>
      <c r="J4608" t="inlineStr">
        <is>
          <t>Equipment sheds, good</t>
        </is>
      </c>
    </row>
    <row r="4609">
      <c r="B4609" t="inlineStr">
        <is>
          <t>Light Commercial Equipment Sheds</t>
        </is>
      </c>
      <c r="C4609" t="inlineStr">
        <is>
          <t>Average</t>
        </is>
      </c>
      <c r="F4609" t="n">
        <v>25</v>
      </c>
      <c r="G4609" t="n">
        <v>20</v>
      </c>
      <c r="H4609" t="n">
        <v>20</v>
      </c>
      <c r="I4609">
        <f>B4609&amp;"|"&amp;C4609</f>
        <v/>
      </c>
      <c r="J4609" t="inlineStr">
        <is>
          <t>average</t>
        </is>
      </c>
    </row>
    <row r="4610">
      <c r="B4610" t="inlineStr">
        <is>
          <t>Shed Office Structures</t>
        </is>
      </c>
      <c r="C4610" t="inlineStr">
        <is>
          <t>Good</t>
        </is>
      </c>
      <c r="F4610" t="n">
        <v>40</v>
      </c>
      <c r="G4610" t="n">
        <v>35</v>
      </c>
      <c r="H4610" t="n">
        <v>35</v>
      </c>
      <c r="I4610">
        <f>B4610&amp;"|"&amp;C4610</f>
        <v/>
      </c>
      <c r="J4610" t="inlineStr">
        <is>
          <t>Shed office structures, good</t>
        </is>
      </c>
    </row>
    <row r="4611">
      <c r="B4611" t="inlineStr">
        <is>
          <t>Shed Office Structures</t>
        </is>
      </c>
      <c r="C4611" t="inlineStr">
        <is>
          <t>Average</t>
        </is>
      </c>
      <c r="F4611" t="n">
        <v>35</v>
      </c>
      <c r="G4611" t="n">
        <v>30</v>
      </c>
      <c r="H4611" t="n">
        <v>30</v>
      </c>
      <c r="I4611">
        <f>B4611&amp;"|"&amp;C4611</f>
        <v/>
      </c>
      <c r="J4611" t="inlineStr">
        <is>
          <t>average</t>
        </is>
      </c>
    </row>
    <row r="4612">
      <c r="B4612" t="inlineStr">
        <is>
          <t>Shed Office Structures</t>
        </is>
      </c>
      <c r="C4612" t="inlineStr">
        <is>
          <t>Low Cost</t>
        </is>
      </c>
      <c r="G4612" t="n">
        <v>25</v>
      </c>
      <c r="H4612" t="n">
        <v>25</v>
      </c>
      <c r="I4612">
        <f>B4612&amp;"|"&amp;C4612</f>
        <v/>
      </c>
      <c r="J4612" t="inlineStr">
        <is>
          <t>low cost</t>
        </is>
      </c>
    </row>
    <row r="4613">
      <c r="B4613" t="inlineStr">
        <is>
          <t>Golf Cart Storage Buildings</t>
        </is>
      </c>
      <c r="C4613" t="inlineStr">
        <is>
          <t>Excellent</t>
        </is>
      </c>
      <c r="G4613" t="n">
        <v>35</v>
      </c>
      <c r="H4613" t="n">
        <v>30</v>
      </c>
      <c r="I4613">
        <f>B4613&amp;"|"&amp;C4613</f>
        <v/>
      </c>
      <c r="J4613" t="inlineStr">
        <is>
          <t>Golf cart storage buildings, good</t>
        </is>
      </c>
    </row>
    <row r="4614">
      <c r="B4614" t="inlineStr">
        <is>
          <t>Golf Cart Storage Buildings</t>
        </is>
      </c>
      <c r="C4614" t="inlineStr">
        <is>
          <t>Good</t>
        </is>
      </c>
      <c r="G4614" t="n">
        <v>35</v>
      </c>
      <c r="H4614" t="n">
        <v>30</v>
      </c>
      <c r="I4614">
        <f>B4614&amp;"|"&amp;C4614</f>
        <v/>
      </c>
      <c r="J4614" t="inlineStr">
        <is>
          <t>Golf cart storage buildings, good</t>
        </is>
      </c>
    </row>
    <row r="4615">
      <c r="B4615" t="inlineStr">
        <is>
          <t>Golf Cart Storage Buildings</t>
        </is>
      </c>
      <c r="C4615" t="inlineStr">
        <is>
          <t>Average</t>
        </is>
      </c>
      <c r="G4615" t="n">
        <v>30</v>
      </c>
      <c r="H4615" t="n">
        <v>25</v>
      </c>
      <c r="I4615">
        <f>B4615&amp;"|"&amp;C4615</f>
        <v/>
      </c>
      <c r="J4615" t="inlineStr">
        <is>
          <t>average</t>
        </is>
      </c>
    </row>
    <row r="4616">
      <c r="B4616" t="inlineStr">
        <is>
          <t>Golf Starter (Guard House) Booths</t>
        </is>
      </c>
      <c r="C4616" t="inlineStr">
        <is>
          <t>Excellent</t>
        </is>
      </c>
      <c r="F4616" t="n">
        <v>40</v>
      </c>
      <c r="G4616" t="n">
        <v>35</v>
      </c>
      <c r="I4616">
        <f>B4616&amp;"|"&amp;C4616</f>
        <v/>
      </c>
      <c r="J4616" t="inlineStr">
        <is>
          <t>Golf starter booths, excellent</t>
        </is>
      </c>
    </row>
    <row r="4617">
      <c r="B4617" t="inlineStr">
        <is>
          <t>Golf Starter (Guard House) Booths</t>
        </is>
      </c>
      <c r="C4617" t="inlineStr">
        <is>
          <t>Good</t>
        </is>
      </c>
      <c r="F4617" t="n">
        <v>35</v>
      </c>
      <c r="G4617" t="n">
        <v>30</v>
      </c>
      <c r="H4617" t="n">
        <v>25</v>
      </c>
      <c r="I4617">
        <f>B4617&amp;"|"&amp;C4617</f>
        <v/>
      </c>
      <c r="J4617" t="inlineStr">
        <is>
          <t>good</t>
        </is>
      </c>
    </row>
    <row r="4618">
      <c r="B4618" t="inlineStr">
        <is>
          <t>Golf Starter (Guard House) Booths</t>
        </is>
      </c>
      <c r="C4618" t="inlineStr">
        <is>
          <t>Average</t>
        </is>
      </c>
      <c r="F4618" t="n">
        <v>25</v>
      </c>
      <c r="G4618" t="n">
        <v>20</v>
      </c>
      <c r="H4618" t="n">
        <v>20</v>
      </c>
      <c r="I4618">
        <f>B4618&amp;"|"&amp;C4618</f>
        <v/>
      </c>
      <c r="J4618" t="inlineStr">
        <is>
          <t>average</t>
        </is>
      </c>
    </row>
    <row r="4619">
      <c r="B4619" t="inlineStr">
        <is>
          <t>Golf Starter (Guard House) Booths</t>
        </is>
      </c>
      <c r="C4619" t="inlineStr">
        <is>
          <t>Low Cost</t>
        </is>
      </c>
      <c r="G4619" t="n">
        <v>15</v>
      </c>
      <c r="H4619" t="n">
        <v>10</v>
      </c>
      <c r="I4619">
        <f>B4619&amp;"|"&amp;C4619</f>
        <v/>
      </c>
      <c r="J4619" t="inlineStr">
        <is>
          <t>low cost</t>
        </is>
      </c>
    </row>
    <row r="4620">
      <c r="B4620" t="inlineStr">
        <is>
          <t>Material Storage Buildings</t>
        </is>
      </c>
      <c r="C4620" t="inlineStr">
        <is>
          <t>Very Good</t>
        </is>
      </c>
      <c r="F4620" t="n">
        <v>30</v>
      </c>
      <c r="G4620" t="n">
        <v>25</v>
      </c>
      <c r="H4620" t="n">
        <v>25</v>
      </c>
      <c r="I4620">
        <f>B4620&amp;"|"&amp;C4620</f>
        <v/>
      </c>
      <c r="J4620" t="inlineStr">
        <is>
          <t>Material storage buildings, good</t>
        </is>
      </c>
    </row>
    <row r="4621">
      <c r="B4621" t="inlineStr">
        <is>
          <t>Material Storage Buildings</t>
        </is>
      </c>
      <c r="C4621" t="inlineStr">
        <is>
          <t>Good</t>
        </is>
      </c>
      <c r="F4621" t="n">
        <v>30</v>
      </c>
      <c r="G4621" t="n">
        <v>25</v>
      </c>
      <c r="H4621" t="n">
        <v>25</v>
      </c>
      <c r="I4621">
        <f>B4621&amp;"|"&amp;C4621</f>
        <v/>
      </c>
      <c r="J4621" t="inlineStr">
        <is>
          <t>Material storage buildings, good</t>
        </is>
      </c>
    </row>
    <row r="4622">
      <c r="B4622" t="inlineStr">
        <is>
          <t>Material Storage Buildings</t>
        </is>
      </c>
      <c r="C4622" t="inlineStr">
        <is>
          <t>Average</t>
        </is>
      </c>
      <c r="F4622" t="n">
        <v>25</v>
      </c>
      <c r="G4622" t="n">
        <v>20</v>
      </c>
      <c r="H4622" t="n">
        <v>20</v>
      </c>
      <c r="I4622">
        <f>B4622&amp;"|"&amp;C4622</f>
        <v/>
      </c>
      <c r="J4622" t="inlineStr">
        <is>
          <t>average</t>
        </is>
      </c>
    </row>
    <row r="4623">
      <c r="B4623" t="inlineStr">
        <is>
          <t>Material Storage Sheds</t>
        </is>
      </c>
      <c r="C4623" t="inlineStr">
        <is>
          <t>Average</t>
        </is>
      </c>
      <c r="F4623" t="n">
        <v>25</v>
      </c>
      <c r="G4623" t="n">
        <v>20</v>
      </c>
      <c r="H4623" t="n">
        <v>20</v>
      </c>
      <c r="I4623">
        <f>B4623&amp;"|"&amp;C4623</f>
        <v/>
      </c>
      <c r="J4623" t="inlineStr">
        <is>
          <t>Material storage sheds, average</t>
        </is>
      </c>
    </row>
    <row r="4624">
      <c r="B4624" t="inlineStr">
        <is>
          <t>Material Storage Sheds</t>
        </is>
      </c>
      <c r="C4624" t="inlineStr">
        <is>
          <t>Low Cost</t>
        </is>
      </c>
      <c r="F4624" t="n">
        <v>20</v>
      </c>
      <c r="G4624" t="n">
        <v>15</v>
      </c>
      <c r="H4624" t="n">
        <v>15</v>
      </c>
      <c r="I4624">
        <f>B4624&amp;"|"&amp;C4624</f>
        <v/>
      </c>
      <c r="J4624" t="inlineStr">
        <is>
          <t>low cost</t>
        </is>
      </c>
    </row>
    <row r="4625">
      <c r="B4625" t="inlineStr">
        <is>
          <t>Bulk Oil Storage</t>
        </is>
      </c>
      <c r="C4625" t="inlineStr">
        <is>
          <t>Average</t>
        </is>
      </c>
      <c r="G4625" t="n">
        <v>30</v>
      </c>
      <c r="H4625" t="n">
        <v>30</v>
      </c>
      <c r="I4625">
        <f>B4625&amp;"|"&amp;C4625</f>
        <v/>
      </c>
      <c r="J4625" t="inlineStr">
        <is>
          <t>Bulk oil storage, average</t>
        </is>
      </c>
    </row>
    <row r="4626">
      <c r="B4626" t="inlineStr">
        <is>
          <t>Lumber Storage Buildings</t>
        </is>
      </c>
      <c r="C4626" t="inlineStr">
        <is>
          <t>Good</t>
        </is>
      </c>
      <c r="G4626" t="n">
        <v>25</v>
      </c>
      <c r="H4626" t="n">
        <v>25</v>
      </c>
      <c r="I4626">
        <f>B4626&amp;"|"&amp;C4626</f>
        <v/>
      </c>
      <c r="J4626" t="inlineStr">
        <is>
          <t>Lumber storage buildings, good</t>
        </is>
      </c>
    </row>
    <row r="4627">
      <c r="B4627" t="inlineStr">
        <is>
          <t>Lumber Storage Buildings</t>
        </is>
      </c>
      <c r="C4627" t="inlineStr">
        <is>
          <t>Average</t>
        </is>
      </c>
      <c r="G4627" t="n">
        <v>20</v>
      </c>
      <c r="H4627" t="n">
        <v>20</v>
      </c>
      <c r="I4627">
        <f>B4627&amp;"|"&amp;C4627</f>
        <v/>
      </c>
      <c r="J4627" t="inlineStr">
        <is>
          <t>average</t>
        </is>
      </c>
    </row>
    <row r="4628">
      <c r="B4628" t="inlineStr">
        <is>
          <t>Lumber Storage Buildings</t>
        </is>
      </c>
      <c r="C4628" t="inlineStr">
        <is>
          <t>Low Cost</t>
        </is>
      </c>
      <c r="G4628" t="n">
        <v>15</v>
      </c>
      <c r="H4628" t="n">
        <v>15</v>
      </c>
      <c r="I4628">
        <f>B4628&amp;"|"&amp;C4628</f>
        <v/>
      </c>
      <c r="J4628" t="inlineStr">
        <is>
          <t>low cost</t>
        </is>
      </c>
    </row>
    <row r="4629">
      <c r="B4629" t="inlineStr">
        <is>
          <t>Lumber Storage Sheds</t>
        </is>
      </c>
      <c r="C4629" t="inlineStr">
        <is>
          <t>Good</t>
        </is>
      </c>
      <c r="G4629" t="n">
        <v>25</v>
      </c>
      <c r="H4629" t="n">
        <v>20</v>
      </c>
      <c r="I4629">
        <f>B4629&amp;"|"&amp;C4629</f>
        <v/>
      </c>
      <c r="J4629" t="inlineStr">
        <is>
          <t>Lumber storage sheds, good</t>
        </is>
      </c>
    </row>
    <row r="4630">
      <c r="B4630" t="inlineStr">
        <is>
          <t>Lumber Storage Sheds</t>
        </is>
      </c>
      <c r="C4630" t="inlineStr">
        <is>
          <t>Average</t>
        </is>
      </c>
      <c r="G4630" t="n">
        <v>15</v>
      </c>
      <c r="H4630" t="n">
        <v>15</v>
      </c>
      <c r="I4630">
        <f>B4630&amp;"|"&amp;C4630</f>
        <v/>
      </c>
      <c r="J4630" t="inlineStr">
        <is>
          <t>low cost and average</t>
        </is>
      </c>
    </row>
    <row r="4631">
      <c r="B4631" t="inlineStr">
        <is>
          <t>Lumber Storage Sheds</t>
        </is>
      </c>
      <c r="C4631" t="inlineStr">
        <is>
          <t>Low Cost</t>
        </is>
      </c>
      <c r="G4631" t="n">
        <v>15</v>
      </c>
      <c r="H4631" t="n">
        <v>15</v>
      </c>
      <c r="I4631">
        <f>B4631&amp;"|"&amp;C4631</f>
        <v/>
      </c>
      <c r="J4631" t="inlineStr">
        <is>
          <t>low cost and average</t>
        </is>
      </c>
    </row>
    <row r="4632">
      <c r="B4632" t="inlineStr">
        <is>
          <t>Boat Storage Buildings</t>
        </is>
      </c>
      <c r="C4632" t="inlineStr">
        <is>
          <t>Average</t>
        </is>
      </c>
      <c r="G4632" t="n">
        <v>25</v>
      </c>
      <c r="H4632" t="n">
        <v>25</v>
      </c>
      <c r="I4632">
        <f>B4632&amp;"|"&amp;C4632</f>
        <v/>
      </c>
      <c r="J4632" t="inlineStr">
        <is>
          <t>average</t>
        </is>
      </c>
    </row>
    <row r="4633">
      <c r="B4633" t="inlineStr">
        <is>
          <t>Boat Storage Buildings</t>
        </is>
      </c>
      <c r="C4633" t="inlineStr">
        <is>
          <t>Low Cost</t>
        </is>
      </c>
      <c r="G4633" t="n">
        <v>20</v>
      </c>
      <c r="H4633" t="n">
        <v>20</v>
      </c>
      <c r="I4633">
        <f>B4633&amp;"|"&amp;C4633</f>
        <v/>
      </c>
      <c r="J4633" t="inlineStr">
        <is>
          <t>low cost</t>
        </is>
      </c>
    </row>
    <row r="4634">
      <c r="B4634" t="inlineStr">
        <is>
          <t>Boat Storage Buildings</t>
        </is>
      </c>
      <c r="C4634" t="inlineStr">
        <is>
          <t>Good</t>
        </is>
      </c>
      <c r="H4634" t="n">
        <v>30</v>
      </c>
      <c r="I4634">
        <f>B4634&amp;"|"&amp;C4634</f>
        <v/>
      </c>
      <c r="J4634" t="inlineStr">
        <is>
          <t>Boat storage buildings, good</t>
        </is>
      </c>
    </row>
    <row r="4635">
      <c r="B4635" t="inlineStr">
        <is>
          <t>Boat Storage Sheds</t>
        </is>
      </c>
      <c r="C4635" t="inlineStr">
        <is>
          <t>Good</t>
        </is>
      </c>
      <c r="G4635" t="n">
        <v>20</v>
      </c>
      <c r="H4635" t="n">
        <v>20</v>
      </c>
      <c r="I4635">
        <f>B4635&amp;"|"&amp;C4635</f>
        <v/>
      </c>
      <c r="J4635" t="inlineStr">
        <is>
          <t>Boat storage sheds, good</t>
        </is>
      </c>
    </row>
    <row r="4636">
      <c r="B4636" t="inlineStr">
        <is>
          <t>Boat Storage Sheds</t>
        </is>
      </c>
      <c r="C4636" t="inlineStr">
        <is>
          <t>Average</t>
        </is>
      </c>
      <c r="G4636" t="n">
        <v>15</v>
      </c>
      <c r="H4636" t="n">
        <v>15</v>
      </c>
      <c r="I4636">
        <f>B4636&amp;"|"&amp;C4636</f>
        <v/>
      </c>
      <c r="J4636" t="inlineStr">
        <is>
          <t>low cost and average</t>
        </is>
      </c>
    </row>
    <row r="4637">
      <c r="B4637" t="inlineStr">
        <is>
          <t>Boat Storage Sheds</t>
        </is>
      </c>
      <c r="C4637" t="inlineStr">
        <is>
          <t>Low Cost</t>
        </is>
      </c>
      <c r="G4637" t="n">
        <v>15</v>
      </c>
      <c r="H4637" t="n">
        <v>15</v>
      </c>
      <c r="I4637">
        <f>B4637&amp;"|"&amp;C4637</f>
        <v/>
      </c>
      <c r="J4637" t="inlineStr">
        <is>
          <t>low cost and average</t>
        </is>
      </c>
    </row>
    <row r="4638">
      <c r="B4638" t="inlineStr">
        <is>
          <t>Bag Fertilizer Storage</t>
        </is>
      </c>
      <c r="C4638" t="inlineStr">
        <is>
          <t>Average</t>
        </is>
      </c>
      <c r="G4638" t="n">
        <v>30</v>
      </c>
      <c r="H4638" t="n">
        <v>30</v>
      </c>
      <c r="I4638">
        <f>B4638&amp;"|"&amp;C4638</f>
        <v/>
      </c>
      <c r="J4638" t="inlineStr">
        <is>
          <t>Bag fertilizer storage, average</t>
        </is>
      </c>
    </row>
    <row r="4639">
      <c r="B4639" t="inlineStr">
        <is>
          <t>Bulk Fertilizer Storage</t>
        </is>
      </c>
      <c r="C4639" t="inlineStr">
        <is>
          <t>Average</t>
        </is>
      </c>
      <c r="F4639" t="n">
        <v>35</v>
      </c>
      <c r="G4639" t="n">
        <v>30</v>
      </c>
      <c r="H4639" t="n">
        <v>30</v>
      </c>
      <c r="I4639">
        <f>B4639&amp;"|"&amp;C4639</f>
        <v/>
      </c>
      <c r="J4639" t="inlineStr">
        <is>
          <t>Bulk fertilizer storage, average</t>
        </is>
      </c>
    </row>
    <row r="4640">
      <c r="B4640" t="inlineStr">
        <is>
          <t>Tobacco Barns – Flue Curing</t>
        </is>
      </c>
      <c r="C4640" t="inlineStr">
        <is>
          <t>Average</t>
        </is>
      </c>
      <c r="F4640" t="n">
        <v>25</v>
      </c>
      <c r="G4640" t="n">
        <v>20</v>
      </c>
      <c r="H4640" t="n">
        <v>20</v>
      </c>
      <c r="I4640">
        <f>B4640&amp;"|"&amp;C4640</f>
        <v/>
      </c>
      <c r="J4640" t="inlineStr">
        <is>
          <t>Tobacco barns, flue curing, average</t>
        </is>
      </c>
    </row>
    <row r="4641">
      <c r="B4641" t="inlineStr">
        <is>
          <t>Tobacco Barns – Air Curing</t>
        </is>
      </c>
      <c r="C4641" t="inlineStr">
        <is>
          <t>Average</t>
        </is>
      </c>
      <c r="G4641" t="n">
        <v>25</v>
      </c>
      <c r="I4641">
        <f>B4641&amp;"|"&amp;C4641</f>
        <v/>
      </c>
      <c r="J4641" t="inlineStr">
        <is>
          <t>air curing, average</t>
        </is>
      </c>
    </row>
    <row r="4642">
      <c r="B4642" t="inlineStr">
        <is>
          <t>Tobacco Barns – Air Curing</t>
        </is>
      </c>
      <c r="C4642" t="inlineStr">
        <is>
          <t>Low Cost</t>
        </is>
      </c>
      <c r="G4642" t="n">
        <v>20</v>
      </c>
      <c r="I4642">
        <f>B4642&amp;"|"&amp;C4642</f>
        <v/>
      </c>
      <c r="J4642" t="inlineStr">
        <is>
          <t>low cost</t>
        </is>
      </c>
    </row>
    <row r="4643">
      <c r="B4643" t="inlineStr">
        <is>
          <t>Dehydrator Shed Buildings</t>
        </is>
      </c>
      <c r="C4643" t="inlineStr">
        <is>
          <t>Average</t>
        </is>
      </c>
      <c r="F4643" t="n">
        <v>35</v>
      </c>
      <c r="I4643">
        <f>B4643&amp;"|"&amp;C4643</f>
        <v/>
      </c>
      <c r="J4643" t="inlineStr">
        <is>
          <t>Dehydrator buildings, average</t>
        </is>
      </c>
    </row>
    <row r="4644">
      <c r="B4644" t="inlineStr">
        <is>
          <t>Farm Cold Storage Buildings</t>
        </is>
      </c>
      <c r="C4644" t="inlineStr">
        <is>
          <t>Good</t>
        </is>
      </c>
      <c r="F4644" t="n">
        <v>40</v>
      </c>
      <c r="G4644" t="n">
        <v>35</v>
      </c>
      <c r="H4644" t="n">
        <v>35</v>
      </c>
      <c r="I4644">
        <f>B4644&amp;"|"&amp;C4644</f>
        <v/>
      </c>
      <c r="J4644" t="inlineStr">
        <is>
          <t>Cold storage buildings, good</t>
        </is>
      </c>
    </row>
    <row r="4645">
      <c r="B4645" t="inlineStr">
        <is>
          <t>Farm Cold Storage Buildings</t>
        </is>
      </c>
      <c r="C4645" t="inlineStr">
        <is>
          <t>Average</t>
        </is>
      </c>
      <c r="F4645" t="n">
        <v>35</v>
      </c>
      <c r="G4645" t="n">
        <v>30</v>
      </c>
      <c r="H4645" t="n">
        <v>30</v>
      </c>
      <c r="I4645">
        <f>B4645&amp;"|"&amp;C4645</f>
        <v/>
      </c>
      <c r="J4645" t="inlineStr">
        <is>
          <t>average</t>
        </is>
      </c>
    </row>
    <row r="4646">
      <c r="B4646" t="inlineStr">
        <is>
          <t>Farm Cold Storage Buildings</t>
        </is>
      </c>
      <c r="C4646" t="inlineStr">
        <is>
          <t>Low Cost</t>
        </is>
      </c>
      <c r="F4646" t="n">
        <v>30</v>
      </c>
      <c r="G4646" t="n">
        <v>25</v>
      </c>
      <c r="H4646" t="n">
        <v>25</v>
      </c>
      <c r="I4646">
        <f>B4646&amp;"|"&amp;C4646</f>
        <v/>
      </c>
      <c r="J4646" t="inlineStr">
        <is>
          <t>low cost</t>
        </is>
      </c>
    </row>
    <row r="4647">
      <c r="B4647" t="inlineStr">
        <is>
          <t>Fruit Packing Barns</t>
        </is>
      </c>
      <c r="C4647" t="inlineStr">
        <is>
          <t>Average</t>
        </is>
      </c>
      <c r="F4647" t="n">
        <v>30</v>
      </c>
      <c r="G4647" t="n">
        <v>25</v>
      </c>
      <c r="H4647" t="n">
        <v>25</v>
      </c>
      <c r="I4647">
        <f>B4647&amp;"|"&amp;C4647</f>
        <v/>
      </c>
      <c r="J4647" t="inlineStr">
        <is>
          <t>Fruit-packing barns, average</t>
        </is>
      </c>
    </row>
    <row r="4648">
      <c r="B4648" t="inlineStr">
        <is>
          <t>Potato Storage Buildings</t>
        </is>
      </c>
      <c r="C4648" t="inlineStr">
        <is>
          <t>Good</t>
        </is>
      </c>
      <c r="F4648" t="n">
        <v>30</v>
      </c>
      <c r="G4648" t="n">
        <v>25</v>
      </c>
      <c r="H4648" t="n">
        <v>25</v>
      </c>
      <c r="I4648">
        <f>B4648&amp;"|"&amp;C4648</f>
        <v/>
      </c>
      <c r="J4648" t="inlineStr">
        <is>
          <t>Potato storage buildings, good</t>
        </is>
      </c>
    </row>
    <row r="4649">
      <c r="B4649" t="inlineStr">
        <is>
          <t>Potato Storage Buildings</t>
        </is>
      </c>
      <c r="C4649" t="inlineStr">
        <is>
          <t>Average</t>
        </is>
      </c>
      <c r="F4649" t="n">
        <v>25</v>
      </c>
      <c r="G4649" t="n">
        <v>20</v>
      </c>
      <c r="H4649" t="n">
        <v>20</v>
      </c>
      <c r="I4649">
        <f>B4649&amp;"|"&amp;C4649</f>
        <v/>
      </c>
      <c r="J4649" t="inlineStr">
        <is>
          <t>average</t>
        </is>
      </c>
    </row>
    <row r="4650">
      <c r="B4650" t="inlineStr">
        <is>
          <t>Potato Storage Buildings</t>
        </is>
      </c>
      <c r="C4650" t="inlineStr">
        <is>
          <t>Low Cost</t>
        </is>
      </c>
      <c r="F4650" t="n">
        <v>20</v>
      </c>
      <c r="G4650" t="n">
        <v>15</v>
      </c>
      <c r="H4650" t="n">
        <v>15</v>
      </c>
      <c r="I4650">
        <f>B4650&amp;"|"&amp;C4650</f>
        <v/>
      </c>
      <c r="J4650" t="inlineStr">
        <is>
          <t>cheap and low cost</t>
        </is>
      </c>
    </row>
    <row r="4651">
      <c r="B4651" t="inlineStr">
        <is>
          <t>Potato Storage Buildings</t>
        </is>
      </c>
      <c r="C4651" t="inlineStr">
        <is>
          <t>Cheap</t>
        </is>
      </c>
      <c r="F4651" t="n">
        <v>20</v>
      </c>
      <c r="G4651" t="n">
        <v>15</v>
      </c>
      <c r="H4651" t="n">
        <v>15</v>
      </c>
      <c r="I4651">
        <f>B4651&amp;"|"&amp;C4651</f>
        <v/>
      </c>
      <c r="J4651" t="inlineStr">
        <is>
          <t>cheap and low cost</t>
        </is>
      </c>
    </row>
    <row r="4652">
      <c r="B4652" t="inlineStr">
        <is>
          <t>Vegetable Buildings – Environmental</t>
        </is>
      </c>
      <c r="C4652" t="inlineStr">
        <is>
          <t>Good</t>
        </is>
      </c>
      <c r="H4652" t="n">
        <v>35</v>
      </c>
      <c r="I4652">
        <f>B4652&amp;"|"&amp;C4652</f>
        <v/>
      </c>
      <c r="J4652" t="inlineStr">
        <is>
          <t>Vegetable storage buildings, good</t>
        </is>
      </c>
    </row>
    <row r="4653">
      <c r="B4653" t="inlineStr">
        <is>
          <t>Vegetable Buildings – Environmental</t>
        </is>
      </c>
      <c r="C4653" t="inlineStr">
        <is>
          <t>Fair</t>
        </is>
      </c>
      <c r="H4653" t="n">
        <v>30</v>
      </c>
      <c r="I4653">
        <f>B4653&amp;"|"&amp;C4653</f>
        <v/>
      </c>
      <c r="J4653" t="inlineStr">
        <is>
          <t>low cost and fair</t>
        </is>
      </c>
    </row>
    <row r="4654">
      <c r="B4654" t="inlineStr">
        <is>
          <t>Vegetable Buildings – Environmental</t>
        </is>
      </c>
      <c r="C4654" t="inlineStr">
        <is>
          <t>Low Cost</t>
        </is>
      </c>
      <c r="H4654" t="n">
        <v>30</v>
      </c>
      <c r="I4654">
        <f>B4654&amp;"|"&amp;C4654</f>
        <v/>
      </c>
      <c r="J4654" t="inlineStr">
        <is>
          <t>low cost and fair</t>
        </is>
      </c>
    </row>
    <row r="4655">
      <c r="B4655" t="inlineStr">
        <is>
          <t>Controlled Atmosphere Buildings</t>
        </is>
      </c>
      <c r="C4655" t="inlineStr">
        <is>
          <t>Average</t>
        </is>
      </c>
      <c r="F4655" t="n">
        <v>35</v>
      </c>
      <c r="G4655" t="n">
        <v>30</v>
      </c>
      <c r="H4655" t="n">
        <v>30</v>
      </c>
      <c r="I4655">
        <f>B4655&amp;"|"&amp;C4655</f>
        <v/>
      </c>
      <c r="J4655" t="inlineStr">
        <is>
          <t>Controlled atmosphere storage, average</t>
        </is>
      </c>
    </row>
    <row r="4656">
      <c r="B4656" t="inlineStr">
        <is>
          <t>Greenhouse – Straight-Wall Structures</t>
        </is>
      </c>
      <c r="C4656" t="inlineStr">
        <is>
          <t>Average</t>
        </is>
      </c>
      <c r="G4656" t="n">
        <v>20</v>
      </c>
      <c r="H4656" t="n">
        <v>25</v>
      </c>
      <c r="I4656">
        <f>B4656&amp;"|"&amp;C4656</f>
        <v/>
      </c>
      <c r="J4656" t="inlineStr">
        <is>
          <t>average</t>
        </is>
      </c>
    </row>
    <row r="4657">
      <c r="B4657" t="inlineStr">
        <is>
          <t>Greenhouse – Straight-Wall Structures</t>
        </is>
      </c>
      <c r="C4657" t="inlineStr">
        <is>
          <t>Fair</t>
        </is>
      </c>
      <c r="G4657" t="n">
        <v>15</v>
      </c>
      <c r="H4657" t="n">
        <v>20</v>
      </c>
      <c r="I4657">
        <f>B4657&amp;"|"&amp;C4657</f>
        <v/>
      </c>
      <c r="J4657" t="inlineStr">
        <is>
          <t>fair</t>
        </is>
      </c>
    </row>
    <row r="4658">
      <c r="B4658" t="inlineStr">
        <is>
          <t>Greenhouse – Straight-Wall Structures</t>
        </is>
      </c>
      <c r="C4658" t="inlineStr">
        <is>
          <t>Low Cost</t>
        </is>
      </c>
      <c r="G4658" t="n">
        <v>10</v>
      </c>
      <c r="H4658" t="n">
        <v>15</v>
      </c>
      <c r="I4658">
        <f>B4658&amp;"|"&amp;C4658</f>
        <v/>
      </c>
      <c r="J4658" t="inlineStr">
        <is>
          <t>cheap and low cost</t>
        </is>
      </c>
    </row>
    <row r="4659">
      <c r="B4659" t="inlineStr">
        <is>
          <t>Greenhouse – Straight-Wall Structures</t>
        </is>
      </c>
      <c r="C4659" t="inlineStr">
        <is>
          <t>Cheap</t>
        </is>
      </c>
      <c r="G4659" t="n">
        <v>10</v>
      </c>
      <c r="H4659" t="n">
        <v>15</v>
      </c>
      <c r="I4659">
        <f>B4659&amp;"|"&amp;C4659</f>
        <v/>
      </c>
      <c r="J4659" t="inlineStr">
        <is>
          <t>cheap and low cost</t>
        </is>
      </c>
    </row>
    <row r="4660">
      <c r="B4660" t="inlineStr">
        <is>
          <t>Greenhouse – Straight-Wall Structures</t>
        </is>
      </c>
      <c r="C4660" t="inlineStr">
        <is>
          <t>Excellent</t>
        </is>
      </c>
      <c r="H4660" t="n">
        <v>40</v>
      </c>
      <c r="I4660">
        <f>B4660&amp;"|"&amp;C4660</f>
        <v/>
      </c>
      <c r="J4660" t="inlineStr">
        <is>
          <t>Greenhouses, straight wall, very good and excellent</t>
        </is>
      </c>
    </row>
    <row r="4661">
      <c r="B4661" t="inlineStr">
        <is>
          <t>Greenhouse – Straight-Wall Structures</t>
        </is>
      </c>
      <c r="C4661" t="inlineStr">
        <is>
          <t>Very Good</t>
        </is>
      </c>
      <c r="H4661" t="n">
        <v>40</v>
      </c>
      <c r="I4661">
        <f>B4661&amp;"|"&amp;C4661</f>
        <v/>
      </c>
      <c r="J4661" t="inlineStr">
        <is>
          <t>Greenhouses, straight wall, very good and excellent</t>
        </is>
      </c>
    </row>
    <row r="4662">
      <c r="B4662" t="inlineStr">
        <is>
          <t>Greenhouse – Straight-Wall Structures</t>
        </is>
      </c>
      <c r="C4662" t="inlineStr">
        <is>
          <t>Good</t>
        </is>
      </c>
      <c r="H4662" t="n">
        <v>35</v>
      </c>
      <c r="I4662">
        <f>B4662&amp;"|"&amp;C4662</f>
        <v/>
      </c>
      <c r="J4662" t="inlineStr">
        <is>
          <t>good</t>
        </is>
      </c>
    </row>
    <row r="4663">
      <c r="B4663" t="inlineStr">
        <is>
          <t>Greenhouse – Hoop (Arch-Rib/Quonset) Structures</t>
        </is>
      </c>
      <c r="C4663" t="inlineStr">
        <is>
          <t>Low Cost</t>
        </is>
      </c>
      <c r="G4663" t="n">
        <v>10</v>
      </c>
      <c r="H4663" t="n">
        <v>10</v>
      </c>
      <c r="I4663">
        <f>B4663&amp;"|"&amp;C4663</f>
        <v/>
      </c>
      <c r="J4663" t="inlineStr">
        <is>
          <t>cheap and low cost</t>
        </is>
      </c>
    </row>
    <row r="4664">
      <c r="B4664" t="inlineStr">
        <is>
          <t>Greenhouse – Hoop (Arch-Rib/Quonset) Structures</t>
        </is>
      </c>
      <c r="C4664" t="inlineStr">
        <is>
          <t>Very Good</t>
        </is>
      </c>
      <c r="H4664" t="n">
        <v>35</v>
      </c>
      <c r="I4664">
        <f>B4664&amp;"|"&amp;C4664</f>
        <v/>
      </c>
      <c r="J4664" t="inlineStr">
        <is>
          <t>hoop structures, very good</t>
        </is>
      </c>
    </row>
    <row r="4665">
      <c r="B4665" t="inlineStr">
        <is>
          <t>Greenhouse – Hoop (Arch-Rib/Quonset) Structures</t>
        </is>
      </c>
      <c r="C4665" t="inlineStr">
        <is>
          <t>Good</t>
        </is>
      </c>
      <c r="H4665" t="n">
        <v>30</v>
      </c>
      <c r="I4665">
        <f>B4665&amp;"|"&amp;C4665</f>
        <v/>
      </c>
      <c r="J4665" t="inlineStr">
        <is>
          <t>good</t>
        </is>
      </c>
    </row>
    <row r="4666">
      <c r="B4666" t="inlineStr">
        <is>
          <t>Greenhouse – Hoop (Arch-Rib/Quonset) Structures</t>
        </is>
      </c>
      <c r="C4666" t="inlineStr">
        <is>
          <t>Average</t>
        </is>
      </c>
      <c r="H4666" t="n">
        <v>20</v>
      </c>
      <c r="I4666">
        <f>B4666&amp;"|"&amp;C4666</f>
        <v/>
      </c>
      <c r="J4666" t="inlineStr">
        <is>
          <t>average</t>
        </is>
      </c>
    </row>
    <row r="4667">
      <c r="B4667" t="inlineStr">
        <is>
          <t>Greenhouse – Hoop (Arch-Rib/Quonset) Structures</t>
        </is>
      </c>
      <c r="C4667" t="inlineStr">
        <is>
          <t>Fair</t>
        </is>
      </c>
      <c r="H4667" t="n">
        <v>15</v>
      </c>
      <c r="I4667">
        <f>B4667&amp;"|"&amp;C4667</f>
        <v/>
      </c>
      <c r="J4667" t="inlineStr">
        <is>
          <t>fair</t>
        </is>
      </c>
    </row>
    <row r="4668">
      <c r="B4668" t="inlineStr">
        <is>
          <t>Greenhouse – Hoop (Arch-Rib/Quonset) Structures</t>
        </is>
      </c>
      <c r="C4668" t="inlineStr">
        <is>
          <t>Cheap</t>
        </is>
      </c>
      <c r="G4668" t="n">
        <v>10</v>
      </c>
      <c r="H4668" t="n">
        <v>10</v>
      </c>
      <c r="I4668">
        <f>B4668&amp;"|"&amp;C4668</f>
        <v/>
      </c>
      <c r="J4668" t="inlineStr">
        <is>
          <t>cheap and low cost</t>
        </is>
      </c>
    </row>
    <row r="4669">
      <c r="B4669" t="inlineStr">
        <is>
          <t>Greenhouse Shade Shelters</t>
        </is>
      </c>
      <c r="C4669" t="inlineStr">
        <is>
          <t>Average</t>
        </is>
      </c>
      <c r="G4669" t="n">
        <v>10</v>
      </c>
      <c r="H4669" t="n">
        <v>10</v>
      </c>
      <c r="I4669">
        <f>B4669&amp;"|"&amp;C4669</f>
        <v/>
      </c>
      <c r="J4669" t="inlineStr">
        <is>
          <t>shade shelters, low cost and average</t>
        </is>
      </c>
    </row>
    <row r="4670">
      <c r="B4670" t="inlineStr">
        <is>
          <t>Greenhouse Shade Shelters</t>
        </is>
      </c>
      <c r="C4670" t="inlineStr">
        <is>
          <t>Low Cost</t>
        </is>
      </c>
      <c r="G4670" t="n">
        <v>10</v>
      </c>
      <c r="H4670" t="n">
        <v>10</v>
      </c>
      <c r="I4670">
        <f>B4670&amp;"|"&amp;C4670</f>
        <v/>
      </c>
      <c r="J4670" t="inlineStr">
        <is>
          <t>shade shelters, low cost and average</t>
        </is>
      </c>
    </row>
    <row r="4671">
      <c r="B4671" t="inlineStr">
        <is>
          <t>Lath Shade Houses</t>
        </is>
      </c>
      <c r="C4671" t="inlineStr">
        <is>
          <t>Average</t>
        </is>
      </c>
      <c r="G4671" t="n">
        <v>20</v>
      </c>
      <c r="H4671" t="n">
        <v>25</v>
      </c>
      <c r="I4671">
        <f>B4671&amp;"|"&amp;C4671</f>
        <v/>
      </c>
      <c r="J4671" t="inlineStr">
        <is>
          <t>Lath shade houses, average</t>
        </is>
      </c>
    </row>
    <row r="4672">
      <c r="B4672" t="inlineStr">
        <is>
          <t>Flathouse Storage Buildings</t>
        </is>
      </c>
      <c r="C4672" t="inlineStr">
        <is>
          <t>Good</t>
        </is>
      </c>
      <c r="F4672" t="n">
        <v>45</v>
      </c>
      <c r="G4672" t="n">
        <v>40</v>
      </c>
      <c r="H4672" t="n">
        <v>40</v>
      </c>
      <c r="I4672">
        <f>B4672&amp;"|"&amp;C4672</f>
        <v/>
      </c>
      <c r="J4672" t="inlineStr">
        <is>
          <t>Flathouse storage buildings, good</t>
        </is>
      </c>
    </row>
    <row r="4673">
      <c r="B4673" t="inlineStr">
        <is>
          <t>Flathouse Storage Buildings</t>
        </is>
      </c>
      <c r="C4673" t="inlineStr">
        <is>
          <t>Average</t>
        </is>
      </c>
      <c r="F4673" t="n">
        <v>35</v>
      </c>
      <c r="G4673" t="n">
        <v>30</v>
      </c>
      <c r="H4673" t="n">
        <v>30</v>
      </c>
      <c r="I4673">
        <f>B4673&amp;"|"&amp;C4673</f>
        <v/>
      </c>
      <c r="J4673" t="inlineStr">
        <is>
          <t>average</t>
        </is>
      </c>
    </row>
    <row r="4674">
      <c r="B4674" t="inlineStr">
        <is>
          <t>Feed Handling and Mixing Shed Building</t>
        </is>
      </c>
      <c r="C4674" t="inlineStr">
        <is>
          <t>Average</t>
        </is>
      </c>
      <c r="G4674" t="n">
        <v>20</v>
      </c>
      <c r="H4674" t="n">
        <v>20</v>
      </c>
      <c r="I4674">
        <f>B4674&amp;"|"&amp;C4674</f>
        <v/>
      </c>
      <c r="J4674" t="inlineStr">
        <is>
          <t>Feed handling and mixing, average</t>
        </is>
      </c>
    </row>
    <row r="4675">
      <c r="B4675" t="inlineStr">
        <is>
          <t>Cotton Gins</t>
        </is>
      </c>
      <c r="C4675" t="inlineStr">
        <is>
          <t>Average</t>
        </is>
      </c>
      <c r="H4675" t="n">
        <v>30</v>
      </c>
      <c r="I4675">
        <f>B4675&amp;"|"&amp;C4675</f>
        <v/>
      </c>
      <c r="J4675" t="inlineStr">
        <is>
          <t>Cotton gin buildings, average</t>
        </is>
      </c>
    </row>
    <row r="4676">
      <c r="B4676" t="inlineStr">
        <is>
          <t>Cotton Gins</t>
        </is>
      </c>
      <c r="C4676" t="inlineStr">
        <is>
          <t>Low Cost</t>
        </is>
      </c>
      <c r="H4676" t="n">
        <v>25</v>
      </c>
      <c r="I4676">
        <f>B4676&amp;"|"&amp;C4676</f>
        <v/>
      </c>
      <c r="J4676" t="inlineStr">
        <is>
          <t>low cost</t>
        </is>
      </c>
    </row>
    <row r="4677">
      <c r="B4677" t="inlineStr">
        <is>
          <t>Seed Processing Storage</t>
        </is>
      </c>
      <c r="C4677" t="inlineStr">
        <is>
          <t>Average</t>
        </is>
      </c>
      <c r="G4677" t="n">
        <v>30</v>
      </c>
      <c r="H4677" t="n">
        <v>30</v>
      </c>
      <c r="I4677">
        <f>B4677&amp;"|"&amp;C4677</f>
        <v/>
      </c>
      <c r="J4677" t="inlineStr">
        <is>
          <t>Seed processing storage, average</t>
        </is>
      </c>
    </row>
    <row r="4678">
      <c r="B4678" t="inlineStr">
        <is>
          <t>Secure Storage Modular Shed Buildings</t>
        </is>
      </c>
      <c r="C4678" t="inlineStr">
        <is>
          <t>Good</t>
        </is>
      </c>
      <c r="F4678" t="n">
        <v>25</v>
      </c>
      <c r="H4678" t="n">
        <v>20</v>
      </c>
      <c r="I4678">
        <f>B4678&amp;"|"&amp;C4678</f>
        <v/>
      </c>
      <c r="J4678" t="inlineStr">
        <is>
          <t>secure storage, average and good</t>
        </is>
      </c>
    </row>
    <row r="4679">
      <c r="B4679" t="inlineStr">
        <is>
          <t>Secure Storage Modular Shed Buildings</t>
        </is>
      </c>
      <c r="C4679" t="inlineStr">
        <is>
          <t>Average</t>
        </is>
      </c>
      <c r="F4679" t="n">
        <v>25</v>
      </c>
      <c r="H4679" t="n">
        <v>20</v>
      </c>
      <c r="I4679">
        <f>B4679&amp;"|"&amp;C4679</f>
        <v/>
      </c>
      <c r="J4679" t="inlineStr">
        <is>
          <t>secure storage, average and good</t>
        </is>
      </c>
    </row>
    <row r="4680">
      <c r="B4680" t="inlineStr">
        <is>
          <t>Secure Storage Modular Shed Buildings</t>
        </is>
      </c>
      <c r="C4680" t="inlineStr">
        <is>
          <t>Low Cost</t>
        </is>
      </c>
      <c r="H4680" t="n">
        <v>15</v>
      </c>
      <c r="I4680">
        <f>B4680&amp;"|"&amp;C4680</f>
        <v/>
      </c>
      <c r="J4680" t="inlineStr">
        <is>
          <t>low cost</t>
        </is>
      </c>
    </row>
    <row r="4681">
      <c r="B4681" t="inlineStr">
        <is>
          <t>Prefabricated Storage Shed Buildings</t>
        </is>
      </c>
      <c r="C4681" t="inlineStr">
        <is>
          <t>Excellent</t>
        </is>
      </c>
      <c r="G4681" t="n">
        <v>20</v>
      </c>
      <c r="H4681" t="n">
        <v>20</v>
      </c>
      <c r="I4681">
        <f>B4681&amp;"|"&amp;C4681</f>
        <v/>
      </c>
      <c r="J4681" t="inlineStr">
        <is>
          <t>Prefabricated storage sheds, good and excellent</t>
        </is>
      </c>
    </row>
    <row r="4682">
      <c r="B4682" t="inlineStr">
        <is>
          <t>Prefabricated Storage Shed Buildings</t>
        </is>
      </c>
      <c r="C4682" t="inlineStr">
        <is>
          <t>Good</t>
        </is>
      </c>
      <c r="G4682" t="n">
        <v>20</v>
      </c>
      <c r="H4682" t="n">
        <v>20</v>
      </c>
      <c r="I4682">
        <f>B4682&amp;"|"&amp;C4682</f>
        <v/>
      </c>
      <c r="J4682" t="inlineStr">
        <is>
          <t>Prefabricated storage sheds, good and excellent</t>
        </is>
      </c>
    </row>
    <row r="4683">
      <c r="B4683" t="inlineStr">
        <is>
          <t>Prefabricated Storage Shed Buildings</t>
        </is>
      </c>
      <c r="C4683" t="inlineStr">
        <is>
          <t>Average</t>
        </is>
      </c>
      <c r="G4683" t="n">
        <v>15</v>
      </c>
      <c r="H4683" t="n">
        <v>15</v>
      </c>
      <c r="I4683">
        <f>B4683&amp;"|"&amp;C4683</f>
        <v/>
      </c>
      <c r="J4683" t="inlineStr">
        <is>
          <t>average</t>
        </is>
      </c>
    </row>
    <row r="4684">
      <c r="B4684" t="inlineStr">
        <is>
          <t>Prefabricated Storage Shed Buildings</t>
        </is>
      </c>
      <c r="C4684" t="inlineStr">
        <is>
          <t>Low Cost</t>
        </is>
      </c>
      <c r="G4684" t="n">
        <v>10</v>
      </c>
      <c r="H4684" t="n">
        <v>10</v>
      </c>
      <c r="I4684">
        <f>B4684&amp;"|"&amp;C4684</f>
        <v/>
      </c>
      <c r="J4684" t="inlineStr">
        <is>
          <t>low cost</t>
        </is>
      </c>
    </row>
    <row r="4685">
      <c r="B4685" t="inlineStr">
        <is>
          <t>Corn Crib Bins</t>
        </is>
      </c>
      <c r="C4685" t="inlineStr">
        <is>
          <t>Excellent</t>
        </is>
      </c>
      <c r="G4685" t="n">
        <v>15</v>
      </c>
      <c r="I4685">
        <f>B4685&amp;"|"&amp;C4685</f>
        <v/>
      </c>
      <c r="J4685" t="inlineStr">
        <is>
          <t>Corncrib bins, good and excellent</t>
        </is>
      </c>
    </row>
    <row r="4686">
      <c r="B4686" t="inlineStr">
        <is>
          <t>Corn Crib Bins</t>
        </is>
      </c>
      <c r="C4686" t="inlineStr">
        <is>
          <t>Good</t>
        </is>
      </c>
      <c r="G4686" t="n">
        <v>15</v>
      </c>
      <c r="I4686">
        <f>B4686&amp;"|"&amp;C4686</f>
        <v/>
      </c>
      <c r="J4686" t="inlineStr">
        <is>
          <t>Corncrib bins, good and excellent</t>
        </is>
      </c>
    </row>
    <row r="4687">
      <c r="B4687" t="inlineStr">
        <is>
          <t>Corn Crib Bins</t>
        </is>
      </c>
      <c r="C4687" t="inlineStr">
        <is>
          <t>Average</t>
        </is>
      </c>
      <c r="G4687" t="n">
        <v>10</v>
      </c>
      <c r="I4687">
        <f>B4687&amp;"|"&amp;C4687</f>
        <v/>
      </c>
      <c r="J4687" t="inlineStr">
        <is>
          <t>low cost and average</t>
        </is>
      </c>
    </row>
    <row r="4688">
      <c r="B4688" t="inlineStr">
        <is>
          <t>Corn Crib Bins</t>
        </is>
      </c>
      <c r="C4688" t="inlineStr">
        <is>
          <t>Low Cost</t>
        </is>
      </c>
      <c r="G4688" t="n">
        <v>10</v>
      </c>
      <c r="I4688">
        <f>B4688&amp;"|"&amp;C4688</f>
        <v/>
      </c>
      <c r="J4688" t="inlineStr">
        <is>
          <t>low cost and average</t>
        </is>
      </c>
    </row>
    <row r="4689">
      <c r="B4689" t="inlineStr">
        <is>
          <t>Farm Utility Buildings</t>
        </is>
      </c>
      <c r="C4689" t="inlineStr">
        <is>
          <t>Good</t>
        </is>
      </c>
      <c r="F4689" t="n">
        <v>25</v>
      </c>
      <c r="G4689" t="n">
        <v>20</v>
      </c>
      <c r="H4689" t="n">
        <v>20</v>
      </c>
      <c r="I4689">
        <f>B4689&amp;"|"&amp;C4689</f>
        <v/>
      </c>
      <c r="J4689" t="inlineStr">
        <is>
          <t>good</t>
        </is>
      </c>
    </row>
    <row r="4690">
      <c r="B4690" t="inlineStr">
        <is>
          <t>Farm Utility Buildings</t>
        </is>
      </c>
      <c r="C4690" t="inlineStr">
        <is>
          <t>Average</t>
        </is>
      </c>
      <c r="F4690" t="n">
        <v>20</v>
      </c>
      <c r="G4690" t="n">
        <v>15</v>
      </c>
      <c r="H4690" t="n">
        <v>15</v>
      </c>
      <c r="I4690">
        <f>B4690&amp;"|"&amp;C4690</f>
        <v/>
      </c>
      <c r="J4690" t="inlineStr">
        <is>
          <t>low cost and average</t>
        </is>
      </c>
    </row>
    <row r="4691">
      <c r="B4691" t="inlineStr">
        <is>
          <t>Farm Utility Buildings</t>
        </is>
      </c>
      <c r="C4691" t="inlineStr">
        <is>
          <t>Low Cost</t>
        </is>
      </c>
      <c r="F4691" t="n">
        <v>20</v>
      </c>
      <c r="G4691" t="n">
        <v>15</v>
      </c>
      <c r="H4691" t="n">
        <v>15</v>
      </c>
      <c r="I4691">
        <f>B4691&amp;"|"&amp;C4691</f>
        <v/>
      </c>
      <c r="J4691" t="inlineStr">
        <is>
          <t>low cost and average</t>
        </is>
      </c>
    </row>
    <row r="4692">
      <c r="B4692" t="inlineStr">
        <is>
          <t>Arch-Rib (Quonset) Farm Utility Buildings</t>
        </is>
      </c>
      <c r="C4692" t="inlineStr">
        <is>
          <t>Good</t>
        </is>
      </c>
      <c r="G4692" t="n">
        <v>25</v>
      </c>
      <c r="H4692" t="n">
        <v>25</v>
      </c>
      <c r="I4692">
        <f>B4692&amp;"|"&amp;C4692</f>
        <v/>
      </c>
      <c r="J4692" t="inlineStr">
        <is>
          <t>Utility/arch-rib buildings, good</t>
        </is>
      </c>
    </row>
    <row r="4693">
      <c r="B4693" t="inlineStr">
        <is>
          <t>Arch-Rib (Quonset) Farm Utility Buildings</t>
        </is>
      </c>
      <c r="C4693" t="inlineStr">
        <is>
          <t>Average</t>
        </is>
      </c>
      <c r="G4693" t="n">
        <v>20</v>
      </c>
      <c r="H4693" t="n">
        <v>20</v>
      </c>
      <c r="I4693">
        <f>B4693&amp;"|"&amp;C4693</f>
        <v/>
      </c>
      <c r="J4693" t="inlineStr">
        <is>
          <t>average</t>
        </is>
      </c>
    </row>
    <row r="4694">
      <c r="B4694" t="inlineStr">
        <is>
          <t>Arch-Rib (Quonset) Farm Utility Buildings</t>
        </is>
      </c>
      <c r="C4694" t="inlineStr">
        <is>
          <t>Low Cost</t>
        </is>
      </c>
      <c r="G4694" t="n">
        <v>15</v>
      </c>
      <c r="H4694" t="n">
        <v>15</v>
      </c>
      <c r="I4694">
        <f>B4694&amp;"|"&amp;C4694</f>
        <v/>
      </c>
      <c r="J4694" t="inlineStr">
        <is>
          <t>low cost</t>
        </is>
      </c>
    </row>
    <row r="4695">
      <c r="B4695" t="inlineStr">
        <is>
          <t>Farm Utility/Grain Storage (Granary) Buildings</t>
        </is>
      </c>
      <c r="C4695" t="inlineStr">
        <is>
          <t>Very Good</t>
        </is>
      </c>
      <c r="G4695" t="n">
        <v>25</v>
      </c>
      <c r="I4695">
        <f>B4695&amp;"|"&amp;C4695</f>
        <v/>
      </c>
      <c r="J4695" t="inlineStr">
        <is>
          <t>Utility buildings, farm/grain storage, very good</t>
        </is>
      </c>
    </row>
    <row r="4696">
      <c r="B4696" t="inlineStr">
        <is>
          <t>Farm Utility/Grain Storage (Granary) Buildings</t>
        </is>
      </c>
      <c r="C4696" t="inlineStr">
        <is>
          <t>Good</t>
        </is>
      </c>
      <c r="F4696" t="n">
        <v>25</v>
      </c>
      <c r="G4696" t="n">
        <v>20</v>
      </c>
      <c r="H4696" t="n">
        <v>20</v>
      </c>
      <c r="I4696">
        <f>B4696&amp;"|"&amp;C4696</f>
        <v/>
      </c>
      <c r="J4696" t="inlineStr">
        <is>
          <t>good</t>
        </is>
      </c>
    </row>
    <row r="4697">
      <c r="B4697" t="inlineStr">
        <is>
          <t>Farm Utility Storage Sheds</t>
        </is>
      </c>
      <c r="C4697" t="inlineStr">
        <is>
          <t>Low Cost</t>
        </is>
      </c>
      <c r="F4697" t="n">
        <v>15</v>
      </c>
      <c r="G4697" t="n">
        <v>10</v>
      </c>
      <c r="H4697" t="n">
        <v>10</v>
      </c>
      <c r="I4697">
        <f>B4697&amp;"|"&amp;C4697</f>
        <v/>
      </c>
      <c r="J4697" t="inlineStr">
        <is>
          <t>low cost</t>
        </is>
      </c>
    </row>
    <row r="4698">
      <c r="B4698" t="inlineStr">
        <is>
          <t>Farm Utility Storage Sheds</t>
        </is>
      </c>
      <c r="C4698" t="inlineStr">
        <is>
          <t>Good</t>
        </is>
      </c>
      <c r="G4698" t="n">
        <v>20</v>
      </c>
      <c r="I4698">
        <f>B4698&amp;"|"&amp;C4698</f>
        <v/>
      </c>
      <c r="J4698" t="inlineStr">
        <is>
          <t>Utility storage/loafing sheds, good</t>
        </is>
      </c>
    </row>
    <row r="4699">
      <c r="B4699" t="inlineStr">
        <is>
          <t>Farm Utility Storage Sheds</t>
        </is>
      </c>
      <c r="C4699" t="inlineStr">
        <is>
          <t>Average</t>
        </is>
      </c>
      <c r="G4699" t="n">
        <v>15</v>
      </c>
      <c r="I4699">
        <f>B4699&amp;"|"&amp;C4699</f>
        <v/>
      </c>
      <c r="J4699" t="inlineStr">
        <is>
          <t>average</t>
        </is>
      </c>
    </row>
    <row r="4700">
      <c r="B4700" t="inlineStr">
        <is>
          <t>Farm Utility Lean-Tos</t>
        </is>
      </c>
      <c r="C4700" t="inlineStr">
        <is>
          <t>Good</t>
        </is>
      </c>
      <c r="G4700" t="n">
        <v>20</v>
      </c>
      <c r="H4700" t="n">
        <v>20</v>
      </c>
      <c r="I4700">
        <f>B4700&amp;"|"&amp;C4700</f>
        <v/>
      </c>
      <c r="J4700" t="inlineStr">
        <is>
          <t>farm utility, good</t>
        </is>
      </c>
    </row>
    <row r="4701">
      <c r="B4701" t="inlineStr">
        <is>
          <t>Farm Utility Lean-Tos</t>
        </is>
      </c>
      <c r="C4701" t="inlineStr">
        <is>
          <t>Average</t>
        </is>
      </c>
      <c r="G4701" t="n">
        <v>15</v>
      </c>
      <c r="H4701" t="n">
        <v>15</v>
      </c>
      <c r="I4701">
        <f>B4701&amp;"|"&amp;C4701</f>
        <v/>
      </c>
      <c r="J4701" t="inlineStr">
        <is>
          <t>low cost and average</t>
        </is>
      </c>
    </row>
    <row r="4702">
      <c r="B4702" t="inlineStr">
        <is>
          <t>Farm Utility Lean-Tos</t>
        </is>
      </c>
      <c r="C4702" t="inlineStr">
        <is>
          <t>Low Cost</t>
        </is>
      </c>
      <c r="G4702" t="n">
        <v>15</v>
      </c>
      <c r="H4702" t="n">
        <v>15</v>
      </c>
      <c r="I4702">
        <f>B4702&amp;"|"&amp;C4702</f>
        <v/>
      </c>
      <c r="J4702" t="inlineStr">
        <is>
          <t>low cost and average</t>
        </is>
      </c>
    </row>
    <row r="4703">
      <c r="B4703" t="inlineStr">
        <is>
          <t>Farm Commodity Storage Sheds</t>
        </is>
      </c>
      <c r="C4703" t="inlineStr">
        <is>
          <t>Average</t>
        </is>
      </c>
      <c r="F4703" t="n">
        <v>25</v>
      </c>
      <c r="G4703" t="n">
        <v>20</v>
      </c>
      <c r="H4703" t="n">
        <v>20</v>
      </c>
      <c r="I4703">
        <f>B4703&amp;"|"&amp;C4703</f>
        <v/>
      </c>
      <c r="J4703" t="inlineStr">
        <is>
          <t>Commodity storage sheds, average</t>
        </is>
      </c>
    </row>
    <row r="4704">
      <c r="B4704" t="inlineStr">
        <is>
          <t>Corn Crib Buildings – Spaced Boards</t>
        </is>
      </c>
      <c r="C4704" t="inlineStr">
        <is>
          <t>Good</t>
        </is>
      </c>
      <c r="G4704" t="n">
        <v>20</v>
      </c>
      <c r="I4704">
        <f>B4704&amp;"|"&amp;C4704</f>
        <v/>
      </c>
      <c r="J4704" t="inlineStr">
        <is>
          <t>Corncrib buildings, spaced board, average and good</t>
        </is>
      </c>
    </row>
    <row r="4705">
      <c r="B4705" t="inlineStr">
        <is>
          <t>Corn Crib Buildings – Spaced Boards</t>
        </is>
      </c>
      <c r="C4705" t="inlineStr">
        <is>
          <t>Average</t>
        </is>
      </c>
      <c r="G4705" t="n">
        <v>20</v>
      </c>
      <c r="I4705">
        <f>B4705&amp;"|"&amp;C4705</f>
        <v/>
      </c>
      <c r="J4705" t="inlineStr">
        <is>
          <t>Corncrib buildings, spaced board, average and good</t>
        </is>
      </c>
    </row>
    <row r="4706">
      <c r="B4706" t="inlineStr">
        <is>
          <t>Corn Crib Buildings – Wire Mesh</t>
        </is>
      </c>
      <c r="C4706" t="inlineStr">
        <is>
          <t>Good</t>
        </is>
      </c>
      <c r="G4706" t="n">
        <v>20</v>
      </c>
      <c r="I4706">
        <f>B4706&amp;"|"&amp;C4706</f>
        <v/>
      </c>
      <c r="J4706" t="inlineStr">
        <is>
          <t>wire mesh, good</t>
        </is>
      </c>
    </row>
    <row r="4707">
      <c r="B4707" t="inlineStr">
        <is>
          <t>Corn Crib Buildings – Wire Mesh</t>
        </is>
      </c>
      <c r="C4707" t="inlineStr">
        <is>
          <t>Average</t>
        </is>
      </c>
      <c r="G4707" t="n">
        <v>15</v>
      </c>
      <c r="I4707">
        <f>B4707&amp;"|"&amp;C4707</f>
        <v/>
      </c>
      <c r="J4707" t="inlineStr">
        <is>
          <t>average</t>
        </is>
      </c>
    </row>
    <row r="4708">
      <c r="B4708" t="inlineStr">
        <is>
          <t>Farm Implement (Equipment Shop) Buildings</t>
        </is>
      </c>
      <c r="C4708" t="inlineStr">
        <is>
          <t>Good</t>
        </is>
      </c>
      <c r="F4708" t="n">
        <v>30</v>
      </c>
      <c r="G4708" t="n">
        <v>25</v>
      </c>
      <c r="H4708" t="n">
        <v>25</v>
      </c>
      <c r="I4708">
        <f>B4708&amp;"|"&amp;C4708</f>
        <v/>
      </c>
      <c r="J4708" t="inlineStr">
        <is>
          <t>implement/equipment buildings, good</t>
        </is>
      </c>
    </row>
    <row r="4709">
      <c r="B4709" t="inlineStr">
        <is>
          <t>Farm Implement (Equipment Shop) Buildings</t>
        </is>
      </c>
      <c r="C4709" t="inlineStr">
        <is>
          <t>Average</t>
        </is>
      </c>
      <c r="F4709" t="n">
        <v>25</v>
      </c>
      <c r="G4709" t="n">
        <v>20</v>
      </c>
      <c r="H4709" t="n">
        <v>20</v>
      </c>
      <c r="I4709">
        <f>B4709&amp;"|"&amp;C4709</f>
        <v/>
      </c>
      <c r="J4709" t="inlineStr">
        <is>
          <t>low cost and average</t>
        </is>
      </c>
    </row>
    <row r="4710">
      <c r="B4710" t="inlineStr">
        <is>
          <t>Farm Implement (Equipment Shop) Buildings</t>
        </is>
      </c>
      <c r="C4710" t="inlineStr">
        <is>
          <t>Low Cost</t>
        </is>
      </c>
      <c r="F4710" t="n">
        <v>25</v>
      </c>
      <c r="G4710" t="n">
        <v>20</v>
      </c>
      <c r="H4710" t="n">
        <v>20</v>
      </c>
      <c r="I4710">
        <f>B4710&amp;"|"&amp;C4710</f>
        <v/>
      </c>
      <c r="J4710" t="inlineStr">
        <is>
          <t>low cost and average</t>
        </is>
      </c>
    </row>
    <row r="4711">
      <c r="B4711" t="inlineStr">
        <is>
          <t>Arch-Rib (Quonset) Farm Implement Buildings</t>
        </is>
      </c>
      <c r="C4711" t="inlineStr">
        <is>
          <t>Good</t>
        </is>
      </c>
      <c r="G4711" t="n">
        <v>30</v>
      </c>
      <c r="H4711" t="n">
        <v>30</v>
      </c>
      <c r="I4711">
        <f>B4711&amp;"|"&amp;C4711</f>
        <v/>
      </c>
      <c r="J4711" t="inlineStr">
        <is>
          <t>Implement, arch-rib buildings, good</t>
        </is>
      </c>
    </row>
    <row r="4712">
      <c r="B4712" t="inlineStr">
        <is>
          <t>Arch-Rib (Quonset) Farm Implement Buildings</t>
        </is>
      </c>
      <c r="C4712" t="inlineStr">
        <is>
          <t>Average</t>
        </is>
      </c>
      <c r="G4712" t="n">
        <v>25</v>
      </c>
      <c r="H4712" t="n">
        <v>25</v>
      </c>
      <c r="I4712">
        <f>B4712&amp;"|"&amp;C4712</f>
        <v/>
      </c>
      <c r="J4712" t="inlineStr">
        <is>
          <t>average</t>
        </is>
      </c>
    </row>
    <row r="4713">
      <c r="B4713" t="inlineStr">
        <is>
          <t>Arch-Rib (Quonset) Farm Implement Buildings</t>
        </is>
      </c>
      <c r="C4713" t="inlineStr">
        <is>
          <t>Low Cost</t>
        </is>
      </c>
      <c r="G4713" t="n">
        <v>20</v>
      </c>
      <c r="H4713" t="n">
        <v>20</v>
      </c>
      <c r="I4713">
        <f>B4713&amp;"|"&amp;C4713</f>
        <v/>
      </c>
      <c r="J4713" t="inlineStr">
        <is>
          <t>low cost</t>
        </is>
      </c>
    </row>
    <row r="4714">
      <c r="B4714" t="inlineStr">
        <is>
          <t>Arch-Rib (Quonset) Farm Implement Buildings</t>
        </is>
      </c>
      <c r="C4714" t="inlineStr">
        <is>
          <t>Cheap</t>
        </is>
      </c>
      <c r="G4714" t="n">
        <v>20</v>
      </c>
      <c r="H4714" t="n">
        <v>20</v>
      </c>
      <c r="I4714">
        <f>B4714&amp;"|"&amp;C4714</f>
        <v/>
      </c>
      <c r="J4714" t="inlineStr">
        <is>
          <t>low cost</t>
        </is>
      </c>
    </row>
    <row r="4715">
      <c r="B4715" t="inlineStr">
        <is>
          <t>Farm Implement – Equipment Sheds</t>
        </is>
      </c>
      <c r="C4715" t="inlineStr">
        <is>
          <t>Average</t>
        </is>
      </c>
      <c r="F4715" t="n">
        <v>25</v>
      </c>
      <c r="G4715" t="n">
        <v>20</v>
      </c>
      <c r="H4715" t="n">
        <v>20</v>
      </c>
      <c r="I4715">
        <f>B4715&amp;"|"&amp;C4715</f>
        <v/>
      </c>
      <c r="J4715" t="inlineStr">
        <is>
          <t>implement/equipment sheds, average</t>
        </is>
      </c>
    </row>
    <row r="4716">
      <c r="B4716" t="inlineStr">
        <is>
          <t>Farm Implement – Equipment Sheds</t>
        </is>
      </c>
      <c r="C4716" t="inlineStr">
        <is>
          <t>Low Cost</t>
        </is>
      </c>
      <c r="F4716" t="n">
        <v>20</v>
      </c>
      <c r="G4716" t="n">
        <v>15</v>
      </c>
      <c r="H4716" t="n">
        <v>15</v>
      </c>
      <c r="I4716">
        <f>B4716&amp;"|"&amp;C4716</f>
        <v/>
      </c>
      <c r="J4716" t="inlineStr">
        <is>
          <t>low cost</t>
        </is>
      </c>
    </row>
    <row r="4717">
      <c r="B4717" t="inlineStr">
        <is>
          <t>Barns – General Purpose</t>
        </is>
      </c>
      <c r="C4717" t="inlineStr">
        <is>
          <t>Good</t>
        </is>
      </c>
      <c r="F4717" t="n">
        <v>35</v>
      </c>
      <c r="G4717" t="n">
        <v>30</v>
      </c>
      <c r="H4717" t="n">
        <v>30</v>
      </c>
      <c r="I4717">
        <f>B4717&amp;"|"&amp;C4717</f>
        <v/>
      </c>
      <c r="J4717" t="inlineStr">
        <is>
          <t>general purpose, good</t>
        </is>
      </c>
    </row>
    <row r="4718">
      <c r="B4718" t="inlineStr">
        <is>
          <t>Barns – General Purpose</t>
        </is>
      </c>
      <c r="C4718" t="inlineStr">
        <is>
          <t>Average</t>
        </is>
      </c>
      <c r="F4718" t="n">
        <v>30</v>
      </c>
      <c r="G4718" t="n">
        <v>25</v>
      </c>
      <c r="H4718" t="n">
        <v>25</v>
      </c>
      <c r="I4718">
        <f>B4718&amp;"|"&amp;C4718</f>
        <v/>
      </c>
      <c r="J4718" t="inlineStr">
        <is>
          <t>average</t>
        </is>
      </c>
    </row>
    <row r="4719">
      <c r="B4719" t="inlineStr">
        <is>
          <t>Barns – General Purpose</t>
        </is>
      </c>
      <c r="C4719" t="inlineStr">
        <is>
          <t>Low Cost</t>
        </is>
      </c>
      <c r="F4719" t="n">
        <v>20</v>
      </c>
      <c r="G4719" t="n">
        <v>15</v>
      </c>
      <c r="H4719" t="n">
        <v>15</v>
      </c>
      <c r="I4719">
        <f>B4719&amp;"|"&amp;C4719</f>
        <v/>
      </c>
      <c r="J4719" t="inlineStr">
        <is>
          <t>low cost</t>
        </is>
      </c>
    </row>
    <row r="4720">
      <c r="B4720" t="inlineStr">
        <is>
          <t>Bank Barns (Two-Story) – General Purpose</t>
        </is>
      </c>
      <c r="C4720" t="inlineStr">
        <is>
          <t>Good</t>
        </is>
      </c>
      <c r="F4720" t="n">
        <v>35</v>
      </c>
      <c r="G4720" t="n">
        <v>30</v>
      </c>
      <c r="H4720" t="n">
        <v>30</v>
      </c>
      <c r="I4720">
        <f>B4720&amp;"|"&amp;C4720</f>
        <v/>
      </c>
      <c r="J4720" t="inlineStr">
        <is>
          <t>general purpose, good</t>
        </is>
      </c>
    </row>
    <row r="4721">
      <c r="B4721" t="inlineStr">
        <is>
          <t>Bank Barns (Two-Story) – General Purpose</t>
        </is>
      </c>
      <c r="C4721" t="inlineStr">
        <is>
          <t>Average</t>
        </is>
      </c>
      <c r="F4721" t="n">
        <v>30</v>
      </c>
      <c r="G4721" t="n">
        <v>25</v>
      </c>
      <c r="H4721" t="n">
        <v>25</v>
      </c>
      <c r="I4721">
        <f>B4721&amp;"|"&amp;C4721</f>
        <v/>
      </c>
      <c r="J4721" t="inlineStr">
        <is>
          <t>average</t>
        </is>
      </c>
    </row>
    <row r="4722">
      <c r="B4722" t="inlineStr">
        <is>
          <t>Bank Barns (Two-Story) – General Purpose</t>
        </is>
      </c>
      <c r="C4722" t="inlineStr">
        <is>
          <t>Low Cost</t>
        </is>
      </c>
      <c r="F4722" t="n">
        <v>20</v>
      </c>
      <c r="G4722" t="n">
        <v>15</v>
      </c>
      <c r="H4722" t="n">
        <v>15</v>
      </c>
      <c r="I4722">
        <f>B4722&amp;"|"&amp;C4722</f>
        <v/>
      </c>
      <c r="J4722" t="inlineStr">
        <is>
          <t>low cost</t>
        </is>
      </c>
    </row>
    <row r="4723">
      <c r="B4723" t="inlineStr">
        <is>
          <t>Barns – Special Purpose</t>
        </is>
      </c>
      <c r="C4723" t="inlineStr">
        <is>
          <t>Excellent</t>
        </is>
      </c>
      <c r="F4723" t="n">
        <v>40</v>
      </c>
      <c r="G4723" t="n">
        <v>35</v>
      </c>
      <c r="I4723">
        <f>B4723&amp;"|"&amp;C4723</f>
        <v/>
      </c>
      <c r="J4723" t="inlineStr">
        <is>
          <t>special purpose, excellent</t>
        </is>
      </c>
    </row>
    <row r="4724">
      <c r="B4724" t="inlineStr">
        <is>
          <t>Barns – Special Purpose</t>
        </is>
      </c>
      <c r="C4724" t="inlineStr">
        <is>
          <t>Good</t>
        </is>
      </c>
      <c r="F4724" t="n">
        <v>35</v>
      </c>
      <c r="G4724" t="n">
        <v>30</v>
      </c>
      <c r="I4724">
        <f>B4724&amp;"|"&amp;C4724</f>
        <v/>
      </c>
      <c r="J4724" t="inlineStr">
        <is>
          <t>good</t>
        </is>
      </c>
    </row>
    <row r="4725">
      <c r="B4725" t="inlineStr">
        <is>
          <t>Barns – Special Purpose</t>
        </is>
      </c>
      <c r="C4725" t="inlineStr">
        <is>
          <t>Average</t>
        </is>
      </c>
      <c r="F4725" t="n">
        <v>30</v>
      </c>
      <c r="G4725" t="n">
        <v>25</v>
      </c>
      <c r="I4725">
        <f>B4725&amp;"|"&amp;C4725</f>
        <v/>
      </c>
      <c r="J4725" t="inlineStr">
        <is>
          <t>low cost and average</t>
        </is>
      </c>
    </row>
    <row r="4726">
      <c r="B4726" t="inlineStr">
        <is>
          <t>Barns – Special Purpose</t>
        </is>
      </c>
      <c r="C4726" t="inlineStr">
        <is>
          <t>Low Cost</t>
        </is>
      </c>
      <c r="F4726" t="n">
        <v>30</v>
      </c>
      <c r="G4726" t="n">
        <v>25</v>
      </c>
      <c r="I4726">
        <f>B4726&amp;"|"&amp;C4726</f>
        <v/>
      </c>
      <c r="J4726" t="inlineStr">
        <is>
          <t>low cost and average</t>
        </is>
      </c>
    </row>
    <row r="4727">
      <c r="B4727" t="inlineStr">
        <is>
          <t>Bank Barns (Two-Story) – Special Purpose</t>
        </is>
      </c>
      <c r="C4727" t="inlineStr">
        <is>
          <t>Excellent</t>
        </is>
      </c>
      <c r="F4727" t="n">
        <v>40</v>
      </c>
      <c r="G4727" t="n">
        <v>35</v>
      </c>
      <c r="I4727">
        <f>B4727&amp;"|"&amp;C4727</f>
        <v/>
      </c>
      <c r="J4727" t="inlineStr">
        <is>
          <t>special purpose, excellent</t>
        </is>
      </c>
    </row>
    <row r="4728">
      <c r="B4728" t="inlineStr">
        <is>
          <t>Bank Barns (Two-Story) – Special Purpose</t>
        </is>
      </c>
      <c r="C4728" t="inlineStr">
        <is>
          <t>Good</t>
        </is>
      </c>
      <c r="F4728" t="n">
        <v>35</v>
      </c>
      <c r="G4728" t="n">
        <v>30</v>
      </c>
      <c r="I4728">
        <f>B4728&amp;"|"&amp;C4728</f>
        <v/>
      </c>
      <c r="J4728" t="inlineStr">
        <is>
          <t>good</t>
        </is>
      </c>
    </row>
    <row r="4729">
      <c r="B4729" t="inlineStr">
        <is>
          <t>Bank Barns (Two-Story) – Special Purpose</t>
        </is>
      </c>
      <c r="C4729" t="inlineStr">
        <is>
          <t>Average</t>
        </is>
      </c>
      <c r="F4729" t="n">
        <v>30</v>
      </c>
      <c r="G4729" t="n">
        <v>25</v>
      </c>
      <c r="I4729">
        <f>B4729&amp;"|"&amp;C4729</f>
        <v/>
      </c>
      <c r="J4729" t="inlineStr">
        <is>
          <t>low cost and average</t>
        </is>
      </c>
    </row>
    <row r="4730">
      <c r="B4730" t="inlineStr">
        <is>
          <t>Bank Barns (Two-Story) – Special Purpose</t>
        </is>
      </c>
      <c r="C4730" t="inlineStr">
        <is>
          <t>Low Cost</t>
        </is>
      </c>
      <c r="F4730" t="n">
        <v>30</v>
      </c>
      <c r="G4730" t="n">
        <v>25</v>
      </c>
      <c r="I4730">
        <f>B4730&amp;"|"&amp;C4730</f>
        <v/>
      </c>
      <c r="J4730" t="inlineStr">
        <is>
          <t>low cost and average</t>
        </is>
      </c>
    </row>
    <row r="4731">
      <c r="B4731" t="inlineStr">
        <is>
          <t>Free-Stall Barns</t>
        </is>
      </c>
      <c r="C4731" t="inlineStr">
        <is>
          <t>Excellent</t>
        </is>
      </c>
      <c r="G4731" t="n">
        <v>30</v>
      </c>
      <c r="H4731" t="n">
        <v>30</v>
      </c>
      <c r="I4731">
        <f>B4731&amp;"|"&amp;C4731</f>
        <v/>
      </c>
      <c r="J4731" t="inlineStr">
        <is>
          <t>Barns, freestall and confinement, good and excellent</t>
        </is>
      </c>
    </row>
    <row r="4732">
      <c r="B4732" t="inlineStr">
        <is>
          <t>Free-Stall Barns</t>
        </is>
      </c>
      <c r="C4732" t="inlineStr">
        <is>
          <t>Good</t>
        </is>
      </c>
      <c r="G4732" t="n">
        <v>30</v>
      </c>
      <c r="H4732" t="n">
        <v>30</v>
      </c>
      <c r="I4732">
        <f>B4732&amp;"|"&amp;C4732</f>
        <v/>
      </c>
      <c r="J4732" t="inlineStr">
        <is>
          <t>Barns, freestall and confinement, good and excellent</t>
        </is>
      </c>
    </row>
    <row r="4733">
      <c r="B4733" t="inlineStr">
        <is>
          <t>Free-Stall Barns</t>
        </is>
      </c>
      <c r="C4733" t="inlineStr">
        <is>
          <t>Average</t>
        </is>
      </c>
      <c r="G4733" t="n">
        <v>25</v>
      </c>
      <c r="H4733" t="n">
        <v>25</v>
      </c>
      <c r="I4733">
        <f>B4733&amp;"|"&amp;C4733</f>
        <v/>
      </c>
      <c r="J4733" t="inlineStr">
        <is>
          <t>average</t>
        </is>
      </c>
    </row>
    <row r="4734">
      <c r="B4734" t="inlineStr">
        <is>
          <t>Free-Stall Barns</t>
        </is>
      </c>
      <c r="C4734" t="inlineStr">
        <is>
          <t>Low Cost</t>
        </is>
      </c>
      <c r="G4734" t="n">
        <v>15</v>
      </c>
      <c r="H4734" t="n">
        <v>15</v>
      </c>
      <c r="I4734">
        <f>B4734&amp;"|"&amp;C4734</f>
        <v/>
      </c>
      <c r="J4734" t="inlineStr">
        <is>
          <t>cheap and low cost</t>
        </is>
      </c>
    </row>
    <row r="4735">
      <c r="B4735" t="inlineStr">
        <is>
          <t>Free-Stall Barns</t>
        </is>
      </c>
      <c r="C4735" t="inlineStr">
        <is>
          <t>Cheap</t>
        </is>
      </c>
      <c r="G4735" t="n">
        <v>15</v>
      </c>
      <c r="H4735" t="n">
        <v>15</v>
      </c>
      <c r="I4735">
        <f>B4735&amp;"|"&amp;C4735</f>
        <v/>
      </c>
      <c r="J4735" t="inlineStr">
        <is>
          <t>cheap and low cost</t>
        </is>
      </c>
    </row>
    <row r="4736">
      <c r="B4736" t="inlineStr">
        <is>
          <t>Confinement Barns</t>
        </is>
      </c>
      <c r="C4736" t="inlineStr">
        <is>
          <t>Average</t>
        </is>
      </c>
      <c r="G4736" t="n">
        <v>25</v>
      </c>
      <c r="H4736" t="n">
        <v>25</v>
      </c>
      <c r="I4736">
        <f>B4736&amp;"|"&amp;C4736</f>
        <v/>
      </c>
      <c r="J4736" t="inlineStr">
        <is>
          <t>average</t>
        </is>
      </c>
    </row>
    <row r="4737">
      <c r="B4737" t="inlineStr">
        <is>
          <t>Confinement Barns</t>
        </is>
      </c>
      <c r="C4737" t="inlineStr">
        <is>
          <t>Low Cost</t>
        </is>
      </c>
      <c r="G4737" t="n">
        <v>15</v>
      </c>
      <c r="H4737" t="n">
        <v>15</v>
      </c>
      <c r="I4737">
        <f>B4737&amp;"|"&amp;C4737</f>
        <v/>
      </c>
      <c r="J4737" t="inlineStr">
        <is>
          <t>cheap and low cost</t>
        </is>
      </c>
    </row>
    <row r="4738">
      <c r="B4738" t="inlineStr">
        <is>
          <t>Feeder Barns – Sheds</t>
        </is>
      </c>
      <c r="C4738" t="inlineStr">
        <is>
          <t>Good</t>
        </is>
      </c>
      <c r="G4738" t="n">
        <v>20</v>
      </c>
      <c r="H4738" t="n">
        <v>20</v>
      </c>
      <c r="I4738">
        <f>B4738&amp;"|"&amp;C4738</f>
        <v/>
      </c>
      <c r="J4738" t="inlineStr">
        <is>
          <t>Feeder barns/loafing sheds, good</t>
        </is>
      </c>
    </row>
    <row r="4739">
      <c r="B4739" t="inlineStr">
        <is>
          <t>Feeder Barns – Sheds</t>
        </is>
      </c>
      <c r="C4739" t="inlineStr">
        <is>
          <t>Average</t>
        </is>
      </c>
      <c r="G4739" t="n">
        <v>15</v>
      </c>
      <c r="H4739" t="n">
        <v>15</v>
      </c>
      <c r="I4739">
        <f>B4739&amp;"|"&amp;C4739</f>
        <v/>
      </c>
      <c r="J4739" t="inlineStr">
        <is>
          <t>low cost and average</t>
        </is>
      </c>
    </row>
    <row r="4740">
      <c r="B4740" t="inlineStr">
        <is>
          <t>Feeder Barns – Sheds</t>
        </is>
      </c>
      <c r="C4740" t="inlineStr">
        <is>
          <t>Low Cost</t>
        </is>
      </c>
      <c r="G4740" t="n">
        <v>15</v>
      </c>
      <c r="H4740" t="n">
        <v>15</v>
      </c>
      <c r="I4740">
        <f>B4740&amp;"|"&amp;C4740</f>
        <v/>
      </c>
      <c r="J4740" t="inlineStr">
        <is>
          <t>low cost and average</t>
        </is>
      </c>
    </row>
    <row r="4741">
      <c r="B4741" t="inlineStr">
        <is>
          <t>Loafing Sheds</t>
        </is>
      </c>
      <c r="C4741" t="inlineStr">
        <is>
          <t>Good</t>
        </is>
      </c>
      <c r="G4741" t="n">
        <v>20</v>
      </c>
      <c r="H4741" t="n">
        <v>20</v>
      </c>
      <c r="I4741">
        <f>B4741&amp;"|"&amp;C4741</f>
        <v/>
      </c>
      <c r="J4741" t="inlineStr">
        <is>
          <t>Feeder barns/loafing sheds, good</t>
        </is>
      </c>
    </row>
    <row r="4742">
      <c r="B4742" t="inlineStr">
        <is>
          <t>Loafing Sheds</t>
        </is>
      </c>
      <c r="C4742" t="inlineStr">
        <is>
          <t>Average</t>
        </is>
      </c>
      <c r="G4742" t="n">
        <v>15</v>
      </c>
      <c r="H4742" t="n">
        <v>15</v>
      </c>
      <c r="I4742">
        <f>B4742&amp;"|"&amp;C4742</f>
        <v/>
      </c>
      <c r="J4742" t="inlineStr">
        <is>
          <t>low cost and average</t>
        </is>
      </c>
    </row>
    <row r="4743">
      <c r="B4743" t="inlineStr">
        <is>
          <t>Loafing Sheds</t>
        </is>
      </c>
      <c r="C4743" t="inlineStr">
        <is>
          <t>Low Cost</t>
        </is>
      </c>
      <c r="G4743" t="n">
        <v>15</v>
      </c>
      <c r="H4743" t="n">
        <v>15</v>
      </c>
      <c r="I4743">
        <f>B4743&amp;"|"&amp;C4743</f>
        <v/>
      </c>
      <c r="J4743" t="inlineStr">
        <is>
          <t>low cost and average</t>
        </is>
      </c>
    </row>
    <row r="4744">
      <c r="B4744" t="inlineStr">
        <is>
          <t>Farm Utility Shelters (Open Hay Sheds)</t>
        </is>
      </c>
      <c r="C4744" t="inlineStr">
        <is>
          <t>Good</t>
        </is>
      </c>
      <c r="G4744" t="n">
        <v>20</v>
      </c>
      <c r="H4744" t="n">
        <v>20</v>
      </c>
      <c r="I4744">
        <f>B4744&amp;"|"&amp;C4744</f>
        <v/>
      </c>
      <c r="J4744" t="inlineStr">
        <is>
          <t>Hay sheds/shelters, good</t>
        </is>
      </c>
    </row>
    <row r="4745">
      <c r="B4745" t="inlineStr">
        <is>
          <t>Farm Utility Shelters (Open Hay Sheds)</t>
        </is>
      </c>
      <c r="C4745" t="inlineStr">
        <is>
          <t>Average</t>
        </is>
      </c>
      <c r="G4745" t="n">
        <v>15</v>
      </c>
      <c r="H4745" t="n">
        <v>15</v>
      </c>
      <c r="I4745">
        <f>B4745&amp;"|"&amp;C4745</f>
        <v/>
      </c>
      <c r="J4745" t="inlineStr">
        <is>
          <t>average</t>
        </is>
      </c>
    </row>
    <row r="4746">
      <c r="B4746" t="inlineStr">
        <is>
          <t>Calving Barns – Sheds</t>
        </is>
      </c>
      <c r="C4746" t="inlineStr">
        <is>
          <t>Good</t>
        </is>
      </c>
      <c r="G4746" t="n">
        <v>20</v>
      </c>
      <c r="H4746" t="n">
        <v>20</v>
      </c>
      <c r="I4746">
        <f>B4746&amp;"|"&amp;C4746</f>
        <v/>
      </c>
      <c r="J4746" t="inlineStr">
        <is>
          <t>Calving barn shed, good</t>
        </is>
      </c>
    </row>
    <row r="4747">
      <c r="B4747" t="inlineStr">
        <is>
          <t>Calving Barns – Sheds</t>
        </is>
      </c>
      <c r="C4747" t="inlineStr">
        <is>
          <t>Average</t>
        </is>
      </c>
      <c r="G4747" t="n">
        <v>15</v>
      </c>
      <c r="H4747" t="n">
        <v>15</v>
      </c>
      <c r="I4747">
        <f>B4747&amp;"|"&amp;C4747</f>
        <v/>
      </c>
      <c r="J4747" t="inlineStr">
        <is>
          <t>low cost and average</t>
        </is>
      </c>
    </row>
    <row r="4748">
      <c r="B4748" t="inlineStr">
        <is>
          <t>Calving Barns – Sheds</t>
        </is>
      </c>
      <c r="C4748" t="inlineStr">
        <is>
          <t>Low Cost</t>
        </is>
      </c>
      <c r="G4748" t="n">
        <v>15</v>
      </c>
      <c r="H4748" t="n">
        <v>15</v>
      </c>
      <c r="I4748">
        <f>B4748&amp;"|"&amp;C4748</f>
        <v/>
      </c>
      <c r="J4748" t="inlineStr">
        <is>
          <t>low cost and average</t>
        </is>
      </c>
    </row>
    <row r="4749">
      <c r="B4749" t="inlineStr">
        <is>
          <t>Arena Shelters</t>
        </is>
      </c>
      <c r="C4749" t="inlineStr">
        <is>
          <t>Low Cost</t>
        </is>
      </c>
      <c r="G4749" t="n">
        <v>15</v>
      </c>
      <c r="H4749" t="n">
        <v>15</v>
      </c>
      <c r="I4749">
        <f>B4749&amp;"|"&amp;C4749</f>
        <v/>
      </c>
      <c r="J4749" t="inlineStr">
        <is>
          <t>low cost</t>
        </is>
      </c>
    </row>
    <row r="4750">
      <c r="B4750" t="inlineStr">
        <is>
          <t>Arena Shelters</t>
        </is>
      </c>
      <c r="C4750" t="inlineStr">
        <is>
          <t>Good</t>
        </is>
      </c>
      <c r="H4750" t="n">
        <v>25</v>
      </c>
      <c r="I4750">
        <f>B4750&amp;"|"&amp;C4750</f>
        <v/>
      </c>
      <c r="J4750" t="inlineStr">
        <is>
          <t>Arena shelters, good</t>
        </is>
      </c>
    </row>
    <row r="4751">
      <c r="B4751" t="inlineStr">
        <is>
          <t>Arena Shelters</t>
        </is>
      </c>
      <c r="C4751" t="inlineStr">
        <is>
          <t>Average</t>
        </is>
      </c>
      <c r="H4751" t="n">
        <v>20</v>
      </c>
      <c r="I4751">
        <f>B4751&amp;"|"&amp;C4751</f>
        <v/>
      </c>
      <c r="J4751" t="inlineStr">
        <is>
          <t>average</t>
        </is>
      </c>
    </row>
    <row r="4752">
      <c r="B4752" t="inlineStr">
        <is>
          <t>Farm Sun Shelters</t>
        </is>
      </c>
      <c r="C4752" t="inlineStr">
        <is>
          <t>Average</t>
        </is>
      </c>
      <c r="G4752" t="n">
        <v>10</v>
      </c>
      <c r="I4752">
        <f>B4752&amp;"|"&amp;C4752</f>
        <v/>
      </c>
      <c r="J4752" t="inlineStr">
        <is>
          <t>low cost and average</t>
        </is>
      </c>
    </row>
    <row r="4753">
      <c r="B4753" t="inlineStr">
        <is>
          <t>Farm Sun Shelters</t>
        </is>
      </c>
      <c r="C4753" t="inlineStr">
        <is>
          <t>Low Cost</t>
        </is>
      </c>
      <c r="G4753" t="n">
        <v>10</v>
      </c>
      <c r="I4753">
        <f>B4753&amp;"|"&amp;C4753</f>
        <v/>
      </c>
      <c r="J4753" t="inlineStr">
        <is>
          <t>low cost and average</t>
        </is>
      </c>
    </row>
    <row r="4754">
      <c r="B4754" t="inlineStr">
        <is>
          <t>Arenas</t>
        </is>
      </c>
      <c r="C4754" t="inlineStr">
        <is>
          <t>Excellent</t>
        </is>
      </c>
      <c r="F4754" t="n">
        <v>40</v>
      </c>
      <c r="G4754" t="n">
        <v>35</v>
      </c>
      <c r="H4754" t="n">
        <v>35</v>
      </c>
      <c r="I4754">
        <f>B4754&amp;"|"&amp;C4754</f>
        <v/>
      </c>
      <c r="J4754" t="inlineStr">
        <is>
          <t>Arenas, excellent</t>
        </is>
      </c>
    </row>
    <row r="4755">
      <c r="B4755" t="inlineStr">
        <is>
          <t>Arenas</t>
        </is>
      </c>
      <c r="C4755" t="inlineStr">
        <is>
          <t>Good</t>
        </is>
      </c>
      <c r="F4755" t="n">
        <v>35</v>
      </c>
      <c r="G4755" t="n">
        <v>30</v>
      </c>
      <c r="H4755" t="n">
        <v>30</v>
      </c>
      <c r="I4755">
        <f>B4755&amp;"|"&amp;C4755</f>
        <v/>
      </c>
      <c r="J4755" t="inlineStr">
        <is>
          <t>good</t>
        </is>
      </c>
    </row>
    <row r="4756">
      <c r="B4756" t="inlineStr">
        <is>
          <t>Arenas</t>
        </is>
      </c>
      <c r="C4756" t="inlineStr">
        <is>
          <t>Average</t>
        </is>
      </c>
      <c r="F4756" t="n">
        <v>30</v>
      </c>
      <c r="G4756" t="n">
        <v>25</v>
      </c>
      <c r="H4756" t="n">
        <v>25</v>
      </c>
      <c r="I4756">
        <f>B4756&amp;"|"&amp;C4756</f>
        <v/>
      </c>
      <c r="J4756" t="inlineStr">
        <is>
          <t>average</t>
        </is>
      </c>
    </row>
    <row r="4757">
      <c r="B4757" t="inlineStr">
        <is>
          <t>Arenas</t>
        </is>
      </c>
      <c r="C4757" t="inlineStr">
        <is>
          <t>Low Cost</t>
        </is>
      </c>
      <c r="F4757" t="n">
        <v>20</v>
      </c>
      <c r="G4757" t="n">
        <v>15</v>
      </c>
      <c r="H4757" t="n">
        <v>15</v>
      </c>
      <c r="I4757">
        <f>B4757&amp;"|"&amp;C4757</f>
        <v/>
      </c>
      <c r="J4757" t="inlineStr">
        <is>
          <t>cheap and low cost</t>
        </is>
      </c>
    </row>
    <row r="4758">
      <c r="B4758" t="inlineStr">
        <is>
          <t>Arenas</t>
        </is>
      </c>
      <c r="C4758" t="inlineStr">
        <is>
          <t>Cheap</t>
        </is>
      </c>
      <c r="F4758" t="n">
        <v>20</v>
      </c>
      <c r="G4758" t="n">
        <v>15</v>
      </c>
      <c r="H4758" t="n">
        <v>15</v>
      </c>
      <c r="I4758">
        <f>B4758&amp;"|"&amp;C4758</f>
        <v/>
      </c>
      <c r="J4758" t="inlineStr">
        <is>
          <t>cheap and low cost</t>
        </is>
      </c>
    </row>
    <row r="4759">
      <c r="B4759" t="inlineStr">
        <is>
          <t>Equestrian Lean-Tos</t>
        </is>
      </c>
      <c r="C4759" t="inlineStr">
        <is>
          <t>Average</t>
        </is>
      </c>
      <c r="G4759" t="n">
        <v>25</v>
      </c>
      <c r="H4759" t="n">
        <v>25</v>
      </c>
      <c r="I4759">
        <f>B4759&amp;"|"&amp;C4759</f>
        <v/>
      </c>
      <c r="J4759" t="inlineStr">
        <is>
          <t>Lean-tos, equestrian, average</t>
        </is>
      </c>
    </row>
    <row r="4760">
      <c r="B4760" t="inlineStr">
        <is>
          <t>Equestrian Lean-Tos</t>
        </is>
      </c>
      <c r="C4760" t="inlineStr">
        <is>
          <t>Low Cost</t>
        </is>
      </c>
      <c r="G4760" t="n">
        <v>15</v>
      </c>
      <c r="H4760" t="n">
        <v>15</v>
      </c>
      <c r="I4760">
        <f>B4760&amp;"|"&amp;C4760</f>
        <v/>
      </c>
      <c r="J4760" t="inlineStr">
        <is>
          <t>low cost</t>
        </is>
      </c>
    </row>
    <row r="4761">
      <c r="B4761" t="inlineStr">
        <is>
          <t>Stables</t>
        </is>
      </c>
      <c r="C4761" t="inlineStr">
        <is>
          <t>Good</t>
        </is>
      </c>
      <c r="F4761" t="n">
        <v>35</v>
      </c>
      <c r="G4761" t="n">
        <v>30</v>
      </c>
      <c r="H4761" t="n">
        <v>30</v>
      </c>
      <c r="I4761">
        <f>B4761&amp;"|"&amp;C4761</f>
        <v/>
      </c>
      <c r="J4761" t="inlineStr">
        <is>
          <t>Stables, good</t>
        </is>
      </c>
    </row>
    <row r="4762">
      <c r="B4762" t="inlineStr">
        <is>
          <t>Stables</t>
        </is>
      </c>
      <c r="C4762" t="inlineStr">
        <is>
          <t>Average</t>
        </is>
      </c>
      <c r="F4762" t="n">
        <v>30</v>
      </c>
      <c r="G4762" t="n">
        <v>25</v>
      </c>
      <c r="H4762" t="n">
        <v>25</v>
      </c>
      <c r="I4762">
        <f>B4762&amp;"|"&amp;C4762</f>
        <v/>
      </c>
      <c r="J4762" t="inlineStr">
        <is>
          <t>average</t>
        </is>
      </c>
    </row>
    <row r="4763">
      <c r="B4763" t="inlineStr">
        <is>
          <t>Stables</t>
        </is>
      </c>
      <c r="C4763" t="inlineStr">
        <is>
          <t>Low Cost</t>
        </is>
      </c>
      <c r="F4763" t="n">
        <v>20</v>
      </c>
      <c r="G4763" t="n">
        <v>15</v>
      </c>
      <c r="H4763" t="n">
        <v>15</v>
      </c>
      <c r="I4763">
        <f>B4763&amp;"|"&amp;C4763</f>
        <v/>
      </c>
      <c r="J4763" t="inlineStr">
        <is>
          <t>low cost</t>
        </is>
      </c>
    </row>
    <row r="4764">
      <c r="B4764" t="inlineStr">
        <is>
          <t>Stables</t>
        </is>
      </c>
      <c r="C4764" t="inlineStr">
        <is>
          <t>Cheap</t>
        </is>
      </c>
      <c r="F4764" t="n">
        <v>20</v>
      </c>
      <c r="G4764" t="n">
        <v>15</v>
      </c>
      <c r="H4764" t="n">
        <v>15</v>
      </c>
      <c r="I4764">
        <f>B4764&amp;"|"&amp;C4764</f>
        <v/>
      </c>
      <c r="J4764" t="inlineStr">
        <is>
          <t>low cost</t>
        </is>
      </c>
    </row>
    <row r="4765">
      <c r="B4765" t="inlineStr">
        <is>
          <t>High-Value (Estate) Stables – Horse Barns</t>
        </is>
      </c>
      <c r="C4765" t="inlineStr">
        <is>
          <t>Excellent</t>
        </is>
      </c>
      <c r="F4765" t="n">
        <v>50</v>
      </c>
      <c r="G4765" t="n">
        <v>45</v>
      </c>
      <c r="I4765">
        <f>B4765&amp;"|"&amp;C4765</f>
        <v/>
      </c>
      <c r="J4765" t="inlineStr">
        <is>
          <t>high-value estate stables, excellent</t>
        </is>
      </c>
    </row>
    <row r="4766">
      <c r="B4766" t="inlineStr">
        <is>
          <t>High-Value (Estate) Stables – Horse Barns</t>
        </is>
      </c>
      <c r="C4766" t="inlineStr">
        <is>
          <t>Good</t>
        </is>
      </c>
      <c r="F4766" t="n">
        <v>45</v>
      </c>
      <c r="G4766" t="n">
        <v>40</v>
      </c>
      <c r="I4766">
        <f>B4766&amp;"|"&amp;C4766</f>
        <v/>
      </c>
      <c r="J4766" t="inlineStr">
        <is>
          <t>good</t>
        </is>
      </c>
    </row>
    <row r="4767">
      <c r="B4767" t="inlineStr">
        <is>
          <t>High-Value (Estate) Stables – Horse Barns</t>
        </is>
      </c>
      <c r="C4767" t="inlineStr">
        <is>
          <t>Average</t>
        </is>
      </c>
      <c r="F4767" t="n">
        <v>40</v>
      </c>
      <c r="G4767" t="n">
        <v>35</v>
      </c>
      <c r="H4767" t="n">
        <v>35</v>
      </c>
      <c r="I4767">
        <f>B4767&amp;"|"&amp;C4767</f>
        <v/>
      </c>
      <c r="J4767" t="inlineStr">
        <is>
          <t>low-cost and average</t>
        </is>
      </c>
    </row>
    <row r="4768">
      <c r="B4768" t="inlineStr">
        <is>
          <t>High-Value (Estate) Stables – Horse Barns</t>
        </is>
      </c>
      <c r="C4768" t="inlineStr">
        <is>
          <t>Low Cost</t>
        </is>
      </c>
      <c r="F4768" t="n">
        <v>40</v>
      </c>
      <c r="G4768" t="n">
        <v>35</v>
      </c>
      <c r="H4768" t="n">
        <v>35</v>
      </c>
      <c r="I4768">
        <f>B4768&amp;"|"&amp;C4768</f>
        <v/>
      </c>
      <c r="J4768" t="inlineStr">
        <is>
          <t>low-cost and average</t>
        </is>
      </c>
    </row>
    <row r="4769">
      <c r="B4769" t="inlineStr">
        <is>
          <t>Dairies (Milking Parlors)</t>
        </is>
      </c>
      <c r="C4769" t="inlineStr">
        <is>
          <t>Excellent</t>
        </is>
      </c>
      <c r="F4769" t="n">
        <v>35</v>
      </c>
      <c r="G4769" t="n">
        <v>30</v>
      </c>
      <c r="H4769" t="n">
        <v>30</v>
      </c>
      <c r="I4769">
        <f>B4769&amp;"|"&amp;C4769</f>
        <v/>
      </c>
      <c r="J4769" t="inlineStr">
        <is>
          <t>Dairies/milking parlors, good and excellent</t>
        </is>
      </c>
    </row>
    <row r="4770">
      <c r="B4770" t="inlineStr">
        <is>
          <t>Dairies (Milking Parlors)</t>
        </is>
      </c>
      <c r="C4770" t="inlineStr">
        <is>
          <t>Good</t>
        </is>
      </c>
      <c r="F4770" t="n">
        <v>35</v>
      </c>
      <c r="G4770" t="n">
        <v>30</v>
      </c>
      <c r="H4770" t="n">
        <v>30</v>
      </c>
      <c r="I4770">
        <f>B4770&amp;"|"&amp;C4770</f>
        <v/>
      </c>
      <c r="J4770" t="inlineStr">
        <is>
          <t>Dairies/milking parlors, good and excellent</t>
        </is>
      </c>
    </row>
    <row r="4771">
      <c r="B4771" t="inlineStr">
        <is>
          <t>Dairies (Milking Parlors)</t>
        </is>
      </c>
      <c r="C4771" t="inlineStr">
        <is>
          <t>Average</t>
        </is>
      </c>
      <c r="F4771" t="n">
        <v>30</v>
      </c>
      <c r="G4771" t="n">
        <v>25</v>
      </c>
      <c r="H4771" t="n">
        <v>25</v>
      </c>
      <c r="I4771">
        <f>B4771&amp;"|"&amp;C4771</f>
        <v/>
      </c>
      <c r="J4771" t="inlineStr">
        <is>
          <t>average</t>
        </is>
      </c>
    </row>
    <row r="4772">
      <c r="B4772" t="inlineStr">
        <is>
          <t>Dairies (Milking Parlors)</t>
        </is>
      </c>
      <c r="C4772" t="inlineStr">
        <is>
          <t>Low Cost</t>
        </is>
      </c>
      <c r="F4772" t="n">
        <v>20</v>
      </c>
      <c r="G4772" t="n">
        <v>15</v>
      </c>
      <c r="H4772" t="n">
        <v>15</v>
      </c>
      <c r="I4772">
        <f>B4772&amp;"|"&amp;C4772</f>
        <v/>
      </c>
      <c r="J4772" t="inlineStr">
        <is>
          <t>low cost</t>
        </is>
      </c>
    </row>
    <row r="4773">
      <c r="B4773" t="inlineStr">
        <is>
          <t>Milkhouses</t>
        </is>
      </c>
      <c r="C4773" t="inlineStr">
        <is>
          <t>Good</t>
        </is>
      </c>
      <c r="F4773" t="n">
        <v>35</v>
      </c>
      <c r="G4773" t="n">
        <v>30</v>
      </c>
      <c r="I4773">
        <f>B4773&amp;"|"&amp;C4773</f>
        <v/>
      </c>
      <c r="J4773" t="inlineStr">
        <is>
          <t>Milkhouses and sheds, good</t>
        </is>
      </c>
    </row>
    <row r="4774">
      <c r="B4774" t="inlineStr">
        <is>
          <t>Milkhouses</t>
        </is>
      </c>
      <c r="C4774" t="inlineStr">
        <is>
          <t>Average</t>
        </is>
      </c>
      <c r="F4774" t="n">
        <v>30</v>
      </c>
      <c r="G4774" t="n">
        <v>25</v>
      </c>
      <c r="I4774">
        <f>B4774&amp;"|"&amp;C4774</f>
        <v/>
      </c>
      <c r="J4774" t="inlineStr">
        <is>
          <t>average</t>
        </is>
      </c>
    </row>
    <row r="4775">
      <c r="B4775" t="inlineStr">
        <is>
          <t>Milkhouse Sheds</t>
        </is>
      </c>
      <c r="C4775" t="inlineStr">
        <is>
          <t>Good</t>
        </is>
      </c>
      <c r="F4775" t="n">
        <v>35</v>
      </c>
      <c r="G4775" t="n">
        <v>30</v>
      </c>
      <c r="I4775">
        <f>B4775&amp;"|"&amp;C4775</f>
        <v/>
      </c>
      <c r="J4775" t="inlineStr">
        <is>
          <t>Milkhouses and sheds, good</t>
        </is>
      </c>
    </row>
    <row r="4776">
      <c r="B4776" t="inlineStr">
        <is>
          <t>Milkhouse Sheds</t>
        </is>
      </c>
      <c r="C4776" t="inlineStr">
        <is>
          <t>Average</t>
        </is>
      </c>
      <c r="F4776" t="n">
        <v>30</v>
      </c>
      <c r="G4776" t="n">
        <v>25</v>
      </c>
      <c r="I4776">
        <f>B4776&amp;"|"&amp;C4776</f>
        <v/>
      </c>
      <c r="J4776" t="inlineStr">
        <is>
          <t>average</t>
        </is>
      </c>
    </row>
    <row r="4777">
      <c r="B4777" t="inlineStr">
        <is>
          <t>Hog Barns – Nursery</t>
        </is>
      </c>
      <c r="C4777" t="inlineStr">
        <is>
          <t>Good</t>
        </is>
      </c>
      <c r="F4777" t="n">
        <v>35</v>
      </c>
      <c r="G4777" t="n">
        <v>30</v>
      </c>
      <c r="H4777" t="n">
        <v>30</v>
      </c>
      <c r="I4777">
        <f>B4777&amp;"|"&amp;C4777</f>
        <v/>
      </c>
      <c r="J4777" t="inlineStr">
        <is>
          <t>nursery, good</t>
        </is>
      </c>
    </row>
    <row r="4778">
      <c r="B4778" t="inlineStr">
        <is>
          <t>Hog Barns – Nursery</t>
        </is>
      </c>
      <c r="C4778" t="inlineStr">
        <is>
          <t>Average</t>
        </is>
      </c>
      <c r="F4778" t="n">
        <v>30</v>
      </c>
      <c r="G4778" t="n">
        <v>25</v>
      </c>
      <c r="H4778" t="n">
        <v>25</v>
      </c>
      <c r="I4778">
        <f>B4778&amp;"|"&amp;C4778</f>
        <v/>
      </c>
      <c r="J4778" t="inlineStr">
        <is>
          <t>average</t>
        </is>
      </c>
    </row>
    <row r="4779">
      <c r="B4779" t="inlineStr">
        <is>
          <t>Hog Barns – Breeding/Gestation</t>
        </is>
      </c>
      <c r="C4779" t="inlineStr">
        <is>
          <t>Good</t>
        </is>
      </c>
      <c r="F4779" t="n">
        <v>35</v>
      </c>
      <c r="G4779" t="n">
        <v>30</v>
      </c>
      <c r="H4779" t="n">
        <v>30</v>
      </c>
      <c r="I4779">
        <f>B4779&amp;"|"&amp;C4779</f>
        <v/>
      </c>
      <c r="J4779" t="inlineStr">
        <is>
          <t>Hog barns, breeding, farrowing, good and excellent</t>
        </is>
      </c>
    </row>
    <row r="4780">
      <c r="B4780" t="inlineStr">
        <is>
          <t>Hog Barns – Breeding/Gestation</t>
        </is>
      </c>
      <c r="C4780" t="inlineStr">
        <is>
          <t>Average</t>
        </is>
      </c>
      <c r="F4780" t="n">
        <v>30</v>
      </c>
      <c r="G4780" t="n">
        <v>25</v>
      </c>
      <c r="H4780" t="n">
        <v>25</v>
      </c>
      <c r="I4780">
        <f>B4780&amp;"|"&amp;C4780</f>
        <v/>
      </c>
      <c r="J4780" t="inlineStr">
        <is>
          <t>average</t>
        </is>
      </c>
    </row>
    <row r="4781">
      <c r="B4781" t="inlineStr">
        <is>
          <t>Hog Barns – Breeding/Gestation</t>
        </is>
      </c>
      <c r="C4781" t="inlineStr">
        <is>
          <t>Low Cost</t>
        </is>
      </c>
      <c r="F4781" t="n">
        <v>20</v>
      </c>
      <c r="G4781" t="n">
        <v>15</v>
      </c>
      <c r="H4781" t="n">
        <v>15</v>
      </c>
      <c r="I4781">
        <f>B4781&amp;"|"&amp;C4781</f>
        <v/>
      </c>
      <c r="J4781" t="inlineStr">
        <is>
          <t>cheap and low cost</t>
        </is>
      </c>
    </row>
    <row r="4782">
      <c r="B4782" t="inlineStr">
        <is>
          <t>Hog Barns – Breeding/Gestation</t>
        </is>
      </c>
      <c r="C4782" t="inlineStr">
        <is>
          <t>Cheap</t>
        </is>
      </c>
      <c r="F4782" t="n">
        <v>20</v>
      </c>
      <c r="G4782" t="n">
        <v>15</v>
      </c>
      <c r="H4782" t="n">
        <v>15</v>
      </c>
      <c r="I4782">
        <f>B4782&amp;"|"&amp;C4782</f>
        <v/>
      </c>
      <c r="J4782" t="inlineStr">
        <is>
          <t>cheap and low cost</t>
        </is>
      </c>
    </row>
    <row r="4783">
      <c r="B4783" t="inlineStr">
        <is>
          <t>Hog Barns – Farrowing</t>
        </is>
      </c>
      <c r="C4783" t="inlineStr">
        <is>
          <t>Good</t>
        </is>
      </c>
      <c r="F4783" t="n">
        <v>35</v>
      </c>
      <c r="G4783" t="n">
        <v>30</v>
      </c>
      <c r="H4783" t="n">
        <v>30</v>
      </c>
      <c r="I4783">
        <f>B4783&amp;"|"&amp;C4783</f>
        <v/>
      </c>
      <c r="J4783" t="inlineStr">
        <is>
          <t>Hog barns, breeding, farrowing, good and excellent</t>
        </is>
      </c>
    </row>
    <row r="4784">
      <c r="B4784" t="inlineStr">
        <is>
          <t>Hog Barns – Farrowing</t>
        </is>
      </c>
      <c r="C4784" t="inlineStr">
        <is>
          <t>Average</t>
        </is>
      </c>
      <c r="F4784" t="n">
        <v>30</v>
      </c>
      <c r="G4784" t="n">
        <v>25</v>
      </c>
      <c r="H4784" t="n">
        <v>25</v>
      </c>
      <c r="I4784">
        <f>B4784&amp;"|"&amp;C4784</f>
        <v/>
      </c>
      <c r="J4784" t="inlineStr">
        <is>
          <t>average</t>
        </is>
      </c>
    </row>
    <row r="4785">
      <c r="B4785" t="inlineStr">
        <is>
          <t>Hog Barns – Farrowing</t>
        </is>
      </c>
      <c r="C4785" t="inlineStr">
        <is>
          <t>Low Cost</t>
        </is>
      </c>
      <c r="F4785" t="n">
        <v>20</v>
      </c>
      <c r="G4785" t="n">
        <v>15</v>
      </c>
      <c r="H4785" t="n">
        <v>15</v>
      </c>
      <c r="I4785">
        <f>B4785&amp;"|"&amp;C4785</f>
        <v/>
      </c>
      <c r="J4785" t="inlineStr">
        <is>
          <t>cheap and low cost</t>
        </is>
      </c>
    </row>
    <row r="4786">
      <c r="B4786" t="inlineStr">
        <is>
          <t>Hog Barns – Farrowing</t>
        </is>
      </c>
      <c r="C4786" t="inlineStr">
        <is>
          <t>Cheap</t>
        </is>
      </c>
      <c r="F4786" t="n">
        <v>20</v>
      </c>
      <c r="G4786" t="n">
        <v>15</v>
      </c>
      <c r="H4786" t="n">
        <v>15</v>
      </c>
      <c r="I4786">
        <f>B4786&amp;"|"&amp;C4786</f>
        <v/>
      </c>
      <c r="J4786" t="inlineStr">
        <is>
          <t>cheap and low cost</t>
        </is>
      </c>
    </row>
    <row r="4787">
      <c r="B4787" t="inlineStr">
        <is>
          <t>Hog Barns – Finishing</t>
        </is>
      </c>
      <c r="C4787" t="inlineStr">
        <is>
          <t>Average</t>
        </is>
      </c>
      <c r="F4787" t="n">
        <v>25</v>
      </c>
      <c r="G4787" t="n">
        <v>20</v>
      </c>
      <c r="H4787" t="n">
        <v>20</v>
      </c>
      <c r="I4787">
        <f>B4787&amp;"|"&amp;C4787</f>
        <v/>
      </c>
      <c r="J4787" t="inlineStr">
        <is>
          <t>finishing, average</t>
        </is>
      </c>
    </row>
    <row r="4788">
      <c r="B4788" t="inlineStr">
        <is>
          <t>Hog Barns – Finishing</t>
        </is>
      </c>
      <c r="C4788" t="inlineStr">
        <is>
          <t>Low Cost</t>
        </is>
      </c>
      <c r="F4788" t="n">
        <v>20</v>
      </c>
      <c r="G4788" t="n">
        <v>15</v>
      </c>
      <c r="H4788" t="n">
        <v>15</v>
      </c>
      <c r="I4788">
        <f>B4788&amp;"|"&amp;C4788</f>
        <v/>
      </c>
      <c r="J4788" t="inlineStr">
        <is>
          <t>cheap and low cost</t>
        </is>
      </c>
    </row>
    <row r="4789">
      <c r="B4789" t="inlineStr">
        <is>
          <t>Hog Barns – Finishing</t>
        </is>
      </c>
      <c r="C4789" t="inlineStr">
        <is>
          <t>Cheap</t>
        </is>
      </c>
      <c r="F4789" t="n">
        <v>20</v>
      </c>
      <c r="G4789" t="n">
        <v>15</v>
      </c>
      <c r="H4789" t="n">
        <v>15</v>
      </c>
      <c r="I4789">
        <f>B4789&amp;"|"&amp;C4789</f>
        <v/>
      </c>
      <c r="J4789" t="inlineStr">
        <is>
          <t>cheap and low cost</t>
        </is>
      </c>
    </row>
    <row r="4790">
      <c r="B4790" t="inlineStr">
        <is>
          <t>Modified Hog Sheds</t>
        </is>
      </c>
      <c r="C4790" t="inlineStr">
        <is>
          <t>Average</t>
        </is>
      </c>
      <c r="F4790" t="n">
        <v>25</v>
      </c>
      <c r="G4790" t="n">
        <v>20</v>
      </c>
      <c r="H4790" t="n">
        <v>20</v>
      </c>
      <c r="I4790">
        <f>B4790&amp;"|"&amp;C4790</f>
        <v/>
      </c>
      <c r="J4790" t="inlineStr">
        <is>
          <t>Hog sheds and modified sheds, average</t>
        </is>
      </c>
    </row>
    <row r="4791">
      <c r="B4791" t="inlineStr">
        <is>
          <t>Modified Hog Sheds</t>
        </is>
      </c>
      <c r="C4791" t="inlineStr">
        <is>
          <t>Low Cost</t>
        </is>
      </c>
      <c r="F4791" t="n">
        <v>20</v>
      </c>
      <c r="G4791" t="n">
        <v>15</v>
      </c>
      <c r="H4791" t="n">
        <v>15</v>
      </c>
      <c r="I4791">
        <f>B4791&amp;"|"&amp;C4791</f>
        <v/>
      </c>
      <c r="J4791" t="inlineStr">
        <is>
          <t>cheap and low cost</t>
        </is>
      </c>
    </row>
    <row r="4792">
      <c r="B4792" t="inlineStr">
        <is>
          <t>Hog Sheds</t>
        </is>
      </c>
      <c r="C4792" t="inlineStr">
        <is>
          <t>Average</t>
        </is>
      </c>
      <c r="F4792" t="n">
        <v>25</v>
      </c>
      <c r="G4792" t="n">
        <v>20</v>
      </c>
      <c r="H4792" t="n">
        <v>20</v>
      </c>
      <c r="I4792">
        <f>B4792&amp;"|"&amp;C4792</f>
        <v/>
      </c>
      <c r="J4792" t="inlineStr">
        <is>
          <t>Hog sheds and modified sheds, average</t>
        </is>
      </c>
    </row>
    <row r="4793">
      <c r="B4793" t="inlineStr">
        <is>
          <t>Hog Sheds</t>
        </is>
      </c>
      <c r="C4793" t="inlineStr">
        <is>
          <t>Low Cost</t>
        </is>
      </c>
      <c r="F4793" t="n">
        <v>20</v>
      </c>
      <c r="G4793" t="n">
        <v>15</v>
      </c>
      <c r="H4793" t="n">
        <v>15</v>
      </c>
      <c r="I4793">
        <f>B4793&amp;"|"&amp;C4793</f>
        <v/>
      </c>
      <c r="J4793" t="inlineStr">
        <is>
          <t>cheap and low cost</t>
        </is>
      </c>
    </row>
    <row r="4794">
      <c r="B4794" t="inlineStr">
        <is>
          <t>Hog Sheds</t>
        </is>
      </c>
      <c r="C4794" t="inlineStr">
        <is>
          <t>Cheap</t>
        </is>
      </c>
      <c r="F4794" t="n">
        <v>20</v>
      </c>
      <c r="G4794" t="n">
        <v>15</v>
      </c>
      <c r="H4794" t="n">
        <v>15</v>
      </c>
      <c r="I4794">
        <f>B4794&amp;"|"&amp;C4794</f>
        <v/>
      </c>
      <c r="J4794" t="inlineStr">
        <is>
          <t>cheap and low cost</t>
        </is>
      </c>
    </row>
    <row r="4795">
      <c r="B4795" t="inlineStr">
        <is>
          <t>Sheep Barns</t>
        </is>
      </c>
      <c r="C4795" t="inlineStr">
        <is>
          <t>Good</t>
        </is>
      </c>
      <c r="G4795" t="n">
        <v>25</v>
      </c>
      <c r="H4795" t="n">
        <v>25</v>
      </c>
      <c r="I4795">
        <f>B4795&amp;"|"&amp;C4795</f>
        <v/>
      </c>
      <c r="J4795" t="inlineStr">
        <is>
          <t>Sheep barns, average and good</t>
        </is>
      </c>
    </row>
    <row r="4796">
      <c r="B4796" t="inlineStr">
        <is>
          <t>Sheep Barns</t>
        </is>
      </c>
      <c r="C4796" t="inlineStr">
        <is>
          <t>Average</t>
        </is>
      </c>
      <c r="G4796" t="n">
        <v>25</v>
      </c>
      <c r="H4796" t="n">
        <v>25</v>
      </c>
      <c r="I4796">
        <f>B4796&amp;"|"&amp;C4796</f>
        <v/>
      </c>
      <c r="J4796" t="inlineStr">
        <is>
          <t>Sheep barns, average and good</t>
        </is>
      </c>
    </row>
    <row r="4797">
      <c r="B4797" t="inlineStr">
        <is>
          <t>Sheep Sheds</t>
        </is>
      </c>
      <c r="C4797" t="inlineStr">
        <is>
          <t>Good</t>
        </is>
      </c>
      <c r="G4797" t="n">
        <v>25</v>
      </c>
      <c r="H4797" t="n">
        <v>25</v>
      </c>
      <c r="I4797">
        <f>B4797&amp;"|"&amp;C4797</f>
        <v/>
      </c>
      <c r="J4797" t="inlineStr">
        <is>
          <t>sheds, good</t>
        </is>
      </c>
    </row>
    <row r="4798">
      <c r="B4798" t="inlineStr">
        <is>
          <t>Sheep Sheds</t>
        </is>
      </c>
      <c r="C4798" t="inlineStr">
        <is>
          <t>Average</t>
        </is>
      </c>
      <c r="G4798" t="n">
        <v>20</v>
      </c>
      <c r="H4798" t="n">
        <v>20</v>
      </c>
      <c r="I4798">
        <f>B4798&amp;"|"&amp;C4798</f>
        <v/>
      </c>
      <c r="J4798" t="inlineStr">
        <is>
          <t>average</t>
        </is>
      </c>
    </row>
    <row r="4799">
      <c r="B4799" t="inlineStr">
        <is>
          <t>Sheep Sheds</t>
        </is>
      </c>
      <c r="C4799" t="inlineStr">
        <is>
          <t>Low Cost</t>
        </is>
      </c>
      <c r="G4799" t="n">
        <v>15</v>
      </c>
      <c r="H4799" t="n">
        <v>15</v>
      </c>
      <c r="I4799">
        <f>B4799&amp;"|"&amp;C4799</f>
        <v/>
      </c>
      <c r="J4799" t="inlineStr">
        <is>
          <t>cheap and low cost</t>
        </is>
      </c>
    </row>
    <row r="4800">
      <c r="B4800" t="inlineStr">
        <is>
          <t>Sheep Sheds</t>
        </is>
      </c>
      <c r="C4800" t="inlineStr">
        <is>
          <t>Cheap</t>
        </is>
      </c>
      <c r="G4800" t="n">
        <v>15</v>
      </c>
      <c r="H4800" t="n">
        <v>15</v>
      </c>
      <c r="I4800">
        <f>B4800&amp;"|"&amp;C4800</f>
        <v/>
      </c>
      <c r="J4800" t="inlineStr">
        <is>
          <t>cheap and low cost</t>
        </is>
      </c>
    </row>
    <row r="4801">
      <c r="B4801" t="inlineStr">
        <is>
          <t>Poultry Floor Operation – Breeder Houses</t>
        </is>
      </c>
      <c r="C4801" t="inlineStr">
        <is>
          <t>Good</t>
        </is>
      </c>
      <c r="F4801" t="n">
        <v>25</v>
      </c>
      <c r="G4801" t="n">
        <v>20</v>
      </c>
      <c r="H4801" t="n">
        <v>20</v>
      </c>
      <c r="I4801">
        <f>B4801&amp;"|"&amp;C4801</f>
        <v/>
      </c>
      <c r="J4801" t="inlineStr">
        <is>
          <t>floor operation, breeder/broiler, turkey, good</t>
        </is>
      </c>
    </row>
    <row r="4802">
      <c r="B4802" t="inlineStr">
        <is>
          <t>Poultry Floor Operation – Breeder Houses</t>
        </is>
      </c>
      <c r="C4802" t="inlineStr">
        <is>
          <t>Average</t>
        </is>
      </c>
      <c r="F4802" t="n">
        <v>20</v>
      </c>
      <c r="G4802" t="n">
        <v>15</v>
      </c>
      <c r="H4802" t="n">
        <v>15</v>
      </c>
      <c r="I4802">
        <f>B4802&amp;"|"&amp;C4802</f>
        <v/>
      </c>
      <c r="J4802" t="inlineStr">
        <is>
          <t>average</t>
        </is>
      </c>
    </row>
    <row r="4803">
      <c r="B4803" t="inlineStr">
        <is>
          <t>Poultry Floor Operation – Breeder Houses</t>
        </is>
      </c>
      <c r="C4803" t="inlineStr">
        <is>
          <t>Fair</t>
        </is>
      </c>
      <c r="G4803" t="n">
        <v>15</v>
      </c>
      <c r="H4803" t="n">
        <v>15</v>
      </c>
      <c r="I4803">
        <f>B4803&amp;"|"&amp;C4803</f>
        <v/>
      </c>
      <c r="J4803" t="inlineStr">
        <is>
          <t>cheap, low cost and fair</t>
        </is>
      </c>
    </row>
    <row r="4804">
      <c r="B4804" t="inlineStr">
        <is>
          <t>Poultry Floor Operation – Breeder Houses</t>
        </is>
      </c>
      <c r="C4804" t="inlineStr">
        <is>
          <t>Low Cost</t>
        </is>
      </c>
      <c r="G4804" t="n">
        <v>15</v>
      </c>
      <c r="H4804" t="n">
        <v>15</v>
      </c>
      <c r="I4804">
        <f>B4804&amp;"|"&amp;C4804</f>
        <v/>
      </c>
      <c r="J4804" t="inlineStr">
        <is>
          <t>cheap, low cost and fair</t>
        </is>
      </c>
    </row>
    <row r="4805">
      <c r="B4805" t="inlineStr">
        <is>
          <t>Poultry Floor Operation – Breeder Houses</t>
        </is>
      </c>
      <c r="C4805" t="inlineStr">
        <is>
          <t>Cheap</t>
        </is>
      </c>
      <c r="G4805" t="n">
        <v>15</v>
      </c>
      <c r="H4805" t="n">
        <v>15</v>
      </c>
      <c r="I4805">
        <f>B4805&amp;"|"&amp;C4805</f>
        <v/>
      </c>
      <c r="J4805" t="inlineStr">
        <is>
          <t>cheap, low cost and fair</t>
        </is>
      </c>
    </row>
    <row r="4806">
      <c r="B4806" t="inlineStr">
        <is>
          <t>Poultry Floor Operation – Broiler Houses</t>
        </is>
      </c>
      <c r="C4806" t="inlineStr">
        <is>
          <t>Good</t>
        </is>
      </c>
      <c r="F4806" t="n">
        <v>25</v>
      </c>
      <c r="G4806" t="n">
        <v>20</v>
      </c>
      <c r="H4806" t="n">
        <v>20</v>
      </c>
      <c r="I4806">
        <f>B4806&amp;"|"&amp;C4806</f>
        <v/>
      </c>
      <c r="J4806" t="inlineStr">
        <is>
          <t>floor operation, breeder/broiler, turkey, good</t>
        </is>
      </c>
    </row>
    <row r="4807">
      <c r="B4807" t="inlineStr">
        <is>
          <t>Poultry Floor Operation – Broiler Houses</t>
        </is>
      </c>
      <c r="C4807" t="inlineStr">
        <is>
          <t>Average</t>
        </is>
      </c>
      <c r="F4807" t="n">
        <v>20</v>
      </c>
      <c r="G4807" t="n">
        <v>15</v>
      </c>
      <c r="H4807" t="n">
        <v>15</v>
      </c>
      <c r="I4807">
        <f>B4807&amp;"|"&amp;C4807</f>
        <v/>
      </c>
      <c r="J4807" t="inlineStr">
        <is>
          <t>average</t>
        </is>
      </c>
    </row>
    <row r="4808">
      <c r="B4808" t="inlineStr">
        <is>
          <t>Poultry Floor Operation – Broiler Houses</t>
        </is>
      </c>
      <c r="C4808" t="inlineStr">
        <is>
          <t>Fair</t>
        </is>
      </c>
      <c r="G4808" t="n">
        <v>15</v>
      </c>
      <c r="H4808" t="n">
        <v>15</v>
      </c>
      <c r="I4808">
        <f>B4808&amp;"|"&amp;C4808</f>
        <v/>
      </c>
      <c r="J4808" t="inlineStr">
        <is>
          <t>cheap, low cost and fair</t>
        </is>
      </c>
    </row>
    <row r="4809">
      <c r="B4809" t="inlineStr">
        <is>
          <t>Poultry Floor Operation – Broiler Houses</t>
        </is>
      </c>
      <c r="C4809" t="inlineStr">
        <is>
          <t>Low Cost</t>
        </is>
      </c>
      <c r="G4809" t="n">
        <v>15</v>
      </c>
      <c r="H4809" t="n">
        <v>15</v>
      </c>
      <c r="I4809">
        <f>B4809&amp;"|"&amp;C4809</f>
        <v/>
      </c>
      <c r="J4809" t="inlineStr">
        <is>
          <t>cheap, low cost and fair</t>
        </is>
      </c>
    </row>
    <row r="4810">
      <c r="B4810" t="inlineStr">
        <is>
          <t>Poultry Floor Operation – Broiler Houses</t>
        </is>
      </c>
      <c r="C4810" t="inlineStr">
        <is>
          <t>Cheap</t>
        </is>
      </c>
      <c r="G4810" t="n">
        <v>15</v>
      </c>
      <c r="H4810" t="n">
        <v>15</v>
      </c>
      <c r="I4810">
        <f>B4810&amp;"|"&amp;C4810</f>
        <v/>
      </c>
      <c r="J4810" t="inlineStr">
        <is>
          <t>cheap, low cost and fair</t>
        </is>
      </c>
    </row>
    <row r="4811">
      <c r="B4811" t="inlineStr">
        <is>
          <t>Poultry Cage Operation – Enclosed Houses</t>
        </is>
      </c>
      <c r="C4811" t="inlineStr">
        <is>
          <t>Good</t>
        </is>
      </c>
      <c r="F4811" t="n">
        <v>30</v>
      </c>
      <c r="G4811" t="n">
        <v>25</v>
      </c>
      <c r="H4811" t="n">
        <v>25</v>
      </c>
      <c r="I4811">
        <f>B4811&amp;"|"&amp;C4811</f>
        <v/>
      </c>
      <c r="J4811" t="inlineStr">
        <is>
          <t>Poultry, cage operation, enclosed/screened, good</t>
        </is>
      </c>
    </row>
    <row r="4812">
      <c r="B4812" t="inlineStr">
        <is>
          <t>Poultry Cage Operation – Enclosed Houses</t>
        </is>
      </c>
      <c r="C4812" t="inlineStr">
        <is>
          <t>Average</t>
        </is>
      </c>
      <c r="F4812" t="n">
        <v>25</v>
      </c>
      <c r="G4812" t="n">
        <v>20</v>
      </c>
      <c r="H4812" t="n">
        <v>20</v>
      </c>
      <c r="I4812">
        <f>B4812&amp;"|"&amp;C4812</f>
        <v/>
      </c>
      <c r="J4812" t="inlineStr">
        <is>
          <t>average</t>
        </is>
      </c>
    </row>
    <row r="4813">
      <c r="B4813" t="inlineStr">
        <is>
          <t>Poultry Cage Operation – Enclosed Houses</t>
        </is>
      </c>
      <c r="C4813" t="inlineStr">
        <is>
          <t>Low Cost</t>
        </is>
      </c>
      <c r="F4813" t="n">
        <v>20</v>
      </c>
      <c r="G4813" t="n">
        <v>15</v>
      </c>
      <c r="H4813" t="n">
        <v>15</v>
      </c>
      <c r="I4813">
        <f>B4813&amp;"|"&amp;C4813</f>
        <v/>
      </c>
      <c r="J4813" t="inlineStr">
        <is>
          <t>cheap and low cost</t>
        </is>
      </c>
    </row>
    <row r="4814">
      <c r="B4814" t="inlineStr">
        <is>
          <t>Poultry Cage Operation – Enclosed Houses</t>
        </is>
      </c>
      <c r="C4814" t="inlineStr">
        <is>
          <t>Cheap</t>
        </is>
      </c>
      <c r="F4814" t="n">
        <v>20</v>
      </c>
      <c r="G4814" t="n">
        <v>15</v>
      </c>
      <c r="H4814" t="n">
        <v>15</v>
      </c>
      <c r="I4814">
        <f>B4814&amp;"|"&amp;C4814</f>
        <v/>
      </c>
      <c r="J4814" t="inlineStr">
        <is>
          <t>cheap and low cost</t>
        </is>
      </c>
    </row>
    <row r="4815">
      <c r="B4815" t="inlineStr">
        <is>
          <t>Poultry Cage Operation – Screened Houses</t>
        </is>
      </c>
      <c r="C4815" t="inlineStr">
        <is>
          <t>Average</t>
        </is>
      </c>
      <c r="F4815" t="n">
        <v>25</v>
      </c>
      <c r="G4815" t="n">
        <v>20</v>
      </c>
      <c r="H4815" t="n">
        <v>20</v>
      </c>
      <c r="I4815">
        <f>B4815&amp;"|"&amp;C4815</f>
        <v/>
      </c>
      <c r="J4815" t="inlineStr">
        <is>
          <t>average</t>
        </is>
      </c>
    </row>
    <row r="4816">
      <c r="B4816" t="inlineStr">
        <is>
          <t>Poultry Cage Operation – Screened Houses</t>
        </is>
      </c>
      <c r="C4816" t="inlineStr">
        <is>
          <t>Fair</t>
        </is>
      </c>
      <c r="F4816" t="n">
        <v>20</v>
      </c>
      <c r="G4816" t="n">
        <v>15</v>
      </c>
      <c r="H4816" t="n">
        <v>15</v>
      </c>
      <c r="I4816">
        <f>B4816&amp;"|"&amp;C4816</f>
        <v/>
      </c>
      <c r="J4816" t="inlineStr">
        <is>
          <t>cheap and low cost</t>
        </is>
      </c>
    </row>
    <row r="4817">
      <c r="B4817" t="inlineStr">
        <is>
          <t>Poultry Cage Operation – Screened Houses</t>
        </is>
      </c>
      <c r="C4817" t="inlineStr">
        <is>
          <t>Low Cost</t>
        </is>
      </c>
      <c r="F4817" t="n">
        <v>20</v>
      </c>
      <c r="G4817" t="n">
        <v>15</v>
      </c>
      <c r="H4817" t="n">
        <v>15</v>
      </c>
      <c r="I4817">
        <f>B4817&amp;"|"&amp;C4817</f>
        <v/>
      </c>
      <c r="J4817" t="inlineStr">
        <is>
          <t>cheap and low cost</t>
        </is>
      </c>
    </row>
    <row r="4818">
      <c r="B4818" t="inlineStr">
        <is>
          <t>Poultry Cage Operation – Screened Houses</t>
        </is>
      </c>
      <c r="C4818" t="inlineStr">
        <is>
          <t>Cheap</t>
        </is>
      </c>
      <c r="F4818" t="n">
        <v>20</v>
      </c>
      <c r="G4818" t="n">
        <v>15</v>
      </c>
      <c r="H4818" t="n">
        <v>15</v>
      </c>
      <c r="I4818">
        <f>B4818&amp;"|"&amp;C4818</f>
        <v/>
      </c>
      <c r="J4818" t="inlineStr">
        <is>
          <t>cheap and low cost</t>
        </is>
      </c>
    </row>
    <row r="4819">
      <c r="B4819" t="inlineStr">
        <is>
          <t>Farm Labor Housing – Dormitories</t>
        </is>
      </c>
      <c r="C4819" t="inlineStr">
        <is>
          <t>Good</t>
        </is>
      </c>
      <c r="F4819" t="n">
        <v>30</v>
      </c>
      <c r="G4819" t="n">
        <v>25</v>
      </c>
      <c r="H4819" t="n">
        <v>25</v>
      </c>
      <c r="I4819">
        <f>B4819&amp;"|"&amp;C4819</f>
        <v/>
      </c>
      <c r="J4819" t="inlineStr">
        <is>
          <t>Labor dormitories, good</t>
        </is>
      </c>
    </row>
    <row r="4820">
      <c r="B4820" t="inlineStr">
        <is>
          <t>Farm Labor Housing – Dormitories</t>
        </is>
      </c>
      <c r="C4820" t="inlineStr">
        <is>
          <t>Average</t>
        </is>
      </c>
      <c r="F4820" t="n">
        <v>25</v>
      </c>
      <c r="G4820" t="n">
        <v>20</v>
      </c>
      <c r="H4820" t="n">
        <v>20</v>
      </c>
      <c r="I4820">
        <f>B4820&amp;"|"&amp;C4820</f>
        <v/>
      </c>
      <c r="J4820" t="inlineStr">
        <is>
          <t>average</t>
        </is>
      </c>
    </row>
    <row r="4821">
      <c r="B4821" t="inlineStr">
        <is>
          <t>Farm Labor Housing – Dormitories</t>
        </is>
      </c>
      <c r="C4821" t="inlineStr">
        <is>
          <t>Low Cost</t>
        </is>
      </c>
      <c r="F4821" t="n">
        <v>20</v>
      </c>
      <c r="G4821" t="n">
        <v>15</v>
      </c>
      <c r="I4821">
        <f>B4821&amp;"|"&amp;C4821</f>
        <v/>
      </c>
      <c r="J4821" t="inlineStr">
        <is>
          <t>low cost</t>
        </is>
      </c>
    </row>
    <row r="4822">
      <c r="B4822" t="inlineStr">
        <is>
          <t>Transient Labor Cabins</t>
        </is>
      </c>
      <c r="C4822" t="inlineStr">
        <is>
          <t>Average</t>
        </is>
      </c>
      <c r="G4822" t="n">
        <v>15</v>
      </c>
      <c r="I4822">
        <f>B4822&amp;"|"&amp;C4822</f>
        <v/>
      </c>
      <c r="J4822" t="inlineStr">
        <is>
          <t>Transient labor cabins, average</t>
        </is>
      </c>
    </row>
    <row r="4823">
      <c r="B4823" t="inlineStr">
        <is>
          <t>Hunting Shelters</t>
        </is>
      </c>
      <c r="C4823" t="inlineStr">
        <is>
          <t>Good</t>
        </is>
      </c>
      <c r="G4823" t="n">
        <v>15</v>
      </c>
      <c r="I4823">
        <f>B4823&amp;"|"&amp;C4823</f>
        <v/>
      </c>
      <c r="J4823" t="inlineStr">
        <is>
          <t>Hunting shelters, good</t>
        </is>
      </c>
    </row>
    <row r="4824">
      <c r="B4824" t="inlineStr">
        <is>
          <t>Hunting Shelters</t>
        </is>
      </c>
      <c r="C4824" t="inlineStr">
        <is>
          <t>Average</t>
        </is>
      </c>
      <c r="G4824" t="n">
        <v>10</v>
      </c>
      <c r="I4824">
        <f>B4824&amp;"|"&amp;C4824</f>
        <v/>
      </c>
      <c r="J4824" t="inlineStr">
        <is>
          <t>cheap, low cost and average</t>
        </is>
      </c>
    </row>
    <row r="4825">
      <c r="B4825" t="inlineStr">
        <is>
          <t>Hunting Shelters</t>
        </is>
      </c>
      <c r="C4825" t="inlineStr">
        <is>
          <t>Low Cost</t>
        </is>
      </c>
      <c r="G4825" t="n">
        <v>10</v>
      </c>
      <c r="I4825">
        <f>B4825&amp;"|"&amp;C4825</f>
        <v/>
      </c>
      <c r="J4825" t="inlineStr">
        <is>
          <t>cheap, low cost and average</t>
        </is>
      </c>
    </row>
    <row r="4826">
      <c r="B4826" t="inlineStr">
        <is>
          <t>Hunting Shelters</t>
        </is>
      </c>
      <c r="C4826" t="inlineStr">
        <is>
          <t>Cheap</t>
        </is>
      </c>
      <c r="G4826" t="n">
        <v>10</v>
      </c>
      <c r="I4826">
        <f>B4826&amp;"|"&amp;C4826</f>
        <v/>
      </c>
      <c r="J4826" t="inlineStr">
        <is>
          <t>cheap, low cost and average</t>
        </is>
      </c>
    </row>
    <row r="4827">
      <c r="B4827" t="inlineStr">
        <is>
          <t>High Schools</t>
        </is>
      </c>
      <c r="C4827" t="inlineStr">
        <is>
          <t>Excellent</t>
        </is>
      </c>
      <c r="D4827" t="n">
        <v>50</v>
      </c>
      <c r="E4827" t="n">
        <v>50</v>
      </c>
      <c r="F4827" t="n">
        <v>45</v>
      </c>
      <c r="G4827" t="n">
        <v>40</v>
      </c>
      <c r="H4827" t="n">
        <v>40</v>
      </c>
      <c r="I4827">
        <f>B4827&amp;"|"&amp;C4827</f>
        <v/>
      </c>
      <c r="J4827" t="inlineStr">
        <is>
          <t>High and alternative schools, good and excellent</t>
        </is>
      </c>
    </row>
    <row r="4828">
      <c r="B4828" t="inlineStr">
        <is>
          <t>High Schools</t>
        </is>
      </c>
      <c r="C4828" t="inlineStr">
        <is>
          <t>Good</t>
        </is>
      </c>
      <c r="D4828" t="n">
        <v>50</v>
      </c>
      <c r="E4828" t="n">
        <v>50</v>
      </c>
      <c r="F4828" t="n">
        <v>45</v>
      </c>
      <c r="G4828" t="n">
        <v>40</v>
      </c>
      <c r="H4828" t="n">
        <v>40</v>
      </c>
      <c r="I4828">
        <f>B4828&amp;"|"&amp;C4828</f>
        <v/>
      </c>
      <c r="J4828" t="inlineStr">
        <is>
          <t>High and alternative schools, good and excellent</t>
        </is>
      </c>
    </row>
    <row r="4829">
      <c r="B4829" t="inlineStr">
        <is>
          <t>High Schools</t>
        </is>
      </c>
      <c r="C4829" t="inlineStr">
        <is>
          <t>Average</t>
        </is>
      </c>
      <c r="D4829" t="n">
        <v>45</v>
      </c>
      <c r="E4829" t="n">
        <v>45</v>
      </c>
      <c r="F4829" t="n">
        <v>45</v>
      </c>
      <c r="G4829" t="n">
        <v>40</v>
      </c>
      <c r="H4829" t="n">
        <v>40</v>
      </c>
      <c r="I4829">
        <f>B4829&amp;"|"&amp;C4829</f>
        <v/>
      </c>
      <c r="J4829" t="inlineStr">
        <is>
          <t>average</t>
        </is>
      </c>
    </row>
    <row r="4830">
      <c r="B4830" t="inlineStr">
        <is>
          <t>High Schools</t>
        </is>
      </c>
      <c r="C4830" t="inlineStr">
        <is>
          <t>Low Cost</t>
        </is>
      </c>
      <c r="F4830" t="n">
        <v>40</v>
      </c>
      <c r="G4830" t="n">
        <v>35</v>
      </c>
      <c r="H4830" t="n">
        <v>35</v>
      </c>
      <c r="I4830">
        <f>B4830&amp;"|"&amp;C4830</f>
        <v/>
      </c>
      <c r="J4830" t="inlineStr">
        <is>
          <t>low cost</t>
        </is>
      </c>
    </row>
    <row r="4831">
      <c r="B4831" t="inlineStr">
        <is>
          <t>Middle (Junior High) Schools</t>
        </is>
      </c>
      <c r="C4831" t="inlineStr">
        <is>
          <t>Excellent</t>
        </is>
      </c>
      <c r="D4831" t="n">
        <v>50</v>
      </c>
      <c r="E4831" t="n">
        <v>50</v>
      </c>
      <c r="F4831" t="n">
        <v>45</v>
      </c>
      <c r="G4831" t="n">
        <v>40</v>
      </c>
      <c r="H4831" t="n">
        <v>40</v>
      </c>
      <c r="I4831">
        <f>B4831&amp;"|"&amp;C4831</f>
        <v/>
      </c>
      <c r="J4831" t="inlineStr">
        <is>
          <t>Intermediate (junior high), good and excellent</t>
        </is>
      </c>
    </row>
    <row r="4832">
      <c r="B4832" t="inlineStr">
        <is>
          <t>Middle (Junior High) Schools</t>
        </is>
      </c>
      <c r="C4832" t="inlineStr">
        <is>
          <t>Good</t>
        </is>
      </c>
      <c r="D4832" t="n">
        <v>50</v>
      </c>
      <c r="E4832" t="n">
        <v>50</v>
      </c>
      <c r="F4832" t="n">
        <v>45</v>
      </c>
      <c r="G4832" t="n">
        <v>40</v>
      </c>
      <c r="H4832" t="n">
        <v>40</v>
      </c>
      <c r="I4832">
        <f>B4832&amp;"|"&amp;C4832</f>
        <v/>
      </c>
      <c r="J4832" t="inlineStr">
        <is>
          <t>Intermediate (junior high), good and excellent</t>
        </is>
      </c>
    </row>
    <row r="4833">
      <c r="B4833" t="inlineStr">
        <is>
          <t>Middle (Junior High) Schools</t>
        </is>
      </c>
      <c r="C4833" t="inlineStr">
        <is>
          <t>Average</t>
        </is>
      </c>
      <c r="D4833" t="n">
        <v>45</v>
      </c>
      <c r="E4833" t="n">
        <v>45</v>
      </c>
      <c r="F4833" t="n">
        <v>45</v>
      </c>
      <c r="G4833" t="n">
        <v>40</v>
      </c>
      <c r="H4833" t="n">
        <v>40</v>
      </c>
      <c r="I4833">
        <f>B4833&amp;"|"&amp;C4833</f>
        <v/>
      </c>
      <c r="J4833" t="inlineStr">
        <is>
          <t>average</t>
        </is>
      </c>
    </row>
    <row r="4834">
      <c r="B4834" t="inlineStr">
        <is>
          <t>Middle (Junior High) Schools</t>
        </is>
      </c>
      <c r="C4834" t="inlineStr">
        <is>
          <t>Low Cost</t>
        </is>
      </c>
      <c r="F4834" t="n">
        <v>40</v>
      </c>
      <c r="G4834" t="n">
        <v>35</v>
      </c>
      <c r="H4834" t="n">
        <v>35</v>
      </c>
      <c r="I4834">
        <f>B4834&amp;"|"&amp;C4834</f>
        <v/>
      </c>
      <c r="J4834" t="inlineStr">
        <is>
          <t>low cost</t>
        </is>
      </c>
    </row>
    <row r="4835">
      <c r="B4835" t="inlineStr">
        <is>
          <t>Elementary Schools</t>
        </is>
      </c>
      <c r="C4835" t="inlineStr">
        <is>
          <t>Excellent</t>
        </is>
      </c>
      <c r="D4835" t="n">
        <v>50</v>
      </c>
      <c r="E4835" t="n">
        <v>50</v>
      </c>
      <c r="F4835" t="n">
        <v>45</v>
      </c>
      <c r="G4835" t="n">
        <v>40</v>
      </c>
      <c r="H4835" t="n">
        <v>40</v>
      </c>
      <c r="I4835">
        <f>B4835&amp;"|"&amp;C4835</f>
        <v/>
      </c>
      <c r="J4835" t="inlineStr">
        <is>
          <t>Elementary, good and excellent</t>
        </is>
      </c>
    </row>
    <row r="4836">
      <c r="B4836" t="inlineStr">
        <is>
          <t>Elementary Schools</t>
        </is>
      </c>
      <c r="C4836" t="inlineStr">
        <is>
          <t>Good</t>
        </is>
      </c>
      <c r="D4836" t="n">
        <v>50</v>
      </c>
      <c r="E4836" t="n">
        <v>50</v>
      </c>
      <c r="F4836" t="n">
        <v>45</v>
      </c>
      <c r="G4836" t="n">
        <v>40</v>
      </c>
      <c r="H4836" t="n">
        <v>40</v>
      </c>
      <c r="I4836">
        <f>B4836&amp;"|"&amp;C4836</f>
        <v/>
      </c>
      <c r="J4836" t="inlineStr">
        <is>
          <t>Elementary, good and excellent</t>
        </is>
      </c>
    </row>
    <row r="4837">
      <c r="B4837" t="inlineStr">
        <is>
          <t>Elementary Schools</t>
        </is>
      </c>
      <c r="C4837" t="inlineStr">
        <is>
          <t>Average</t>
        </is>
      </c>
      <c r="D4837" t="n">
        <v>45</v>
      </c>
      <c r="E4837" t="n">
        <v>45</v>
      </c>
      <c r="F4837" t="n">
        <v>45</v>
      </c>
      <c r="G4837" t="n">
        <v>40</v>
      </c>
      <c r="H4837" t="n">
        <v>40</v>
      </c>
      <c r="I4837">
        <f>B4837&amp;"|"&amp;C4837</f>
        <v/>
      </c>
      <c r="J4837" t="inlineStr">
        <is>
          <t>average</t>
        </is>
      </c>
    </row>
    <row r="4838">
      <c r="B4838" t="inlineStr">
        <is>
          <t>Elementary Schools</t>
        </is>
      </c>
      <c r="C4838" t="inlineStr">
        <is>
          <t>Low Cost</t>
        </is>
      </c>
      <c r="F4838" t="n">
        <v>40</v>
      </c>
      <c r="G4838" t="n">
        <v>35</v>
      </c>
      <c r="H4838" t="n">
        <v>35</v>
      </c>
      <c r="I4838">
        <f>B4838&amp;"|"&amp;C4838</f>
        <v/>
      </c>
      <c r="J4838" t="inlineStr">
        <is>
          <t>low cost</t>
        </is>
      </c>
    </row>
    <row r="4839">
      <c r="B4839" t="inlineStr">
        <is>
          <t>Vocational Schools</t>
        </is>
      </c>
      <c r="C4839" t="inlineStr">
        <is>
          <t>Good</t>
        </is>
      </c>
      <c r="D4839" t="n">
        <v>50</v>
      </c>
      <c r="E4839" t="n">
        <v>50</v>
      </c>
      <c r="F4839" t="n">
        <v>45</v>
      </c>
      <c r="G4839" t="n">
        <v>40</v>
      </c>
      <c r="H4839" t="n">
        <v>40</v>
      </c>
      <c r="I4839">
        <f>B4839&amp;"|"&amp;C4839</f>
        <v/>
      </c>
      <c r="J4839" t="inlineStr">
        <is>
          <t>Vocational schools, good and excellent</t>
        </is>
      </c>
    </row>
    <row r="4840">
      <c r="B4840" t="inlineStr">
        <is>
          <t>Vocational Schools</t>
        </is>
      </c>
      <c r="C4840" t="inlineStr">
        <is>
          <t>Average</t>
        </is>
      </c>
      <c r="D4840" t="n">
        <v>45</v>
      </c>
      <c r="E4840" t="n">
        <v>45</v>
      </c>
      <c r="F4840" t="n">
        <v>45</v>
      </c>
      <c r="G4840" t="n">
        <v>40</v>
      </c>
      <c r="H4840" t="n">
        <v>40</v>
      </c>
      <c r="I4840">
        <f>B4840&amp;"|"&amp;C4840</f>
        <v/>
      </c>
      <c r="J4840" t="inlineStr">
        <is>
          <t>average</t>
        </is>
      </c>
    </row>
    <row r="4841">
      <c r="B4841" t="inlineStr">
        <is>
          <t>Vocational Schools</t>
        </is>
      </c>
      <c r="C4841" t="inlineStr">
        <is>
          <t>Excellent</t>
        </is>
      </c>
      <c r="D4841" t="n">
        <v>50</v>
      </c>
      <c r="E4841" t="n">
        <v>50</v>
      </c>
      <c r="F4841" t="n">
        <v>45</v>
      </c>
      <c r="G4841" t="n">
        <v>40</v>
      </c>
      <c r="H4841" t="n">
        <v>40</v>
      </c>
      <c r="I4841">
        <f>B4841&amp;"|"&amp;C4841</f>
        <v/>
      </c>
      <c r="J4841" t="inlineStr">
        <is>
          <t>Vocational schools, good and excellent</t>
        </is>
      </c>
    </row>
    <row r="4842">
      <c r="B4842" t="inlineStr">
        <is>
          <t>Vocational Schools</t>
        </is>
      </c>
      <c r="C4842" t="inlineStr">
        <is>
          <t>Low Cost</t>
        </is>
      </c>
      <c r="F4842" t="n">
        <v>40</v>
      </c>
      <c r="G4842" t="n">
        <v>35</v>
      </c>
      <c r="H4842" t="n">
        <v>35</v>
      </c>
      <c r="I4842">
        <f>B4842&amp;"|"&amp;C4842</f>
        <v/>
      </c>
      <c r="J4842" t="inlineStr">
        <is>
          <t>low cost</t>
        </is>
      </c>
    </row>
    <row r="4843">
      <c r="B4843" t="inlineStr">
        <is>
          <t>Alternative (High) Schools</t>
        </is>
      </c>
      <c r="C4843" t="inlineStr">
        <is>
          <t>Average</t>
        </is>
      </c>
      <c r="D4843" t="n">
        <v>45</v>
      </c>
      <c r="E4843" t="n">
        <v>45</v>
      </c>
      <c r="F4843" t="n">
        <v>45</v>
      </c>
      <c r="G4843" t="n">
        <v>40</v>
      </c>
      <c r="H4843" t="n">
        <v>40</v>
      </c>
      <c r="I4843">
        <f>B4843&amp;"|"&amp;C4843</f>
        <v/>
      </c>
      <c r="J4843" t="inlineStr">
        <is>
          <t>average</t>
        </is>
      </c>
    </row>
    <row r="4844">
      <c r="B4844" t="inlineStr">
        <is>
          <t>Alternative (High) Schools</t>
        </is>
      </c>
      <c r="C4844" t="inlineStr">
        <is>
          <t>Excellent</t>
        </is>
      </c>
      <c r="D4844" t="n">
        <v>50</v>
      </c>
      <c r="E4844" t="n">
        <v>50</v>
      </c>
      <c r="F4844" t="n">
        <v>45</v>
      </c>
      <c r="G4844" t="n">
        <v>40</v>
      </c>
      <c r="H4844" t="n">
        <v>40</v>
      </c>
      <c r="I4844">
        <f>B4844&amp;"|"&amp;C4844</f>
        <v/>
      </c>
      <c r="J4844" t="inlineStr">
        <is>
          <t>High and alternative schools, good and excellent</t>
        </is>
      </c>
    </row>
    <row r="4845">
      <c r="B4845" t="inlineStr">
        <is>
          <t>Alternative (High) Schools</t>
        </is>
      </c>
      <c r="C4845" t="inlineStr">
        <is>
          <t>Good</t>
        </is>
      </c>
      <c r="D4845" t="n">
        <v>50</v>
      </c>
      <c r="E4845" t="n">
        <v>50</v>
      </c>
      <c r="F4845" t="n">
        <v>45</v>
      </c>
      <c r="G4845" t="n">
        <v>40</v>
      </c>
      <c r="H4845" t="n">
        <v>40</v>
      </c>
      <c r="I4845">
        <f>B4845&amp;"|"&amp;C4845</f>
        <v/>
      </c>
      <c r="J4845" t="inlineStr">
        <is>
          <t>High and alternative schools, good and excellent</t>
        </is>
      </c>
    </row>
    <row r="4846">
      <c r="B4846" t="inlineStr">
        <is>
          <t>Day Care Centers</t>
        </is>
      </c>
      <c r="C4846" t="inlineStr">
        <is>
          <t>Average</t>
        </is>
      </c>
      <c r="D4846" t="n">
        <v>45</v>
      </c>
      <c r="E4846" t="n">
        <v>45</v>
      </c>
      <c r="F4846" t="n">
        <v>40</v>
      </c>
      <c r="G4846" t="n">
        <v>35</v>
      </c>
      <c r="H4846" t="n">
        <v>35</v>
      </c>
      <c r="I4846">
        <f>B4846&amp;"|"&amp;C4846</f>
        <v/>
      </c>
      <c r="J4846" t="inlineStr">
        <is>
          <t>low cost and average</t>
        </is>
      </c>
    </row>
    <row r="4847">
      <c r="B4847" t="inlineStr">
        <is>
          <t>Day Care Centers</t>
        </is>
      </c>
      <c r="C4847" t="inlineStr">
        <is>
          <t>Excellent</t>
        </is>
      </c>
      <c r="F4847" t="n">
        <v>45</v>
      </c>
      <c r="G4847" t="n">
        <v>40</v>
      </c>
      <c r="I4847">
        <f>B4847&amp;"|"&amp;C4847</f>
        <v/>
      </c>
      <c r="J4847" t="inlineStr">
        <is>
          <t>Daycare centers, good and excellent</t>
        </is>
      </c>
    </row>
    <row r="4848">
      <c r="B4848" t="inlineStr">
        <is>
          <t>Day Care Centers</t>
        </is>
      </c>
      <c r="C4848" t="inlineStr">
        <is>
          <t>Good</t>
        </is>
      </c>
      <c r="F4848" t="n">
        <v>45</v>
      </c>
      <c r="G4848" t="n">
        <v>40</v>
      </c>
      <c r="I4848">
        <f>B4848&amp;"|"&amp;C4848</f>
        <v/>
      </c>
      <c r="J4848" t="inlineStr">
        <is>
          <t>Daycare centers, good and excellent</t>
        </is>
      </c>
    </row>
    <row r="4849">
      <c r="B4849" t="inlineStr">
        <is>
          <t>Day Care Centers</t>
        </is>
      </c>
      <c r="C4849" t="inlineStr">
        <is>
          <t>Low Cost</t>
        </is>
      </c>
      <c r="D4849" t="n">
        <v>45</v>
      </c>
      <c r="E4849" t="n">
        <v>45</v>
      </c>
      <c r="F4849" t="n">
        <v>40</v>
      </c>
      <c r="G4849" t="n">
        <v>35</v>
      </c>
      <c r="H4849" t="n">
        <v>35</v>
      </c>
      <c r="I4849">
        <f>B4849&amp;"|"&amp;C4849</f>
        <v/>
      </c>
      <c r="J4849" t="inlineStr">
        <is>
          <t>low cost and average</t>
        </is>
      </c>
    </row>
    <row r="4850">
      <c r="B4850" t="inlineStr">
        <is>
          <t>Classrooms</t>
        </is>
      </c>
      <c r="C4850" t="inlineStr">
        <is>
          <t>Excellent</t>
        </is>
      </c>
      <c r="D4850" t="n">
        <v>50</v>
      </c>
      <c r="E4850" t="n">
        <v>50</v>
      </c>
      <c r="F4850" t="n">
        <v>45</v>
      </c>
      <c r="G4850" t="n">
        <v>40</v>
      </c>
      <c r="H4850" t="n">
        <v>40</v>
      </c>
      <c r="I4850">
        <f>B4850&amp;"|"&amp;C4850</f>
        <v/>
      </c>
      <c r="J4850" t="inlineStr">
        <is>
          <t>Classrooms and special learning, good and excellent</t>
        </is>
      </c>
    </row>
    <row r="4851">
      <c r="B4851" t="inlineStr">
        <is>
          <t>Classrooms</t>
        </is>
      </c>
      <c r="C4851" t="inlineStr">
        <is>
          <t>Good</t>
        </is>
      </c>
      <c r="D4851" t="n">
        <v>50</v>
      </c>
      <c r="E4851" t="n">
        <v>50</v>
      </c>
      <c r="F4851" t="n">
        <v>45</v>
      </c>
      <c r="G4851" t="n">
        <v>40</v>
      </c>
      <c r="H4851" t="n">
        <v>40</v>
      </c>
      <c r="I4851">
        <f>B4851&amp;"|"&amp;C4851</f>
        <v/>
      </c>
      <c r="J4851" t="inlineStr">
        <is>
          <t>Classrooms and special learning, good and excellent</t>
        </is>
      </c>
    </row>
    <row r="4852">
      <c r="B4852" t="inlineStr">
        <is>
          <t>Classrooms</t>
        </is>
      </c>
      <c r="C4852" t="inlineStr">
        <is>
          <t>Average</t>
        </is>
      </c>
      <c r="D4852" t="n">
        <v>45</v>
      </c>
      <c r="E4852" t="n">
        <v>45</v>
      </c>
      <c r="F4852" t="n">
        <v>40</v>
      </c>
      <c r="G4852" t="n">
        <v>35</v>
      </c>
      <c r="H4852" t="n">
        <v>35</v>
      </c>
      <c r="I4852">
        <f>B4852&amp;"|"&amp;C4852</f>
        <v/>
      </c>
      <c r="J4852" t="inlineStr">
        <is>
          <t>low cost and average</t>
        </is>
      </c>
    </row>
    <row r="4853">
      <c r="B4853" t="inlineStr">
        <is>
          <t>Classrooms</t>
        </is>
      </c>
      <c r="C4853" t="inlineStr">
        <is>
          <t>Low Cost</t>
        </is>
      </c>
      <c r="D4853" t="n">
        <v>45</v>
      </c>
      <c r="E4853" t="n">
        <v>45</v>
      </c>
      <c r="F4853" t="n">
        <v>40</v>
      </c>
      <c r="G4853" t="n">
        <v>35</v>
      </c>
      <c r="H4853" t="n">
        <v>35</v>
      </c>
      <c r="I4853">
        <f>B4853&amp;"|"&amp;C4853</f>
        <v/>
      </c>
      <c r="J4853" t="inlineStr">
        <is>
          <t>low cost and average</t>
        </is>
      </c>
    </row>
    <row r="4854">
      <c r="B4854" t="inlineStr">
        <is>
          <t>Classrooms</t>
        </is>
      </c>
      <c r="C4854" t="inlineStr">
        <is>
          <t>Cheap</t>
        </is>
      </c>
      <c r="F4854" t="n">
        <v>35</v>
      </c>
      <c r="G4854" t="n">
        <v>30</v>
      </c>
      <c r="H4854" t="n">
        <v>30</v>
      </c>
      <c r="I4854">
        <f>B4854&amp;"|"&amp;C4854</f>
        <v/>
      </c>
      <c r="J4854" t="inlineStr">
        <is>
          <t>cheap</t>
        </is>
      </c>
    </row>
    <row r="4855">
      <c r="B4855" t="inlineStr">
        <is>
          <t>Special Education Classrooms</t>
        </is>
      </c>
      <c r="C4855" t="inlineStr">
        <is>
          <t>Good</t>
        </is>
      </c>
      <c r="D4855" t="n">
        <v>50</v>
      </c>
      <c r="E4855" t="n">
        <v>50</v>
      </c>
      <c r="F4855" t="n">
        <v>45</v>
      </c>
      <c r="G4855" t="n">
        <v>40</v>
      </c>
      <c r="H4855" t="n">
        <v>40</v>
      </c>
      <c r="I4855">
        <f>B4855&amp;"|"&amp;C4855</f>
        <v/>
      </c>
      <c r="J4855" t="inlineStr">
        <is>
          <t>Classrooms and special learning, good and excellent</t>
        </is>
      </c>
    </row>
    <row r="4856">
      <c r="B4856" t="inlineStr">
        <is>
          <t>Special Education Classrooms</t>
        </is>
      </c>
      <c r="C4856" t="inlineStr">
        <is>
          <t>Average</t>
        </is>
      </c>
      <c r="D4856" t="n">
        <v>45</v>
      </c>
      <c r="E4856" t="n">
        <v>45</v>
      </c>
      <c r="F4856" t="n">
        <v>40</v>
      </c>
      <c r="G4856" t="n">
        <v>35</v>
      </c>
      <c r="H4856" t="n">
        <v>35</v>
      </c>
      <c r="I4856">
        <f>B4856&amp;"|"&amp;C4856</f>
        <v/>
      </c>
      <c r="J4856" t="inlineStr">
        <is>
          <t>low cost and average</t>
        </is>
      </c>
    </row>
    <row r="4857">
      <c r="B4857" t="inlineStr">
        <is>
          <t>Special Education Classrooms</t>
        </is>
      </c>
      <c r="C4857" t="inlineStr">
        <is>
          <t>Excellent</t>
        </is>
      </c>
      <c r="D4857" t="n">
        <v>50</v>
      </c>
      <c r="E4857" t="n">
        <v>50</v>
      </c>
      <c r="F4857" t="n">
        <v>45</v>
      </c>
      <c r="G4857" t="n">
        <v>40</v>
      </c>
      <c r="H4857" t="n">
        <v>40</v>
      </c>
      <c r="I4857">
        <f>B4857&amp;"|"&amp;C4857</f>
        <v/>
      </c>
      <c r="J4857" t="inlineStr">
        <is>
          <t>Classrooms and special learning, good and excellent</t>
        </is>
      </c>
    </row>
    <row r="4858">
      <c r="B4858" t="inlineStr">
        <is>
          <t>Relocatable Classrooms</t>
        </is>
      </c>
      <c r="C4858" t="inlineStr">
        <is>
          <t>Excellent</t>
        </is>
      </c>
      <c r="G4858" t="n">
        <v>35</v>
      </c>
      <c r="I4858">
        <f>B4858&amp;"|"&amp;C4858</f>
        <v/>
      </c>
      <c r="J4858" t="inlineStr">
        <is>
          <t>Relocatable classrooms and offices, excellent</t>
        </is>
      </c>
    </row>
    <row r="4859">
      <c r="B4859" t="inlineStr">
        <is>
          <t>Relocatable Classrooms</t>
        </is>
      </c>
      <c r="C4859" t="inlineStr">
        <is>
          <t>Good</t>
        </is>
      </c>
      <c r="G4859" t="n">
        <v>30</v>
      </c>
      <c r="I4859">
        <f>B4859&amp;"|"&amp;C4859</f>
        <v/>
      </c>
      <c r="J4859" t="inlineStr">
        <is>
          <t>good</t>
        </is>
      </c>
    </row>
    <row r="4860">
      <c r="B4860" t="inlineStr">
        <is>
          <t>Relocatable Classrooms</t>
        </is>
      </c>
      <c r="C4860" t="inlineStr">
        <is>
          <t>Average</t>
        </is>
      </c>
      <c r="G4860" t="n">
        <v>25</v>
      </c>
      <c r="I4860">
        <f>B4860&amp;"|"&amp;C4860</f>
        <v/>
      </c>
      <c r="J4860" t="inlineStr">
        <is>
          <t>average</t>
        </is>
      </c>
    </row>
    <row r="4861">
      <c r="B4861" t="inlineStr">
        <is>
          <t>Relocatable Classrooms</t>
        </is>
      </c>
      <c r="C4861" t="inlineStr">
        <is>
          <t>Low Cost</t>
        </is>
      </c>
      <c r="G4861" t="n">
        <v>20</v>
      </c>
      <c r="I4861">
        <f>B4861&amp;"|"&amp;C4861</f>
        <v/>
      </c>
      <c r="J4861" t="inlineStr">
        <is>
          <t>low cost</t>
        </is>
      </c>
    </row>
    <row r="4862">
      <c r="B4862" t="inlineStr">
        <is>
          <t>Relocatable Classrooms</t>
        </is>
      </c>
      <c r="C4862" t="inlineStr">
        <is>
          <t>Cheap</t>
        </is>
      </c>
      <c r="G4862" t="n">
        <v>10</v>
      </c>
      <c r="I4862">
        <f>B4862&amp;"|"&amp;C4862</f>
        <v/>
      </c>
      <c r="J4862" t="inlineStr">
        <is>
          <t>cheap</t>
        </is>
      </c>
    </row>
    <row r="4863">
      <c r="B4863" t="inlineStr">
        <is>
          <t>Manual Arts (Shop) Buildings</t>
        </is>
      </c>
      <c r="C4863" t="inlineStr">
        <is>
          <t>Average</t>
        </is>
      </c>
      <c r="D4863" t="n">
        <v>45</v>
      </c>
      <c r="E4863" t="n">
        <v>45</v>
      </c>
      <c r="F4863" t="n">
        <v>40</v>
      </c>
      <c r="G4863" t="n">
        <v>35</v>
      </c>
      <c r="H4863" t="n">
        <v>35</v>
      </c>
      <c r="I4863">
        <f>B4863&amp;"|"&amp;C4863</f>
        <v/>
      </c>
      <c r="J4863" t="inlineStr">
        <is>
          <t>Manual arts buildings, average and good</t>
        </is>
      </c>
    </row>
    <row r="4864">
      <c r="B4864" t="inlineStr">
        <is>
          <t>Manual Arts (Shop) Buildings</t>
        </is>
      </c>
      <c r="C4864" t="inlineStr">
        <is>
          <t>Low Cost</t>
        </is>
      </c>
      <c r="F4864" t="n">
        <v>35</v>
      </c>
      <c r="G4864" t="n">
        <v>30</v>
      </c>
      <c r="H4864" t="n">
        <v>30</v>
      </c>
      <c r="I4864">
        <f>B4864&amp;"|"&amp;C4864</f>
        <v/>
      </c>
      <c r="J4864" t="inlineStr">
        <is>
          <t>low cost</t>
        </is>
      </c>
    </row>
    <row r="4865">
      <c r="B4865" t="inlineStr">
        <is>
          <t>Manual Arts (Shop) Buildings</t>
        </is>
      </c>
      <c r="C4865" t="inlineStr">
        <is>
          <t>Good</t>
        </is>
      </c>
      <c r="D4865" t="n">
        <v>45</v>
      </c>
      <c r="E4865" t="n">
        <v>45</v>
      </c>
      <c r="F4865" t="n">
        <v>40</v>
      </c>
      <c r="G4865" t="n">
        <v>35</v>
      </c>
      <c r="H4865" t="n">
        <v>35</v>
      </c>
      <c r="I4865">
        <f>B4865&amp;"|"&amp;C4865</f>
        <v/>
      </c>
      <c r="J4865" t="inlineStr">
        <is>
          <t>Manual arts buildings, average and good</t>
        </is>
      </c>
    </row>
    <row r="4866">
      <c r="B4866" t="inlineStr">
        <is>
          <t>Lecture Classrooms</t>
        </is>
      </c>
      <c r="C4866" t="inlineStr">
        <is>
          <t>Average</t>
        </is>
      </c>
      <c r="D4866" t="n">
        <v>45</v>
      </c>
      <c r="E4866" t="n">
        <v>45</v>
      </c>
      <c r="F4866" t="n">
        <v>40</v>
      </c>
      <c r="G4866" t="n">
        <v>35</v>
      </c>
      <c r="H4866" t="n">
        <v>35</v>
      </c>
      <c r="I4866">
        <f>B4866&amp;"|"&amp;C4866</f>
        <v/>
      </c>
      <c r="J4866" t="inlineStr">
        <is>
          <t>low cost and average</t>
        </is>
      </c>
    </row>
    <row r="4867">
      <c r="B4867" t="inlineStr">
        <is>
          <t>Lecture Classrooms</t>
        </is>
      </c>
      <c r="C4867" t="inlineStr">
        <is>
          <t>Good</t>
        </is>
      </c>
      <c r="D4867" t="n">
        <v>50</v>
      </c>
      <c r="E4867" t="n">
        <v>50</v>
      </c>
      <c r="F4867" t="n">
        <v>45</v>
      </c>
      <c r="G4867" t="n">
        <v>40</v>
      </c>
      <c r="H4867" t="n">
        <v>40</v>
      </c>
      <c r="I4867">
        <f>B4867&amp;"|"&amp;C4867</f>
        <v/>
      </c>
      <c r="J4867" t="inlineStr">
        <is>
          <t>Lecture, good and excellent</t>
        </is>
      </c>
    </row>
    <row r="4868">
      <c r="B4868" t="inlineStr">
        <is>
          <t>Multipurpose Buildings</t>
        </is>
      </c>
      <c r="C4868" t="inlineStr">
        <is>
          <t>Good</t>
        </is>
      </c>
      <c r="D4868" t="n">
        <v>45</v>
      </c>
      <c r="E4868" t="n">
        <v>45</v>
      </c>
      <c r="F4868" t="n">
        <v>40</v>
      </c>
      <c r="G4868" t="n">
        <v>35</v>
      </c>
      <c r="H4868" t="n">
        <v>35</v>
      </c>
      <c r="I4868">
        <f>B4868&amp;"|"&amp;C4868</f>
        <v/>
      </c>
      <c r="J4868" t="inlineStr">
        <is>
          <t>average and good</t>
        </is>
      </c>
    </row>
    <row r="4869">
      <c r="B4869" t="inlineStr">
        <is>
          <t>Multipurpose Buildings</t>
        </is>
      </c>
      <c r="C4869" t="inlineStr">
        <is>
          <t>Average</t>
        </is>
      </c>
      <c r="D4869" t="n">
        <v>45</v>
      </c>
      <c r="E4869" t="n">
        <v>45</v>
      </c>
      <c r="F4869" t="n">
        <v>40</v>
      </c>
      <c r="G4869" t="n">
        <v>35</v>
      </c>
      <c r="H4869" t="n">
        <v>35</v>
      </c>
      <c r="I4869">
        <f>B4869&amp;"|"&amp;C4869</f>
        <v/>
      </c>
      <c r="J4869" t="inlineStr">
        <is>
          <t>average and good</t>
        </is>
      </c>
    </row>
    <row r="4870">
      <c r="B4870" t="inlineStr">
        <is>
          <t>Multipurpose Buildings</t>
        </is>
      </c>
      <c r="C4870" t="inlineStr">
        <is>
          <t>Excellent</t>
        </is>
      </c>
      <c r="F4870" t="n">
        <v>45</v>
      </c>
      <c r="I4870">
        <f>B4870&amp;"|"&amp;C4870</f>
        <v/>
      </c>
      <c r="J4870" t="inlineStr">
        <is>
          <t>Multipurpose buildings, excellent</t>
        </is>
      </c>
    </row>
    <row r="4871">
      <c r="B4871" t="inlineStr">
        <is>
          <t>Multipurpose Buildings</t>
        </is>
      </c>
      <c r="C4871" t="inlineStr">
        <is>
          <t>Low Cost</t>
        </is>
      </c>
      <c r="F4871" t="n">
        <v>35</v>
      </c>
      <c r="G4871" t="n">
        <v>30</v>
      </c>
      <c r="H4871" t="n">
        <v>30</v>
      </c>
      <c r="I4871">
        <f>B4871&amp;"|"&amp;C4871</f>
        <v/>
      </c>
      <c r="J4871" t="inlineStr">
        <is>
          <t>low cost</t>
        </is>
      </c>
    </row>
    <row r="4872">
      <c r="B4872" t="inlineStr">
        <is>
          <t>Laboratory Classrooms</t>
        </is>
      </c>
      <c r="C4872" t="inlineStr">
        <is>
          <t>Good</t>
        </is>
      </c>
      <c r="D4872" t="n">
        <v>50</v>
      </c>
      <c r="E4872" t="n">
        <v>50</v>
      </c>
      <c r="F4872" t="n">
        <v>45</v>
      </c>
      <c r="G4872" t="n">
        <v>40</v>
      </c>
      <c r="H4872" t="n">
        <v>40</v>
      </c>
      <c r="I4872">
        <f>B4872&amp;"|"&amp;C4872</f>
        <v/>
      </c>
      <c r="J4872" t="inlineStr">
        <is>
          <t>Laboratories, good and excellent</t>
        </is>
      </c>
    </row>
    <row r="4873">
      <c r="B4873" t="inlineStr">
        <is>
          <t>Laboratory Classrooms</t>
        </is>
      </c>
      <c r="C4873" t="inlineStr">
        <is>
          <t>Average</t>
        </is>
      </c>
      <c r="D4873" t="n">
        <v>45</v>
      </c>
      <c r="E4873" t="n">
        <v>45</v>
      </c>
      <c r="F4873" t="n">
        <v>40</v>
      </c>
      <c r="G4873" t="n">
        <v>35</v>
      </c>
      <c r="H4873" t="n">
        <v>35</v>
      </c>
      <c r="I4873">
        <f>B4873&amp;"|"&amp;C4873</f>
        <v/>
      </c>
      <c r="J4873" t="inlineStr">
        <is>
          <t>low cost and average</t>
        </is>
      </c>
    </row>
    <row r="4874">
      <c r="B4874" t="inlineStr">
        <is>
          <t>Laboratory Classrooms</t>
        </is>
      </c>
      <c r="C4874" t="inlineStr">
        <is>
          <t>Excellent</t>
        </is>
      </c>
      <c r="D4874" t="n">
        <v>50</v>
      </c>
      <c r="E4874" t="n">
        <v>50</v>
      </c>
      <c r="F4874" t="n">
        <v>45</v>
      </c>
      <c r="G4874" t="n">
        <v>40</v>
      </c>
      <c r="H4874" t="n">
        <v>40</v>
      </c>
      <c r="I4874">
        <f>B4874&amp;"|"&amp;C4874</f>
        <v/>
      </c>
      <c r="J4874" t="inlineStr">
        <is>
          <t>Laboratories, good and excellent</t>
        </is>
      </c>
    </row>
    <row r="4875">
      <c r="B4875" t="inlineStr">
        <is>
          <t>Elementary and Secondary Media Centers (Libraries)</t>
        </is>
      </c>
      <c r="C4875" t="inlineStr">
        <is>
          <t>Good</t>
        </is>
      </c>
      <c r="D4875" t="n">
        <v>60</v>
      </c>
      <c r="E4875" t="n">
        <v>60</v>
      </c>
      <c r="F4875" t="n">
        <v>55</v>
      </c>
      <c r="G4875" t="n">
        <v>50</v>
      </c>
      <c r="H4875" t="n">
        <v>50</v>
      </c>
      <c r="I4875">
        <f>B4875&amp;"|"&amp;C4875</f>
        <v/>
      </c>
      <c r="J4875" t="inlineStr">
        <is>
          <t>Media centers, libraries, good and excellent</t>
        </is>
      </c>
    </row>
    <row r="4876">
      <c r="B4876" t="inlineStr">
        <is>
          <t>Elementary and Secondary Media Centers (Libraries)</t>
        </is>
      </c>
      <c r="C4876" t="inlineStr">
        <is>
          <t>Average</t>
        </is>
      </c>
      <c r="D4876" t="n">
        <v>55</v>
      </c>
      <c r="E4876" t="n">
        <v>55</v>
      </c>
      <c r="F4876" t="n">
        <v>50</v>
      </c>
      <c r="G4876" t="n">
        <v>45</v>
      </c>
      <c r="H4876" t="n">
        <v>45</v>
      </c>
      <c r="I4876">
        <f>B4876&amp;"|"&amp;C4876</f>
        <v/>
      </c>
      <c r="J4876" t="inlineStr">
        <is>
          <t>average</t>
        </is>
      </c>
    </row>
    <row r="4877">
      <c r="B4877" t="inlineStr">
        <is>
          <t>Elementary and Secondary Media Centers (Libraries)</t>
        </is>
      </c>
      <c r="C4877" t="inlineStr">
        <is>
          <t>Low Cost</t>
        </is>
      </c>
      <c r="D4877" t="n">
        <v>50</v>
      </c>
      <c r="E4877" t="n">
        <v>50</v>
      </c>
      <c r="F4877" t="n">
        <v>45</v>
      </c>
      <c r="G4877" t="n">
        <v>40</v>
      </c>
      <c r="H4877" t="n">
        <v>40</v>
      </c>
      <c r="I4877">
        <f>B4877&amp;"|"&amp;C4877</f>
        <v/>
      </c>
      <c r="J4877" t="inlineStr">
        <is>
          <t>low cost</t>
        </is>
      </c>
    </row>
    <row r="4878">
      <c r="B4878" t="inlineStr">
        <is>
          <t>Elementary and Secondary Media Centers (Libraries)</t>
        </is>
      </c>
      <c r="C4878" t="inlineStr">
        <is>
          <t>Excellent</t>
        </is>
      </c>
      <c r="D4878" t="n">
        <v>60</v>
      </c>
      <c r="E4878" t="n">
        <v>60</v>
      </c>
      <c r="F4878" t="n">
        <v>55</v>
      </c>
      <c r="G4878" t="n">
        <v>50</v>
      </c>
      <c r="H4878" t="n">
        <v>50</v>
      </c>
      <c r="I4878">
        <f>B4878&amp;"|"&amp;C4878</f>
        <v/>
      </c>
      <c r="J4878" t="inlineStr">
        <is>
          <t>Media centers, libraries, good and excellent</t>
        </is>
      </c>
    </row>
    <row r="4879">
      <c r="B4879" t="inlineStr">
        <is>
          <t>Academic (College) Libraries</t>
        </is>
      </c>
      <c r="C4879" t="inlineStr">
        <is>
          <t>Excellent</t>
        </is>
      </c>
      <c r="D4879" t="n">
        <v>60</v>
      </c>
      <c r="E4879" t="n">
        <v>60</v>
      </c>
      <c r="F4879" t="n">
        <v>55</v>
      </c>
      <c r="G4879" t="n">
        <v>50</v>
      </c>
      <c r="H4879" t="n">
        <v>50</v>
      </c>
      <c r="I4879">
        <f>B4879&amp;"|"&amp;C4879</f>
        <v/>
      </c>
      <c r="J4879" t="inlineStr">
        <is>
          <t>College library, good and excellent</t>
        </is>
      </c>
    </row>
    <row r="4880">
      <c r="B4880" t="inlineStr">
        <is>
          <t>Academic (College) Libraries</t>
        </is>
      </c>
      <c r="C4880" t="inlineStr">
        <is>
          <t>Good</t>
        </is>
      </c>
      <c r="D4880" t="n">
        <v>60</v>
      </c>
      <c r="E4880" t="n">
        <v>60</v>
      </c>
      <c r="F4880" t="n">
        <v>55</v>
      </c>
      <c r="G4880" t="n">
        <v>50</v>
      </c>
      <c r="H4880" t="n">
        <v>50</v>
      </c>
      <c r="I4880">
        <f>B4880&amp;"|"&amp;C4880</f>
        <v/>
      </c>
      <c r="J4880" t="inlineStr">
        <is>
          <t>College library, good and excellent</t>
        </is>
      </c>
    </row>
    <row r="4881">
      <c r="B4881" t="inlineStr">
        <is>
          <t>Academic (College) Libraries</t>
        </is>
      </c>
      <c r="C4881" t="inlineStr">
        <is>
          <t>Average</t>
        </is>
      </c>
      <c r="D4881" t="n">
        <v>55</v>
      </c>
      <c r="E4881" t="n">
        <v>55</v>
      </c>
      <c r="F4881" t="n">
        <v>50</v>
      </c>
      <c r="G4881" t="n">
        <v>45</v>
      </c>
      <c r="H4881" t="n">
        <v>45</v>
      </c>
      <c r="I4881">
        <f>B4881&amp;"|"&amp;C4881</f>
        <v/>
      </c>
      <c r="J4881" t="inlineStr">
        <is>
          <t>average</t>
        </is>
      </c>
    </row>
    <row r="4882">
      <c r="B4882" t="inlineStr">
        <is>
          <t>Academic (College) Libraries</t>
        </is>
      </c>
      <c r="C4882" t="inlineStr">
        <is>
          <t>Low Cost</t>
        </is>
      </c>
      <c r="D4882" t="n">
        <v>50</v>
      </c>
      <c r="E4882" t="n">
        <v>50</v>
      </c>
      <c r="F4882" t="n">
        <v>45</v>
      </c>
      <c r="G4882" t="n">
        <v>40</v>
      </c>
      <c r="H4882" t="n">
        <v>40</v>
      </c>
      <c r="I4882">
        <f>B4882&amp;"|"&amp;C4882</f>
        <v/>
      </c>
      <c r="J4882" t="inlineStr">
        <is>
          <t>low cost</t>
        </is>
      </c>
    </row>
    <row r="4883">
      <c r="B4883" t="inlineStr">
        <is>
          <t>Fine Arts Buildings</t>
        </is>
      </c>
      <c r="C4883" t="inlineStr">
        <is>
          <t>Good</t>
        </is>
      </c>
      <c r="D4883" t="n">
        <v>45</v>
      </c>
      <c r="E4883" t="n">
        <v>45</v>
      </c>
      <c r="F4883" t="n">
        <v>40</v>
      </c>
      <c r="G4883" t="n">
        <v>35</v>
      </c>
      <c r="H4883" t="n">
        <v>35</v>
      </c>
      <c r="I4883">
        <f>B4883&amp;"|"&amp;C4883</f>
        <v/>
      </c>
      <c r="J4883" t="inlineStr">
        <is>
          <t>average and good</t>
        </is>
      </c>
    </row>
    <row r="4884">
      <c r="B4884" t="inlineStr">
        <is>
          <t>Fine Arts Buildings</t>
        </is>
      </c>
      <c r="C4884" t="inlineStr">
        <is>
          <t>Average</t>
        </is>
      </c>
      <c r="D4884" t="n">
        <v>45</v>
      </c>
      <c r="E4884" t="n">
        <v>45</v>
      </c>
      <c r="F4884" t="n">
        <v>40</v>
      </c>
      <c r="G4884" t="n">
        <v>35</v>
      </c>
      <c r="H4884" t="n">
        <v>35</v>
      </c>
      <c r="I4884">
        <f>B4884&amp;"|"&amp;C4884</f>
        <v/>
      </c>
      <c r="J4884" t="inlineStr">
        <is>
          <t>average and good</t>
        </is>
      </c>
    </row>
    <row r="4885">
      <c r="B4885" t="inlineStr">
        <is>
          <t>Fine Arts Buildings</t>
        </is>
      </c>
      <c r="C4885" t="inlineStr">
        <is>
          <t>Excellent</t>
        </is>
      </c>
      <c r="F4885" t="n">
        <v>45</v>
      </c>
      <c r="I4885">
        <f>B4885&amp;"|"&amp;C4885</f>
        <v/>
      </c>
      <c r="J4885" t="inlineStr">
        <is>
          <t>Fine arts buildings, excellent</t>
        </is>
      </c>
    </row>
    <row r="4886">
      <c r="B4886" t="inlineStr">
        <is>
          <t>Fine Arts Buildings</t>
        </is>
      </c>
      <c r="C4886" t="inlineStr">
        <is>
          <t>Low Cost</t>
        </is>
      </c>
      <c r="F4886" t="n">
        <v>35</v>
      </c>
      <c r="G4886" t="n">
        <v>30</v>
      </c>
      <c r="H4886" t="n">
        <v>30</v>
      </c>
      <c r="I4886">
        <f>B4886&amp;"|"&amp;C4886</f>
        <v/>
      </c>
      <c r="J4886" t="inlineStr">
        <is>
          <t>low cost</t>
        </is>
      </c>
    </row>
    <row r="4887">
      <c r="B4887" t="inlineStr">
        <is>
          <t>Book Stores</t>
        </is>
      </c>
      <c r="C4887" t="inlineStr">
        <is>
          <t>Average</t>
        </is>
      </c>
      <c r="D4887" t="n">
        <v>45</v>
      </c>
      <c r="E4887" t="n">
        <v>45</v>
      </c>
      <c r="F4887" t="n">
        <v>40</v>
      </c>
      <c r="G4887" t="n">
        <v>35</v>
      </c>
      <c r="H4887" t="n">
        <v>35</v>
      </c>
      <c r="I4887">
        <f>B4887&amp;"|"&amp;C4887</f>
        <v/>
      </c>
      <c r="J4887" t="inlineStr">
        <is>
          <t>average</t>
        </is>
      </c>
    </row>
    <row r="4888">
      <c r="B4888" t="inlineStr">
        <is>
          <t>Book Stores</t>
        </is>
      </c>
      <c r="C4888" t="inlineStr">
        <is>
          <t>Low Cost</t>
        </is>
      </c>
      <c r="D4888" t="n">
        <v>40</v>
      </c>
      <c r="E4888" t="n">
        <v>40</v>
      </c>
      <c r="F4888" t="n">
        <v>35</v>
      </c>
      <c r="G4888" t="n">
        <v>30</v>
      </c>
      <c r="H4888" t="n">
        <v>30</v>
      </c>
      <c r="I4888">
        <f>B4888&amp;"|"&amp;C4888</f>
        <v/>
      </c>
      <c r="J4888" t="inlineStr">
        <is>
          <t>low cost</t>
        </is>
      </c>
    </row>
    <row r="4889">
      <c r="B4889" t="inlineStr">
        <is>
          <t>Book Stores</t>
        </is>
      </c>
      <c r="C4889" t="inlineStr">
        <is>
          <t>Good</t>
        </is>
      </c>
      <c r="F4889" t="n">
        <v>45</v>
      </c>
      <c r="G4889" t="n">
        <v>40</v>
      </c>
      <c r="I4889">
        <f>B4889&amp;"|"&amp;C4889</f>
        <v/>
      </c>
      <c r="J4889" t="inlineStr">
        <is>
          <t>Bookstores, good</t>
        </is>
      </c>
    </row>
    <row r="4890">
      <c r="B4890" t="inlineStr">
        <is>
          <t>Restroom Buildings</t>
        </is>
      </c>
      <c r="C4890" t="inlineStr">
        <is>
          <t>Average</t>
        </is>
      </c>
      <c r="D4890" t="n">
        <v>35</v>
      </c>
      <c r="E4890" t="n">
        <v>35</v>
      </c>
      <c r="F4890" t="n">
        <v>30</v>
      </c>
      <c r="G4890" t="n">
        <v>25</v>
      </c>
      <c r="I4890">
        <f>B4890&amp;"|"&amp;C4890</f>
        <v/>
      </c>
      <c r="J4890" t="inlineStr">
        <is>
          <t>average</t>
        </is>
      </c>
    </row>
    <row r="4891">
      <c r="B4891" t="inlineStr">
        <is>
          <t>Restroom Buildings</t>
        </is>
      </c>
      <c r="C4891" t="inlineStr">
        <is>
          <t>Excellent</t>
        </is>
      </c>
      <c r="F4891" t="n">
        <v>35</v>
      </c>
      <c r="G4891" t="n">
        <v>30</v>
      </c>
      <c r="I4891">
        <f>B4891&amp;"|"&amp;C4891</f>
        <v/>
      </c>
      <c r="J4891" t="inlineStr">
        <is>
          <t>Restroom buildings, good and excellent</t>
        </is>
      </c>
    </row>
    <row r="4892">
      <c r="B4892" t="inlineStr">
        <is>
          <t>Restroom Buildings</t>
        </is>
      </c>
      <c r="C4892" t="inlineStr">
        <is>
          <t>Good</t>
        </is>
      </c>
      <c r="F4892" t="n">
        <v>35</v>
      </c>
      <c r="G4892" t="n">
        <v>30</v>
      </c>
      <c r="I4892">
        <f>B4892&amp;"|"&amp;C4892</f>
        <v/>
      </c>
      <c r="J4892" t="inlineStr">
        <is>
          <t>Restroom buildings, good and excellent</t>
        </is>
      </c>
    </row>
    <row r="4893">
      <c r="B4893" t="inlineStr">
        <is>
          <t>Restroom Buildings</t>
        </is>
      </c>
      <c r="C4893" t="inlineStr">
        <is>
          <t>Low Cost</t>
        </is>
      </c>
      <c r="F4893" t="n">
        <v>25</v>
      </c>
      <c r="G4893" t="n">
        <v>20</v>
      </c>
      <c r="H4893" t="n">
        <v>20</v>
      </c>
      <c r="I4893">
        <f>B4893&amp;"|"&amp;C4893</f>
        <v/>
      </c>
      <c r="J4893" t="inlineStr">
        <is>
          <t>low cost</t>
        </is>
      </c>
    </row>
    <row r="4894">
      <c r="B4894" t="inlineStr">
        <is>
          <t>Restroom Buildings</t>
        </is>
      </c>
      <c r="C4894" t="inlineStr">
        <is>
          <t>Cheap</t>
        </is>
      </c>
      <c r="F4894" t="n">
        <v>20</v>
      </c>
      <c r="G4894" t="n">
        <v>15</v>
      </c>
      <c r="H4894" t="n">
        <v>15</v>
      </c>
      <c r="I4894">
        <f>B4894&amp;"|"&amp;C4894</f>
        <v/>
      </c>
      <c r="J4894" t="inlineStr">
        <is>
          <t>cheap</t>
        </is>
      </c>
    </row>
    <row r="4895">
      <c r="B4895" t="inlineStr">
        <is>
          <t>Maintenance (Storage) Buildings</t>
        </is>
      </c>
      <c r="C4895" t="inlineStr">
        <is>
          <t>Good</t>
        </is>
      </c>
      <c r="F4895" t="n">
        <v>35</v>
      </c>
      <c r="G4895" t="n">
        <v>30</v>
      </c>
      <c r="H4895" t="n">
        <v>30</v>
      </c>
      <c r="I4895">
        <f>B4895&amp;"|"&amp;C4895</f>
        <v/>
      </c>
      <c r="J4895" t="inlineStr">
        <is>
          <t>Maintenance buildings, good</t>
        </is>
      </c>
    </row>
    <row r="4896">
      <c r="B4896" t="inlineStr">
        <is>
          <t>Maintenance (Storage) Buildings</t>
        </is>
      </c>
      <c r="C4896" t="inlineStr">
        <is>
          <t>Average</t>
        </is>
      </c>
      <c r="F4896" t="n">
        <v>30</v>
      </c>
      <c r="G4896" t="n">
        <v>25</v>
      </c>
      <c r="H4896" t="n">
        <v>25</v>
      </c>
      <c r="I4896">
        <f>B4896&amp;"|"&amp;C4896</f>
        <v/>
      </c>
      <c r="J4896" t="inlineStr">
        <is>
          <t>average</t>
        </is>
      </c>
    </row>
    <row r="4897">
      <c r="B4897" t="inlineStr">
        <is>
          <t>Natatoriums</t>
        </is>
      </c>
      <c r="C4897" t="inlineStr">
        <is>
          <t>Good</t>
        </is>
      </c>
      <c r="D4897" t="n">
        <v>45</v>
      </c>
      <c r="E4897" t="n">
        <v>45</v>
      </c>
      <c r="F4897" t="n">
        <v>40</v>
      </c>
      <c r="G4897" t="n">
        <v>35</v>
      </c>
      <c r="H4897" t="n">
        <v>35</v>
      </c>
      <c r="I4897">
        <f>B4897&amp;"|"&amp;C4897</f>
        <v/>
      </c>
      <c r="J4897" t="inlineStr">
        <is>
          <t>Natatoriums, average and good</t>
        </is>
      </c>
    </row>
    <row r="4898">
      <c r="B4898" t="inlineStr">
        <is>
          <t>Natatoriums</t>
        </is>
      </c>
      <c r="C4898" t="inlineStr">
        <is>
          <t>Average</t>
        </is>
      </c>
      <c r="D4898" t="n">
        <v>45</v>
      </c>
      <c r="E4898" t="n">
        <v>45</v>
      </c>
      <c r="F4898" t="n">
        <v>40</v>
      </c>
      <c r="G4898" t="n">
        <v>35</v>
      </c>
      <c r="H4898" t="n">
        <v>35</v>
      </c>
      <c r="I4898">
        <f>B4898&amp;"|"&amp;C4898</f>
        <v/>
      </c>
      <c r="J4898" t="inlineStr">
        <is>
          <t>Natatoriums, average and good</t>
        </is>
      </c>
    </row>
    <row r="4899">
      <c r="B4899" t="inlineStr">
        <is>
          <t>Natatoriums</t>
        </is>
      </c>
      <c r="C4899" t="inlineStr">
        <is>
          <t>Low Cost</t>
        </is>
      </c>
      <c r="F4899" t="n">
        <v>35</v>
      </c>
      <c r="G4899" t="n">
        <v>30</v>
      </c>
      <c r="H4899" t="n">
        <v>30</v>
      </c>
      <c r="I4899">
        <f>B4899&amp;"|"&amp;C4899</f>
        <v/>
      </c>
      <c r="J4899" t="inlineStr">
        <is>
          <t>low cost</t>
        </is>
      </c>
    </row>
    <row r="4900">
      <c r="B4900" t="inlineStr">
        <is>
          <t>Shower Room Buildings</t>
        </is>
      </c>
      <c r="C4900" t="inlineStr">
        <is>
          <t>Average</t>
        </is>
      </c>
      <c r="D4900" t="n">
        <v>35</v>
      </c>
      <c r="E4900" t="n">
        <v>35</v>
      </c>
      <c r="F4900" t="n">
        <v>30</v>
      </c>
      <c r="G4900" t="n">
        <v>25</v>
      </c>
      <c r="H4900" t="n">
        <v>25</v>
      </c>
      <c r="I4900">
        <f>B4900&amp;"|"&amp;C4900</f>
        <v/>
      </c>
      <c r="J4900" t="inlineStr">
        <is>
          <t>average</t>
        </is>
      </c>
    </row>
    <row r="4901">
      <c r="B4901" t="inlineStr">
        <is>
          <t>Shower Room Buildings</t>
        </is>
      </c>
      <c r="C4901" t="inlineStr">
        <is>
          <t>Excellent</t>
        </is>
      </c>
      <c r="F4901" t="n">
        <v>35</v>
      </c>
      <c r="G4901" t="n">
        <v>30</v>
      </c>
      <c r="I4901">
        <f>B4901&amp;"|"&amp;C4901</f>
        <v/>
      </c>
      <c r="J4901" t="inlineStr">
        <is>
          <t>Shower buildings, good and excellent</t>
        </is>
      </c>
    </row>
    <row r="4902">
      <c r="B4902" t="inlineStr">
        <is>
          <t>Shower Room Buildings</t>
        </is>
      </c>
      <c r="C4902" t="inlineStr">
        <is>
          <t>Good</t>
        </is>
      </c>
      <c r="F4902" t="n">
        <v>35</v>
      </c>
      <c r="G4902" t="n">
        <v>30</v>
      </c>
      <c r="I4902">
        <f>B4902&amp;"|"&amp;C4902</f>
        <v/>
      </c>
      <c r="J4902" t="inlineStr">
        <is>
          <t>Shower buildings, good and excellent</t>
        </is>
      </c>
    </row>
    <row r="4903">
      <c r="B4903" t="inlineStr">
        <is>
          <t>Shower Room Buildings</t>
        </is>
      </c>
      <c r="C4903" t="inlineStr">
        <is>
          <t>Low Cost</t>
        </is>
      </c>
      <c r="F4903" t="n">
        <v>25</v>
      </c>
      <c r="G4903" t="n">
        <v>20</v>
      </c>
      <c r="H4903" t="n">
        <v>20</v>
      </c>
      <c r="I4903">
        <f>B4903&amp;"|"&amp;C4903</f>
        <v/>
      </c>
      <c r="J4903" t="inlineStr">
        <is>
          <t>low cost</t>
        </is>
      </c>
    </row>
    <row r="4904">
      <c r="B4904" t="inlineStr">
        <is>
          <t>Shower Room Buildings</t>
        </is>
      </c>
      <c r="C4904" t="inlineStr">
        <is>
          <t>Cheap</t>
        </is>
      </c>
      <c r="F4904" t="n">
        <v>20</v>
      </c>
      <c r="G4904" t="n">
        <v>15</v>
      </c>
      <c r="H4904" t="n">
        <v>15</v>
      </c>
      <c r="I4904">
        <f>B4904&amp;"|"&amp;C4904</f>
        <v/>
      </c>
      <c r="J4904" t="inlineStr">
        <is>
          <t>cheap</t>
        </is>
      </c>
    </row>
    <row r="4905">
      <c r="B4905" t="inlineStr">
        <is>
          <t>Fieldhouses</t>
        </is>
      </c>
      <c r="C4905" t="inlineStr">
        <is>
          <t>Good</t>
        </is>
      </c>
      <c r="D4905" t="n">
        <v>45</v>
      </c>
      <c r="E4905" t="n">
        <v>45</v>
      </c>
      <c r="F4905" t="n">
        <v>40</v>
      </c>
      <c r="G4905" t="n">
        <v>35</v>
      </c>
      <c r="H4905" t="n">
        <v>35</v>
      </c>
      <c r="I4905">
        <f>B4905&amp;"|"&amp;C4905</f>
        <v/>
      </c>
      <c r="J4905" t="inlineStr">
        <is>
          <t>average and good</t>
        </is>
      </c>
    </row>
    <row r="4906">
      <c r="B4906" t="inlineStr">
        <is>
          <t>Fieldhouses</t>
        </is>
      </c>
      <c r="C4906" t="inlineStr">
        <is>
          <t>Average</t>
        </is>
      </c>
      <c r="D4906" t="n">
        <v>45</v>
      </c>
      <c r="E4906" t="n">
        <v>45</v>
      </c>
      <c r="F4906" t="n">
        <v>40</v>
      </c>
      <c r="G4906" t="n">
        <v>35</v>
      </c>
      <c r="H4906" t="n">
        <v>35</v>
      </c>
      <c r="I4906">
        <f>B4906&amp;"|"&amp;C4906</f>
        <v/>
      </c>
      <c r="J4906" t="inlineStr">
        <is>
          <t>average and good</t>
        </is>
      </c>
    </row>
    <row r="4907">
      <c r="B4907" t="inlineStr">
        <is>
          <t>Fieldhouses</t>
        </is>
      </c>
      <c r="C4907" t="inlineStr">
        <is>
          <t>Excellent</t>
        </is>
      </c>
      <c r="D4907" t="n">
        <v>50</v>
      </c>
      <c r="E4907" t="n">
        <v>50</v>
      </c>
      <c r="F4907" t="n">
        <v>45</v>
      </c>
      <c r="G4907" t="n">
        <v>40</v>
      </c>
      <c r="H4907" t="n">
        <v>40</v>
      </c>
      <c r="I4907">
        <f>B4907&amp;"|"&amp;C4907</f>
        <v/>
      </c>
      <c r="J4907" t="inlineStr">
        <is>
          <t>Field houses, excellent</t>
        </is>
      </c>
    </row>
    <row r="4908">
      <c r="B4908" t="inlineStr">
        <is>
          <t>Fieldhouses</t>
        </is>
      </c>
      <c r="C4908" t="inlineStr">
        <is>
          <t>Low Cost</t>
        </is>
      </c>
      <c r="F4908" t="n">
        <v>35</v>
      </c>
      <c r="G4908" t="n">
        <v>30</v>
      </c>
      <c r="H4908" t="n">
        <v>30</v>
      </c>
      <c r="I4908">
        <f>B4908&amp;"|"&amp;C4908</f>
        <v/>
      </c>
      <c r="J4908" t="inlineStr">
        <is>
          <t>low cost</t>
        </is>
      </c>
    </row>
    <row r="4909">
      <c r="B4909" t="inlineStr">
        <is>
          <t>Fieldhouses</t>
        </is>
      </c>
      <c r="C4909" t="inlineStr">
        <is>
          <t>Cheap</t>
        </is>
      </c>
      <c r="G4909" t="n">
        <v>25</v>
      </c>
      <c r="H4909" t="n">
        <v>25</v>
      </c>
      <c r="I4909">
        <f>B4909&amp;"|"&amp;C4909</f>
        <v/>
      </c>
      <c r="J4909" t="inlineStr">
        <is>
          <t>cheap</t>
        </is>
      </c>
    </row>
    <row r="4910">
      <c r="B4910" t="inlineStr">
        <is>
          <t>Physical Education Buildings</t>
        </is>
      </c>
      <c r="C4910" t="inlineStr">
        <is>
          <t>Good</t>
        </is>
      </c>
      <c r="D4910" t="n">
        <v>45</v>
      </c>
      <c r="E4910" t="n">
        <v>45</v>
      </c>
      <c r="F4910" t="n">
        <v>40</v>
      </c>
      <c r="G4910" t="n">
        <v>35</v>
      </c>
      <c r="H4910" t="n">
        <v>35</v>
      </c>
      <c r="I4910">
        <f>B4910&amp;"|"&amp;C4910</f>
        <v/>
      </c>
      <c r="J4910" t="inlineStr">
        <is>
          <t>average and good</t>
        </is>
      </c>
    </row>
    <row r="4911">
      <c r="B4911" t="inlineStr">
        <is>
          <t>Physical Education Buildings</t>
        </is>
      </c>
      <c r="C4911" t="inlineStr">
        <is>
          <t>Average</t>
        </is>
      </c>
      <c r="D4911" t="n">
        <v>45</v>
      </c>
      <c r="E4911" t="n">
        <v>45</v>
      </c>
      <c r="F4911" t="n">
        <v>40</v>
      </c>
      <c r="G4911" t="n">
        <v>35</v>
      </c>
      <c r="H4911" t="n">
        <v>35</v>
      </c>
      <c r="I4911">
        <f>B4911&amp;"|"&amp;C4911</f>
        <v/>
      </c>
      <c r="J4911" t="inlineStr">
        <is>
          <t>average and good</t>
        </is>
      </c>
    </row>
    <row r="4912">
      <c r="B4912" t="inlineStr">
        <is>
          <t>Physical Education Buildings</t>
        </is>
      </c>
      <c r="C4912" t="inlineStr">
        <is>
          <t>Excellent</t>
        </is>
      </c>
      <c r="F4912" t="n">
        <v>45</v>
      </c>
      <c r="G4912" t="n">
        <v>40</v>
      </c>
      <c r="I4912">
        <f>B4912&amp;"|"&amp;C4912</f>
        <v/>
      </c>
      <c r="J4912" t="inlineStr">
        <is>
          <t>College physical education, excellent</t>
        </is>
      </c>
    </row>
    <row r="4913">
      <c r="B4913" t="inlineStr">
        <is>
          <t>Physical Education Buildings</t>
        </is>
      </c>
      <c r="C4913" t="inlineStr">
        <is>
          <t>Low Cost</t>
        </is>
      </c>
      <c r="F4913" t="n">
        <v>35</v>
      </c>
      <c r="G4913" t="n">
        <v>30</v>
      </c>
      <c r="H4913" t="n">
        <v>30</v>
      </c>
      <c r="I4913">
        <f>B4913&amp;"|"&amp;C4913</f>
        <v/>
      </c>
      <c r="J4913" t="inlineStr">
        <is>
          <t>low cost</t>
        </is>
      </c>
    </row>
    <row r="4914">
      <c r="B4914" t="inlineStr">
        <is>
          <t>Gymnasiums</t>
        </is>
      </c>
      <c r="C4914" t="inlineStr">
        <is>
          <t>Good</t>
        </is>
      </c>
      <c r="D4914" t="n">
        <v>45</v>
      </c>
      <c r="E4914" t="n">
        <v>45</v>
      </c>
      <c r="F4914" t="n">
        <v>40</v>
      </c>
      <c r="G4914" t="n">
        <v>35</v>
      </c>
      <c r="H4914" t="n">
        <v>35</v>
      </c>
      <c r="I4914">
        <f>B4914&amp;"|"&amp;C4914</f>
        <v/>
      </c>
      <c r="J4914" t="inlineStr">
        <is>
          <t>average and good</t>
        </is>
      </c>
    </row>
    <row r="4915">
      <c r="B4915" t="inlineStr">
        <is>
          <t>Gymnasiums</t>
        </is>
      </c>
      <c r="C4915" t="inlineStr">
        <is>
          <t>Average</t>
        </is>
      </c>
      <c r="D4915" t="n">
        <v>45</v>
      </c>
      <c r="E4915" t="n">
        <v>45</v>
      </c>
      <c r="F4915" t="n">
        <v>40</v>
      </c>
      <c r="G4915" t="n">
        <v>35</v>
      </c>
      <c r="H4915" t="n">
        <v>35</v>
      </c>
      <c r="I4915">
        <f>B4915&amp;"|"&amp;C4915</f>
        <v/>
      </c>
      <c r="J4915" t="inlineStr">
        <is>
          <t>average and good</t>
        </is>
      </c>
    </row>
    <row r="4916">
      <c r="B4916" t="inlineStr">
        <is>
          <t>Gymnasiums</t>
        </is>
      </c>
      <c r="C4916" t="inlineStr">
        <is>
          <t>Excellent</t>
        </is>
      </c>
      <c r="D4916" t="n">
        <v>50</v>
      </c>
      <c r="E4916" t="n">
        <v>50</v>
      </c>
      <c r="F4916" t="n">
        <v>45</v>
      </c>
      <c r="G4916" t="n">
        <v>40</v>
      </c>
      <c r="I4916">
        <f>B4916&amp;"|"&amp;C4916</f>
        <v/>
      </c>
      <c r="J4916" t="inlineStr">
        <is>
          <t>Gymnasiums, excellent</t>
        </is>
      </c>
    </row>
    <row r="4917">
      <c r="B4917" t="inlineStr">
        <is>
          <t>Gymnasiums</t>
        </is>
      </c>
      <c r="C4917" t="inlineStr">
        <is>
          <t>Low Cost</t>
        </is>
      </c>
      <c r="F4917" t="n">
        <v>35</v>
      </c>
      <c r="G4917" t="n">
        <v>30</v>
      </c>
      <c r="H4917" t="n">
        <v>30</v>
      </c>
      <c r="I4917">
        <f>B4917&amp;"|"&amp;C4917</f>
        <v/>
      </c>
      <c r="J4917" t="inlineStr">
        <is>
          <t>cheap and low cost</t>
        </is>
      </c>
    </row>
    <row r="4918">
      <c r="B4918" t="inlineStr">
        <is>
          <t>Gymnasiums</t>
        </is>
      </c>
      <c r="C4918" t="inlineStr">
        <is>
          <t>Cheap</t>
        </is>
      </c>
      <c r="F4918" t="n">
        <v>35</v>
      </c>
      <c r="G4918" t="n">
        <v>30</v>
      </c>
      <c r="H4918" t="n">
        <v>30</v>
      </c>
      <c r="I4918">
        <f>B4918&amp;"|"&amp;C4918</f>
        <v/>
      </c>
      <c r="J4918" t="inlineStr">
        <is>
          <t>cheap and low cost</t>
        </is>
      </c>
    </row>
    <row r="4919">
      <c r="B4919" t="inlineStr">
        <is>
          <t>Colleges</t>
        </is>
      </c>
      <c r="C4919" t="inlineStr">
        <is>
          <t>Excellent</t>
        </is>
      </c>
      <c r="D4919" t="n">
        <v>60</v>
      </c>
      <c r="E4919" t="n">
        <v>60</v>
      </c>
      <c r="F4919" t="n">
        <v>55</v>
      </c>
      <c r="G4919" t="n">
        <v>50</v>
      </c>
      <c r="I4919">
        <f>B4919&amp;"|"&amp;C4919</f>
        <v/>
      </c>
      <c r="J4919" t="inlineStr">
        <is>
          <t>College level: entire school plant, excellent</t>
        </is>
      </c>
    </row>
    <row r="4920">
      <c r="B4920" t="inlineStr">
        <is>
          <t>Colleges</t>
        </is>
      </c>
      <c r="C4920" t="inlineStr">
        <is>
          <t>Good</t>
        </is>
      </c>
      <c r="D4920" t="n">
        <v>60</v>
      </c>
      <c r="E4920" t="n">
        <v>60</v>
      </c>
      <c r="F4920" t="n">
        <v>50</v>
      </c>
      <c r="G4920" t="n">
        <v>45</v>
      </c>
      <c r="H4920" t="n">
        <v>45</v>
      </c>
      <c r="I4920">
        <f>B4920&amp;"|"&amp;C4920</f>
        <v/>
      </c>
      <c r="J4920" t="inlineStr">
        <is>
          <t>good</t>
        </is>
      </c>
    </row>
    <row r="4921">
      <c r="B4921" t="inlineStr">
        <is>
          <t>Colleges</t>
        </is>
      </c>
      <c r="C4921" t="inlineStr">
        <is>
          <t>Average</t>
        </is>
      </c>
      <c r="D4921" t="n">
        <v>50</v>
      </c>
      <c r="E4921" t="n">
        <v>50</v>
      </c>
      <c r="F4921" t="n">
        <v>45</v>
      </c>
      <c r="G4921" t="n">
        <v>40</v>
      </c>
      <c r="H4921" t="n">
        <v>40</v>
      </c>
      <c r="I4921">
        <f>B4921&amp;"|"&amp;C4921</f>
        <v/>
      </c>
      <c r="J4921" t="inlineStr">
        <is>
          <t>average</t>
        </is>
      </c>
    </row>
    <row r="4922">
      <c r="B4922" t="inlineStr">
        <is>
          <t>Colleges</t>
        </is>
      </c>
      <c r="C4922" t="inlineStr">
        <is>
          <t>Low Cost</t>
        </is>
      </c>
      <c r="F4922" t="n">
        <v>40</v>
      </c>
      <c r="G4922" t="n">
        <v>35</v>
      </c>
      <c r="H4922" t="n">
        <v>35</v>
      </c>
      <c r="I4922">
        <f>B4922&amp;"|"&amp;C4922</f>
        <v/>
      </c>
      <c r="J4922" t="inlineStr">
        <is>
          <t>low cost</t>
        </is>
      </c>
    </row>
    <row r="4923">
      <c r="B4923" t="inlineStr">
        <is>
          <t>College Classrooms</t>
        </is>
      </c>
      <c r="C4923" t="inlineStr">
        <is>
          <t>Excellent</t>
        </is>
      </c>
      <c r="D4923" t="n">
        <v>60</v>
      </c>
      <c r="E4923" t="n">
        <v>60</v>
      </c>
      <c r="F4923" t="n">
        <v>55</v>
      </c>
      <c r="G4923" t="n">
        <v>50</v>
      </c>
      <c r="I4923">
        <f>B4923&amp;"|"&amp;C4923</f>
        <v/>
      </c>
      <c r="J4923" t="inlineStr">
        <is>
          <t>Classrooms, excellent</t>
        </is>
      </c>
    </row>
    <row r="4924">
      <c r="B4924" t="inlineStr">
        <is>
          <t>College Classrooms</t>
        </is>
      </c>
      <c r="C4924" t="inlineStr">
        <is>
          <t>Good</t>
        </is>
      </c>
      <c r="D4924" t="n">
        <v>60</v>
      </c>
      <c r="E4924" t="n">
        <v>60</v>
      </c>
      <c r="F4924" t="n">
        <v>50</v>
      </c>
      <c r="G4924" t="n">
        <v>45</v>
      </c>
      <c r="H4924" t="n">
        <v>45</v>
      </c>
      <c r="I4924">
        <f>B4924&amp;"|"&amp;C4924</f>
        <v/>
      </c>
      <c r="J4924" t="inlineStr">
        <is>
          <t>good</t>
        </is>
      </c>
    </row>
    <row r="4925">
      <c r="B4925" t="inlineStr">
        <is>
          <t>College Classrooms</t>
        </is>
      </c>
      <c r="C4925" t="inlineStr">
        <is>
          <t>Average</t>
        </is>
      </c>
      <c r="D4925" t="n">
        <v>50</v>
      </c>
      <c r="E4925" t="n">
        <v>50</v>
      </c>
      <c r="F4925" t="n">
        <v>45</v>
      </c>
      <c r="G4925" t="n">
        <v>40</v>
      </c>
      <c r="H4925" t="n">
        <v>40</v>
      </c>
      <c r="I4925">
        <f>B4925&amp;"|"&amp;C4925</f>
        <v/>
      </c>
      <c r="J4925" t="inlineStr">
        <is>
          <t>average</t>
        </is>
      </c>
    </row>
    <row r="4926">
      <c r="B4926" t="inlineStr">
        <is>
          <t>College Classrooms</t>
        </is>
      </c>
      <c r="C4926" t="inlineStr">
        <is>
          <t>Low Cost</t>
        </is>
      </c>
      <c r="F4926" t="n">
        <v>40</v>
      </c>
      <c r="G4926" t="n">
        <v>35</v>
      </c>
      <c r="H4926" t="n">
        <v>35</v>
      </c>
      <c r="I4926">
        <f>B4926&amp;"|"&amp;C4926</f>
        <v/>
      </c>
      <c r="J4926" t="inlineStr">
        <is>
          <t>low cost</t>
        </is>
      </c>
    </row>
    <row r="4927">
      <c r="B4927" t="inlineStr">
        <is>
          <t>Technical Trades Buildings</t>
        </is>
      </c>
      <c r="C4927" t="inlineStr">
        <is>
          <t>Good</t>
        </is>
      </c>
      <c r="D4927" t="n">
        <v>60</v>
      </c>
      <c r="E4927" t="n">
        <v>60</v>
      </c>
      <c r="F4927" t="n">
        <v>50</v>
      </c>
      <c r="G4927" t="n">
        <v>45</v>
      </c>
      <c r="H4927" t="n">
        <v>45</v>
      </c>
      <c r="I4927">
        <f>B4927&amp;"|"&amp;C4927</f>
        <v/>
      </c>
      <c r="J4927" t="inlineStr">
        <is>
          <t>Technical trades buildings, good</t>
        </is>
      </c>
    </row>
    <row r="4928">
      <c r="B4928" t="inlineStr">
        <is>
          <t>Technical Trades Buildings</t>
        </is>
      </c>
      <c r="C4928" t="inlineStr">
        <is>
          <t>Average</t>
        </is>
      </c>
      <c r="D4928" t="n">
        <v>50</v>
      </c>
      <c r="E4928" t="n">
        <v>50</v>
      </c>
      <c r="F4928" t="n">
        <v>45</v>
      </c>
      <c r="G4928" t="n">
        <v>40</v>
      </c>
      <c r="H4928" t="n">
        <v>40</v>
      </c>
      <c r="I4928">
        <f>B4928&amp;"|"&amp;C4928</f>
        <v/>
      </c>
      <c r="J4928" t="inlineStr">
        <is>
          <t>average</t>
        </is>
      </c>
    </row>
    <row r="4929">
      <c r="B4929" t="inlineStr">
        <is>
          <t>Technical Trades Buildings</t>
        </is>
      </c>
      <c r="C4929" t="inlineStr">
        <is>
          <t>Low Cost</t>
        </is>
      </c>
      <c r="F4929" t="n">
        <v>40</v>
      </c>
      <c r="G4929" t="n">
        <v>35</v>
      </c>
      <c r="H4929" t="n">
        <v>35</v>
      </c>
      <c r="I4929">
        <f>B4929&amp;"|"&amp;C4929</f>
        <v/>
      </c>
      <c r="J4929" t="inlineStr">
        <is>
          <t>low cost</t>
        </is>
      </c>
    </row>
    <row r="4930">
      <c r="B4930" t="inlineStr">
        <is>
          <t>Lecture Hall Buildings</t>
        </is>
      </c>
      <c r="C4930" t="inlineStr">
        <is>
          <t>Excellent</t>
        </is>
      </c>
      <c r="F4930" t="n">
        <v>55</v>
      </c>
      <c r="I4930">
        <f>B4930&amp;"|"&amp;C4930</f>
        <v/>
      </c>
      <c r="J4930" t="inlineStr">
        <is>
          <t>Lecture halls, excellent</t>
        </is>
      </c>
    </row>
    <row r="4931">
      <c r="B4931" t="inlineStr">
        <is>
          <t>Lecture Hall Buildings</t>
        </is>
      </c>
      <c r="C4931" t="inlineStr">
        <is>
          <t>Good</t>
        </is>
      </c>
      <c r="D4931" t="n">
        <v>60</v>
      </c>
      <c r="E4931" t="n">
        <v>60</v>
      </c>
      <c r="F4931" t="n">
        <v>50</v>
      </c>
      <c r="G4931" t="n">
        <v>45</v>
      </c>
      <c r="H4931" t="n">
        <v>45</v>
      </c>
      <c r="I4931">
        <f>B4931&amp;"|"&amp;C4931</f>
        <v/>
      </c>
      <c r="J4931" t="inlineStr">
        <is>
          <t>good</t>
        </is>
      </c>
    </row>
    <row r="4932">
      <c r="B4932" t="inlineStr">
        <is>
          <t>Lecture Hall Buildings</t>
        </is>
      </c>
      <c r="C4932" t="inlineStr">
        <is>
          <t>Average</t>
        </is>
      </c>
      <c r="D4932" t="n">
        <v>50</v>
      </c>
      <c r="E4932" t="n">
        <v>50</v>
      </c>
      <c r="F4932" t="n">
        <v>45</v>
      </c>
      <c r="G4932" t="n">
        <v>40</v>
      </c>
      <c r="H4932" t="n">
        <v>40</v>
      </c>
      <c r="I4932">
        <f>B4932&amp;"|"&amp;C4932</f>
        <v/>
      </c>
      <c r="J4932" t="inlineStr">
        <is>
          <t>average</t>
        </is>
      </c>
    </row>
    <row r="4933">
      <c r="B4933" t="inlineStr">
        <is>
          <t>Arts &amp; Crafts Buildings</t>
        </is>
      </c>
      <c r="C4933" t="inlineStr">
        <is>
          <t>Excellent</t>
        </is>
      </c>
      <c r="D4933" t="n">
        <v>60</v>
      </c>
      <c r="E4933" t="n">
        <v>60</v>
      </c>
      <c r="F4933" t="n">
        <v>55</v>
      </c>
      <c r="I4933">
        <f>B4933&amp;"|"&amp;C4933</f>
        <v/>
      </c>
      <c r="J4933" t="inlineStr">
        <is>
          <t>Arts and crafts buildings, excellent</t>
        </is>
      </c>
    </row>
    <row r="4934">
      <c r="B4934" t="inlineStr">
        <is>
          <t>Arts &amp; Crafts Buildings</t>
        </is>
      </c>
      <c r="C4934" t="inlineStr">
        <is>
          <t>Good</t>
        </is>
      </c>
      <c r="D4934" t="n">
        <v>60</v>
      </c>
      <c r="E4934" t="n">
        <v>60</v>
      </c>
      <c r="F4934" t="n">
        <v>50</v>
      </c>
      <c r="G4934" t="n">
        <v>45</v>
      </c>
      <c r="H4934" t="n">
        <v>45</v>
      </c>
      <c r="I4934">
        <f>B4934&amp;"|"&amp;C4934</f>
        <v/>
      </c>
      <c r="J4934" t="inlineStr">
        <is>
          <t>good</t>
        </is>
      </c>
    </row>
    <row r="4935">
      <c r="B4935" t="inlineStr">
        <is>
          <t>Arts &amp; Crafts Buildings</t>
        </is>
      </c>
      <c r="C4935" t="inlineStr">
        <is>
          <t>Average</t>
        </is>
      </c>
      <c r="D4935" t="n">
        <v>50</v>
      </c>
      <c r="E4935" t="n">
        <v>50</v>
      </c>
      <c r="F4935" t="n">
        <v>45</v>
      </c>
      <c r="G4935" t="n">
        <v>40</v>
      </c>
      <c r="H4935" t="n">
        <v>40</v>
      </c>
      <c r="I4935">
        <f>B4935&amp;"|"&amp;C4935</f>
        <v/>
      </c>
      <c r="J4935" t="inlineStr">
        <is>
          <t>average</t>
        </is>
      </c>
    </row>
    <row r="4936">
      <c r="B4936" t="inlineStr">
        <is>
          <t>Arts &amp; Crafts Buildings</t>
        </is>
      </c>
      <c r="C4936" t="inlineStr">
        <is>
          <t>Low Cost</t>
        </is>
      </c>
      <c r="F4936" t="n">
        <v>40</v>
      </c>
      <c r="G4936" t="n">
        <v>35</v>
      </c>
      <c r="H4936" t="n">
        <v>35</v>
      </c>
      <c r="I4936">
        <f>B4936&amp;"|"&amp;C4936</f>
        <v/>
      </c>
      <c r="J4936" t="inlineStr">
        <is>
          <t>low cost</t>
        </is>
      </c>
    </row>
    <row r="4937">
      <c r="B4937" t="inlineStr">
        <is>
          <t>Science Buildings</t>
        </is>
      </c>
      <c r="C4937" t="inlineStr">
        <is>
          <t>Excellent</t>
        </is>
      </c>
      <c r="D4937" t="n">
        <v>60</v>
      </c>
      <c r="E4937" t="n">
        <v>60</v>
      </c>
      <c r="F4937" t="n">
        <v>55</v>
      </c>
      <c r="G4937" t="n">
        <v>50</v>
      </c>
      <c r="I4937">
        <f>B4937&amp;"|"&amp;C4937</f>
        <v/>
      </c>
      <c r="J4937" t="inlineStr">
        <is>
          <t>Science buildings, excellent</t>
        </is>
      </c>
    </row>
    <row r="4938">
      <c r="B4938" t="inlineStr">
        <is>
          <t>Science Buildings</t>
        </is>
      </c>
      <c r="C4938" t="inlineStr">
        <is>
          <t>Good</t>
        </is>
      </c>
      <c r="D4938" t="n">
        <v>60</v>
      </c>
      <c r="E4938" t="n">
        <v>60</v>
      </c>
      <c r="F4938" t="n">
        <v>50</v>
      </c>
      <c r="G4938" t="n">
        <v>45</v>
      </c>
      <c r="H4938" t="n">
        <v>45</v>
      </c>
      <c r="I4938">
        <f>B4938&amp;"|"&amp;C4938</f>
        <v/>
      </c>
      <c r="J4938" t="inlineStr">
        <is>
          <t>good</t>
        </is>
      </c>
    </row>
    <row r="4939">
      <c r="B4939" t="inlineStr">
        <is>
          <t>Science Buildings</t>
        </is>
      </c>
      <c r="C4939" t="inlineStr">
        <is>
          <t>Average</t>
        </is>
      </c>
      <c r="D4939" t="n">
        <v>50</v>
      </c>
      <c r="E4939" t="n">
        <v>50</v>
      </c>
      <c r="F4939" t="n">
        <v>45</v>
      </c>
      <c r="G4939" t="n">
        <v>40</v>
      </c>
      <c r="H4939" t="n">
        <v>40</v>
      </c>
      <c r="I4939">
        <f>B4939&amp;"|"&amp;C4939</f>
        <v/>
      </c>
      <c r="J4939" t="inlineStr">
        <is>
          <t>average</t>
        </is>
      </c>
    </row>
    <row r="4940">
      <c r="B4940" t="inlineStr">
        <is>
          <t>Science Buildings</t>
        </is>
      </c>
      <c r="C4940" t="inlineStr">
        <is>
          <t>Low Cost</t>
        </is>
      </c>
      <c r="D4940" t="n">
        <v>50</v>
      </c>
      <c r="E4940" t="n">
        <v>50</v>
      </c>
      <c r="F4940" t="n">
        <v>40</v>
      </c>
      <c r="G4940" t="n">
        <v>35</v>
      </c>
      <c r="H4940" t="n">
        <v>35</v>
      </c>
      <c r="I4940">
        <f>B4940&amp;"|"&amp;C4940</f>
        <v/>
      </c>
      <c r="J4940" t="inlineStr">
        <is>
          <t>low cost</t>
        </is>
      </c>
    </row>
    <row r="4941">
      <c r="B4941" t="inlineStr">
        <is>
          <t>Commons</t>
        </is>
      </c>
      <c r="C4941" t="inlineStr">
        <is>
          <t>Excellent</t>
        </is>
      </c>
      <c r="D4941" t="n">
        <v>60</v>
      </c>
      <c r="E4941" t="n">
        <v>60</v>
      </c>
      <c r="F4941" t="n">
        <v>55</v>
      </c>
      <c r="G4941" t="n">
        <v>50</v>
      </c>
      <c r="I4941">
        <f>B4941&amp;"|"&amp;C4941</f>
        <v/>
      </c>
      <c r="J4941" t="inlineStr">
        <is>
          <t>Commons, excellent</t>
        </is>
      </c>
    </row>
    <row r="4942">
      <c r="B4942" t="inlineStr">
        <is>
          <t>Commons</t>
        </is>
      </c>
      <c r="C4942" t="inlineStr">
        <is>
          <t>Good</t>
        </is>
      </c>
      <c r="D4942" t="n">
        <v>60</v>
      </c>
      <c r="E4942" t="n">
        <v>60</v>
      </c>
      <c r="F4942" t="n">
        <v>50</v>
      </c>
      <c r="G4942" t="n">
        <v>45</v>
      </c>
      <c r="H4942" t="n">
        <v>45</v>
      </c>
      <c r="I4942">
        <f>B4942&amp;"|"&amp;C4942</f>
        <v/>
      </c>
      <c r="J4942" t="inlineStr">
        <is>
          <t>good</t>
        </is>
      </c>
    </row>
    <row r="4943">
      <c r="B4943" t="inlineStr">
        <is>
          <t>Commons</t>
        </is>
      </c>
      <c r="C4943" t="inlineStr">
        <is>
          <t>Average</t>
        </is>
      </c>
      <c r="D4943" t="n">
        <v>50</v>
      </c>
      <c r="E4943" t="n">
        <v>50</v>
      </c>
      <c r="F4943" t="n">
        <v>45</v>
      </c>
      <c r="G4943" t="n">
        <v>40</v>
      </c>
      <c r="H4943" t="n">
        <v>40</v>
      </c>
      <c r="I4943">
        <f>B4943&amp;"|"&amp;C4943</f>
        <v/>
      </c>
      <c r="J4943" t="inlineStr">
        <is>
          <t>average</t>
        </is>
      </c>
    </row>
    <row r="4944">
      <c r="B4944" t="inlineStr">
        <is>
          <t>Commons</t>
        </is>
      </c>
      <c r="C4944" t="inlineStr">
        <is>
          <t>Low Cost</t>
        </is>
      </c>
      <c r="F4944" t="n">
        <v>40</v>
      </c>
      <c r="G4944" t="n">
        <v>35</v>
      </c>
      <c r="H4944" t="n">
        <v>35</v>
      </c>
      <c r="I4944">
        <f>B4944&amp;"|"&amp;C4944</f>
        <v/>
      </c>
      <c r="J4944" t="inlineStr">
        <is>
          <t>low cost</t>
        </is>
      </c>
    </row>
    <row r="4945">
      <c r="B4945" t="inlineStr">
        <is>
          <t>Administration (Office) Buildings</t>
        </is>
      </c>
      <c r="C4945" t="inlineStr">
        <is>
          <t>Excellent</t>
        </is>
      </c>
      <c r="D4945" t="n">
        <v>55</v>
      </c>
      <c r="E4945" t="n">
        <v>55</v>
      </c>
      <c r="F4945" t="n">
        <v>50</v>
      </c>
      <c r="G4945" t="n">
        <v>45</v>
      </c>
      <c r="I4945">
        <f>B4945&amp;"|"&amp;C4945</f>
        <v/>
      </c>
      <c r="J4945" t="inlineStr">
        <is>
          <t>Administration buildings, excellent</t>
        </is>
      </c>
    </row>
    <row r="4946">
      <c r="B4946" t="inlineStr">
        <is>
          <t>Administration (Office) Buildings</t>
        </is>
      </c>
      <c r="C4946" t="inlineStr">
        <is>
          <t>Good</t>
        </is>
      </c>
      <c r="D4946" t="n">
        <v>50</v>
      </c>
      <c r="E4946" t="n">
        <v>50</v>
      </c>
      <c r="F4946" t="n">
        <v>45</v>
      </c>
      <c r="G4946" t="n">
        <v>40</v>
      </c>
      <c r="H4946" t="n">
        <v>40</v>
      </c>
      <c r="I4946">
        <f>B4946&amp;"|"&amp;C4946</f>
        <v/>
      </c>
      <c r="J4946" t="inlineStr">
        <is>
          <t>good</t>
        </is>
      </c>
    </row>
    <row r="4947">
      <c r="B4947" t="inlineStr">
        <is>
          <t>Administration (Office) Buildings</t>
        </is>
      </c>
      <c r="C4947" t="inlineStr">
        <is>
          <t>Average</t>
        </is>
      </c>
      <c r="D4947" t="n">
        <v>45</v>
      </c>
      <c r="E4947" t="n">
        <v>45</v>
      </c>
      <c r="F4947" t="n">
        <v>45</v>
      </c>
      <c r="G4947" t="n">
        <v>40</v>
      </c>
      <c r="H4947" t="n">
        <v>40</v>
      </c>
      <c r="I4947">
        <f>B4947&amp;"|"&amp;C4947</f>
        <v/>
      </c>
      <c r="J4947" t="inlineStr">
        <is>
          <t>average</t>
        </is>
      </c>
    </row>
    <row r="4948">
      <c r="B4948" t="inlineStr">
        <is>
          <t>Administration (Office) Buildings</t>
        </is>
      </c>
      <c r="C4948" t="inlineStr">
        <is>
          <t>Low Cost</t>
        </is>
      </c>
      <c r="D4948" t="n">
        <v>45</v>
      </c>
      <c r="E4948" t="n">
        <v>45</v>
      </c>
      <c r="F4948" t="n">
        <v>40</v>
      </c>
      <c r="G4948" t="n">
        <v>35</v>
      </c>
      <c r="H4948" t="n">
        <v>35</v>
      </c>
      <c r="I4948">
        <f>B4948&amp;"|"&amp;C4948</f>
        <v/>
      </c>
      <c r="J4948" t="inlineStr">
        <is>
          <t>low cost</t>
        </is>
      </c>
    </row>
    <row r="4949">
      <c r="B4949" t="inlineStr">
        <is>
          <t>Relocatable Offices</t>
        </is>
      </c>
      <c r="C4949" t="inlineStr">
        <is>
          <t>Excellent</t>
        </is>
      </c>
      <c r="G4949" t="n">
        <v>35</v>
      </c>
      <c r="I4949">
        <f>B4949&amp;"|"&amp;C4949</f>
        <v/>
      </c>
      <c r="J4949" t="inlineStr">
        <is>
          <t>Relocatable classrooms and offices, excellent</t>
        </is>
      </c>
    </row>
    <row r="4950">
      <c r="B4950" t="inlineStr">
        <is>
          <t>Relocatable Offices</t>
        </is>
      </c>
      <c r="C4950" t="inlineStr">
        <is>
          <t>Good</t>
        </is>
      </c>
      <c r="G4950" t="n">
        <v>30</v>
      </c>
      <c r="I4950">
        <f>B4950&amp;"|"&amp;C4950</f>
        <v/>
      </c>
      <c r="J4950" t="inlineStr">
        <is>
          <t>good</t>
        </is>
      </c>
    </row>
    <row r="4951">
      <c r="B4951" t="inlineStr">
        <is>
          <t>Relocatable Offices</t>
        </is>
      </c>
      <c r="C4951" t="inlineStr">
        <is>
          <t>Average</t>
        </is>
      </c>
      <c r="G4951" t="n">
        <v>25</v>
      </c>
      <c r="I4951">
        <f>B4951&amp;"|"&amp;C4951</f>
        <v/>
      </c>
      <c r="J4951" t="inlineStr">
        <is>
          <t>average</t>
        </is>
      </c>
    </row>
    <row r="4952">
      <c r="B4952" t="inlineStr">
        <is>
          <t>Relocatable Offices</t>
        </is>
      </c>
      <c r="C4952" t="inlineStr">
        <is>
          <t>Low Cost</t>
        </is>
      </c>
      <c r="G4952" t="n">
        <v>20</v>
      </c>
      <c r="I4952">
        <f>B4952&amp;"|"&amp;C4952</f>
        <v/>
      </c>
      <c r="J4952" t="inlineStr">
        <is>
          <t>low cost</t>
        </is>
      </c>
    </row>
    <row r="4953">
      <c r="B4953" t="inlineStr">
        <is>
          <t>Relocatable Offices</t>
        </is>
      </c>
      <c r="C4953" t="inlineStr">
        <is>
          <t>Cheap</t>
        </is>
      </c>
      <c r="G4953" t="n">
        <v>10</v>
      </c>
      <c r="I4953">
        <f>B4953&amp;"|"&amp;C4953</f>
        <v/>
      </c>
      <c r="J4953" t="inlineStr">
        <is>
          <t>cheap</t>
        </is>
      </c>
    </row>
    <row r="4954">
      <c r="B4954" t="inlineStr">
        <is>
          <t>Commercial (Institutional) Greenhouses</t>
        </is>
      </c>
      <c r="C4954" t="inlineStr">
        <is>
          <t>Fair</t>
        </is>
      </c>
      <c r="G4954" t="n">
        <v>25</v>
      </c>
      <c r="H4954" t="n">
        <v>30</v>
      </c>
      <c r="I4954">
        <f>B4954&amp;"|"&amp;C4954</f>
        <v/>
      </c>
      <c r="J4954" t="inlineStr">
        <is>
          <t>fair and average</t>
        </is>
      </c>
    </row>
    <row r="4955">
      <c r="B4955" t="inlineStr">
        <is>
          <t>Commercial (Institutional) Greenhouses</t>
        </is>
      </c>
      <c r="C4955" t="inlineStr">
        <is>
          <t>Low Cost</t>
        </is>
      </c>
      <c r="G4955" t="n">
        <v>20</v>
      </c>
      <c r="H4955" t="n">
        <v>25</v>
      </c>
      <c r="I4955">
        <f>B4955&amp;"|"&amp;C4955</f>
        <v/>
      </c>
      <c r="J4955" t="inlineStr">
        <is>
          <t>low cost</t>
        </is>
      </c>
    </row>
    <row r="4956">
      <c r="B4956" t="inlineStr">
        <is>
          <t>Commercial (Institutional) Greenhouses</t>
        </is>
      </c>
      <c r="C4956" t="inlineStr">
        <is>
          <t>Excellent</t>
        </is>
      </c>
      <c r="H4956" t="n">
        <v>40</v>
      </c>
      <c r="I4956">
        <f>B4956&amp;"|"&amp;C4956</f>
        <v/>
      </c>
      <c r="J4956" t="inlineStr">
        <is>
          <t>Institutional greenhouses, very good and excellent</t>
        </is>
      </c>
    </row>
    <row r="4957">
      <c r="B4957" t="inlineStr">
        <is>
          <t>Commercial (Institutional) Greenhouses</t>
        </is>
      </c>
      <c r="C4957" t="inlineStr">
        <is>
          <t>Very Good</t>
        </is>
      </c>
      <c r="H4957" t="n">
        <v>40</v>
      </c>
      <c r="I4957">
        <f>B4957&amp;"|"&amp;C4957</f>
        <v/>
      </c>
      <c r="J4957" t="inlineStr">
        <is>
          <t>Institutional greenhouses, very good and excellent</t>
        </is>
      </c>
    </row>
    <row r="4958">
      <c r="B4958" t="inlineStr">
        <is>
          <t>Commercial (Institutional) Greenhouses</t>
        </is>
      </c>
      <c r="C4958" t="inlineStr">
        <is>
          <t>Good</t>
        </is>
      </c>
      <c r="H4958" t="n">
        <v>35</v>
      </c>
      <c r="I4958">
        <f>B4958&amp;"|"&amp;C4958</f>
        <v/>
      </c>
      <c r="J4958" t="inlineStr">
        <is>
          <t>good</t>
        </is>
      </c>
    </row>
    <row r="4959">
      <c r="B4959" t="inlineStr">
        <is>
          <t>Commercial (Institutional) Greenhouses</t>
        </is>
      </c>
      <c r="C4959" t="inlineStr">
        <is>
          <t>Average</t>
        </is>
      </c>
      <c r="G4959" t="n">
        <v>25</v>
      </c>
      <c r="H4959" t="n">
        <v>30</v>
      </c>
      <c r="I4959">
        <f>B4959&amp;"|"&amp;C4959</f>
        <v/>
      </c>
      <c r="J4959" t="inlineStr">
        <is>
          <t>fair and average</t>
        </is>
      </c>
    </row>
    <row r="4960">
      <c r="B4960" t="inlineStr">
        <is>
          <t>Commercial (Institutional) Greenhouses</t>
        </is>
      </c>
      <c r="C4960" t="inlineStr">
        <is>
          <t>Cheap</t>
        </is>
      </c>
      <c r="G4960" t="n">
        <v>20</v>
      </c>
      <c r="H4960" t="n">
        <v>25</v>
      </c>
      <c r="I4960">
        <f>B4960&amp;"|"&amp;C4960</f>
        <v/>
      </c>
      <c r="J4960" t="inlineStr">
        <is>
          <t>low cost</t>
        </is>
      </c>
    </row>
    <row r="4963">
      <c r="B4963" s="305" t="inlineStr">
        <is>
          <t>REFERENCE 12 -- Depreciation Percent-Good Table, Commercial Properties (MVS Sec.97 p.24). Applies to Sections 11/13/14/15 per MVS's own 'Properties Included' key.</t>
        </is>
      </c>
    </row>
    <row r="4964">
      <c r="B4964" t="inlineStr">
        <is>
          <t>Blank cells = combination not tabulated in the manual (effective age exceeds what's charted for that life expectancy) -- treat as fully/near-fully depreciated; see Sec.97 salvage-value guidance.</t>
        </is>
      </c>
    </row>
    <row r="4965">
      <c r="B4965" t="inlineStr">
        <is>
          <t>Effective Age (yrs) \ Typical Life (yrs) -&gt;</t>
        </is>
      </c>
      <c r="C4965" t="n">
        <v>70</v>
      </c>
      <c r="D4965" t="n">
        <v>60</v>
      </c>
      <c r="E4965" t="n">
        <v>55</v>
      </c>
      <c r="F4965" t="n">
        <v>50</v>
      </c>
      <c r="G4965" t="n">
        <v>45</v>
      </c>
      <c r="H4965" t="n">
        <v>40</v>
      </c>
      <c r="I4965" t="n">
        <v>35</v>
      </c>
      <c r="J4965" t="n">
        <v>30</v>
      </c>
      <c r="K4965" t="n">
        <v>25</v>
      </c>
      <c r="L4965" t="n">
        <v>20</v>
      </c>
    </row>
    <row r="4966">
      <c r="B4966" t="n">
        <v>1</v>
      </c>
      <c r="C4966" t="n">
        <v>0</v>
      </c>
      <c r="D4966" t="n">
        <v>0</v>
      </c>
      <c r="E4966" t="n">
        <v>0</v>
      </c>
      <c r="F4966" t="n">
        <v>0</v>
      </c>
      <c r="G4966" t="n">
        <v>1</v>
      </c>
      <c r="H4966" t="n">
        <v>1</v>
      </c>
      <c r="I4966" t="n">
        <v>1</v>
      </c>
      <c r="J4966" t="n">
        <v>2</v>
      </c>
      <c r="K4966" t="n">
        <v>2</v>
      </c>
      <c r="L4966" t="n">
        <v>3</v>
      </c>
    </row>
    <row r="4967">
      <c r="B4967" t="n">
        <v>2</v>
      </c>
      <c r="C4967" t="n">
        <v>0</v>
      </c>
      <c r="D4967" t="n">
        <v>1</v>
      </c>
      <c r="E4967" t="n">
        <v>1</v>
      </c>
      <c r="F4967" t="n">
        <v>1</v>
      </c>
      <c r="G4967" t="n">
        <v>1</v>
      </c>
      <c r="H4967" t="n">
        <v>2</v>
      </c>
      <c r="I4967" t="n">
        <v>2</v>
      </c>
      <c r="J4967" t="n">
        <v>3</v>
      </c>
      <c r="K4967" t="n">
        <v>5</v>
      </c>
      <c r="L4967" t="n">
        <v>7</v>
      </c>
    </row>
    <row r="4968">
      <c r="B4968" t="n">
        <v>3</v>
      </c>
      <c r="C4968" t="n">
        <v>0</v>
      </c>
      <c r="D4968" t="n">
        <v>1</v>
      </c>
      <c r="E4968" t="n">
        <v>1</v>
      </c>
      <c r="F4968" t="n">
        <v>1</v>
      </c>
      <c r="G4968" t="n">
        <v>2</v>
      </c>
      <c r="H4968" t="n">
        <v>3</v>
      </c>
      <c r="I4968" t="n">
        <v>4</v>
      </c>
      <c r="J4968" t="n">
        <v>5</v>
      </c>
      <c r="K4968" t="n">
        <v>7</v>
      </c>
      <c r="L4968" t="n">
        <v>10</v>
      </c>
    </row>
    <row r="4969">
      <c r="B4969" t="n">
        <v>4</v>
      </c>
      <c r="C4969" t="n">
        <v>1</v>
      </c>
      <c r="D4969" t="n">
        <v>1</v>
      </c>
      <c r="E4969" t="n">
        <v>1</v>
      </c>
      <c r="F4969" t="n">
        <v>2</v>
      </c>
      <c r="G4969" t="n">
        <v>3</v>
      </c>
      <c r="H4969" t="n">
        <v>4</v>
      </c>
      <c r="I4969" t="n">
        <v>5</v>
      </c>
      <c r="J4969" t="n">
        <v>7</v>
      </c>
      <c r="K4969" t="n">
        <v>10</v>
      </c>
      <c r="L4969" t="n">
        <v>14</v>
      </c>
    </row>
    <row r="4970">
      <c r="B4970" t="n">
        <v>5</v>
      </c>
      <c r="C4970" t="n">
        <v>1</v>
      </c>
      <c r="D4970" t="n">
        <v>1</v>
      </c>
      <c r="E4970" t="n">
        <v>2</v>
      </c>
      <c r="F4970" t="n">
        <v>3</v>
      </c>
      <c r="G4970" t="n">
        <v>4</v>
      </c>
      <c r="H4970" t="n">
        <v>5</v>
      </c>
      <c r="I4970" t="n">
        <v>6</v>
      </c>
      <c r="J4970" t="n">
        <v>9</v>
      </c>
      <c r="K4970" t="n">
        <v>13</v>
      </c>
      <c r="L4970" t="n">
        <v>18</v>
      </c>
    </row>
    <row r="4971">
      <c r="B4971" t="n">
        <v>6</v>
      </c>
      <c r="C4971" t="n">
        <v>1</v>
      </c>
      <c r="D4971" t="n">
        <v>2</v>
      </c>
      <c r="E4971" t="n">
        <v>2</v>
      </c>
      <c r="F4971" t="n">
        <v>3</v>
      </c>
      <c r="G4971" t="n">
        <v>4</v>
      </c>
      <c r="H4971" t="n">
        <v>6</v>
      </c>
      <c r="I4971" t="n">
        <v>8</v>
      </c>
      <c r="J4971" t="n">
        <v>11</v>
      </c>
      <c r="K4971" t="n">
        <v>16</v>
      </c>
      <c r="L4971" t="n">
        <v>22</v>
      </c>
    </row>
    <row r="4972">
      <c r="B4972" t="n">
        <v>7</v>
      </c>
      <c r="C4972" t="n">
        <v>1</v>
      </c>
      <c r="D4972" t="n">
        <v>2</v>
      </c>
      <c r="E4972" t="n">
        <v>3</v>
      </c>
      <c r="F4972" t="n">
        <v>4</v>
      </c>
      <c r="G4972" t="n">
        <v>5</v>
      </c>
      <c r="H4972" t="n">
        <v>7</v>
      </c>
      <c r="I4972" t="n">
        <v>10</v>
      </c>
      <c r="J4972" t="n">
        <v>14</v>
      </c>
      <c r="K4972" t="n">
        <v>19</v>
      </c>
      <c r="L4972" t="n">
        <v>26</v>
      </c>
    </row>
    <row r="4973">
      <c r="B4973" t="n">
        <v>8</v>
      </c>
      <c r="C4973" t="n">
        <v>1</v>
      </c>
      <c r="D4973" t="n">
        <v>2</v>
      </c>
      <c r="E4973" t="n">
        <v>3</v>
      </c>
      <c r="F4973" t="n">
        <v>5</v>
      </c>
      <c r="G4973" t="n">
        <v>6</v>
      </c>
      <c r="H4973" t="n">
        <v>8</v>
      </c>
      <c r="I4973" t="n">
        <v>11</v>
      </c>
      <c r="J4973" t="n">
        <v>16</v>
      </c>
      <c r="K4973" t="n">
        <v>22</v>
      </c>
      <c r="L4973" t="n">
        <v>30</v>
      </c>
    </row>
    <row r="4974">
      <c r="B4974" t="n">
        <v>9</v>
      </c>
      <c r="C4974" t="n">
        <v>2</v>
      </c>
      <c r="D4974" t="n">
        <v>3</v>
      </c>
      <c r="E4974" t="n">
        <v>4</v>
      </c>
      <c r="F4974" t="n">
        <v>5</v>
      </c>
      <c r="G4974" t="n">
        <v>7</v>
      </c>
      <c r="H4974" t="n">
        <v>10</v>
      </c>
      <c r="I4974" t="n">
        <v>13</v>
      </c>
      <c r="J4974" t="n">
        <v>18</v>
      </c>
      <c r="K4974" t="n">
        <v>25</v>
      </c>
      <c r="L4974" t="n">
        <v>35</v>
      </c>
    </row>
    <row r="4975">
      <c r="B4975" t="n">
        <v>10</v>
      </c>
      <c r="C4975" t="n">
        <v>2</v>
      </c>
      <c r="D4975" t="n">
        <v>3</v>
      </c>
      <c r="E4975" t="n">
        <v>4</v>
      </c>
      <c r="F4975" t="n">
        <v>6</v>
      </c>
      <c r="G4975" t="n">
        <v>8</v>
      </c>
      <c r="H4975" t="n">
        <v>11</v>
      </c>
      <c r="I4975" t="n">
        <v>15</v>
      </c>
      <c r="J4975" t="n">
        <v>21</v>
      </c>
      <c r="K4975" t="n">
        <v>29</v>
      </c>
      <c r="L4975" t="n">
        <v>40</v>
      </c>
    </row>
    <row r="4976">
      <c r="B4976" t="n">
        <v>11</v>
      </c>
      <c r="C4976" t="n">
        <v>2</v>
      </c>
      <c r="D4976" t="n">
        <v>4</v>
      </c>
      <c r="E4976" t="n">
        <v>5</v>
      </c>
      <c r="F4976" t="n">
        <v>7</v>
      </c>
      <c r="G4976" t="n">
        <v>9</v>
      </c>
      <c r="H4976" t="n">
        <v>13</v>
      </c>
      <c r="I4976" t="n">
        <v>17</v>
      </c>
      <c r="J4976" t="n">
        <v>24</v>
      </c>
      <c r="K4976" t="n">
        <v>32</v>
      </c>
      <c r="L4976" t="n">
        <v>45</v>
      </c>
    </row>
    <row r="4977">
      <c r="B4977" t="n">
        <v>12</v>
      </c>
      <c r="C4977" t="n">
        <v>2</v>
      </c>
      <c r="D4977" t="n">
        <v>4</v>
      </c>
      <c r="E4977" t="n">
        <v>6</v>
      </c>
      <c r="F4977" t="n">
        <v>8</v>
      </c>
      <c r="G4977" t="n">
        <v>10</v>
      </c>
      <c r="H4977" t="n">
        <v>14</v>
      </c>
      <c r="I4977" t="n">
        <v>19</v>
      </c>
      <c r="J4977" t="n">
        <v>26</v>
      </c>
      <c r="K4977" t="n">
        <v>36</v>
      </c>
      <c r="L4977" t="n">
        <v>50</v>
      </c>
    </row>
    <row r="4978">
      <c r="B4978" t="n">
        <v>13</v>
      </c>
      <c r="C4978" t="n">
        <v>2</v>
      </c>
      <c r="D4978" t="n">
        <v>5</v>
      </c>
      <c r="E4978" t="n">
        <v>6</v>
      </c>
      <c r="F4978" t="n">
        <v>9</v>
      </c>
      <c r="G4978" t="n">
        <v>12</v>
      </c>
      <c r="H4978" t="n">
        <v>16</v>
      </c>
      <c r="I4978" t="n">
        <v>22</v>
      </c>
      <c r="J4978" t="n">
        <v>29</v>
      </c>
      <c r="K4978" t="n">
        <v>40</v>
      </c>
      <c r="L4978" t="n">
        <v>55</v>
      </c>
    </row>
    <row r="4979">
      <c r="B4979" t="n">
        <v>14</v>
      </c>
      <c r="C4979" t="n">
        <v>3</v>
      </c>
      <c r="D4979" t="n">
        <v>5</v>
      </c>
      <c r="E4979" t="n">
        <v>7</v>
      </c>
      <c r="F4979" t="n">
        <v>10</v>
      </c>
      <c r="G4979" t="n">
        <v>13</v>
      </c>
      <c r="H4979" t="n">
        <v>18</v>
      </c>
      <c r="I4979" t="n">
        <v>24</v>
      </c>
      <c r="J4979" t="n">
        <v>32</v>
      </c>
      <c r="K4979" t="n">
        <v>44</v>
      </c>
      <c r="L4979" t="n">
        <v>60</v>
      </c>
    </row>
    <row r="4980">
      <c r="B4980" t="n">
        <v>15</v>
      </c>
      <c r="C4980" t="n">
        <v>3</v>
      </c>
      <c r="D4980" t="n">
        <v>6</v>
      </c>
      <c r="E4980" t="n">
        <v>8</v>
      </c>
      <c r="F4980" t="n">
        <v>11</v>
      </c>
      <c r="G4980" t="n">
        <v>14</v>
      </c>
      <c r="H4980" t="n">
        <v>20</v>
      </c>
      <c r="I4980" t="n">
        <v>26</v>
      </c>
      <c r="J4980" t="n">
        <v>35</v>
      </c>
      <c r="K4980" t="n">
        <v>48</v>
      </c>
      <c r="L4980" t="n">
        <v>65</v>
      </c>
    </row>
    <row r="4981">
      <c r="B4981" t="n">
        <v>16</v>
      </c>
      <c r="C4981" t="n">
        <v>3</v>
      </c>
      <c r="D4981" t="n">
        <v>7</v>
      </c>
      <c r="E4981" t="n">
        <v>9</v>
      </c>
      <c r="F4981" t="n">
        <v>12</v>
      </c>
      <c r="G4981" t="n">
        <v>16</v>
      </c>
      <c r="H4981" t="n">
        <v>22</v>
      </c>
      <c r="I4981" t="n">
        <v>28</v>
      </c>
      <c r="J4981" t="n">
        <v>39</v>
      </c>
      <c r="K4981" t="n">
        <v>52</v>
      </c>
      <c r="L4981" t="n">
        <v>69</v>
      </c>
    </row>
    <row r="4982">
      <c r="B4982" t="n">
        <v>17</v>
      </c>
      <c r="C4982" t="n">
        <v>4</v>
      </c>
      <c r="D4982" t="n">
        <v>7</v>
      </c>
      <c r="E4982" t="n">
        <v>10</v>
      </c>
      <c r="F4982" t="n">
        <v>13</v>
      </c>
      <c r="G4982" t="n">
        <v>18</v>
      </c>
      <c r="H4982" t="n">
        <v>24</v>
      </c>
      <c r="I4982" t="n">
        <v>31</v>
      </c>
      <c r="J4982" t="n">
        <v>42</v>
      </c>
      <c r="K4982" t="n">
        <v>56</v>
      </c>
      <c r="L4982" t="n">
        <v>73</v>
      </c>
    </row>
    <row r="4983">
      <c r="B4983" t="n">
        <v>18</v>
      </c>
      <c r="C4983" t="n">
        <v>4</v>
      </c>
      <c r="D4983" t="n">
        <v>8</v>
      </c>
      <c r="E4983" t="n">
        <v>11</v>
      </c>
      <c r="F4983" t="n">
        <v>14</v>
      </c>
      <c r="G4983" t="n">
        <v>19</v>
      </c>
      <c r="H4983" t="n">
        <v>26</v>
      </c>
      <c r="I4983" t="n">
        <v>34</v>
      </c>
      <c r="J4983" t="n">
        <v>46</v>
      </c>
      <c r="K4983" t="n">
        <v>60</v>
      </c>
      <c r="L4983" t="n">
        <v>76</v>
      </c>
    </row>
    <row r="4984">
      <c r="B4984" t="n">
        <v>19</v>
      </c>
      <c r="C4984" t="n">
        <v>4</v>
      </c>
      <c r="D4984" t="n">
        <v>9</v>
      </c>
      <c r="E4984" t="n">
        <v>12</v>
      </c>
      <c r="F4984" t="n">
        <v>16</v>
      </c>
      <c r="G4984" t="n">
        <v>21</v>
      </c>
      <c r="H4984" t="n">
        <v>28</v>
      </c>
      <c r="I4984" t="n">
        <v>36</v>
      </c>
      <c r="J4984" t="n">
        <v>49</v>
      </c>
      <c r="K4984" t="n">
        <v>64</v>
      </c>
      <c r="L4984" t="n">
        <v>78</v>
      </c>
    </row>
    <row r="4985">
      <c r="B4985" t="n">
        <v>20</v>
      </c>
      <c r="C4985" t="n">
        <v>5</v>
      </c>
      <c r="D4985" t="n">
        <v>9</v>
      </c>
      <c r="E4985" t="n">
        <v>13</v>
      </c>
      <c r="F4985" t="n">
        <v>17</v>
      </c>
      <c r="G4985" t="n">
        <v>23</v>
      </c>
      <c r="H4985" t="n">
        <v>30</v>
      </c>
      <c r="I4985" t="n">
        <v>39</v>
      </c>
      <c r="J4985" t="n">
        <v>53</v>
      </c>
      <c r="K4985" t="n">
        <v>68</v>
      </c>
      <c r="L4985" t="n">
        <v>79</v>
      </c>
    </row>
    <row r="4986">
      <c r="B4986" t="n">
        <v>21</v>
      </c>
      <c r="C4986" t="n">
        <v>5</v>
      </c>
      <c r="D4986" t="n">
        <v>10</v>
      </c>
      <c r="E4986" t="n">
        <v>14</v>
      </c>
      <c r="F4986" t="n">
        <v>18</v>
      </c>
      <c r="G4986" t="n">
        <v>25</v>
      </c>
      <c r="H4986" t="n">
        <v>32</v>
      </c>
      <c r="I4986" t="n">
        <v>42</v>
      </c>
      <c r="J4986" t="n">
        <v>57</v>
      </c>
      <c r="K4986" t="n">
        <v>71</v>
      </c>
      <c r="L4986" t="n">
        <v>80</v>
      </c>
    </row>
    <row r="4987">
      <c r="B4987" t="n">
        <v>22</v>
      </c>
      <c r="C4987" t="n">
        <v>6</v>
      </c>
      <c r="D4987" t="n">
        <v>11</v>
      </c>
      <c r="E4987" t="n">
        <v>15</v>
      </c>
      <c r="F4987" t="n">
        <v>20</v>
      </c>
      <c r="G4987" t="n">
        <v>27</v>
      </c>
      <c r="H4987" t="n">
        <v>35</v>
      </c>
      <c r="I4987" t="n">
        <v>45</v>
      </c>
      <c r="J4987" t="n">
        <v>60</v>
      </c>
      <c r="K4987" t="n">
        <v>73</v>
      </c>
    </row>
    <row r="4988">
      <c r="B4988" t="n">
        <v>23</v>
      </c>
      <c r="C4988" t="n">
        <v>6</v>
      </c>
      <c r="D4988" t="n">
        <v>12</v>
      </c>
      <c r="E4988" t="n">
        <v>16</v>
      </c>
      <c r="F4988" t="n">
        <v>21</v>
      </c>
      <c r="G4988" t="n">
        <v>29</v>
      </c>
      <c r="H4988" t="n">
        <v>37</v>
      </c>
      <c r="I4988" t="n">
        <v>48</v>
      </c>
      <c r="J4988" t="n">
        <v>63</v>
      </c>
      <c r="K4988" t="n">
        <v>75</v>
      </c>
    </row>
    <row r="4989">
      <c r="B4989" t="n">
        <v>24</v>
      </c>
      <c r="C4989" t="n">
        <v>7</v>
      </c>
      <c r="D4989" t="n">
        <v>13</v>
      </c>
      <c r="E4989" t="n">
        <v>17</v>
      </c>
      <c r="F4989" t="n">
        <v>23</v>
      </c>
      <c r="G4989" t="n">
        <v>31</v>
      </c>
      <c r="H4989" t="n">
        <v>40</v>
      </c>
      <c r="I4989" t="n">
        <v>52</v>
      </c>
      <c r="J4989" t="n">
        <v>66</v>
      </c>
      <c r="K4989" t="n">
        <v>77</v>
      </c>
    </row>
    <row r="4990">
      <c r="B4990" t="n">
        <v>25</v>
      </c>
      <c r="C4990" t="n">
        <v>7</v>
      </c>
      <c r="D4990" t="n">
        <v>14</v>
      </c>
      <c r="E4990" t="n">
        <v>19</v>
      </c>
      <c r="F4990" t="n">
        <v>25</v>
      </c>
      <c r="G4990" t="n">
        <v>33</v>
      </c>
      <c r="H4990" t="n">
        <v>43</v>
      </c>
      <c r="I4990" t="n">
        <v>55</v>
      </c>
      <c r="J4990" t="n">
        <v>69</v>
      </c>
      <c r="K4990" t="n">
        <v>79</v>
      </c>
    </row>
    <row r="4991">
      <c r="B4991" t="n">
        <v>26</v>
      </c>
      <c r="C4991" t="n">
        <v>8</v>
      </c>
      <c r="D4991" t="n">
        <v>15</v>
      </c>
      <c r="E4991" t="n">
        <v>20</v>
      </c>
      <c r="F4991" t="n">
        <v>27</v>
      </c>
      <c r="G4991" t="n">
        <v>35</v>
      </c>
      <c r="H4991" t="n">
        <v>46</v>
      </c>
      <c r="I4991" t="n">
        <v>58</v>
      </c>
      <c r="J4991" t="n">
        <v>72</v>
      </c>
      <c r="K4991" t="n">
        <v>80</v>
      </c>
    </row>
    <row r="4992">
      <c r="B4992" t="n">
        <v>27</v>
      </c>
      <c r="C4992" t="n">
        <v>9</v>
      </c>
      <c r="D4992" t="n">
        <v>16</v>
      </c>
      <c r="E4992" t="n">
        <v>21</v>
      </c>
      <c r="F4992" t="n">
        <v>28</v>
      </c>
      <c r="G4992" t="n">
        <v>37</v>
      </c>
      <c r="H4992" t="n">
        <v>49</v>
      </c>
      <c r="I4992" t="n">
        <v>61</v>
      </c>
      <c r="J4992" t="n">
        <v>75</v>
      </c>
    </row>
    <row r="4993">
      <c r="B4993" t="n">
        <v>28</v>
      </c>
      <c r="C4993" t="n">
        <v>9</v>
      </c>
      <c r="D4993" t="n">
        <v>17</v>
      </c>
      <c r="E4993" t="n">
        <v>23</v>
      </c>
      <c r="F4993" t="n">
        <v>30</v>
      </c>
      <c r="G4993" t="n">
        <v>40</v>
      </c>
      <c r="H4993" t="n">
        <v>52</v>
      </c>
      <c r="I4993" t="n">
        <v>64</v>
      </c>
      <c r="J4993" t="n">
        <v>77</v>
      </c>
    </row>
    <row r="4994">
      <c r="B4994" t="n">
        <v>29</v>
      </c>
      <c r="C4994" t="n">
        <v>10</v>
      </c>
      <c r="D4994" t="n">
        <v>18</v>
      </c>
      <c r="E4994" t="n">
        <v>24</v>
      </c>
      <c r="F4994" t="n">
        <v>32</v>
      </c>
      <c r="G4994" t="n">
        <v>42</v>
      </c>
      <c r="H4994" t="n">
        <v>54</v>
      </c>
      <c r="I4994" t="n">
        <v>68</v>
      </c>
      <c r="J4994" t="n">
        <v>78</v>
      </c>
    </row>
    <row r="4995">
      <c r="B4995" t="n">
        <v>30</v>
      </c>
      <c r="C4995" t="n">
        <v>11</v>
      </c>
      <c r="D4995" t="n">
        <v>20</v>
      </c>
      <c r="E4995" t="n">
        <v>26</v>
      </c>
      <c r="F4995" t="n">
        <v>34</v>
      </c>
      <c r="G4995" t="n">
        <v>45</v>
      </c>
      <c r="H4995" t="n">
        <v>57</v>
      </c>
      <c r="I4995" t="n">
        <v>72</v>
      </c>
      <c r="J4995" t="n">
        <v>79</v>
      </c>
    </row>
    <row r="4996">
      <c r="B4996" t="n">
        <v>32</v>
      </c>
      <c r="C4996" t="n">
        <v>13</v>
      </c>
      <c r="D4996" t="n">
        <v>22</v>
      </c>
      <c r="E4996" t="n">
        <v>30</v>
      </c>
      <c r="F4996" t="n">
        <v>38</v>
      </c>
      <c r="G4996" t="n">
        <v>50</v>
      </c>
      <c r="H4996" t="n">
        <v>62</v>
      </c>
      <c r="I4996" t="n">
        <v>75</v>
      </c>
      <c r="J4996" t="n">
        <v>80</v>
      </c>
    </row>
    <row r="4997">
      <c r="B4997" t="n">
        <v>34</v>
      </c>
      <c r="C4997" t="n">
        <v>15</v>
      </c>
      <c r="D4997" t="n">
        <v>25</v>
      </c>
      <c r="E4997" t="n">
        <v>34</v>
      </c>
      <c r="F4997" t="n">
        <v>43</v>
      </c>
      <c r="G4997" t="n">
        <v>55</v>
      </c>
      <c r="H4997" t="n">
        <v>68</v>
      </c>
      <c r="I4997" t="n">
        <v>77</v>
      </c>
    </row>
    <row r="4998">
      <c r="B4998" t="n">
        <v>36</v>
      </c>
      <c r="C4998" t="n">
        <v>17</v>
      </c>
      <c r="D4998" t="n">
        <v>28</v>
      </c>
      <c r="E4998" t="n">
        <v>38</v>
      </c>
      <c r="F4998" t="n">
        <v>48</v>
      </c>
      <c r="G4998" t="n">
        <v>61</v>
      </c>
      <c r="H4998" t="n">
        <v>73</v>
      </c>
      <c r="I4998" t="n">
        <v>79</v>
      </c>
    </row>
    <row r="4999">
      <c r="B4999" t="n">
        <v>38</v>
      </c>
      <c r="C4999" t="n">
        <v>19</v>
      </c>
      <c r="D4999" t="n">
        <v>32</v>
      </c>
      <c r="E4999" t="n">
        <v>42</v>
      </c>
      <c r="F4999" t="n">
        <v>53</v>
      </c>
      <c r="G4999" t="n">
        <v>67</v>
      </c>
      <c r="H4999" t="n">
        <v>77</v>
      </c>
      <c r="I4999" t="n">
        <v>80</v>
      </c>
    </row>
    <row r="5000">
      <c r="B5000" t="n">
        <v>40</v>
      </c>
      <c r="C5000" t="n">
        <v>21</v>
      </c>
      <c r="D5000" t="n">
        <v>35</v>
      </c>
      <c r="E5000" t="n">
        <v>46</v>
      </c>
      <c r="F5000" t="n">
        <v>59</v>
      </c>
      <c r="G5000" t="n">
        <v>72</v>
      </c>
      <c r="H5000" t="n">
        <v>79</v>
      </c>
    </row>
    <row r="5001">
      <c r="B5001" t="n">
        <v>42</v>
      </c>
      <c r="C5001" t="n">
        <v>25</v>
      </c>
      <c r="D5001" t="n">
        <v>39</v>
      </c>
      <c r="E5001" t="n">
        <v>51</v>
      </c>
      <c r="F5001" t="n">
        <v>65</v>
      </c>
      <c r="G5001" t="n">
        <v>75</v>
      </c>
      <c r="H5001" t="n">
        <v>80</v>
      </c>
    </row>
    <row r="5002">
      <c r="B5002" t="n">
        <v>44</v>
      </c>
      <c r="C5002" t="n">
        <v>28</v>
      </c>
      <c r="D5002" t="n">
        <v>43</v>
      </c>
      <c r="E5002" t="n">
        <v>56</v>
      </c>
      <c r="F5002" t="n">
        <v>70</v>
      </c>
      <c r="G5002" t="n">
        <v>77</v>
      </c>
    </row>
    <row r="5003">
      <c r="B5003" t="n">
        <v>46</v>
      </c>
      <c r="C5003" t="n">
        <v>31</v>
      </c>
      <c r="D5003" t="n">
        <v>48</v>
      </c>
      <c r="E5003" t="n">
        <v>60</v>
      </c>
      <c r="F5003" t="n">
        <v>74</v>
      </c>
      <c r="G5003" t="n">
        <v>78</v>
      </c>
    </row>
    <row r="5004">
      <c r="B5004" t="n">
        <v>48</v>
      </c>
      <c r="C5004" t="n">
        <v>34</v>
      </c>
      <c r="D5004" t="n">
        <v>53</v>
      </c>
      <c r="E5004" t="n">
        <v>64</v>
      </c>
      <c r="F5004" t="n">
        <v>77</v>
      </c>
      <c r="G5004" t="n">
        <v>79</v>
      </c>
    </row>
    <row r="5005">
      <c r="B5005" t="n">
        <v>50</v>
      </c>
      <c r="C5005" t="n">
        <v>38</v>
      </c>
      <c r="D5005" t="n">
        <v>58</v>
      </c>
      <c r="E5005" t="n">
        <v>68</v>
      </c>
      <c r="F5005" t="n">
        <v>79</v>
      </c>
      <c r="G5005" t="n">
        <v>80</v>
      </c>
    </row>
    <row r="5006">
      <c r="B5006" t="n">
        <v>55</v>
      </c>
      <c r="C5006" t="n">
        <v>48</v>
      </c>
      <c r="D5006" t="n">
        <v>67</v>
      </c>
      <c r="E5006" t="n">
        <v>75</v>
      </c>
      <c r="F5006" t="n">
        <v>80</v>
      </c>
    </row>
    <row r="5007">
      <c r="B5007" t="n">
        <v>60</v>
      </c>
      <c r="C5007" t="n">
        <v>57</v>
      </c>
      <c r="D5007" t="n">
        <v>74</v>
      </c>
      <c r="E5007" t="n">
        <v>78</v>
      </c>
    </row>
    <row r="5008">
      <c r="B5008" t="n">
        <v>65</v>
      </c>
      <c r="C5008" t="n">
        <v>65</v>
      </c>
      <c r="D5008" t="n">
        <v>78</v>
      </c>
      <c r="E5008" t="n">
        <v>80</v>
      </c>
    </row>
    <row r="5009">
      <c r="B5009" t="n">
        <v>70</v>
      </c>
      <c r="C5009" t="n">
        <v>71</v>
      </c>
      <c r="D5009" t="n">
        <v>80</v>
      </c>
    </row>
    <row r="5010">
      <c r="B5010" t="n">
        <v>75</v>
      </c>
      <c r="C5010" t="n">
        <v>75</v>
      </c>
    </row>
    <row r="5011">
      <c r="B5011" t="n">
        <v>80</v>
      </c>
      <c r="C5011" t="n">
        <v>78</v>
      </c>
    </row>
    <row r="5013">
      <c r="B5013" s="305" t="inlineStr">
        <is>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is>
      </c>
    </row>
    <row r="5014">
      <c r="B5014" t="inlineStr">
        <is>
          <t>Blank cells = combination not tabulated (age exceeds chart for that life); treat as fully/near-fully depreciated per Sec.97 salvage guidance. For lives under 20 years see Sec.97 p.26.</t>
        </is>
      </c>
    </row>
    <row r="5015">
      <c r="B5015" s="306" t="inlineStr">
        <is>
          <t>Effective Age (yrs) \ Typical Life (yrs) -&gt;</t>
        </is>
      </c>
      <c r="C5015" s="306" t="n">
        <v>70</v>
      </c>
      <c r="D5015" s="306" t="n">
        <v>65</v>
      </c>
      <c r="E5015" s="306" t="n">
        <v>60</v>
      </c>
      <c r="F5015" s="306" t="n">
        <v>55</v>
      </c>
      <c r="G5015" s="306" t="n">
        <v>50</v>
      </c>
      <c r="H5015" s="306" t="n">
        <v>45</v>
      </c>
      <c r="I5015" s="306" t="n">
        <v>40</v>
      </c>
      <c r="J5015" s="306" t="n">
        <v>35</v>
      </c>
      <c r="K5015" s="306" t="n">
        <v>30</v>
      </c>
      <c r="L5015" s="306" t="n">
        <v>25</v>
      </c>
      <c r="M5015" s="306" t="n">
        <v>20</v>
      </c>
    </row>
    <row r="5016">
      <c r="B5016" t="n">
        <v>1</v>
      </c>
      <c r="C5016" t="n">
        <v>0</v>
      </c>
      <c r="D5016" t="n">
        <v>0</v>
      </c>
      <c r="E5016" t="n">
        <v>0</v>
      </c>
      <c r="F5016" t="n">
        <v>1</v>
      </c>
      <c r="G5016" t="n">
        <v>1</v>
      </c>
      <c r="H5016" t="n">
        <v>1</v>
      </c>
      <c r="I5016" t="n">
        <v>1</v>
      </c>
      <c r="J5016" t="n">
        <v>2</v>
      </c>
      <c r="K5016" t="n">
        <v>2</v>
      </c>
      <c r="L5016" t="n">
        <v>3</v>
      </c>
      <c r="M5016" t="n">
        <v>3</v>
      </c>
    </row>
    <row r="5017">
      <c r="B5017" t="n">
        <v>2</v>
      </c>
      <c r="C5017" t="n">
        <v>1</v>
      </c>
      <c r="D5017" t="n">
        <v>1</v>
      </c>
      <c r="E5017" t="n">
        <v>1</v>
      </c>
      <c r="F5017" t="n">
        <v>2</v>
      </c>
      <c r="G5017" t="n">
        <v>2</v>
      </c>
      <c r="H5017" t="n">
        <v>2</v>
      </c>
      <c r="I5017" t="n">
        <v>3</v>
      </c>
      <c r="J5017" t="n">
        <v>4</v>
      </c>
      <c r="K5017" t="n">
        <v>4</v>
      </c>
      <c r="L5017" t="n">
        <v>6</v>
      </c>
      <c r="M5017" t="n">
        <v>7</v>
      </c>
    </row>
    <row r="5018">
      <c r="B5018" t="n">
        <v>3</v>
      </c>
      <c r="C5018" t="n">
        <v>1</v>
      </c>
      <c r="D5018" t="n">
        <v>2</v>
      </c>
      <c r="E5018" t="n">
        <v>2</v>
      </c>
      <c r="F5018" t="n">
        <v>2</v>
      </c>
      <c r="G5018" t="n">
        <v>3</v>
      </c>
      <c r="H5018" t="n">
        <v>3</v>
      </c>
      <c r="I5018" t="n">
        <v>4</v>
      </c>
      <c r="J5018" t="n">
        <v>5</v>
      </c>
      <c r="K5018" t="n">
        <v>6</v>
      </c>
      <c r="L5018" t="n">
        <v>9</v>
      </c>
      <c r="M5018" t="n">
        <v>11</v>
      </c>
    </row>
    <row r="5019">
      <c r="B5019" t="n">
        <v>4</v>
      </c>
      <c r="C5019" t="n">
        <v>2</v>
      </c>
      <c r="D5019" t="n">
        <v>2</v>
      </c>
      <c r="E5019" t="n">
        <v>3</v>
      </c>
      <c r="F5019" t="n">
        <v>3</v>
      </c>
      <c r="G5019" t="n">
        <v>4</v>
      </c>
      <c r="H5019" t="n">
        <v>4</v>
      </c>
      <c r="I5019" t="n">
        <v>5</v>
      </c>
      <c r="J5019" t="n">
        <v>7</v>
      </c>
      <c r="K5019" t="n">
        <v>9</v>
      </c>
      <c r="L5019" t="n">
        <v>12</v>
      </c>
      <c r="M5019" t="n">
        <v>15</v>
      </c>
    </row>
    <row r="5020">
      <c r="B5020" t="n">
        <v>5</v>
      </c>
      <c r="C5020" t="n">
        <v>2</v>
      </c>
      <c r="D5020" t="n">
        <v>3</v>
      </c>
      <c r="E5020" t="n">
        <v>4</v>
      </c>
      <c r="F5020" t="n">
        <v>4</v>
      </c>
      <c r="G5020" t="n">
        <v>5</v>
      </c>
      <c r="H5020" t="n">
        <v>6</v>
      </c>
      <c r="I5020" t="n">
        <v>7</v>
      </c>
      <c r="J5020" t="n">
        <v>9</v>
      </c>
      <c r="K5020" t="n">
        <v>12</v>
      </c>
      <c r="L5020" t="n">
        <v>15</v>
      </c>
      <c r="M5020" t="n">
        <v>20</v>
      </c>
    </row>
    <row r="5021">
      <c r="B5021" t="n">
        <v>6</v>
      </c>
      <c r="C5021" t="n">
        <v>3</v>
      </c>
      <c r="D5021" t="n">
        <v>4</v>
      </c>
      <c r="E5021" t="n">
        <v>4</v>
      </c>
      <c r="F5021" t="n">
        <v>5</v>
      </c>
      <c r="G5021" t="n">
        <v>6</v>
      </c>
      <c r="H5021" t="n">
        <v>7</v>
      </c>
      <c r="I5021" t="n">
        <v>9</v>
      </c>
      <c r="J5021" t="n">
        <v>11</v>
      </c>
      <c r="K5021" t="n">
        <v>14</v>
      </c>
      <c r="L5021" t="n">
        <v>18</v>
      </c>
      <c r="M5021" t="n">
        <v>24</v>
      </c>
    </row>
    <row r="5022">
      <c r="B5022" t="n">
        <v>7</v>
      </c>
      <c r="C5022" t="n">
        <v>4</v>
      </c>
      <c r="D5022" t="n">
        <v>5</v>
      </c>
      <c r="E5022" t="n">
        <v>5</v>
      </c>
      <c r="F5022" t="n">
        <v>6</v>
      </c>
      <c r="G5022" t="n">
        <v>7</v>
      </c>
      <c r="H5022" t="n">
        <v>8</v>
      </c>
      <c r="I5022" t="n">
        <v>10</v>
      </c>
      <c r="J5022" t="n">
        <v>13</v>
      </c>
      <c r="K5022" t="n">
        <v>17</v>
      </c>
      <c r="L5022" t="n">
        <v>22</v>
      </c>
      <c r="M5022" t="n">
        <v>28</v>
      </c>
    </row>
    <row r="5023">
      <c r="B5023" t="n">
        <v>8</v>
      </c>
      <c r="C5023" t="n">
        <v>4</v>
      </c>
      <c r="D5023" t="n">
        <v>5</v>
      </c>
      <c r="E5023" t="n">
        <v>6</v>
      </c>
      <c r="F5023" t="n">
        <v>7</v>
      </c>
      <c r="G5023" t="n">
        <v>8</v>
      </c>
      <c r="H5023" t="n">
        <v>10</v>
      </c>
      <c r="I5023" t="n">
        <v>12</v>
      </c>
      <c r="J5023" t="n">
        <v>15</v>
      </c>
      <c r="K5023" t="n">
        <v>19</v>
      </c>
      <c r="L5023" t="n">
        <v>25</v>
      </c>
      <c r="M5023" t="n">
        <v>33</v>
      </c>
    </row>
    <row r="5024">
      <c r="B5024" t="n">
        <v>9</v>
      </c>
      <c r="C5024" t="n">
        <v>5</v>
      </c>
      <c r="D5024" t="n">
        <v>6</v>
      </c>
      <c r="E5024" t="n">
        <v>7</v>
      </c>
      <c r="F5024" t="n">
        <v>8</v>
      </c>
      <c r="G5024" t="n">
        <v>10</v>
      </c>
      <c r="H5024" t="n">
        <v>11</v>
      </c>
      <c r="I5024" t="n">
        <v>14</v>
      </c>
      <c r="J5024" t="n">
        <v>17</v>
      </c>
      <c r="K5024" t="n">
        <v>22</v>
      </c>
      <c r="L5024" t="n">
        <v>29</v>
      </c>
      <c r="M5024" t="n">
        <v>38</v>
      </c>
    </row>
    <row r="5025">
      <c r="B5025" t="n">
        <v>10</v>
      </c>
      <c r="C5025" t="n">
        <v>5</v>
      </c>
      <c r="D5025" t="n">
        <v>7</v>
      </c>
      <c r="E5025" t="n">
        <v>8</v>
      </c>
      <c r="F5025" t="n">
        <v>9</v>
      </c>
      <c r="G5025" t="n">
        <v>11</v>
      </c>
      <c r="H5025" t="n">
        <v>13</v>
      </c>
      <c r="I5025" t="n">
        <v>16</v>
      </c>
      <c r="J5025" t="n">
        <v>20</v>
      </c>
      <c r="K5025" t="n">
        <v>25</v>
      </c>
      <c r="L5025" t="n">
        <v>32</v>
      </c>
      <c r="M5025" t="n">
        <v>43</v>
      </c>
    </row>
    <row r="5026">
      <c r="B5026" t="n">
        <v>11</v>
      </c>
      <c r="C5026" t="n">
        <v>6</v>
      </c>
      <c r="D5026" t="n">
        <v>8</v>
      </c>
      <c r="E5026" t="n">
        <v>9</v>
      </c>
      <c r="F5026" t="n">
        <v>10</v>
      </c>
      <c r="G5026" t="n">
        <v>12</v>
      </c>
      <c r="H5026" t="n">
        <v>14</v>
      </c>
      <c r="I5026" t="n">
        <v>18</v>
      </c>
      <c r="J5026" t="n">
        <v>22</v>
      </c>
      <c r="K5026" t="n">
        <v>28</v>
      </c>
      <c r="L5026" t="n">
        <v>36</v>
      </c>
      <c r="M5026" t="n">
        <v>48</v>
      </c>
    </row>
    <row r="5027">
      <c r="B5027" t="n">
        <v>12</v>
      </c>
      <c r="C5027" t="n">
        <v>7</v>
      </c>
      <c r="D5027" t="n">
        <v>9</v>
      </c>
      <c r="E5027" t="n">
        <v>10</v>
      </c>
      <c r="F5027" t="n">
        <v>11</v>
      </c>
      <c r="G5027" t="n">
        <v>13</v>
      </c>
      <c r="H5027" t="n">
        <v>15</v>
      </c>
      <c r="I5027" t="n">
        <v>20</v>
      </c>
      <c r="J5027" t="n">
        <v>24</v>
      </c>
      <c r="K5027" t="n">
        <v>31</v>
      </c>
      <c r="L5027" t="n">
        <v>40</v>
      </c>
      <c r="M5027" t="n">
        <v>53</v>
      </c>
    </row>
    <row r="5028">
      <c r="B5028" t="n">
        <v>13</v>
      </c>
      <c r="C5028" t="n">
        <v>8</v>
      </c>
      <c r="D5028" t="n">
        <v>10</v>
      </c>
      <c r="E5028" t="n">
        <v>11</v>
      </c>
      <c r="F5028" t="n">
        <v>12</v>
      </c>
      <c r="G5028" t="n">
        <v>15</v>
      </c>
      <c r="H5028" t="n">
        <v>17</v>
      </c>
      <c r="I5028" t="n">
        <v>22</v>
      </c>
      <c r="J5028" t="n">
        <v>26</v>
      </c>
      <c r="K5028" t="n">
        <v>34</v>
      </c>
      <c r="L5028" t="n">
        <v>44</v>
      </c>
      <c r="M5028" t="n">
        <v>57</v>
      </c>
    </row>
    <row r="5029">
      <c r="B5029" t="n">
        <v>14</v>
      </c>
      <c r="C5029" t="n">
        <v>8</v>
      </c>
      <c r="D5029" t="n">
        <v>10</v>
      </c>
      <c r="E5029" t="n">
        <v>12</v>
      </c>
      <c r="F5029" t="n">
        <v>13</v>
      </c>
      <c r="G5029" t="n">
        <v>16</v>
      </c>
      <c r="H5029" t="n">
        <v>19</v>
      </c>
      <c r="I5029" t="n">
        <v>24</v>
      </c>
      <c r="J5029" t="n">
        <v>29</v>
      </c>
      <c r="K5029" t="n">
        <v>37</v>
      </c>
      <c r="L5029" t="n">
        <v>48</v>
      </c>
      <c r="M5029" t="n">
        <v>61</v>
      </c>
    </row>
    <row r="5030">
      <c r="B5030" t="n">
        <v>15</v>
      </c>
      <c r="C5030" t="n">
        <v>9</v>
      </c>
      <c r="D5030" t="n">
        <v>11</v>
      </c>
      <c r="E5030" t="n">
        <v>12</v>
      </c>
      <c r="F5030" t="n">
        <v>15</v>
      </c>
      <c r="G5030" t="n">
        <v>17</v>
      </c>
      <c r="H5030" t="n">
        <v>21</v>
      </c>
      <c r="I5030" t="n">
        <v>26</v>
      </c>
      <c r="J5030" t="n">
        <v>32</v>
      </c>
      <c r="K5030" t="n">
        <v>40</v>
      </c>
      <c r="L5030" t="n">
        <v>52</v>
      </c>
      <c r="M5030" t="n">
        <v>66</v>
      </c>
    </row>
    <row r="5031">
      <c r="B5031" t="n">
        <v>16</v>
      </c>
      <c r="C5031" t="n">
        <v>10</v>
      </c>
      <c r="D5031" t="n">
        <v>12</v>
      </c>
      <c r="E5031" t="n">
        <v>13</v>
      </c>
      <c r="F5031" t="n">
        <v>16</v>
      </c>
      <c r="G5031" t="n">
        <v>19</v>
      </c>
      <c r="H5031" t="n">
        <v>23</v>
      </c>
      <c r="I5031" t="n">
        <v>28</v>
      </c>
      <c r="J5031" t="n">
        <v>34</v>
      </c>
      <c r="K5031" t="n">
        <v>43</v>
      </c>
      <c r="L5031" t="n">
        <v>55</v>
      </c>
      <c r="M5031" t="n">
        <v>70</v>
      </c>
    </row>
    <row r="5032">
      <c r="B5032" t="n">
        <v>17</v>
      </c>
      <c r="C5032" t="n">
        <v>10</v>
      </c>
      <c r="D5032" t="n">
        <v>13</v>
      </c>
      <c r="E5032" t="n">
        <v>15</v>
      </c>
      <c r="F5032" t="n">
        <v>17</v>
      </c>
      <c r="G5032" t="n">
        <v>20</v>
      </c>
      <c r="H5032" t="n">
        <v>25</v>
      </c>
      <c r="I5032" t="n">
        <v>30</v>
      </c>
      <c r="J5032" t="n">
        <v>37</v>
      </c>
      <c r="K5032" t="n">
        <v>46</v>
      </c>
      <c r="L5032" t="n">
        <v>59</v>
      </c>
      <c r="M5032" t="n">
        <v>73</v>
      </c>
    </row>
    <row r="5033">
      <c r="B5033" t="n">
        <v>18</v>
      </c>
      <c r="C5033" t="n">
        <v>11</v>
      </c>
      <c r="D5033" t="n">
        <v>14</v>
      </c>
      <c r="E5033" t="n">
        <v>16</v>
      </c>
      <c r="F5033" t="n">
        <v>19</v>
      </c>
      <c r="G5033" t="n">
        <v>22</v>
      </c>
      <c r="H5033" t="n">
        <v>27</v>
      </c>
      <c r="I5033" t="n">
        <v>32</v>
      </c>
      <c r="J5033" t="n">
        <v>40</v>
      </c>
      <c r="K5033" t="n">
        <v>50</v>
      </c>
      <c r="L5033" t="n">
        <v>63</v>
      </c>
      <c r="M5033" t="n">
        <v>76</v>
      </c>
    </row>
    <row r="5034">
      <c r="B5034" t="n">
        <v>19</v>
      </c>
      <c r="C5034" t="n">
        <v>12</v>
      </c>
      <c r="D5034" t="n">
        <v>15</v>
      </c>
      <c r="E5034" t="n">
        <v>17</v>
      </c>
      <c r="F5034" t="n">
        <v>20</v>
      </c>
      <c r="G5034" t="n">
        <v>24</v>
      </c>
      <c r="H5034" t="n">
        <v>28</v>
      </c>
      <c r="I5034" t="n">
        <v>34</v>
      </c>
      <c r="J5034" t="n">
        <v>43</v>
      </c>
      <c r="K5034" t="n">
        <v>53</v>
      </c>
      <c r="L5034" t="n">
        <v>67</v>
      </c>
      <c r="M5034" t="n">
        <v>78</v>
      </c>
    </row>
    <row r="5035">
      <c r="B5035" t="n">
        <v>20</v>
      </c>
      <c r="C5035" t="n">
        <v>13</v>
      </c>
      <c r="D5035" t="n">
        <v>16</v>
      </c>
      <c r="E5035" t="n">
        <v>18</v>
      </c>
      <c r="F5035" t="n">
        <v>21</v>
      </c>
      <c r="G5035" t="n">
        <v>25</v>
      </c>
      <c r="H5035" t="n">
        <v>30</v>
      </c>
      <c r="I5035" t="n">
        <v>37</v>
      </c>
      <c r="J5035" t="n">
        <v>45</v>
      </c>
      <c r="K5035" t="n">
        <v>56</v>
      </c>
      <c r="L5035" t="n">
        <v>71</v>
      </c>
      <c r="M5035" t="n">
        <v>79</v>
      </c>
    </row>
    <row r="5036">
      <c r="B5036" t="n">
        <v>22</v>
      </c>
      <c r="C5036" t="n">
        <v>14</v>
      </c>
      <c r="D5036" t="n">
        <v>17</v>
      </c>
      <c r="E5036" t="n">
        <v>20</v>
      </c>
      <c r="F5036" t="n">
        <v>23</v>
      </c>
      <c r="G5036" t="n">
        <v>28</v>
      </c>
      <c r="H5036" t="n">
        <v>34</v>
      </c>
      <c r="I5036" t="n">
        <v>42</v>
      </c>
      <c r="J5036" t="n">
        <v>51</v>
      </c>
      <c r="K5036" t="n">
        <v>62</v>
      </c>
      <c r="L5036" t="n">
        <v>76</v>
      </c>
      <c r="M5036" t="n">
        <v>80</v>
      </c>
    </row>
    <row r="5037">
      <c r="B5037" t="n">
        <v>24</v>
      </c>
      <c r="C5037" t="n">
        <v>16</v>
      </c>
      <c r="D5037" t="n">
        <v>20</v>
      </c>
      <c r="E5037" t="n">
        <v>23</v>
      </c>
      <c r="F5037" t="n">
        <v>26</v>
      </c>
      <c r="G5037" t="n">
        <v>31</v>
      </c>
      <c r="H5037" t="n">
        <v>38</v>
      </c>
      <c r="I5037" t="n">
        <v>47</v>
      </c>
      <c r="J5037" t="n">
        <v>57</v>
      </c>
      <c r="K5037" t="n">
        <v>68</v>
      </c>
      <c r="L5037" t="n">
        <v>79</v>
      </c>
    </row>
    <row r="5038">
      <c r="B5038" t="n">
        <v>26</v>
      </c>
      <c r="C5038" t="n">
        <v>18</v>
      </c>
      <c r="D5038" t="n">
        <v>22</v>
      </c>
      <c r="E5038" t="n">
        <v>25</v>
      </c>
      <c r="F5038" t="n">
        <v>29</v>
      </c>
      <c r="G5038" t="n">
        <v>35</v>
      </c>
      <c r="H5038" t="n">
        <v>43</v>
      </c>
      <c r="I5038" t="n">
        <v>52</v>
      </c>
      <c r="J5038" t="n">
        <v>62</v>
      </c>
      <c r="K5038" t="n">
        <v>74</v>
      </c>
      <c r="L5038" t="n">
        <v>80</v>
      </c>
    </row>
    <row r="5039">
      <c r="B5039" t="n">
        <v>28</v>
      </c>
      <c r="C5039" t="n">
        <v>20</v>
      </c>
      <c r="D5039" t="n">
        <v>24</v>
      </c>
      <c r="E5039" t="n">
        <v>28</v>
      </c>
      <c r="F5039" t="n">
        <v>33</v>
      </c>
      <c r="G5039" t="n">
        <v>39</v>
      </c>
      <c r="H5039" t="n">
        <v>47</v>
      </c>
      <c r="I5039" t="n">
        <v>57</v>
      </c>
      <c r="J5039" t="n">
        <v>68</v>
      </c>
      <c r="K5039" t="n">
        <v>77</v>
      </c>
    </row>
    <row r="5040">
      <c r="B5040" t="n">
        <v>30</v>
      </c>
      <c r="C5040" t="n">
        <v>22</v>
      </c>
      <c r="D5040" t="n">
        <v>27</v>
      </c>
      <c r="E5040" t="n">
        <v>31</v>
      </c>
      <c r="F5040" t="n">
        <v>36</v>
      </c>
      <c r="G5040" t="n">
        <v>44</v>
      </c>
      <c r="H5040" t="n">
        <v>52</v>
      </c>
      <c r="I5040" t="n">
        <v>62</v>
      </c>
      <c r="J5040" t="n">
        <v>71</v>
      </c>
      <c r="K5040" t="n">
        <v>79</v>
      </c>
    </row>
    <row r="5041">
      <c r="B5041" t="n">
        <v>32</v>
      </c>
      <c r="C5041" t="n">
        <v>24</v>
      </c>
      <c r="D5041" t="n">
        <v>29</v>
      </c>
      <c r="E5041" t="n">
        <v>34</v>
      </c>
      <c r="F5041" t="n">
        <v>40</v>
      </c>
      <c r="G5041" t="n">
        <v>47</v>
      </c>
      <c r="H5041" t="n">
        <v>56</v>
      </c>
      <c r="I5041" t="n">
        <v>67</v>
      </c>
      <c r="J5041" t="n">
        <v>74</v>
      </c>
      <c r="K5041" t="n">
        <v>80</v>
      </c>
    </row>
    <row r="5042">
      <c r="B5042" t="n">
        <v>34</v>
      </c>
      <c r="C5042" t="n">
        <v>27</v>
      </c>
      <c r="D5042" t="n">
        <v>32</v>
      </c>
      <c r="E5042" t="n">
        <v>37</v>
      </c>
      <c r="F5042" t="n">
        <v>44</v>
      </c>
      <c r="G5042" t="n">
        <v>51</v>
      </c>
      <c r="H5042" t="n">
        <v>60</v>
      </c>
      <c r="I5042" t="n">
        <v>71</v>
      </c>
      <c r="J5042" t="n">
        <v>77</v>
      </c>
    </row>
    <row r="5043">
      <c r="B5043" t="n">
        <v>36</v>
      </c>
      <c r="C5043" t="n">
        <v>29</v>
      </c>
      <c r="D5043" t="n">
        <v>35</v>
      </c>
      <c r="E5043" t="n">
        <v>40</v>
      </c>
      <c r="F5043" t="n">
        <v>47</v>
      </c>
      <c r="G5043" t="n">
        <v>55</v>
      </c>
      <c r="H5043" t="n">
        <v>65</v>
      </c>
      <c r="I5043" t="n">
        <v>74</v>
      </c>
      <c r="J5043" t="n">
        <v>79</v>
      </c>
    </row>
    <row r="5044">
      <c r="B5044" t="n">
        <v>38</v>
      </c>
      <c r="C5044" t="n">
        <v>32</v>
      </c>
      <c r="D5044" t="n">
        <v>38</v>
      </c>
      <c r="E5044" t="n">
        <v>43</v>
      </c>
      <c r="F5044" t="n">
        <v>51</v>
      </c>
      <c r="G5044" t="n">
        <v>59</v>
      </c>
      <c r="H5044" t="n">
        <v>69</v>
      </c>
      <c r="I5044" t="n">
        <v>77</v>
      </c>
      <c r="J5044" t="n">
        <v>80</v>
      </c>
    </row>
    <row r="5045">
      <c r="B5045" t="n">
        <v>40</v>
      </c>
      <c r="C5045" t="n">
        <v>35</v>
      </c>
      <c r="D5045" t="n">
        <v>41</v>
      </c>
      <c r="E5045" t="n">
        <v>47</v>
      </c>
      <c r="F5045" t="n">
        <v>55</v>
      </c>
      <c r="G5045" t="n">
        <v>63</v>
      </c>
      <c r="H5045" t="n">
        <v>72</v>
      </c>
      <c r="I5045" t="n">
        <v>79</v>
      </c>
    </row>
    <row r="5046">
      <c r="B5046" t="n">
        <v>42</v>
      </c>
      <c r="C5046" t="n">
        <v>38</v>
      </c>
      <c r="D5046" t="n">
        <v>45</v>
      </c>
      <c r="E5046" t="n">
        <v>51</v>
      </c>
      <c r="F5046" t="n">
        <v>59</v>
      </c>
      <c r="G5046" t="n">
        <v>66</v>
      </c>
      <c r="H5046" t="n">
        <v>75</v>
      </c>
      <c r="I5046" t="n">
        <v>80</v>
      </c>
    </row>
    <row r="5047">
      <c r="B5047" t="n">
        <v>44</v>
      </c>
      <c r="C5047" t="n">
        <v>41</v>
      </c>
      <c r="D5047" t="n">
        <v>48</v>
      </c>
      <c r="E5047" t="n">
        <v>54</v>
      </c>
      <c r="F5047" t="n">
        <v>62</v>
      </c>
      <c r="G5047" t="n">
        <v>69</v>
      </c>
      <c r="H5047" t="n">
        <v>77</v>
      </c>
    </row>
    <row r="5048">
      <c r="B5048" t="n">
        <v>46</v>
      </c>
      <c r="C5048" t="n">
        <v>44</v>
      </c>
      <c r="D5048" t="n">
        <v>51</v>
      </c>
      <c r="E5048" t="n">
        <v>57</v>
      </c>
      <c r="F5048" t="n">
        <v>65</v>
      </c>
      <c r="G5048" t="n">
        <v>72</v>
      </c>
      <c r="H5048" t="n">
        <v>79</v>
      </c>
    </row>
    <row r="5049">
      <c r="B5049" t="n">
        <v>48</v>
      </c>
      <c r="C5049" t="n">
        <v>46</v>
      </c>
      <c r="D5049" t="n">
        <v>54</v>
      </c>
      <c r="E5049" t="n">
        <v>61</v>
      </c>
      <c r="F5049" t="n">
        <v>68</v>
      </c>
      <c r="G5049" t="n">
        <v>75</v>
      </c>
      <c r="H5049" t="n">
        <v>80</v>
      </c>
    </row>
    <row r="5050">
      <c r="B5050" t="n">
        <v>50</v>
      </c>
      <c r="C5050" t="n">
        <v>49</v>
      </c>
      <c r="D5050" t="n">
        <v>57</v>
      </c>
      <c r="E5050" t="n">
        <v>64</v>
      </c>
      <c r="F5050" t="n">
        <v>71</v>
      </c>
      <c r="G5050" t="n">
        <v>77</v>
      </c>
    </row>
    <row r="5051">
      <c r="B5051" t="n">
        <v>55</v>
      </c>
      <c r="C5051" t="n">
        <v>57</v>
      </c>
      <c r="D5051" t="n">
        <v>64</v>
      </c>
      <c r="E5051" t="n">
        <v>70</v>
      </c>
      <c r="F5051" t="n">
        <v>77</v>
      </c>
      <c r="G5051" t="n">
        <v>80</v>
      </c>
    </row>
    <row r="5052">
      <c r="B5052" t="n">
        <v>60</v>
      </c>
      <c r="C5052" t="n">
        <v>64</v>
      </c>
      <c r="D5052" t="n">
        <v>69</v>
      </c>
      <c r="E5052" t="n">
        <v>74</v>
      </c>
      <c r="F5052" t="n">
        <v>80</v>
      </c>
    </row>
    <row r="5053">
      <c r="B5053" t="n">
        <v>65</v>
      </c>
      <c r="C5053" t="n">
        <v>71</v>
      </c>
      <c r="D5053" t="n">
        <v>74</v>
      </c>
      <c r="E5053" t="n">
        <v>78</v>
      </c>
    </row>
    <row r="5054">
      <c r="B5054" t="n">
        <v>70</v>
      </c>
      <c r="C5054" t="n">
        <v>76</v>
      </c>
      <c r="D5054" t="n">
        <v>78</v>
      </c>
      <c r="E5054" t="n">
        <v>80</v>
      </c>
    </row>
    <row r="5055">
      <c r="B5055" t="n">
        <v>75</v>
      </c>
      <c r="C5055" t="n">
        <v>80</v>
      </c>
      <c r="D5055" t="n">
        <v>80</v>
      </c>
      <c r="J5055" t="n">
        <v>16</v>
      </c>
    </row>
    <row r="5056">
      <c r="B5056" t="n">
        <v>80</v>
      </c>
      <c r="J5056" t="n">
        <v>17</v>
      </c>
    </row>
    <row r="5057">
      <c r="B5057" t="n">
        <v>90</v>
      </c>
      <c r="L5057" t="n">
        <v>20</v>
      </c>
    </row>
    <row r="5060">
      <c r="B5060" s="305" t="inlineStr">
        <is>
          <t>REFERENCE 14 -- MVS tables NOT in the lookup engine (nonstandard format or building components priced separately). Value these directly from the manual page cited.</t>
        </is>
      </c>
    </row>
    <row r="5061">
      <c r="B5061" s="306" t="inlineStr">
        <is>
          <t>Item</t>
        </is>
      </c>
      <c r="C5061" s="306" t="inlineStr">
        <is>
          <t>Section</t>
        </is>
      </c>
      <c r="D5061" s="306" t="inlineStr">
        <is>
          <t>Page</t>
        </is>
      </c>
      <c r="E5061" s="306" t="inlineStr">
        <is>
          <t>Why not in lookup</t>
        </is>
      </c>
    </row>
    <row r="5062">
      <c r="B5062" t="inlineStr">
        <is>
          <t>Classes A And B: Interior Build-Out</t>
        </is>
      </c>
      <c r="C5062" t="inlineStr">
        <is>
          <t>11</t>
        </is>
      </c>
      <c r="D5062" t="inlineStr">
        <is>
          <t>16</t>
        </is>
      </c>
      <c r="E5062" t="inlineStr">
        <is>
          <t>Per-SF interior build-out/finish adder; use the manual page directly</t>
        </is>
      </c>
    </row>
    <row r="5063">
      <c r="B5063" t="inlineStr">
        <is>
          <t>Classes C And D: Interior Build-Out</t>
        </is>
      </c>
      <c r="C5063" t="inlineStr">
        <is>
          <t>11</t>
        </is>
      </c>
      <c r="D5063" t="inlineStr">
        <is>
          <t>17</t>
        </is>
      </c>
      <c r="E5063" t="inlineStr">
        <is>
          <t>Per-SF interior build-out/finish adder; use the manual page directly</t>
        </is>
      </c>
    </row>
    <row r="5064">
      <c r="B5064" t="inlineStr">
        <is>
          <t>Classes A And B: Interior Build-Out</t>
        </is>
      </c>
      <c r="C5064" t="inlineStr">
        <is>
          <t>11</t>
        </is>
      </c>
      <c r="D5064" t="inlineStr">
        <is>
          <t>20</t>
        </is>
      </c>
      <c r="E5064" t="inlineStr">
        <is>
          <t>Per-SF interior build-out/finish adder; use the manual page directly</t>
        </is>
      </c>
    </row>
    <row r="5065">
      <c r="B5065" t="inlineStr">
        <is>
          <t>Classes C, D And S: Interior Build-Out</t>
        </is>
      </c>
      <c r="C5065" t="inlineStr">
        <is>
          <t>11</t>
        </is>
      </c>
      <c r="D5065" t="inlineStr">
        <is>
          <t>21</t>
        </is>
      </c>
      <c r="E5065" t="inlineStr">
        <is>
          <t>Per-SF interior build-out/finish adder; use the manual page directly</t>
        </is>
      </c>
    </row>
    <row r="5066">
      <c r="B5066" t="inlineStr">
        <is>
          <t>Classes A And B: Interior Build-Out</t>
        </is>
      </c>
      <c r="C5066" t="inlineStr">
        <is>
          <t>11</t>
        </is>
      </c>
      <c r="D5066" t="inlineStr">
        <is>
          <t>23</t>
        </is>
      </c>
      <c r="E5066" t="inlineStr">
        <is>
          <t>Per-SF interior build-out/finish adder; use the manual page directly</t>
        </is>
      </c>
    </row>
    <row r="5067">
      <c r="B5067" t="inlineStr">
        <is>
          <t>Classes C, D And S: Interior Build-Out</t>
        </is>
      </c>
      <c r="C5067" t="inlineStr">
        <is>
          <t>11</t>
        </is>
      </c>
      <c r="D5067" t="inlineStr">
        <is>
          <t>24</t>
        </is>
      </c>
      <c r="E5067" t="inlineStr">
        <is>
          <t>Per-SF interior build-out/finish adder; use the manual page directly</t>
        </is>
      </c>
    </row>
    <row r="5068">
      <c r="B5068" t="inlineStr">
        <is>
          <t>Classes A And B: Interior Build-Out</t>
        </is>
      </c>
      <c r="C5068" t="inlineStr">
        <is>
          <t>11</t>
        </is>
      </c>
      <c r="D5068" t="inlineStr">
        <is>
          <t>26</t>
        </is>
      </c>
      <c r="E5068" t="inlineStr">
        <is>
          <t>Per-SF interior build-out/finish adder; use the manual page directly</t>
        </is>
      </c>
    </row>
    <row r="5069">
      <c r="B5069" t="inlineStr">
        <is>
          <t>Classes C And D: Interior Build-Out</t>
        </is>
      </c>
      <c r="C5069" t="inlineStr">
        <is>
          <t>11</t>
        </is>
      </c>
      <c r="D5069" t="inlineStr">
        <is>
          <t>27</t>
        </is>
      </c>
      <c r="E5069" t="inlineStr">
        <is>
          <t>Per-SF interior build-out/finish adder; use the manual page directly</t>
        </is>
      </c>
    </row>
    <row r="5070">
      <c r="B5070" t="inlineStr">
        <is>
          <t>Interior Build-Out</t>
        </is>
      </c>
      <c r="C5070" t="inlineStr">
        <is>
          <t>12</t>
        </is>
      </c>
      <c r="D5070" t="inlineStr">
        <is>
          <t>19</t>
        </is>
      </c>
      <c r="E5070" t="inlineStr">
        <is>
          <t>Per-SF interior build-out/finish adder; use the manual page directly</t>
        </is>
      </c>
    </row>
    <row r="5071">
      <c r="B5071" t="inlineStr">
        <is>
          <t>Interior Build-Out</t>
        </is>
      </c>
      <c r="C5071" t="inlineStr">
        <is>
          <t>12</t>
        </is>
      </c>
      <c r="D5071" t="inlineStr">
        <is>
          <t>23</t>
        </is>
      </c>
      <c r="E5071" t="inlineStr">
        <is>
          <t>Per-SF interior build-out/finish adder; use the manual page directly</t>
        </is>
      </c>
    </row>
    <row r="5072">
      <c r="B5072" t="inlineStr">
        <is>
          <t>High-Value Residences</t>
        </is>
      </c>
      <c r="C5072" t="inlineStr">
        <is>
          <t>12</t>
        </is>
      </c>
      <c r="D5072" t="inlineStr">
        <is>
          <t>27</t>
        </is>
      </c>
      <c r="E5072" t="inlineStr">
        <is>
          <t>High-Value Residences use tier ratings I-VI, not Class/Quality; use MVS 12-27 directly</t>
        </is>
      </c>
    </row>
    <row r="5073">
      <c r="B5073" t="inlineStr">
        <is>
          <t>Detached End Unit Inside Unit</t>
        </is>
      </c>
      <c r="C5073" t="inlineStr">
        <is>
          <t>12</t>
        </is>
      </c>
      <c r="D5073" t="inlineStr">
        <is>
          <t>33</t>
        </is>
      </c>
      <c r="E5073" t="inlineStr">
        <is>
          <t>Urban-row detached/end/inside-unit cost adjustments; use MVS 12-33 directly</t>
        </is>
      </c>
    </row>
    <row r="5074">
      <c r="B5074" t="inlineStr">
        <is>
          <t>Residential Garages – Detached</t>
        </is>
      </c>
      <c r="C5074" t="inlineStr">
        <is>
          <t>12</t>
        </is>
      </c>
      <c r="D5074" t="inlineStr">
        <is>
          <t>35</t>
        </is>
      </c>
      <c r="E5074" t="inlineStr">
        <is>
          <t>Residential Garages – priced per garage-size bracket; use MVS 12-35 directly</t>
        </is>
      </c>
    </row>
    <row r="5075">
      <c r="B5075" t="inlineStr">
        <is>
          <t>Shopping Center Mall Concourses And Basements</t>
        </is>
      </c>
      <c r="C5075" t="inlineStr">
        <is>
          <t>13</t>
        </is>
      </c>
      <c r="D5075" t="inlineStr">
        <is>
          <t>36</t>
        </is>
      </c>
      <c r="E5075" t="inlineStr">
        <is>
          <t>Mall concourse/basement sub-blocks (enclosed/open/basement); use MVS 13-36 directly</t>
        </is>
      </c>
    </row>
    <row r="5076">
      <c r="B5076" t="inlineStr">
        <is>
          <t>Regional Shopping Center Interior Retail Space</t>
        </is>
      </c>
      <c r="C5076" t="inlineStr">
        <is>
          <t>13</t>
        </is>
      </c>
      <c r="D5076" t="inlineStr">
        <is>
          <t>38</t>
        </is>
      </c>
      <c r="E5076" t="inlineStr">
        <is>
          <t>Per-SF interior build-out/finish adder; use the manual page directly</t>
        </is>
      </c>
    </row>
    <row r="5077">
      <c r="B5077" t="inlineStr">
        <is>
          <t>Industrial, Interior Office Space</t>
        </is>
      </c>
      <c r="C5077" t="inlineStr">
        <is>
          <t>14</t>
        </is>
      </c>
      <c r="D5077" t="inlineStr">
        <is>
          <t>35</t>
        </is>
      </c>
      <c r="E5077" t="inlineStr">
        <is>
          <t>Per-SF interior build-out/finish adder; use the manual page directly</t>
        </is>
      </c>
    </row>
    <row r="5078">
      <c r="B5078" t="inlineStr">
        <is>
          <t>Classes A And B: Interior Office Finish</t>
        </is>
      </c>
      <c r="C5078" t="inlineStr">
        <is>
          <t>15</t>
        </is>
      </c>
      <c r="D5078" t="inlineStr">
        <is>
          <t>34</t>
        </is>
      </c>
      <c r="E5078" t="inlineStr">
        <is>
          <t>Per-SF interior build-out/finish adder; use the manual page directly</t>
        </is>
      </c>
    </row>
    <row r="5079">
      <c r="B5079" t="inlineStr">
        <is>
          <t>Classes C, D And S: Interior Office</t>
        </is>
      </c>
      <c r="C5079" t="inlineStr">
        <is>
          <t>15</t>
        </is>
      </c>
      <c r="D5079" t="inlineStr">
        <is>
          <t>35</t>
        </is>
      </c>
      <c r="E5079" t="inlineStr">
        <is>
          <t>Per-SF interior build-out/finish adder; use the manual page directly</t>
        </is>
      </c>
    </row>
    <row r="5080">
      <c r="B5080" t="inlineStr">
        <is>
          <t>Basements / Mezzanines (hotel, apartment, retail, industrial, SFR, nursing home, governmental)</t>
        </is>
      </c>
      <c r="C5080" t="inlineStr">
        <is>
          <t>11/12/13/14/15</t>
        </is>
      </c>
      <c r="D5080" t="inlineStr">
        <is>
          <t>e.g. 11-18/25, 12-26, 13-30, 14-18/27, 15-26/30</t>
        </is>
      </c>
      <c r="E5080" t="inlineStr">
        <is>
          <t>Building-component add-ons keyed to the host building</t>
        </is>
      </c>
    </row>
    <row r="5081">
      <c r="B5081" t="inlineStr">
        <is>
          <t>Miscellaneous Dock Structures</t>
        </is>
      </c>
      <c r="C5081" t="inlineStr">
        <is>
          <t>14</t>
        </is>
      </c>
      <c r="D5081" t="inlineStr">
        <is>
          <t>27</t>
        </is>
      </c>
      <c r="E5081" t="inlineStr">
        <is>
          <t>Per-SF/per-unit dock components</t>
        </is>
      </c>
    </row>
    <row r="5082">
      <c r="B5082" t="inlineStr">
        <is>
          <t>Firing Range Buildings / Miscellaneous Structures</t>
        </is>
      </c>
      <c r="C5082" t="inlineStr">
        <is>
          <t>15</t>
        </is>
      </c>
      <c r="D5082" t="inlineStr">
        <is>
          <t>31</t>
        </is>
      </c>
      <c r="E5082" t="inlineStr">
        <is>
          <t>Small sub-schedules; price manually</t>
        </is>
      </c>
    </row>
    <row r="5083">
      <c r="B5083" t="inlineStr">
        <is>
          <t>Mausoleums (per-crypt) / Rule-of-Thumb cost pages</t>
        </is>
      </c>
      <c r="C5083" t="inlineStr">
        <is>
          <t>11</t>
        </is>
      </c>
      <c r="D5083" t="inlineStr">
        <is>
          <t>32/37</t>
        </is>
      </c>
      <c r="E5083" t="inlineStr">
        <is>
          <t>Per-crypt / per-room unit costs, not $/SF Class-Quality tables</t>
        </is>
      </c>
    </row>
    <row r="5084">
      <c r="B5084" t="inlineStr">
        <is>
          <t>Historical Residences</t>
        </is>
      </c>
      <c r="C5084" t="inlineStr">
        <is>
          <t>12</t>
        </is>
      </c>
      <c r="D5084" t="inlineStr">
        <is>
          <t>24</t>
        </is>
      </c>
      <c r="E5084" t="inlineStr">
        <is>
          <t>Adjustment guidance to standard SFR costs, no cost table</t>
        </is>
      </c>
    </row>
    <row r="5085">
      <c r="B5085" t="inlineStr">
        <is>
          <t>Mountain &amp; Resort Cottages, A-Frame Cabins, Storm Shelters</t>
        </is>
      </c>
      <c r="C5085" t="inlineStr">
        <is>
          <t>12</t>
        </is>
      </c>
      <c r="D5085" t="inlineStr">
        <is>
          <t>37</t>
        </is>
      </c>
      <c r="E5085" t="inlineStr">
        <is>
          <t>Narrative/per-unit costs</t>
        </is>
      </c>
    </row>
    <row r="5086">
      <c r="B5086" t="inlineStr">
        <is>
          <t>Manufactured Single-Family Housing</t>
        </is>
      </c>
      <c r="C5086" t="inlineStr">
        <is>
          <t>12</t>
        </is>
      </c>
      <c r="D5086" t="inlineStr">
        <is>
          <t>42</t>
        </is>
      </c>
      <c r="E5086" t="inlineStr">
        <is>
          <t>Separate manufactured-housing cost schedule</t>
        </is>
      </c>
    </row>
    <row r="5087">
      <c r="B5087" t="inlineStr">
        <is>
          <t>Baled Straw / Earth-Sheltered / Rammed Earth / Tropical / Log-home notes</t>
        </is>
      </c>
      <c r="C5087" t="inlineStr">
        <is>
          <t>12</t>
        </is>
      </c>
      <c r="D5087" t="inlineStr">
        <is>
          <t>29-30</t>
        </is>
      </c>
      <c r="E5087" t="inlineStr">
        <is>
          <t>Adjustment notes to standard residence tables (Log Homes cost table IS in the lookup)</t>
        </is>
      </c>
    </row>
    <row r="5088">
      <c r="B5088" t="inlineStr">
        <is>
          <t>Single-Family Floor Area/Shape multipliers</t>
        </is>
      </c>
      <c r="C5088" t="inlineStr">
        <is>
          <t>12</t>
        </is>
      </c>
      <c r="D5088" t="inlineStr">
        <is>
          <t>26</t>
        </is>
      </c>
      <c r="E5088" t="inlineStr">
        <is>
          <t>Residential size/shape refinement grid</t>
        </is>
      </c>
    </row>
    <row r="5089">
      <c r="B5089" t="inlineStr">
        <is>
          <t>Grain elevators, silos, steel bins/tanks, bucket elevators, dryers, watering systems</t>
        </is>
      </c>
      <c r="C5089" t="inlineStr">
        <is>
          <t>17</t>
        </is>
      </c>
      <c r="D5089" t="inlineStr">
        <is>
          <t>51-58</t>
        </is>
      </c>
      <c r="E5089" t="inlineStr">
        <is>
          <t>Per-bushel/per-unit equipment schedules</t>
        </is>
      </c>
    </row>
    <row r="5090">
      <c r="B5090" t="inlineStr">
        <is>
          <t>Service stations, car washes, canopies, prefab metal buildings</t>
        </is>
      </c>
      <c r="C5090" t="inlineStr">
        <is>
          <t>64</t>
        </is>
      </c>
      <c r="D5090" t="inlineStr">
        <is>
          <t>1-9</t>
        </is>
      </c>
      <c r="E5090" t="inlineStr">
        <is>
          <t>Sec.64 prefabricated-building schedules (county codes 408/434/435/436/448)</t>
        </is>
      </c>
    </row>
    <row r="5091">
      <c r="B5091" t="inlineStr">
        <is>
          <t>Trailer/manufactured-housing &amp; RV parks</t>
        </is>
      </c>
      <c r="C5091" t="inlineStr">
        <is>
          <t>63</t>
        </is>
      </c>
      <c r="D5091" t="inlineStr">
        <is>
          <t>1-10</t>
        </is>
      </c>
      <c r="E5091" t="inlineStr">
        <is>
          <t>Per-space park schedules (county codes 500/531)</t>
        </is>
      </c>
    </row>
    <row r="5092">
      <c r="B5092" t="inlineStr">
        <is>
          <t>Segregated-cost &amp; unit-in-place sections (40-67), yard improvements (Sec.66), equipment (Sec.65)</t>
        </is>
      </c>
      <c r="C5092" t="inlineStr">
        <is>
          <t>various</t>
        </is>
      </c>
      <c r="D5092" t="inlineStr">
        <is>
          <t>--</t>
        </is>
      </c>
      <c r="E5092" t="inlineStr">
        <is>
          <t>Component pricing systems outside the calculator method</t>
        </is>
      </c>
    </row>
    <row r="5094">
      <c r="B5094" s="305" t="inlineStr">
        <is>
          <t>Notes</t>
        </is>
      </c>
    </row>
    <row r="5095">
      <c r="B5095" t="inlineStr">
        <is>
          <t>- Current Cost Multiplier / Local Area Multiplier / Sec.98 Denver Index are from inserts dated January 2025 bound into this MVS June 2024 edition.</t>
        </is>
      </c>
    </row>
    <row r="5096">
      <c r="B5096" t="inlineStr">
        <is>
          <t>- Colorado's biennial reassessment fixes the appraisal/level-of-value date; the De-Trend block rolls the Jan-2025-vintage cost level back to that date via MVS Sec.98.</t>
        </is>
      </c>
    </row>
    <row r="5097">
      <c r="B5097" t="inlineStr">
        <is>
          <t>- No Adams County line exists in MVS -- 'Denver' is the county's proxy per MVS suburb-uses-nearest-larger-city guidance (Sec.99 p.1).</t>
        </is>
      </c>
    </row>
    <row r="5098">
      <c r="B5098" t="inlineStr">
        <is>
          <t>- Region for the Current Cost Multiplier is presumed WESTERN for Colorado.</t>
        </is>
      </c>
    </row>
    <row r="5099">
      <c r="B5099" t="inlineStr">
        <is>
          <t>- Base $/SF values cross-checked against the Sq.M. column of every table (must agree within 2% at 10.764 SF/SqM); range-priced tables (some Sec.17 sheds) store the midpoint and cite the range.</t>
        </is>
      </c>
    </row>
    <row r="5100">
      <c r="B5100" t="inlineStr">
        <is>
          <t>- Life Expectancy (Reference 11) is the full Sec.97 pp.10-16 transcription; each occupancy/quality is mapped to its printed bucket (bucket text shown in the last column).</t>
        </is>
      </c>
    </row>
    <row r="5101">
      <c r="B5101" t="inlineStr">
        <is>
          <t>- Depreciation: Reference 4 column H selects Commercial (Sec.97 p.24) or Residential (p.25) percent-good per MVS's own Properties Included key. Lives under 20 years are not tabulated -- see Sec.97 p.26.</t>
        </is>
      </c>
    </row>
    <row r="5102">
      <c r="B5102" t="inlineStr">
        <is>
          <t>- Sections 12/17 have no story-height table (multiplier 1.000 used); Section 17 has no sprinkler table (0 used -- price manually if sprinklered).</t>
        </is>
      </c>
    </row>
    <row r="5103">
      <c r="B5103" t="inlineStr">
        <is>
          <t>- The Subject Property OCC code auto-selects the occupancy via Reference 4b; codes without a calculator table fall back to the Manual MVS Override block on the Cost Approach tab.</t>
        </is>
      </c>
    </row>
    <row r="5104">
      <c r="B5104" t="inlineStr">
        <is>
          <t>- Next reassessment cycle: update the Appraisal Date and refresh the Sec.98/99 quarterly inserts.</t>
        </is>
      </c>
    </row>
  </sheetData>
  <pageMargins left="0.75" right="0.75" top="1" bottom="1" header="0.5" footer="0.5"/>
</worksheet>
</file>

<file path=xl/worksheets/sheet10.xml><?xml version="1.0" encoding="utf-8"?>
<worksheet xmlns="http://schemas.openxmlformats.org/spreadsheetml/2006/main">
  <sheetPr>
    <tabColor rgb="FF0E7490"/>
    <outlinePr summaryBelow="1" summaryRight="1"/>
    <pageSetUpPr/>
  </sheetPr>
  <dimension ref="A1:U542"/>
  <sheetViews>
    <sheetView showGridLines="0" workbookViewId="0">
      <pane xSplit="2" ySplit="2" topLeftCell="C44" activePane="bottomRight" state="frozen"/>
      <selection pane="topRight" activeCell="A1" sqref="A1"/>
      <selection pane="bottomLeft" activeCell="A1" sqref="A1"/>
      <selection pane="bottomRight" activeCell="C7" sqref="C7"/>
    </sheetView>
  </sheetViews>
  <sheetFormatPr baseColWidth="10" defaultColWidth="9" defaultRowHeight="12"/>
  <cols>
    <col width="2" customWidth="1" style="518" min="1" max="1"/>
    <col width="52" customWidth="1" style="518" min="2" max="2"/>
    <col width="32.796875" customWidth="1" style="518" min="3" max="3"/>
    <col width="8" customWidth="1" style="518" min="4" max="4"/>
    <col width="4" customWidth="1" style="518" min="5" max="5"/>
    <col width="15.796875" customWidth="1" style="518" min="6" max="6"/>
    <col width="19" customWidth="1" style="518" min="7" max="7"/>
    <col width="3" customWidth="1" style="518" min="8" max="8"/>
    <col width="52" customWidth="1" style="518" min="9" max="9"/>
    <col width="9.19921875" customWidth="1" style="518" min="10" max="10"/>
    <col width="18.19921875" customWidth="1" style="518" min="11" max="11"/>
    <col width="15.796875" customWidth="1" style="518" min="12" max="12"/>
    <col width="8.59765625" customWidth="1" style="518" min="13" max="13"/>
    <col width="15.796875" customWidth="1" style="518" min="14" max="15"/>
    <col width="3.796875" customWidth="1" style="518" min="16" max="16"/>
    <col width="40.3984375" customWidth="1" style="518" min="17" max="17"/>
    <col width="13.19921875" customWidth="1" style="518" min="18" max="18"/>
    <col width="7.59765625" customWidth="1" style="518" min="19" max="19"/>
    <col width="15.796875" customWidth="1" style="518" min="20" max="20"/>
    <col width="9.19921875" customWidth="1" style="518" min="22" max="22"/>
    <col width="9.19921875" customWidth="1" style="518" min="24" max="24"/>
  </cols>
  <sheetData>
    <row r="1" ht="18" customHeight="1" s="518">
      <c r="A1" s="126" t="n"/>
      <c r="B1" s="247" t="inlineStr">
        <is>
          <t>COST APPROACH -- MVS Calculator</t>
        </is>
      </c>
      <c r="C1" s="127" t="n"/>
      <c r="D1" s="127" t="n"/>
      <c r="E1" s="127" t="n"/>
      <c r="F1" s="127" t="n"/>
      <c r="G1" s="127" t="n"/>
      <c r="H1" s="127" t="n"/>
      <c r="I1" s="128" t="n"/>
      <c r="J1" s="127" t="n"/>
      <c r="K1" s="127" t="n"/>
      <c r="L1" s="127" t="n"/>
      <c r="M1" s="127" t="n"/>
      <c r="N1" s="127" t="n"/>
      <c r="O1" s="127" t="n"/>
      <c r="P1" s="127" t="n"/>
      <c r="Q1" s="127" t="n"/>
      <c r="R1" s="127" t="n"/>
      <c r="S1" s="127" t="n"/>
      <c r="T1" s="127" t="n"/>
      <c r="U1" s="127" t="n"/>
    </row>
    <row r="2" ht="28" customHeight="1" s="518">
      <c r="A2" s="127" t="n"/>
      <c r="B2" s="571" t="inlineStr">
        <is>
          <t>Fill in the yellow cells only (Steps 1-3 below, plus the site-improvement/depreciation line items further down). Everything else calculates automatically from the MVS reference tables on the 'M&amp;S Inputs' tab. Your final indicated value appears at the bottom of this sheet.</t>
        </is>
      </c>
      <c r="H2" s="127" t="n"/>
      <c r="I2" s="127" t="n"/>
      <c r="J2" s="127" t="n"/>
      <c r="K2" s="127" t="n"/>
      <c r="L2" s="127" t="n"/>
      <c r="M2" s="127" t="n"/>
      <c r="N2" s="127" t="n"/>
      <c r="O2" s="127" t="n"/>
      <c r="P2" s="127" t="n"/>
      <c r="Q2" s="129" t="n"/>
      <c r="R2" s="129" t="n"/>
      <c r="S2" s="127" t="n"/>
      <c r="T2" s="127" t="n"/>
      <c r="U2" s="127" t="n"/>
    </row>
    <row r="3" ht="16" customHeight="1" s="518">
      <c r="A3" s="127" t="n"/>
      <c r="B3" s="272" t="inlineStr">
        <is>
          <t>STEP 1 -- BUILDING IDENTIFICATION</t>
        </is>
      </c>
      <c r="C3" s="273" t="n"/>
      <c r="D3" s="273" t="n"/>
      <c r="E3" s="273" t="n"/>
      <c r="F3" s="273" t="n"/>
      <c r="G3" s="273" t="n"/>
      <c r="H3" s="127" t="n"/>
      <c r="I3" s="127" t="n"/>
      <c r="J3" s="127" t="n"/>
      <c r="K3" s="127" t="n"/>
      <c r="L3" s="127" t="n"/>
      <c r="M3" s="127" t="n"/>
      <c r="N3" s="127" t="n"/>
      <c r="O3" s="127" t="n"/>
      <c r="P3" s="127" t="n"/>
      <c r="Q3" s="129" t="n"/>
      <c r="R3" s="127" t="n"/>
      <c r="S3" s="127" t="n"/>
      <c r="T3" s="127" t="n"/>
      <c r="U3" s="127" t="n"/>
    </row>
    <row r="4" ht="13" customHeight="1" s="518">
      <c r="A4" s="127" t="n"/>
      <c r="B4" s="248" t="inlineStr">
        <is>
          <t>Occupancy Type</t>
        </is>
      </c>
      <c r="C4" s="202">
        <f>IF(Subj_OccCode="","Storage Warehouses",IFERROR(INDEX(OCCMAP_NAME,MATCH(Subj_OccCode,OCCMAP_CODE,0)),"No MVS cost table for OCC "&amp;Subj_OccCode&amp;" -- select manually or use the Manual Override below"))</f>
        <v/>
      </c>
      <c r="D4" s="130" t="n"/>
      <c r="E4" s="130" t="n"/>
      <c r="F4" s="130" t="n"/>
      <c r="G4" s="130" t="n"/>
      <c r="H4" s="127" t="n"/>
      <c r="I4" s="249" t="inlineStr">
        <is>
          <t>Choose the occupancy that best matches the subject improvement.</t>
        </is>
      </c>
      <c r="J4" s="127" t="n"/>
      <c r="K4" s="127" t="n"/>
      <c r="L4" s="127" t="n"/>
      <c r="M4" s="127" t="n"/>
      <c r="N4" s="127" t="n"/>
      <c r="O4" s="127" t="n"/>
      <c r="P4" s="127" t="n"/>
      <c r="Q4" s="127" t="n"/>
      <c r="R4" s="127" t="n"/>
      <c r="S4" s="127" t="n"/>
      <c r="T4" s="127" t="n"/>
      <c r="U4" s="127" t="n"/>
    </row>
    <row r="5" ht="13" customHeight="1" s="518">
      <c r="A5" s="127" t="n"/>
      <c r="B5" s="250" t="inlineStr">
        <is>
          <t>Occupancy Code / Section / Page (auto)</t>
        </is>
      </c>
      <c r="C5" s="203">
        <f>IFERROR(INDEX(OCC_CODE,MATCH($C$4,OCC_NAME,0))&amp;"  |  MVS Sec. "&amp;INDEX(OCC_SECTION,MATCH($C$4,OCC_NAME,0))&amp;" p."&amp;INDEX(OCC_PAGE,MATCH($C$4,OCC_NAME,0)),"")</f>
        <v/>
      </c>
      <c r="D5" s="129" t="n"/>
      <c r="E5" s="129" t="n"/>
      <c r="F5" s="129" t="n"/>
      <c r="G5" s="129" t="n"/>
      <c r="H5" s="127" t="n"/>
      <c r="I5" s="127" t="n"/>
      <c r="J5" s="129" t="n"/>
      <c r="K5" s="129" t="n"/>
      <c r="L5" s="129" t="n"/>
      <c r="M5" s="129" t="n"/>
      <c r="N5" s="127" t="n"/>
      <c r="O5" s="127" t="n"/>
      <c r="P5" s="127" t="n"/>
      <c r="Q5" s="127" t="n"/>
      <c r="R5" s="127" t="n"/>
      <c r="S5" s="127" t="n"/>
      <c r="T5" s="127" t="n"/>
      <c r="U5" s="127" t="n"/>
    </row>
    <row r="6" ht="60" customHeight="1" s="518">
      <c r="A6" s="127" t="n"/>
      <c r="B6" s="251" t="inlineStr">
        <is>
          <t>Building Class</t>
        </is>
      </c>
      <c r="C6" s="204" t="inlineStr">
        <is>
          <t>C</t>
        </is>
      </c>
      <c r="D6" s="129" t="n"/>
      <c r="E6" s="129" t="n"/>
      <c r="F6" s="129" t="n"/>
      <c r="G6" s="129" t="n"/>
      <c r="H6" s="127" t="n"/>
      <c r="I6" s="249" t="inlineStr">
        <is>
          <t>A=Fireproofed steel. B=Reinf. concrete. C=Masonry/steel-or-wood frame. CMILL=mill-type masonry. D=Wood/combustible (DPOLE=pole-frame, DMASVEN=masonry veneer on wood frame). S=Pre-engineered metal (SSLANT=slant-wall). A-B / CDS = classes printed jointly by MVS. See Class Reference on M&amp;S Inputs.</t>
        </is>
      </c>
      <c r="J6" s="129" t="n"/>
      <c r="K6" s="129" t="n"/>
      <c r="L6" s="129" t="n"/>
      <c r="M6" s="129" t="n"/>
      <c r="N6" s="127" t="n"/>
      <c r="O6" s="127" t="n"/>
      <c r="P6" s="127" t="n"/>
      <c r="Q6" s="127" t="n"/>
      <c r="R6" s="127" t="n"/>
      <c r="S6" s="127" t="n"/>
      <c r="T6" s="127" t="n"/>
      <c r="U6" s="127" t="n"/>
    </row>
    <row r="7" ht="36" customHeight="1" s="518">
      <c r="A7" s="127" t="n"/>
      <c r="B7" s="251" t="inlineStr">
        <is>
          <t>Quality</t>
        </is>
      </c>
      <c r="C7" s="205" t="inlineStr">
        <is>
          <t>Excellent</t>
        </is>
      </c>
      <c r="D7" s="129" t="n"/>
      <c r="E7" s="129" t="n"/>
      <c r="F7" s="129" t="n"/>
      <c r="G7" s="129" t="n"/>
      <c r="H7" s="127" t="n"/>
      <c r="I7" s="249" t="inlineStr">
        <is>
          <t>Low Cost | Fair | Average | Good | Very Good | Excellent (some occupancies also use Cheap). Auto-fed from Subject Property Quality; pick a tier that exists for the chosen occupancy/class.</t>
        </is>
      </c>
      <c r="J7" s="129" t="n"/>
      <c r="K7" s="127" t="n"/>
      <c r="L7" s="127" t="n"/>
      <c r="M7" s="127" t="n"/>
      <c r="N7" s="127" t="n"/>
      <c r="O7" s="127" t="n"/>
      <c r="P7" s="127" t="n"/>
      <c r="Q7" s="127" t="n"/>
      <c r="R7" s="127" t="n"/>
      <c r="S7" s="127" t="n"/>
      <c r="T7" s="127" t="n"/>
      <c r="U7" s="127" t="n"/>
    </row>
    <row r="8" ht="36" customHeight="1" s="518">
      <c r="A8" s="127" t="n"/>
      <c r="B8" s="251" t="inlineStr">
        <is>
          <t>City / Local Area (for Local Multiplier)</t>
        </is>
      </c>
      <c r="C8" s="205" t="inlineStr">
        <is>
          <t>Denver</t>
        </is>
      </c>
      <c r="D8" s="129" t="n"/>
      <c r="E8" s="129" t="n"/>
      <c r="F8" s="129" t="n"/>
      <c r="G8" s="129" t="n"/>
      <c r="H8" s="127" t="n"/>
      <c r="I8" s="249" t="inlineStr">
        <is>
          <t>Adams County has no dedicated MVS line -- 'Denver' is the recommended proxy (nearest larger city, per MVS's own guidance); 'Colorado (statewide average)' is the fallback.</t>
        </is>
      </c>
      <c r="J8" s="127" t="n"/>
      <c r="K8" s="127" t="n"/>
      <c r="L8" s="127" t="n"/>
      <c r="M8" s="127" t="n"/>
      <c r="N8" s="127" t="n"/>
      <c r="O8" s="127" t="n"/>
      <c r="P8" s="127" t="n"/>
      <c r="Q8" s="127" t="n"/>
      <c r="R8" s="127" t="n"/>
      <c r="S8" s="127" t="n"/>
      <c r="T8" s="127" t="n"/>
      <c r="U8" s="127" t="n"/>
    </row>
    <row r="9">
      <c r="A9" s="127" t="n"/>
      <c r="B9" s="296" t="inlineStr">
        <is>
          <t>Resolved MVS Section (auto or manual override)</t>
        </is>
      </c>
      <c r="C9" s="297">
        <f>IF($C$83&lt;&gt;"",$C$83,IFERROR(INDEX(OCC_SECTION,MATCH($C$4,OCC_NAME,0)),""))</f>
        <v/>
      </c>
      <c r="D9" s="129" t="n"/>
      <c r="E9" s="129" t="n"/>
      <c r="F9" s="129" t="n"/>
      <c r="G9" s="129" t="n"/>
      <c r="H9" s="127" t="n"/>
      <c r="I9" s="127" t="n"/>
      <c r="J9" s="127" t="n"/>
      <c r="K9" s="127" t="n"/>
      <c r="L9" s="127" t="n"/>
      <c r="M9" s="127" t="n"/>
      <c r="N9" s="127" t="n"/>
      <c r="O9" s="127" t="n"/>
      <c r="P9" s="127" t="n"/>
      <c r="Q9" s="127" t="n"/>
      <c r="R9" s="127" t="n"/>
      <c r="S9" s="127" t="n"/>
      <c r="T9" s="127" t="n"/>
      <c r="U9" s="127" t="n"/>
    </row>
    <row r="10" ht="16" customHeight="1" s="518">
      <c r="A10" s="127" t="n"/>
      <c r="B10" s="274" t="inlineStr">
        <is>
          <t>STEP 2 -- SIZE, SHAPE &amp; SPRINKLER</t>
        </is>
      </c>
      <c r="C10" s="273" t="n"/>
      <c r="D10" s="275" t="n"/>
      <c r="E10" s="275" t="n"/>
      <c r="F10" s="275" t="n"/>
      <c r="G10" s="275" t="n"/>
      <c r="H10" s="127" t="n"/>
      <c r="I10" s="127" t="n"/>
      <c r="J10" s="127" t="n"/>
      <c r="K10" s="127" t="n"/>
      <c r="L10" s="127" t="n"/>
      <c r="M10" s="127" t="n"/>
      <c r="N10" s="127" t="n"/>
      <c r="O10" s="127" t="n"/>
      <c r="P10" s="127" t="n"/>
      <c r="Q10" s="127" t="n"/>
      <c r="R10" s="127" t="n"/>
      <c r="S10" s="127" t="n"/>
      <c r="T10" s="127" t="n"/>
      <c r="U10" s="127" t="n"/>
    </row>
    <row r="11" ht="13" customHeight="1" s="518">
      <c r="A11" s="127" t="n"/>
      <c r="B11" s="251" t="inlineStr">
        <is>
          <t>Avg Eave / Wall Height (ft)</t>
        </is>
      </c>
      <c r="C11" s="206" t="n">
        <v>18</v>
      </c>
      <c r="D11" s="129" t="n"/>
      <c r="E11" s="129" t="n"/>
      <c r="F11" s="129" t="n"/>
      <c r="G11" s="129" t="n"/>
      <c r="H11" s="127" t="n"/>
      <c r="I11" s="127" t="n"/>
      <c r="J11" s="127" t="n"/>
      <c r="K11" s="127" t="n"/>
      <c r="L11" s="127" t="n"/>
      <c r="M11" s="127" t="n"/>
      <c r="N11" s="127" t="n"/>
      <c r="O11" s="127" t="n"/>
      <c r="P11" s="127" t="n"/>
      <c r="Q11" s="127" t="n"/>
      <c r="R11" s="127" t="n"/>
      <c r="S11" s="127" t="n"/>
      <c r="T11" s="127" t="n"/>
      <c r="U11" s="127" t="n"/>
    </row>
    <row r="12" ht="36" customHeight="1" s="518">
      <c r="A12" s="127" t="n"/>
      <c r="B12" s="251" t="inlineStr">
        <is>
          <t>Area/Perimeter Multiplier Factor 1</t>
        </is>
      </c>
      <c r="C12" s="207" t="n">
        <v>1</v>
      </c>
      <c r="D12" s="129" t="n"/>
      <c r="E12" s="129" t="n"/>
      <c r="F12" s="129" t="n"/>
      <c r="G12" s="129" t="n"/>
      <c r="H12" s="127" t="n"/>
      <c r="I12" s="249" t="inlineStr">
        <is>
          <t>Look up your building's SF vs. average perimeter in the MVS Floor Area-Perimeter grid for this occupancy's section; enter the two bracketing values here to average.</t>
        </is>
      </c>
      <c r="J12" s="127" t="n"/>
      <c r="K12" s="127" t="n"/>
      <c r="L12" s="127" t="n"/>
      <c r="M12" s="127" t="n"/>
      <c r="N12" s="127" t="n"/>
      <c r="O12" s="127" t="n"/>
      <c r="P12" s="127" t="n"/>
      <c r="Q12" s="127" t="n"/>
      <c r="R12" s="127" t="n"/>
      <c r="S12" s="127" t="n"/>
      <c r="T12" s="127" t="n"/>
      <c r="U12" s="127" t="n"/>
    </row>
    <row r="13" ht="13" customHeight="1" s="518">
      <c r="A13" s="127" t="n"/>
      <c r="B13" s="251" t="inlineStr">
        <is>
          <t>Area/Perimeter Multiplier Factor 2</t>
        </is>
      </c>
      <c r="C13" s="208" t="n">
        <v>1</v>
      </c>
      <c r="D13" s="129" t="n"/>
      <c r="E13" s="129" t="n"/>
      <c r="F13" s="129" t="n"/>
      <c r="G13" s="129" t="n"/>
      <c r="H13" s="127" t="n"/>
      <c r="I13" s="127" t="n"/>
      <c r="J13" s="127" t="n"/>
      <c r="K13" s="127" t="n"/>
      <c r="L13" s="127" t="n"/>
      <c r="M13" s="127" t="n"/>
      <c r="N13" s="127" t="n"/>
      <c r="O13" s="127" t="n"/>
      <c r="P13" s="127" t="n"/>
      <c r="Q13" s="127" t="n"/>
      <c r="R13" s="127" t="n"/>
      <c r="S13" s="127" t="n"/>
      <c r="T13" s="127" t="n"/>
      <c r="U13" s="127" t="n"/>
    </row>
    <row r="14" ht="36" customHeight="1" s="518">
      <c r="A14" s="127" t="n"/>
      <c r="B14" s="250" t="inlineStr">
        <is>
          <t>Sprinkler Quality Tier</t>
        </is>
      </c>
      <c r="C14" s="209" t="inlineStr">
        <is>
          <t>Average</t>
        </is>
      </c>
      <c r="D14" s="129" t="n"/>
      <c r="E14" s="129" t="n"/>
      <c r="F14" s="129" t="n"/>
      <c r="G14" s="129" t="n"/>
      <c r="H14" s="127" t="n"/>
      <c r="I14" s="249" t="inlineStr">
        <is>
          <t>Independent of building quality -- set to match the actual sprinkler system grade. Wet-system cost auto-looked-up for Sections 11-16 &amp; 18; Section 17 (sheds/farm) has no MVS sprinkler table -- 0 is used.</t>
        </is>
      </c>
      <c r="J14" s="127" t="n"/>
      <c r="K14" s="127" t="n"/>
      <c r="L14" s="127" t="n"/>
      <c r="M14" s="127" t="n"/>
      <c r="N14" s="127" t="n"/>
      <c r="O14" s="127" t="n"/>
      <c r="P14" s="127" t="n"/>
      <c r="Q14" s="127" t="n"/>
      <c r="R14" s="127" t="n"/>
      <c r="S14" s="127" t="n"/>
      <c r="T14" s="127" t="n"/>
      <c r="U14" s="127" t="n"/>
    </row>
    <row r="15">
      <c r="A15" s="127" t="n"/>
      <c r="B15" s="132" t="n"/>
      <c r="C15" s="129" t="n"/>
      <c r="D15" s="129" t="n"/>
      <c r="E15" s="129" t="n"/>
      <c r="F15" s="129" t="n"/>
      <c r="G15" s="129" t="n"/>
      <c r="H15" s="127" t="n"/>
      <c r="I15" s="127" t="n"/>
      <c r="J15" s="127" t="n"/>
      <c r="K15" s="127" t="n"/>
      <c r="L15" s="127" t="n"/>
      <c r="M15" s="127" t="n"/>
      <c r="N15" s="127" t="n"/>
      <c r="O15" s="127" t="n"/>
      <c r="P15" s="127" t="n"/>
      <c r="Q15" s="127" t="n"/>
      <c r="R15" s="127" t="n"/>
      <c r="S15" s="127" t="n"/>
      <c r="T15" s="127" t="n"/>
      <c r="U15" s="127" t="n"/>
    </row>
    <row r="16" ht="16" customHeight="1" s="518">
      <c r="A16" s="127" t="n"/>
      <c r="B16" s="274" t="inlineStr">
        <is>
          <t>STEP 3 -- APPRAISAL DATE &amp; DE-TREND</t>
        </is>
      </c>
      <c r="C16" s="275" t="n"/>
      <c r="D16" s="275" t="n"/>
      <c r="E16" s="275" t="n"/>
      <c r="F16" s="275" t="n"/>
      <c r="G16" s="275" t="n"/>
      <c r="H16" s="127" t="n"/>
      <c r="I16" s="127" t="n"/>
      <c r="J16" s="127" t="n"/>
      <c r="K16" s="127" t="n"/>
      <c r="L16" s="127" t="n"/>
      <c r="M16" s="127" t="n"/>
      <c r="N16" s="127" t="n"/>
      <c r="O16" s="127" t="n"/>
      <c r="P16" s="127" t="n"/>
      <c r="Q16" s="127" t="n"/>
      <c r="R16" s="127" t="n"/>
      <c r="S16" s="127" t="n"/>
      <c r="T16" s="127" t="n"/>
      <c r="U16" s="127" t="n"/>
    </row>
    <row r="17" ht="36" customHeight="1" s="518">
      <c r="A17" s="127" t="n"/>
      <c r="B17" s="251" t="inlineStr">
        <is>
          <t>Appraisal / Level-of-Value Date</t>
        </is>
      </c>
      <c r="C17" s="677">
        <f>DATE(2024,6,30)</f>
        <v/>
      </c>
      <c r="D17" s="129" t="n"/>
      <c r="E17" s="129" t="n"/>
      <c r="F17" s="129" t="n"/>
      <c r="G17" s="129" t="n"/>
      <c r="H17" s="127" t="n"/>
      <c r="I17" s="249" t="inlineStr">
        <is>
          <t>Colorado's biennial reassessment fixes this at the end of the statutory base period. Current cycle: 7/1/2022-6/30/2024, level of value = 6/30/2024. Update to 6/30/2025 next cycle.</t>
        </is>
      </c>
      <c r="J17" s="127" t="n"/>
      <c r="K17" s="127" t="n"/>
      <c r="L17" s="127" t="n"/>
      <c r="M17" s="127" t="n"/>
      <c r="N17" s="127" t="n"/>
      <c r="O17" s="127" t="n"/>
      <c r="P17" s="127" t="n"/>
      <c r="Q17" s="127" t="n"/>
      <c r="R17" s="127" t="n"/>
      <c r="S17" s="127" t="n"/>
      <c r="T17" s="127" t="n"/>
      <c r="U17" s="127" t="n"/>
    </row>
    <row r="18" ht="36" customHeight="1" s="518">
      <c r="A18" s="127" t="n"/>
      <c r="B18" s="251" t="inlineStr">
        <is>
          <t>Bracket Quarter - Earlier</t>
        </is>
      </c>
      <c r="C18" s="209" t="inlineStr">
        <is>
          <t>Apr 2024</t>
        </is>
      </c>
      <c r="D18" s="129" t="n"/>
      <c r="E18" s="129" t="n"/>
      <c r="F18" s="129" t="n"/>
      <c r="G18" s="129" t="n"/>
      <c r="H18" s="127" t="n"/>
      <c r="I18" s="249" t="inlineStr">
        <is>
          <t>Pick the two MVS Sec.98 Denver index quarters that straddle the Appraisal Date above (see Denver Index table on M&amp;S Inputs). Rolls the Jan-2025-vintage multipliers below back to your actual valuation date.</t>
        </is>
      </c>
      <c r="J18" s="127" t="n"/>
      <c r="K18" s="127" t="n"/>
      <c r="L18" s="127" t="n"/>
      <c r="M18" s="127" t="n"/>
      <c r="N18" s="127" t="n"/>
      <c r="O18" s="127" t="n"/>
      <c r="P18" s="127" t="n"/>
      <c r="Q18" s="127" t="n"/>
      <c r="R18" s="127" t="n"/>
      <c r="S18" s="127" t="n"/>
      <c r="T18" s="127" t="n"/>
      <c r="U18" s="127" t="n"/>
    </row>
    <row r="19" ht="13" customHeight="1" s="518">
      <c r="A19" s="127" t="n"/>
      <c r="B19" s="251" t="inlineStr">
        <is>
          <t>Bracket Quarter - Later</t>
        </is>
      </c>
      <c r="C19" s="209" t="inlineStr">
        <is>
          <t>Apr 2024</t>
        </is>
      </c>
      <c r="D19" s="129" t="n"/>
      <c r="E19" s="129" t="n"/>
      <c r="F19" s="129" t="n"/>
      <c r="G19" s="129" t="n"/>
      <c r="H19" s="127" t="n"/>
      <c r="I19" s="127" t="n"/>
      <c r="J19" s="127" t="n"/>
      <c r="K19" s="127" t="n"/>
      <c r="L19" s="127" t="n"/>
      <c r="M19" s="127" t="n"/>
      <c r="N19" s="127" t="n"/>
      <c r="O19" s="127" t="n"/>
      <c r="P19" s="127" t="n"/>
      <c r="Q19" s="127" t="n"/>
      <c r="R19" s="127" t="n"/>
      <c r="S19" s="127" t="n"/>
      <c r="T19" s="127" t="n"/>
      <c r="U19" s="127" t="n"/>
    </row>
    <row r="20">
      <c r="A20" s="127" t="n"/>
      <c r="B20" s="131" t="n"/>
      <c r="C20" s="129" t="n"/>
      <c r="D20" s="129" t="n"/>
      <c r="E20" s="129" t="n"/>
      <c r="F20" s="129" t="n"/>
      <c r="G20" s="129" t="n"/>
      <c r="H20" s="127" t="n"/>
      <c r="I20" s="127" t="n"/>
      <c r="J20" s="127" t="n"/>
      <c r="K20" s="127" t="n"/>
      <c r="L20" s="127" t="n"/>
      <c r="M20" s="127" t="n"/>
      <c r="N20" s="127" t="n"/>
      <c r="O20" s="127" t="n"/>
      <c r="P20" s="127" t="n"/>
      <c r="Q20" s="127" t="n"/>
      <c r="R20" s="127" t="n"/>
      <c r="S20" s="127" t="n"/>
      <c r="T20" s="127" t="n"/>
      <c r="U20" s="127" t="n"/>
    </row>
    <row r="21" ht="17" customHeight="1" s="518">
      <c r="A21" s="127" t="n"/>
      <c r="B21" s="252" t="inlineStr">
        <is>
          <t>COST APPROACH SUMMARY</t>
        </is>
      </c>
      <c r="C21" s="211" t="n"/>
      <c r="D21" s="211" t="n"/>
      <c r="E21" s="211" t="n"/>
      <c r="F21" s="211" t="n"/>
      <c r="G21" s="211" t="n"/>
      <c r="H21" s="127" t="n"/>
      <c r="I21" s="127" t="n"/>
      <c r="J21" s="127" t="n"/>
      <c r="K21" s="127" t="n"/>
      <c r="L21" s="127" t="n"/>
      <c r="M21" s="127" t="n"/>
      <c r="N21" s="127" t="n"/>
      <c r="O21" s="127" t="n"/>
      <c r="P21" s="127" t="n"/>
      <c r="Q21" s="127" t="n"/>
      <c r="R21" s="127" t="n"/>
      <c r="S21" s="127" t="n"/>
      <c r="T21" s="127" t="n"/>
      <c r="U21" s="127" t="n"/>
    </row>
    <row r="22" ht="13" customHeight="1" s="518">
      <c r="A22" s="127" t="n"/>
      <c r="B22" s="253" t="inlineStr">
        <is>
          <t>Replacement Cost New (RCN)</t>
        </is>
      </c>
      <c r="C22" s="212" t="inlineStr">
        <is>
          <t>Area (SF)</t>
        </is>
      </c>
      <c r="D22" s="213" t="inlineStr">
        <is>
          <t>$/SF</t>
        </is>
      </c>
      <c r="E22" s="129" t="n"/>
      <c r="F22" s="213" t="inlineStr">
        <is>
          <t>Subtotal</t>
        </is>
      </c>
      <c r="G22" s="213" t="inlineStr">
        <is>
          <t>Total Cost</t>
        </is>
      </c>
      <c r="H22" s="127" t="n"/>
      <c r="I22" s="127" t="n"/>
      <c r="J22" s="127" t="n"/>
      <c r="K22" s="127" t="n"/>
      <c r="L22" s="127" t="n"/>
      <c r="M22" s="127" t="n"/>
      <c r="N22" s="127" t="n"/>
      <c r="O22" s="127" t="n"/>
      <c r="P22" s="127" t="n"/>
      <c r="Q22" s="127" t="n"/>
      <c r="R22" s="127" t="n"/>
      <c r="S22" s="127" t="n"/>
      <c r="T22" s="127" t="n"/>
      <c r="U22" s="127" t="n"/>
    </row>
    <row r="23" ht="13" customHeight="1" s="518">
      <c r="A23" s="127" t="n"/>
      <c r="B23" s="254" t="inlineStr">
        <is>
          <t>Building Improvements</t>
        </is>
      </c>
      <c r="C23" s="127" t="n"/>
      <c r="D23" s="129" t="n"/>
      <c r="E23" s="129" t="n"/>
      <c r="F23" s="129" t="n"/>
      <c r="G23" s="129" t="n"/>
      <c r="H23" s="127" t="n"/>
      <c r="I23" s="127" t="n"/>
      <c r="J23" s="127" t="n"/>
      <c r="K23" s="127" t="n"/>
      <c r="L23" s="127" t="n"/>
      <c r="M23" s="127" t="n"/>
      <c r="N23" s="127" t="n"/>
      <c r="O23" s="127" t="n"/>
      <c r="P23" s="127" t="n"/>
      <c r="Q23" s="127" t="n"/>
      <c r="R23" s="127" t="n"/>
      <c r="S23" s="127" t="n"/>
      <c r="T23" s="127" t="n"/>
      <c r="U23" s="127" t="n"/>
    </row>
    <row r="24" ht="13" customHeight="1" s="518">
      <c r="A24" s="127" t="n"/>
      <c r="B24" s="251" t="inlineStr">
        <is>
          <t>Base Cost</t>
        </is>
      </c>
      <c r="C24" s="214">
        <f>WO!D13</f>
        <v/>
      </c>
      <c r="D24" s="678">
        <f>IF($C$81&gt;0,$C$81,IFERROR(INDEX(BC_VALUE,MATCH($C$4&amp;"|"&amp;$C$6&amp;"|"&amp;$C$7,BC_KEY,0)),0))</f>
        <v/>
      </c>
      <c r="E24" s="129" t="n"/>
      <c r="F24" s="679">
        <f>C24*D24</f>
        <v/>
      </c>
      <c r="G24" s="129" t="n"/>
      <c r="H24" s="127" t="n"/>
      <c r="I24" s="249">
        <f>IFERROR("Verified MVS base cost -- "&amp;INDEX(BC_CITE,MATCH($C$4&amp;"|"&amp;$C$6&amp;"|"&amp;$C$7,BC_KEY,0)),"")&amp;" | Area auto-linked to Property Info!B5 (GBA)."</f>
        <v/>
      </c>
      <c r="J24" s="127" t="n"/>
      <c r="K24" s="127" t="n"/>
      <c r="L24" s="127" t="n"/>
      <c r="M24" s="127" t="n"/>
      <c r="N24" s="127" t="n"/>
      <c r="O24" s="127" t="n"/>
      <c r="P24" s="127" t="n"/>
      <c r="Q24" s="127" t="n"/>
      <c r="R24" s="127" t="n"/>
      <c r="S24" s="127" t="n"/>
      <c r="T24" s="127" t="n"/>
      <c r="U24" s="127" t="n"/>
    </row>
    <row r="25" ht="24" customHeight="1" s="518">
      <c r="A25" s="127" t="n"/>
      <c r="B25" s="251" t="inlineStr">
        <is>
          <t>Sprinklers</t>
        </is>
      </c>
      <c r="C25" s="214">
        <f>C24</f>
        <v/>
      </c>
      <c r="D25" s="678">
        <f>IFERROR(INDEX(INDIRECT("SPR"&amp;$C$9&amp;"_VALS"),MATCH($C$24,INDIRECT("SPR"&amp;$C$9&amp;"_SF"),1),MATCH($C$14,SPR_HDR,0)),0)</f>
        <v/>
      </c>
      <c r="E25" s="129" t="n"/>
      <c r="F25" s="679">
        <f>C25*D25</f>
        <v/>
      </c>
      <c r="G25" s="129" t="n"/>
      <c r="H25" s="127" t="n"/>
      <c r="I25" s="249" t="inlineStr">
        <is>
          <t>Wet-system cost, by building SF (nearest coverage bracket &lt;= actual SF). Enter 0 manually below if unsprinklered.</t>
        </is>
      </c>
      <c r="J25" s="127" t="n"/>
      <c r="K25" s="127" t="n"/>
      <c r="L25" s="127" t="n"/>
      <c r="M25" s="127" t="n"/>
      <c r="N25" s="127" t="n"/>
      <c r="O25" s="127" t="n"/>
      <c r="P25" s="127" t="n"/>
      <c r="Q25" s="127" t="n"/>
      <c r="R25" s="127" t="n"/>
      <c r="S25" s="127" t="n"/>
      <c r="T25" s="127" t="n"/>
      <c r="U25" s="127" t="n"/>
    </row>
    <row r="26">
      <c r="A26" s="127" t="n"/>
      <c r="B26" s="132" t="n"/>
      <c r="C26" s="129" t="n"/>
      <c r="D26" s="129" t="n"/>
      <c r="E26" s="129" t="n"/>
      <c r="F26" s="679" t="n"/>
      <c r="G26" s="129" t="n"/>
      <c r="H26" s="127" t="n"/>
      <c r="I26" s="127" t="n"/>
      <c r="J26" s="127" t="n"/>
      <c r="K26" s="127" t="n"/>
      <c r="L26" s="127" t="n"/>
      <c r="M26" s="127" t="n"/>
      <c r="N26" s="127" t="n"/>
      <c r="O26" s="127" t="n"/>
      <c r="P26" s="127" t="n"/>
      <c r="Q26" s="127" t="n"/>
      <c r="R26" s="127" t="n"/>
      <c r="S26" s="127" t="n"/>
      <c r="T26" s="127" t="n"/>
      <c r="U26" s="127" t="n"/>
    </row>
    <row r="27">
      <c r="A27" s="127" t="n"/>
      <c r="B27" s="132" t="n"/>
      <c r="C27" s="129" t="n"/>
      <c r="D27" s="129" t="n"/>
      <c r="E27" s="127" t="n"/>
      <c r="F27" s="679" t="n"/>
      <c r="G27" s="129" t="n"/>
      <c r="H27" s="127" t="n"/>
      <c r="I27" s="127" t="n"/>
      <c r="J27" s="127" t="n"/>
      <c r="K27" s="127" t="n"/>
      <c r="L27" s="127" t="n"/>
      <c r="M27" s="127" t="n"/>
      <c r="N27" s="127" t="n"/>
      <c r="O27" s="127" t="n"/>
      <c r="P27" s="127" t="n"/>
      <c r="Q27" s="127" t="n"/>
      <c r="R27" s="127" t="n"/>
      <c r="S27" s="127" t="n"/>
      <c r="T27" s="127" t="n"/>
      <c r="U27" s="127" t="n"/>
    </row>
    <row r="28">
      <c r="A28" s="127" t="n"/>
      <c r="B28" s="131" t="n"/>
      <c r="C28" s="129" t="n"/>
      <c r="D28" s="127" t="n"/>
      <c r="E28" s="127" t="n"/>
      <c r="F28" s="679" t="n"/>
      <c r="G28" s="129" t="n"/>
      <c r="H28" s="127" t="n"/>
      <c r="I28" s="127" t="n"/>
      <c r="J28" s="127" t="n"/>
      <c r="K28" s="127" t="n"/>
      <c r="L28" s="127" t="n"/>
      <c r="M28" s="127" t="n"/>
      <c r="N28" s="127" t="n"/>
      <c r="O28" s="127" t="n"/>
      <c r="P28" s="127" t="n"/>
      <c r="Q28" s="127" t="n"/>
      <c r="R28" s="127" t="n"/>
      <c r="S28" s="127" t="n"/>
      <c r="T28" s="127" t="n"/>
      <c r="U28" s="127" t="n"/>
    </row>
    <row r="29">
      <c r="A29" s="127" t="n"/>
      <c r="B29" s="131" t="n"/>
      <c r="C29" s="129" t="n"/>
      <c r="D29" s="127" t="n"/>
      <c r="E29" s="127" t="n"/>
      <c r="F29" s="679" t="n"/>
      <c r="G29" s="129" t="n"/>
      <c r="H29" s="127" t="n"/>
      <c r="I29" s="129" t="n"/>
      <c r="J29" s="127" t="n"/>
      <c r="K29" s="127" t="n"/>
      <c r="L29" s="127" t="n"/>
      <c r="M29" s="127" t="n"/>
      <c r="N29" s="127" t="n"/>
      <c r="O29" s="127" t="n"/>
      <c r="P29" s="127" t="n"/>
      <c r="Q29" s="127" t="n"/>
      <c r="R29" s="127" t="n"/>
      <c r="S29" s="127" t="n"/>
      <c r="T29" s="127" t="n"/>
      <c r="U29" s="127" t="n"/>
    </row>
    <row r="30">
      <c r="A30" s="127" t="n"/>
      <c r="B30" s="132" t="n"/>
      <c r="C30" s="129" t="n"/>
      <c r="D30" s="133" t="n"/>
      <c r="E30" s="133" t="n"/>
      <c r="F30" s="679" t="n"/>
      <c r="G30" s="129" t="n"/>
      <c r="H30" s="127" t="n"/>
      <c r="I30" s="127" t="n"/>
      <c r="J30" s="127" t="n"/>
      <c r="K30" s="127" t="n"/>
      <c r="L30" s="127" t="n"/>
      <c r="M30" s="127" t="n"/>
      <c r="N30" s="127" t="n"/>
      <c r="O30" s="127" t="n"/>
      <c r="P30" s="127" t="n"/>
      <c r="Q30" s="127" t="n"/>
      <c r="R30" s="127" t="n"/>
      <c r="S30" s="127" t="n"/>
      <c r="T30" s="127" t="n"/>
      <c r="U30" s="127" t="n"/>
    </row>
    <row r="31" ht="13" customHeight="1" s="518">
      <c r="A31" s="127" t="n"/>
      <c r="B31" s="255" t="inlineStr">
        <is>
          <t>Subtotal</t>
        </is>
      </c>
      <c r="C31" s="129" t="n"/>
      <c r="D31" s="129" t="n"/>
      <c r="E31" s="129" t="n"/>
      <c r="F31" s="680">
        <f>SUM(F24:F30)</f>
        <v/>
      </c>
      <c r="G31" s="129" t="n"/>
      <c r="H31" s="127" t="n"/>
      <c r="I31" s="127" t="n"/>
      <c r="J31" s="127" t="n"/>
      <c r="K31" s="127" t="n"/>
      <c r="L31" s="127" t="n"/>
      <c r="M31" s="127" t="n"/>
      <c r="N31" s="127" t="n"/>
      <c r="O31" s="127" t="n"/>
      <c r="P31" s="127" t="n"/>
      <c r="Q31" s="127" t="n"/>
      <c r="R31" s="127" t="n"/>
      <c r="S31" s="127" t="n"/>
      <c r="T31" s="127" t="n"/>
      <c r="U31" s="127" t="n"/>
    </row>
    <row r="32" ht="17" customHeight="1" s="518">
      <c r="A32" s="127" t="n"/>
      <c r="B32" s="276" t="inlineStr">
        <is>
          <t>Multipliers</t>
        </is>
      </c>
      <c r="C32" s="277" t="n"/>
      <c r="D32" s="278" t="n"/>
      <c r="E32" s="278" t="n"/>
      <c r="F32" s="279" t="n"/>
      <c r="G32" s="277" t="n"/>
      <c r="H32" s="127" t="n"/>
      <c r="I32" s="127" t="n"/>
      <c r="J32" s="127" t="n"/>
      <c r="K32" s="127" t="n"/>
      <c r="L32" s="127" t="n"/>
      <c r="M32" s="127" t="n"/>
      <c r="N32" s="127" t="n"/>
      <c r="O32" s="127" t="n"/>
      <c r="P32" s="127" t="n"/>
      <c r="Q32" s="127" t="n"/>
      <c r="R32" s="127" t="n"/>
      <c r="S32" s="127" t="n"/>
      <c r="T32" s="127" t="n"/>
      <c r="U32" s="127" t="n"/>
    </row>
    <row r="33" ht="36" customHeight="1" s="518">
      <c r="A33" s="127" t="n"/>
      <c r="B33" s="250" t="inlineStr">
        <is>
          <t>Current Cost (de-trended to Appraisal Date)</t>
        </is>
      </c>
      <c r="C33" s="129" t="n"/>
      <c r="D33" s="681">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
      </c>
      <c r="E33" s="129" t="n"/>
      <c r="F33" s="129" t="n"/>
      <c r="G33" s="129" t="n"/>
      <c r="H33" s="127" t="n"/>
      <c r="I33" s="249" t="inlineStr">
        <is>
          <t>MVS Sec.99 p.3 Current Cost Multiplier (WESTERN region assumed for Colorado) divided by the Sec.98 Denver de-trend factor for the Appraisal Date -- see Step 3.</t>
        </is>
      </c>
      <c r="J33" s="127" t="n"/>
      <c r="K33" s="127" t="n"/>
      <c r="L33" s="127" t="n"/>
      <c r="M33" s="127" t="n"/>
      <c r="N33" s="127" t="n"/>
      <c r="O33" s="127" t="n"/>
      <c r="P33" s="127" t="n"/>
      <c r="Q33" s="127" t="n"/>
      <c r="R33" s="127" t="n"/>
      <c r="S33" s="127" t="n"/>
      <c r="T33" s="127" t="n"/>
      <c r="U33" s="127" t="n"/>
    </row>
    <row r="34" ht="13" customHeight="1" s="518">
      <c r="A34" s="127" t="n"/>
      <c r="B34" s="251" t="inlineStr">
        <is>
          <t>Local Area</t>
        </is>
      </c>
      <c r="C34" s="129" t="n"/>
      <c r="D34" s="681">
        <f>IFERROR(INDEX(LAM_VALUES,MATCH($C$8,LAM_CITY,0),MATCH("Class "&amp;IF($C$6="CMILL","C",IF($C$6="DPOLE","D",IF($C$6="A-B","B",$C$6))),LAM_CLASSHDR,0)),"")</f>
        <v/>
      </c>
      <c r="E34" s="129" t="n"/>
      <c r="F34" s="129" t="n"/>
      <c r="G34" s="129" t="n"/>
      <c r="H34" s="127" t="n"/>
      <c r="I34" s="249" t="inlineStr">
        <is>
          <t>MVS Sec.99 p.7 Local Area Multiplier.</t>
        </is>
      </c>
      <c r="J34" s="127" t="n"/>
      <c r="K34" s="127" t="n"/>
      <c r="L34" s="127" t="n"/>
      <c r="M34" s="127" t="n"/>
      <c r="N34" s="127" t="n"/>
      <c r="O34" s="127" t="n"/>
      <c r="P34" s="127" t="n"/>
      <c r="Q34" s="127" t="n"/>
      <c r="R34" s="127" t="n"/>
      <c r="S34" s="127" t="n"/>
      <c r="T34" s="127" t="n"/>
      <c r="U34" s="127" t="n"/>
    </row>
    <row r="35" ht="13" customHeight="1" s="518">
      <c r="A35" s="127" t="n"/>
      <c r="B35" s="248" t="inlineStr">
        <is>
          <t>Area/Perimeter Multiplier</t>
        </is>
      </c>
      <c r="C35" s="129" t="n"/>
      <c r="D35" s="681">
        <f>AVERAGE(C12:C13)</f>
        <v/>
      </c>
      <c r="E35" s="129" t="n"/>
      <c r="F35" s="129" t="n"/>
      <c r="G35" s="129" t="n"/>
      <c r="H35" s="127" t="n"/>
      <c r="I35" s="127" t="n"/>
      <c r="J35" s="127" t="n"/>
      <c r="K35" s="127" t="n"/>
      <c r="L35" s="127" t="n"/>
      <c r="M35" s="127" t="n"/>
      <c r="N35" s="127" t="n"/>
      <c r="O35" s="127" t="n"/>
      <c r="P35" s="127" t="n"/>
      <c r="Q35" s="127" t="n"/>
      <c r="R35" s="127" t="n"/>
      <c r="S35" s="127" t="n"/>
      <c r="T35" s="127" t="n"/>
      <c r="U35" s="127" t="n"/>
    </row>
    <row r="36" ht="13" customHeight="1" s="518">
      <c r="A36" s="127" t="n"/>
      <c r="B36" s="248" t="inlineStr">
        <is>
          <t>Story Height (Height entered in Step 2)</t>
        </is>
      </c>
      <c r="C36" s="129" t="n"/>
      <c r="D36" s="681">
        <f>IFERROR(INDEX(INDIRECT("SH"&amp;$C$9&amp;"_M"),MATCH($C$11,INDIRECT("SH"&amp;$C$9&amp;"_H"),1)),1)</f>
        <v/>
      </c>
      <c r="E36" s="129" t="n"/>
      <c r="F36" s="129" t="n"/>
      <c r="G36" s="129" t="n"/>
      <c r="H36" s="127" t="n"/>
      <c r="I36" s="127" t="inlineStr">
        <is>
          <t>Story-height multiplier auto-selected from the resolved MVS section (C9). Sections 12 &amp; 17 publish no table -- 1.000 used.</t>
        </is>
      </c>
      <c r="J36" s="127" t="n"/>
      <c r="K36" s="127" t="n"/>
      <c r="L36" s="127" t="n"/>
      <c r="M36" s="127" t="n"/>
      <c r="N36" s="127" t="n"/>
      <c r="O36" s="127" t="n"/>
      <c r="P36" s="127" t="n"/>
      <c r="Q36" s="127" t="n"/>
      <c r="R36" s="127" t="n"/>
      <c r="S36" s="127" t="n"/>
      <c r="T36" s="127" t="n"/>
      <c r="U36" s="127" t="n"/>
    </row>
    <row r="37" ht="13" customHeight="1" s="518">
      <c r="A37" s="127" t="n"/>
      <c r="B37" s="255" t="inlineStr">
        <is>
          <t>Product of Multipliers</t>
        </is>
      </c>
      <c r="C37" s="129" t="n"/>
      <c r="D37" s="129" t="n"/>
      <c r="E37" s="129" t="n"/>
      <c r="F37" s="682">
        <f>ROUND(PRODUCT(D33:D36),3)</f>
        <v/>
      </c>
      <c r="G37" s="129" t="n"/>
      <c r="H37" s="127" t="n"/>
      <c r="I37" s="127" t="n"/>
      <c r="J37" s="127" t="n"/>
      <c r="K37" s="127" t="n"/>
      <c r="L37" s="127" t="n"/>
      <c r="M37" s="127" t="n"/>
      <c r="N37" s="127" t="n"/>
      <c r="O37" s="127" t="n"/>
      <c r="P37" s="127" t="n"/>
      <c r="Q37" s="127" t="n"/>
      <c r="R37" s="127" t="n"/>
      <c r="S37" s="127" t="n"/>
      <c r="T37" s="127" t="n"/>
      <c r="U37" s="127" t="n"/>
    </row>
    <row r="38" ht="13" customHeight="1" s="518">
      <c r="A38" s="127" t="n"/>
      <c r="B38" s="254" t="inlineStr">
        <is>
          <t>Adjusted Base Building Cost</t>
        </is>
      </c>
      <c r="C38" s="129" t="n"/>
      <c r="D38" s="129" t="n"/>
      <c r="E38" s="129" t="n"/>
      <c r="F38" s="129" t="n"/>
      <c r="G38" s="680">
        <f>F37*F31</f>
        <v/>
      </c>
      <c r="H38" s="127" t="n"/>
      <c r="I38" s="127" t="n"/>
      <c r="J38" s="127" t="n"/>
      <c r="K38" s="127" t="n"/>
      <c r="L38" s="127" t="n"/>
      <c r="M38" s="127" t="n"/>
      <c r="N38" s="127" t="n"/>
      <c r="O38" s="127" t="n"/>
      <c r="P38" s="127" t="n"/>
      <c r="Q38" s="129" t="n"/>
      <c r="R38" s="129" t="n"/>
      <c r="S38" s="127" t="n"/>
      <c r="T38" s="127" t="n"/>
      <c r="U38" s="127" t="n"/>
    </row>
    <row r="39" ht="51" customHeight="1" s="518">
      <c r="A39" s="127" t="n"/>
      <c r="B39" s="276" t="inlineStr">
        <is>
          <t>Site Improvements (enter your own measured quantities in the Area column)</t>
        </is>
      </c>
      <c r="C39" s="277" t="n"/>
      <c r="D39" s="277" t="n"/>
      <c r="E39" s="277" t="n"/>
      <c r="F39" s="277" t="n"/>
      <c r="G39" s="277" t="n"/>
      <c r="H39" s="127" t="n"/>
      <c r="I39" s="127" t="n"/>
      <c r="J39" s="127" t="n"/>
      <c r="K39" s="127" t="n"/>
      <c r="L39" s="127" t="n"/>
      <c r="M39" s="127" t="n"/>
      <c r="N39" s="127" t="n"/>
      <c r="O39" s="127" t="n"/>
      <c r="P39" s="127" t="n"/>
      <c r="Q39" s="127" t="n"/>
      <c r="R39" s="127" t="n"/>
      <c r="S39" s="127" t="n"/>
      <c r="T39" s="127" t="n"/>
      <c r="U39" s="129" t="n"/>
    </row>
    <row r="40" ht="24" customHeight="1" s="518">
      <c r="A40" s="127" t="n"/>
      <c r="B40" s="256" t="inlineStr">
        <is>
          <t>Parking/Loading Areas (asphalt)</t>
        </is>
      </c>
      <c r="C40" s="215" t="n">
        <v>15000</v>
      </c>
      <c r="D40" s="683" t="n">
        <v>3.1</v>
      </c>
      <c r="E40" s="129" t="n"/>
      <c r="F40" s="679">
        <f>D40*C40</f>
        <v/>
      </c>
      <c r="G40" s="129" t="n"/>
      <c r="H40" s="127" t="n"/>
      <c r="I40" s="249" t="inlineStr">
        <is>
          <t>MVS Sec.66 p.1, 4-inch asphalt (large areas &gt;3,000 SF), average of low-high range. Enter your own measured SF in the Area column.</t>
        </is>
      </c>
      <c r="J40" s="127" t="n"/>
      <c r="K40" s="127" t="n"/>
      <c r="L40" s="127" t="n"/>
      <c r="M40" s="127" t="n"/>
      <c r="N40" s="127" t="n"/>
      <c r="O40" s="127" t="n"/>
      <c r="P40" s="127" t="n"/>
      <c r="Q40" s="127" t="n"/>
      <c r="R40" s="127" t="n"/>
      <c r="S40" s="127" t="n"/>
      <c r="T40" s="127" t="n"/>
      <c r="U40" s="129" t="n"/>
    </row>
    <row r="41" ht="24" customHeight="1" s="518">
      <c r="A41" s="127" t="n"/>
      <c r="B41" s="256" t="inlineStr">
        <is>
          <t>Striping (Per Space)</t>
        </is>
      </c>
      <c r="C41" s="215" t="n">
        <v>50</v>
      </c>
      <c r="D41" s="683" t="n">
        <v>20</v>
      </c>
      <c r="E41" s="129" t="n"/>
      <c r="F41" s="679">
        <f>D41*C41</f>
        <v/>
      </c>
      <c r="G41" s="129" t="n"/>
      <c r="H41" s="127" t="n"/>
      <c r="I41" s="249" t="inlineStr">
        <is>
          <t>Market-derived; no dedicated MVS table. Enter number of striped spaces in the Area column.</t>
        </is>
      </c>
      <c r="J41" s="127" t="n"/>
      <c r="K41" s="127" t="n"/>
      <c r="L41" s="127" t="n"/>
      <c r="M41" s="127" t="n"/>
      <c r="N41" s="127" t="n"/>
      <c r="O41" s="127" t="n"/>
      <c r="P41" s="127" t="n"/>
      <c r="Q41" s="127" t="n"/>
      <c r="R41" s="127" t="n"/>
      <c r="S41" s="127" t="n"/>
      <c r="T41" s="127" t="n"/>
      <c r="U41" s="129" t="n"/>
    </row>
    <row r="42" ht="24" customHeight="1" s="518">
      <c r="A42" s="127" t="n"/>
      <c r="B42" s="256" t="inlineStr">
        <is>
          <t>Paving (concrete)</t>
        </is>
      </c>
      <c r="C42" s="215" t="n">
        <v>50000</v>
      </c>
      <c r="D42" s="683" t="n">
        <v>5.51</v>
      </c>
      <c r="E42" s="129" t="n"/>
      <c r="F42" s="679">
        <f>D42*C42</f>
        <v/>
      </c>
      <c r="G42" s="129" t="n"/>
      <c r="H42" s="127" t="n"/>
      <c r="I42" s="249" t="inlineStr">
        <is>
          <t>MVS Sec.66 p.1, 6-inch concrete (large areas &gt;3,000 SF), average of low-high range.</t>
        </is>
      </c>
      <c r="J42" s="127" t="n"/>
      <c r="K42" s="127" t="n"/>
      <c r="L42" s="127" t="n"/>
      <c r="M42" s="127" t="n"/>
      <c r="N42" s="127" t="n"/>
      <c r="O42" s="127" t="n"/>
      <c r="P42" s="127" t="n"/>
      <c r="Q42" s="127" t="n"/>
      <c r="R42" s="127" t="n"/>
      <c r="S42" s="127" t="n"/>
      <c r="T42" s="127" t="n"/>
      <c r="U42" s="129" t="n"/>
    </row>
    <row r="43" ht="13" customHeight="1" s="518">
      <c r="A43" s="127" t="n"/>
      <c r="B43" s="250" t="inlineStr">
        <is>
          <t>Other1</t>
        </is>
      </c>
      <c r="C43" s="215" t="n"/>
      <c r="D43" s="683" t="n"/>
      <c r="E43" s="129" t="n"/>
      <c r="F43" s="679">
        <f>D43*C43</f>
        <v/>
      </c>
      <c r="G43" s="129" t="n"/>
      <c r="H43" s="127" t="n"/>
      <c r="I43" s="127" t="n"/>
      <c r="J43" s="127" t="n"/>
      <c r="K43" s="127" t="n"/>
      <c r="L43" s="127" t="n"/>
      <c r="M43" s="127" t="n"/>
      <c r="N43" s="127" t="n"/>
      <c r="O43" s="127" t="n"/>
      <c r="P43" s="127" t="n"/>
      <c r="Q43" s="127" t="n"/>
      <c r="R43" s="127" t="n"/>
      <c r="S43" s="127" t="n"/>
      <c r="T43" s="127" t="n"/>
      <c r="U43" s="129" t="n"/>
    </row>
    <row r="44" ht="13" customHeight="1" s="518">
      <c r="A44" s="127" t="n"/>
      <c r="B44" s="250" t="inlineStr">
        <is>
          <t>Other2</t>
        </is>
      </c>
      <c r="C44" s="215" t="n"/>
      <c r="D44" s="683" t="n"/>
      <c r="E44" s="129" t="n"/>
      <c r="F44" s="679">
        <f>D44*C44</f>
        <v/>
      </c>
      <c r="G44" s="129" t="n"/>
      <c r="H44" s="127" t="n"/>
      <c r="I44" s="127" t="n"/>
      <c r="J44" s="127" t="n"/>
      <c r="K44" s="127" t="n"/>
      <c r="L44" s="127" t="n"/>
      <c r="M44" s="127" t="n"/>
      <c r="N44" s="127" t="n"/>
      <c r="O44" s="127" t="n"/>
      <c r="P44" s="127" t="n"/>
      <c r="Q44" s="127" t="n"/>
      <c r="R44" s="127" t="n"/>
      <c r="S44" s="127" t="n"/>
      <c r="T44" s="127" t="n"/>
      <c r="U44" s="127" t="n"/>
    </row>
    <row r="45" ht="24" customHeight="1" s="518">
      <c r="A45" s="127" t="n"/>
      <c r="B45" s="250" t="inlineStr">
        <is>
          <t>Landscaping, Lighting, Other Site Improvements</t>
        </is>
      </c>
      <c r="C45" s="215" t="n"/>
      <c r="D45" s="683" t="n">
        <v>5.5</v>
      </c>
      <c r="E45" s="129" t="n"/>
      <c r="F45" s="679">
        <f>D45*C45</f>
        <v/>
      </c>
      <c r="G45" s="129" t="n"/>
      <c r="H45" s="127" t="n"/>
      <c r="I45" s="249" t="inlineStr">
        <is>
          <t>MVS Sec.66 landscaping / market estimate. Enter your own measured lot SF in the Area column.</t>
        </is>
      </c>
      <c r="J45" s="127" t="n"/>
      <c r="K45" s="127" t="n"/>
      <c r="L45" s="127" t="n"/>
      <c r="M45" s="127" t="n"/>
      <c r="N45" s="127" t="n"/>
      <c r="O45" s="127" t="n"/>
      <c r="P45" s="127" t="n"/>
      <c r="Q45" s="127" t="n"/>
      <c r="R45" s="127" t="n"/>
      <c r="S45" s="127" t="n"/>
      <c r="T45" s="127" t="n"/>
      <c r="U45" s="127" t="n"/>
    </row>
    <row r="46" ht="13" customHeight="1" s="518">
      <c r="A46" s="127" t="n"/>
      <c r="B46" s="257" t="inlineStr">
        <is>
          <t>Total Site Improvements</t>
        </is>
      </c>
      <c r="C46" s="129" t="n"/>
      <c r="D46" s="129" t="n"/>
      <c r="E46" s="129" t="n"/>
      <c r="F46" s="129" t="n"/>
      <c r="G46" s="680">
        <f>SUM(F40:F45)</f>
        <v/>
      </c>
      <c r="H46" s="127" t="n"/>
      <c r="I46" s="127" t="n"/>
      <c r="J46" s="127" t="n"/>
      <c r="K46" s="127" t="n"/>
      <c r="L46" s="127" t="n"/>
      <c r="M46" s="127" t="n"/>
      <c r="N46" s="127" t="n"/>
      <c r="O46" s="127" t="n"/>
      <c r="P46" s="127" t="n"/>
      <c r="Q46" s="127" t="n"/>
      <c r="R46" s="127" t="n"/>
      <c r="S46" s="127" t="n"/>
      <c r="T46" s="127" t="n"/>
      <c r="U46" s="127" t="n"/>
    </row>
    <row r="47" ht="13" customHeight="1" s="518">
      <c r="A47" s="127" t="n"/>
      <c r="B47" s="254" t="inlineStr">
        <is>
          <t>Total Construction Costs</t>
        </is>
      </c>
      <c r="C47" s="129" t="n"/>
      <c r="D47" s="129" t="n"/>
      <c r="E47" s="129" t="n"/>
      <c r="F47" s="129" t="n"/>
      <c r="G47" s="680">
        <f>SUM(G38:G46)</f>
        <v/>
      </c>
      <c r="H47" s="127" t="n"/>
      <c r="I47" s="127" t="n"/>
      <c r="J47" s="127" t="n"/>
      <c r="K47" s="127" t="n"/>
      <c r="L47" s="127" t="n"/>
      <c r="M47" s="127" t="n"/>
      <c r="N47" s="127" t="n"/>
      <c r="O47" s="127" t="n"/>
      <c r="P47" s="127" t="n"/>
      <c r="Q47" s="127" t="n"/>
      <c r="R47" s="127" t="n"/>
      <c r="S47" s="127" t="n"/>
      <c r="T47" s="127" t="n"/>
      <c r="U47" s="127" t="n"/>
    </row>
    <row r="48" ht="24" customHeight="1" s="518">
      <c r="A48" s="127" t="n"/>
      <c r="B48" s="250" t="inlineStr">
        <is>
          <t>Plus Other Indirect Costs (% of Direct Costs)</t>
        </is>
      </c>
      <c r="C48" s="684" t="n">
        <v>0.1</v>
      </c>
      <c r="D48" s="129" t="n"/>
      <c r="E48" s="129" t="n"/>
      <c r="F48" s="129" t="n"/>
      <c r="G48" s="679">
        <f>G47*(C48)</f>
        <v/>
      </c>
      <c r="H48" s="127" t="n"/>
      <c r="I48" s="249" t="inlineStr">
        <is>
          <t>Financing, permits, professional fees, insurance during construction. Typical 8-15%.</t>
        </is>
      </c>
      <c r="J48" s="127" t="n"/>
      <c r="K48" s="127" t="n"/>
      <c r="L48" s="127" t="n"/>
      <c r="M48" s="127" t="n"/>
      <c r="N48" s="127" t="n"/>
      <c r="O48" s="127" t="n"/>
      <c r="P48" s="127" t="n"/>
      <c r="Q48" s="127" t="n"/>
      <c r="R48" s="127" t="n"/>
      <c r="S48" s="127" t="n"/>
      <c r="T48" s="127" t="n"/>
      <c r="U48" s="127" t="n"/>
    </row>
    <row r="49" ht="13" customHeight="1" s="518">
      <c r="A49" s="127" t="n"/>
      <c r="B49" s="257" t="inlineStr">
        <is>
          <t>Subtotal Replacement Cost New (RCN)</t>
        </is>
      </c>
      <c r="C49" s="129" t="n"/>
      <c r="D49" s="129" t="n"/>
      <c r="E49" s="129" t="n"/>
      <c r="F49" s="129" t="n"/>
      <c r="G49" s="680">
        <f>SUM(G47:G48)</f>
        <v/>
      </c>
      <c r="H49" s="127" t="n"/>
      <c r="I49" s="127" t="n"/>
      <c r="J49" s="127" t="n"/>
      <c r="K49" s="127" t="n"/>
      <c r="L49" s="127" t="n"/>
      <c r="M49" s="127" t="n"/>
      <c r="N49" s="127" t="n"/>
      <c r="O49" s="127" t="n"/>
      <c r="P49" s="127" t="n"/>
      <c r="Q49" s="127" t="n"/>
      <c r="R49" s="127" t="n"/>
      <c r="S49" s="127" t="n"/>
      <c r="T49" s="127" t="n"/>
      <c r="U49" s="127" t="n"/>
    </row>
    <row r="50" ht="13" customHeight="1" s="518">
      <c r="A50" s="127" t="n"/>
      <c r="B50" s="248" t="inlineStr">
        <is>
          <t>Plus Entrepreneurial Profit (% of RCN)</t>
        </is>
      </c>
      <c r="C50" s="684" t="n">
        <v>0.15</v>
      </c>
      <c r="D50" s="129" t="n"/>
      <c r="E50" s="129" t="n"/>
      <c r="F50" s="129" t="n"/>
      <c r="G50" s="679">
        <f>G49*C50</f>
        <v/>
      </c>
      <c r="H50" s="127" t="n"/>
      <c r="I50" s="249" t="inlineStr">
        <is>
          <t>Developer expected return above cost. Typical 10-20%.</t>
        </is>
      </c>
      <c r="J50" s="127" t="n"/>
      <c r="K50" s="127" t="n"/>
      <c r="L50" s="127" t="n"/>
      <c r="M50" s="127" t="n"/>
      <c r="N50" s="127" t="n"/>
      <c r="O50" s="127" t="n"/>
      <c r="P50" s="127" t="n"/>
      <c r="Q50" s="127" t="n"/>
      <c r="R50" s="127" t="n"/>
      <c r="S50" s="127" t="n"/>
      <c r="T50" s="127" t="n"/>
      <c r="U50" s="127" t="n"/>
    </row>
    <row r="51" ht="17" customHeight="1" s="518">
      <c r="A51" s="127" t="n"/>
      <c r="B51" s="258" t="inlineStr">
        <is>
          <t>Total Replacement Cost New (RCN)</t>
        </is>
      </c>
      <c r="C51" s="129" t="n"/>
      <c r="D51" s="129" t="n"/>
      <c r="E51" s="129" t="n"/>
      <c r="F51" s="129" t="n"/>
      <c r="G51" s="685">
        <f>SUM(G49:G50)</f>
        <v/>
      </c>
      <c r="H51" s="127" t="n"/>
      <c r="I51" s="127" t="n"/>
      <c r="J51" s="127" t="n"/>
      <c r="K51" s="127" t="n"/>
      <c r="L51" s="127" t="n"/>
      <c r="M51" s="127" t="n"/>
      <c r="N51" s="127" t="n"/>
      <c r="O51" s="127" t="n"/>
      <c r="P51" s="127" t="n"/>
      <c r="Q51" s="127" t="n"/>
      <c r="R51" s="127" t="n"/>
      <c r="S51" s="127" t="n"/>
      <c r="T51" s="127" t="n"/>
      <c r="U51" s="127" t="n"/>
    </row>
    <row r="52" ht="13" customHeight="1" s="518">
      <c r="A52" s="127" t="n"/>
      <c r="B52" s="259" t="inlineStr">
        <is>
          <t>per square foot of gross building area</t>
        </is>
      </c>
      <c r="C52" s="136" t="n"/>
      <c r="D52" s="129" t="n"/>
      <c r="E52" s="129" t="n"/>
      <c r="F52" s="129" t="n"/>
      <c r="G52" s="686">
        <f>IFERROR(caRCN/C24,"")</f>
        <v/>
      </c>
      <c r="H52" s="127" t="n"/>
      <c r="I52" s="127" t="n"/>
      <c r="J52" s="127" t="n"/>
      <c r="K52" s="127" t="n"/>
      <c r="L52" s="127" t="n"/>
      <c r="M52" s="127" t="n"/>
      <c r="N52" s="127" t="n"/>
      <c r="O52" s="127" t="n"/>
      <c r="P52" s="127" t="n"/>
      <c r="Q52" s="127" t="n"/>
      <c r="R52" s="127" t="n"/>
      <c r="S52" s="127" t="n"/>
      <c r="T52" s="127" t="n"/>
      <c r="U52" s="127" t="n"/>
    </row>
    <row r="53">
      <c r="A53" s="127" t="n"/>
      <c r="B53" s="131" t="n"/>
      <c r="C53" s="129" t="n"/>
      <c r="D53" s="129" t="n"/>
      <c r="E53" s="129" t="n"/>
      <c r="F53" s="129" t="n"/>
      <c r="G53" s="129" t="n"/>
      <c r="H53" s="127" t="n"/>
      <c r="I53" s="127" t="n"/>
      <c r="J53" s="127" t="n"/>
      <c r="K53" s="127" t="n"/>
      <c r="L53" s="127" t="n"/>
      <c r="M53" s="127" t="n"/>
      <c r="N53" s="127" t="n"/>
      <c r="O53" s="127" t="n"/>
      <c r="P53" s="127" t="n"/>
      <c r="Q53" s="127" t="n"/>
      <c r="R53" s="127" t="n"/>
      <c r="S53" s="127" t="n"/>
      <c r="T53" s="127" t="n"/>
      <c r="U53" s="127" t="n"/>
    </row>
    <row r="54" ht="17" customHeight="1" s="518">
      <c r="A54" s="127" t="n"/>
      <c r="B54" s="280" t="inlineStr">
        <is>
          <t>Less Accrued Depreciation</t>
        </is>
      </c>
      <c r="C54" s="277" t="n"/>
      <c r="D54" s="277" t="n"/>
      <c r="E54" s="277" t="n"/>
      <c r="F54" s="277" t="n"/>
      <c r="G54" s="277" t="n"/>
      <c r="H54" s="127" t="n"/>
      <c r="I54" s="127" t="n"/>
      <c r="J54" s="127" t="n"/>
      <c r="K54" s="127" t="n"/>
      <c r="L54" s="127" t="n"/>
      <c r="M54" s="127" t="n"/>
      <c r="N54" s="127" t="n"/>
      <c r="O54" s="127" t="n"/>
      <c r="P54" s="127" t="n"/>
      <c r="Q54" s="127" t="n"/>
      <c r="R54" s="127" t="n"/>
      <c r="S54" s="127" t="n"/>
      <c r="T54" s="127" t="n"/>
      <c r="U54" s="127" t="n"/>
    </row>
    <row r="55" ht="13" customHeight="1" s="518">
      <c r="A55" s="127" t="n"/>
      <c r="B55" s="257" t="inlineStr">
        <is>
          <t>Physical</t>
        </is>
      </c>
      <c r="C55" s="137" t="n"/>
      <c r="D55" s="137" t="n"/>
      <c r="E55" s="130" t="n"/>
      <c r="F55" s="130" t="n"/>
      <c r="G55" s="130" t="n"/>
      <c r="H55" s="127" t="n"/>
      <c r="I55" s="127" t="n"/>
      <c r="J55" s="127" t="n"/>
      <c r="K55" s="127" t="n"/>
      <c r="L55" s="127" t="n"/>
      <c r="M55" s="127" t="n"/>
      <c r="N55" s="127" t="n"/>
      <c r="O55" s="127" t="n"/>
      <c r="P55" s="127" t="n"/>
      <c r="Q55" s="133" t="n"/>
      <c r="R55" s="127" t="n"/>
      <c r="S55" s="127" t="n"/>
      <c r="T55" s="127" t="n"/>
      <c r="U55" s="127" t="n"/>
    </row>
    <row r="56" ht="13" customHeight="1" s="518">
      <c r="A56" s="127" t="n"/>
      <c r="B56" s="248" t="inlineStr">
        <is>
          <t>Curable (Deferred Maintenance)</t>
        </is>
      </c>
      <c r="C56" s="137" t="n"/>
      <c r="D56" s="128" t="n"/>
      <c r="E56" s="130" t="n"/>
      <c r="F56" s="687" t="n">
        <v>0</v>
      </c>
      <c r="G56" s="129" t="n"/>
      <c r="H56" s="127" t="n"/>
      <c r="I56" s="249" t="inlineStr">
        <is>
          <t>Dollar cost to cure deferred items (roof, HVAC, etc). 0 = none.</t>
        </is>
      </c>
      <c r="J56" s="127" t="n"/>
      <c r="K56" s="127" t="n"/>
      <c r="L56" s="127" t="n"/>
      <c r="M56" s="127" t="n"/>
      <c r="N56" s="127" t="n"/>
      <c r="O56" s="127" t="n"/>
      <c r="P56" s="127" t="n"/>
      <c r="Q56" s="130" t="n"/>
      <c r="R56" s="130" t="n"/>
      <c r="S56" s="130" t="n"/>
      <c r="T56" s="127" t="n"/>
      <c r="U56" s="127" t="n"/>
    </row>
    <row r="57" ht="13" customHeight="1" s="518">
      <c r="A57" s="127" t="n"/>
      <c r="B57" s="257" t="inlineStr">
        <is>
          <t>Incurable</t>
        </is>
      </c>
      <c r="C57" s="137" t="n"/>
      <c r="D57" s="137" t="n"/>
      <c r="E57" s="130" t="n"/>
      <c r="F57" s="127" t="n"/>
      <c r="G57" s="127" t="n"/>
      <c r="H57" s="127" t="n"/>
      <c r="I57" s="127" t="n"/>
      <c r="J57" s="127" t="n"/>
      <c r="K57" s="127" t="n"/>
      <c r="L57" s="127" t="n"/>
      <c r="M57" s="127" t="n"/>
      <c r="N57" s="127" t="n"/>
      <c r="O57" s="127" t="n"/>
      <c r="P57" s="127" t="n"/>
      <c r="Q57" s="127" t="n"/>
      <c r="R57" s="127" t="n"/>
      <c r="S57" s="127" t="n"/>
      <c r="T57" s="127" t="n"/>
      <c r="U57" s="127" t="n"/>
    </row>
    <row r="58" ht="24" customHeight="1" s="518">
      <c r="A58" s="127" t="n"/>
      <c r="B58" s="248" t="inlineStr">
        <is>
          <t>Effective Age (Years)</t>
        </is>
      </c>
      <c r="C58" s="206">
        <f>IFERROR(Subj_Age,0)</f>
        <v/>
      </c>
      <c r="D58" s="127" t="n"/>
      <c r="E58" s="127" t="n"/>
      <c r="F58" s="127" t="n"/>
      <c r="G58" s="127" t="n"/>
      <c r="H58" s="127" t="n"/>
      <c r="I58" s="249" t="inlineStr">
        <is>
          <t>Per MVS Sec.97: true age adjusted for modernization/condition, not necessarily chronological age. Judgment call from inspection.</t>
        </is>
      </c>
      <c r="J58" s="127" t="n"/>
      <c r="K58" s="127" t="n"/>
      <c r="L58" s="127" t="n"/>
      <c r="M58" s="127" t="n"/>
      <c r="N58" s="127" t="n"/>
      <c r="O58" s="127" t="n"/>
      <c r="P58" s="127" t="n"/>
      <c r="Q58" s="127" t="n"/>
      <c r="R58" s="127" t="n"/>
      <c r="S58" s="127" t="n"/>
      <c r="T58" s="127" t="n"/>
      <c r="U58" s="127" t="n"/>
    </row>
    <row r="59" ht="24" customHeight="1" s="518">
      <c r="A59" s="127" t="n"/>
      <c r="B59" s="248" t="inlineStr">
        <is>
          <t>Typical Life Expectancy (MVS Sec.97, auto)</t>
        </is>
      </c>
      <c r="C59" s="214">
        <f>IF($C$82&gt;0,$C$82,IFERROR(INDEX(LIFE_VALUES,MATCH($C$4&amp;"|"&amp;$C$7,LIFE_KEY,0),MATCH("Class "&amp;IF($C$6="CMILL","C",IF(OR($C$6="DPOLE",$C$6="DMASVEN",$C$6="CDS"),"D",IF($C$6="A-B","B",IF($C$6="SSLANT","S",$C$6)))),LIFE_CLASSHDR,0)),0))</f>
        <v/>
      </c>
      <c r="D59" s="127" t="n"/>
      <c r="E59" s="127" t="n"/>
      <c r="F59" s="127" t="n"/>
      <c r="G59" s="127" t="n"/>
      <c r="H59" s="127" t="n"/>
      <c r="I59" s="249" t="inlineStr">
        <is>
          <t>MVS Sec.97 pp.10-16, by occupancy/quality/class (full table on M&amp;S Inputs). Override in C82 if needed.</t>
        </is>
      </c>
      <c r="J59" s="127" t="n"/>
      <c r="K59" s="133" t="n"/>
      <c r="L59" s="127" t="n"/>
      <c r="M59" s="127" t="n"/>
      <c r="N59" s="127" t="n"/>
      <c r="O59" s="127" t="n"/>
      <c r="P59" s="133" t="n"/>
      <c r="Q59" s="127" t="n"/>
      <c r="R59" s="127" t="n"/>
      <c r="S59" s="127" t="n"/>
      <c r="T59" s="127" t="n"/>
      <c r="U59" s="127" t="n"/>
    </row>
    <row r="60" ht="36" customHeight="1" s="518">
      <c r="A60" s="127" t="n"/>
      <c r="B60" s="248" t="inlineStr">
        <is>
          <t>Total Incurable Physical Depreciation (MVS Sec.97 percent-good curve)</t>
        </is>
      </c>
      <c r="C60" s="688">
        <f>IF($C$59=0,0,IFERROR(IF(IFERROR(INDEX(OCC_DEPR,MATCH($C$4,OCC_NAME,0)),"C")="R",INDEX(DEPRR_VALUES,MATCH($C$58,DEPRR_AGE,1),MATCH($C$59,DEPRR_LIFEHDR,0)),INDEX(DEPR_VALUES,MATCH($C$58,DEPR_AGE,1),MATCH($C$59,DEPR_LIFEHDR,0)))/100,"n/a -- age exceeds tabulated range; treat as fully depreciated per Sec.97 salvage guidance"))</f>
        <v/>
      </c>
      <c r="D60" s="127" t="n"/>
      <c r="E60" s="127" t="n"/>
      <c r="F60" s="689">
        <f>G51*C60</f>
        <v/>
      </c>
      <c r="G60" s="127" t="n"/>
      <c r="H60" s="127" t="n"/>
      <c r="I60" s="249" t="inlineStr">
        <is>
          <t>MVS Sec.97 percent-good: Commercial (p.24) or Residential (p.25) table auto-selected per MVS's Properties Included key (Reference 4 on M&amp;S Inputs).</t>
        </is>
      </c>
      <c r="J60" s="127" t="n"/>
      <c r="K60" s="127" t="n"/>
      <c r="L60" s="130" t="n"/>
      <c r="M60" s="130" t="n"/>
      <c r="N60" s="130" t="n"/>
      <c r="O60" s="130" t="n"/>
      <c r="P60" s="130" t="n"/>
      <c r="Q60" s="127" t="n"/>
      <c r="R60" s="127" t="n"/>
      <c r="S60" s="127" t="n"/>
      <c r="T60" s="127" t="n"/>
      <c r="U60" s="127" t="n"/>
    </row>
    <row r="61" ht="24" customHeight="1" s="518">
      <c r="A61" s="127" t="n"/>
      <c r="B61" s="248" t="inlineStr">
        <is>
          <t>Functional Obsolescence</t>
        </is>
      </c>
      <c r="C61" s="690" t="n">
        <v>0.1</v>
      </c>
      <c r="D61" s="127" t="n"/>
      <c r="E61" s="127" t="n"/>
      <c r="F61" s="689">
        <f>C61*caRCN</f>
        <v/>
      </c>
      <c r="G61" s="127" t="n"/>
      <c r="H61" s="127" t="n"/>
      <c r="I61" s="249" t="inlineStr">
        <is>
          <t>Loss from design deficiencies (excess bays, substandard ceiling height, etc). 0 = none.</t>
        </is>
      </c>
      <c r="J61" s="127" t="n"/>
      <c r="K61" s="127" t="n"/>
      <c r="L61" s="130" t="n"/>
      <c r="M61" s="130" t="n"/>
      <c r="N61" s="130" t="n"/>
      <c r="O61" s="130" t="n"/>
      <c r="P61" s="130" t="n"/>
      <c r="Q61" s="127" t="n"/>
      <c r="R61" s="127" t="n"/>
      <c r="S61" s="127" t="n"/>
      <c r="T61" s="127" t="n"/>
      <c r="U61" s="127" t="n"/>
    </row>
    <row r="62" ht="13" customHeight="1" s="518">
      <c r="A62" s="127" t="n"/>
      <c r="B62" s="248" t="inlineStr">
        <is>
          <t>External Obsolescence</t>
        </is>
      </c>
      <c r="C62" s="690" t="n">
        <v>0</v>
      </c>
      <c r="D62" s="127" t="n"/>
      <c r="E62" s="127" t="n"/>
      <c r="F62" s="689">
        <f>C62*caRCN</f>
        <v/>
      </c>
      <c r="G62" s="127" t="n"/>
      <c r="H62" s="127" t="n"/>
      <c r="I62" s="249" t="inlineStr">
        <is>
          <t>Loss from external/locational/market factors. 0 = none.</t>
        </is>
      </c>
      <c r="J62" s="127" t="n"/>
      <c r="K62" s="127" t="n"/>
      <c r="L62" s="130" t="n"/>
      <c r="M62" s="130" t="n"/>
      <c r="N62" s="130" t="n"/>
      <c r="O62" s="130" t="n"/>
      <c r="P62" s="130" t="n"/>
      <c r="Q62" s="127" t="n"/>
      <c r="R62" s="127" t="n"/>
      <c r="S62" s="127" t="n"/>
      <c r="T62" s="127" t="n"/>
      <c r="U62" s="127" t="n"/>
    </row>
    <row r="63" ht="13" customHeight="1" s="518">
      <c r="A63" s="127" t="n"/>
      <c r="B63" s="257" t="inlineStr">
        <is>
          <t>Total</t>
        </is>
      </c>
      <c r="C63" s="691">
        <f>IFERROR(G63/caRCN,"")</f>
        <v/>
      </c>
      <c r="D63" s="127" t="n"/>
      <c r="E63" s="127" t="n"/>
      <c r="F63" s="127" t="n"/>
      <c r="G63" s="692">
        <f>SUM(F56:F62)</f>
        <v/>
      </c>
      <c r="H63" s="127" t="n"/>
      <c r="I63" s="127" t="n"/>
      <c r="J63" s="127" t="n"/>
      <c r="K63" s="129" t="n"/>
      <c r="L63" s="130" t="n"/>
      <c r="M63" s="130" t="n"/>
      <c r="N63" s="130" t="n"/>
      <c r="O63" s="130" t="n"/>
      <c r="P63" s="130" t="n"/>
      <c r="Q63" s="127" t="n"/>
      <c r="R63" s="127" t="n"/>
      <c r="S63" s="127" t="n"/>
      <c r="T63" s="127" t="n"/>
      <c r="U63" s="127" t="n"/>
    </row>
    <row r="64" ht="38" customHeight="1" s="518">
      <c r="A64" s="127" t="n"/>
      <c r="B64" s="260" t="inlineStr">
        <is>
          <t>Depreciated Value of the Improvements</t>
        </is>
      </c>
      <c r="C64" s="127" t="n"/>
      <c r="D64" s="127" t="n"/>
      <c r="E64" s="127" t="n"/>
      <c r="F64" s="127" t="n"/>
      <c r="G64" s="693">
        <f>caRCN-G63</f>
        <v/>
      </c>
      <c r="H64" s="127" t="n"/>
      <c r="I64" s="127" t="n"/>
      <c r="J64" s="127" t="n"/>
      <c r="K64" s="129" t="n"/>
      <c r="L64" s="130" t="n"/>
      <c r="M64" s="130" t="n"/>
      <c r="N64" s="130" t="n"/>
      <c r="O64" s="130" t="n"/>
      <c r="P64" s="130" t="n"/>
      <c r="Q64" s="127" t="n"/>
      <c r="R64" s="127" t="n"/>
      <c r="S64" s="127" t="n"/>
      <c r="T64" s="127" t="n"/>
      <c r="U64" s="127" t="n"/>
    </row>
    <row r="65" ht="13" customHeight="1" s="518">
      <c r="A65" s="127" t="n"/>
      <c r="B65" s="248" t="inlineStr">
        <is>
          <t>per square foot of gross building area</t>
        </is>
      </c>
      <c r="C65" s="127" t="n"/>
      <c r="D65" s="127" t="n"/>
      <c r="E65" s="127" t="n"/>
      <c r="F65" s="127" t="n"/>
      <c r="G65" s="686">
        <f>IFERROR(caRCNDeprec/C24,"")</f>
        <v/>
      </c>
      <c r="H65" s="127" t="n"/>
      <c r="I65" s="127" t="n"/>
      <c r="J65" s="127" t="n"/>
      <c r="K65" s="127" t="n"/>
      <c r="L65" s="127" t="n"/>
      <c r="M65" s="127" t="n"/>
      <c r="N65" s="127" t="n"/>
      <c r="O65" s="127" t="n"/>
      <c r="P65" s="127" t="n"/>
      <c r="Q65" s="127" t="n"/>
      <c r="R65" s="127" t="n"/>
      <c r="S65" s="127" t="n"/>
      <c r="T65" s="127" t="n"/>
      <c r="U65" s="127" t="n"/>
    </row>
    <row r="66">
      <c r="A66" s="127" t="n"/>
      <c r="B66" s="133" t="n"/>
      <c r="C66" s="127" t="n"/>
      <c r="D66" s="127" t="n"/>
      <c r="E66" s="127" t="n"/>
      <c r="F66" s="127" t="n"/>
      <c r="G66" s="127" t="n"/>
      <c r="H66" s="127" t="n"/>
      <c r="I66" s="127" t="n"/>
      <c r="J66" s="127" t="n"/>
      <c r="K66" s="127" t="n"/>
      <c r="L66" s="127" t="n"/>
      <c r="M66" s="127" t="n"/>
      <c r="N66" s="127" t="n"/>
      <c r="O66" s="127" t="n"/>
      <c r="P66" s="127" t="n"/>
      <c r="Q66" s="127" t="n"/>
      <c r="R66" s="127" t="n"/>
      <c r="S66" s="127" t="n"/>
      <c r="T66" s="127" t="n"/>
      <c r="U66" s="127" t="n"/>
    </row>
    <row r="67" ht="24" customHeight="1" s="518">
      <c r="A67" s="127" t="n"/>
      <c r="B67" s="248" t="inlineStr">
        <is>
          <t>Plus Land Value</t>
        </is>
      </c>
      <c r="C67" s="130" t="n"/>
      <c r="D67" s="130" t="n"/>
      <c r="E67" s="130" t="n"/>
      <c r="F67" s="130" t="n"/>
      <c r="G67" s="694" t="n">
        <v>750000</v>
      </c>
      <c r="H67" s="127" t="n"/>
      <c r="I67" s="249" t="inlineStr">
        <is>
          <t>Enter the concluded land value directly (e.g. from a land sales comp on the Sales tab). No Land Sales analysis tab exists in this workbook.</t>
        </is>
      </c>
      <c r="J67" s="127" t="n"/>
      <c r="K67" s="127" t="n"/>
      <c r="L67" s="127" t="n"/>
      <c r="M67" s="127" t="n"/>
      <c r="N67" s="127" t="n"/>
      <c r="O67" s="127" t="n"/>
      <c r="P67" s="127" t="n"/>
      <c r="Q67" s="127" t="n"/>
      <c r="R67" s="127" t="n"/>
      <c r="S67" s="127" t="n"/>
      <c r="T67" s="127" t="n"/>
      <c r="U67" s="127" t="n"/>
    </row>
    <row r="68">
      <c r="A68" s="127" t="n"/>
      <c r="B68" s="131" t="n"/>
      <c r="C68" s="129" t="n"/>
      <c r="D68" s="129" t="n"/>
      <c r="E68" s="129" t="n"/>
      <c r="F68" s="129" t="n"/>
      <c r="G68" s="129" t="n"/>
      <c r="H68" s="127" t="n"/>
      <c r="I68" s="127" t="n"/>
      <c r="J68" s="127" t="n"/>
      <c r="K68" s="127" t="n"/>
      <c r="L68" s="127" t="n"/>
      <c r="M68" s="127" t="n"/>
      <c r="N68" s="127" t="n"/>
      <c r="O68" s="127" t="n"/>
      <c r="P68" s="127" t="n"/>
      <c r="Q68" s="127" t="n"/>
      <c r="R68" s="127" t="n"/>
      <c r="S68" s="127" t="n"/>
      <c r="T68" s="127" t="n"/>
      <c r="U68" s="127" t="n"/>
    </row>
    <row r="69" ht="38" customHeight="1" s="518">
      <c r="A69" s="127" t="n"/>
      <c r="B69" s="261" t="inlineStr">
        <is>
          <t>Indicated Value by Cost Approach</t>
        </is>
      </c>
      <c r="C69" s="138" t="n"/>
      <c r="D69" s="129" t="n"/>
      <c r="E69" s="129" t="n"/>
      <c r="F69" s="129" t="n"/>
      <c r="G69" s="695">
        <f>IF(Subj_NumBldgs&gt;1,'Cost Approach MB'!C29,G64+G67)</f>
        <v/>
      </c>
      <c r="H69" s="127" t="n"/>
      <c r="I69" s="127" t="n"/>
      <c r="J69" s="127" t="n"/>
      <c r="K69" s="127" t="n"/>
      <c r="L69" s="127" t="n"/>
      <c r="M69" s="127" t="n"/>
      <c r="N69" s="127" t="n"/>
      <c r="O69" s="127" t="n"/>
      <c r="P69" s="127" t="n"/>
      <c r="Q69" s="127" t="n"/>
      <c r="R69" s="127" t="n"/>
      <c r="S69" s="127" t="n"/>
      <c r="T69" s="127" t="n"/>
      <c r="U69" s="127" t="n"/>
    </row>
    <row r="70" ht="24" customHeight="1" s="518">
      <c r="A70" s="127" t="n"/>
      <c r="B70" s="262" t="n">
        <v>10000</v>
      </c>
      <c r="C70" s="127" t="n"/>
      <c r="D70" s="129" t="n"/>
      <c r="E70" s="129" t="n"/>
      <c r="F70" s="129" t="n"/>
      <c r="G70" s="695">
        <f>ROUND((G69/B70),0)*B70</f>
        <v/>
      </c>
      <c r="H70" s="127" t="n"/>
      <c r="I70" s="249" t="inlineStr">
        <is>
          <t>Rounded to the nearest $5,000 (change the value in column B to round to a different increment).</t>
        </is>
      </c>
      <c r="J70" s="127" t="n"/>
      <c r="K70" s="127" t="n"/>
      <c r="L70" s="127" t="n"/>
      <c r="M70" s="127" t="n"/>
      <c r="N70" s="127" t="n"/>
      <c r="O70" s="127" t="n"/>
      <c r="P70" s="127" t="n"/>
      <c r="Q70" s="127" t="n"/>
      <c r="R70" s="127" t="n"/>
      <c r="S70" s="127" t="n"/>
      <c r="T70" s="127" t="n"/>
      <c r="U70" s="127" t="n"/>
    </row>
    <row r="71" ht="13" customHeight="1" s="518">
      <c r="A71" s="127" t="n"/>
      <c r="B71" s="251" t="inlineStr">
        <is>
          <t>per square foot of gross building area</t>
        </is>
      </c>
      <c r="C71" s="127" t="n"/>
      <c r="D71" s="129" t="n"/>
      <c r="E71" s="129" t="n"/>
      <c r="F71" s="129" t="n"/>
      <c r="G71" s="678">
        <f>IFERROR(G70/IF(Subj_NumBldgs&gt;1,Subj_TotalBldgSF,C24),"")</f>
        <v/>
      </c>
      <c r="H71" s="127" t="n"/>
      <c r="I71" s="127" t="n"/>
      <c r="J71" s="127" t="n"/>
      <c r="K71" s="127" t="n"/>
      <c r="L71" s="127" t="n"/>
      <c r="M71" s="127" t="n"/>
      <c r="N71" s="127" t="n"/>
      <c r="O71" s="127" t="n"/>
      <c r="P71" s="127" t="n"/>
      <c r="Q71" s="127" t="n"/>
      <c r="R71" s="127" t="n"/>
      <c r="S71" s="127" t="n"/>
      <c r="T71" s="127" t="n"/>
      <c r="U71" s="127" t="n"/>
    </row>
    <row r="72">
      <c r="A72" s="127" t="n"/>
      <c r="B72" s="132" t="n"/>
      <c r="C72" s="127" t="n"/>
      <c r="D72" s="129" t="n"/>
      <c r="E72" s="129" t="n"/>
      <c r="F72" s="129" t="n"/>
      <c r="G72" s="129" t="n"/>
      <c r="H72" s="127" t="n"/>
      <c r="I72" s="127" t="n"/>
      <c r="J72" s="127" t="n"/>
      <c r="K72" s="127" t="n"/>
      <c r="L72" s="127" t="n"/>
      <c r="M72" s="127" t="n"/>
      <c r="N72" s="127" t="n"/>
      <c r="O72" s="127" t="n"/>
      <c r="P72" s="127" t="n"/>
      <c r="Q72" s="127" t="n"/>
      <c r="R72" s="127" t="n"/>
      <c r="S72" s="127" t="n"/>
      <c r="T72" s="127" t="n"/>
      <c r="U72" s="127" t="n"/>
    </row>
    <row r="73" ht="13" customHeight="1" s="518">
      <c r="A73" s="127" t="n"/>
      <c r="B73" s="251" t="inlineStr">
        <is>
          <t>MVS June 2024 Ed.</t>
        </is>
      </c>
      <c r="C73" s="127">
        <f>IFERROR(INDEX(BC_OCC,MATCH($C$4&amp;"|"&amp;$C$6&amp;"|"&amp;$C$7,BC_KEY,0)),"")&amp;" | "&amp;$C$4</f>
        <v/>
      </c>
      <c r="D73" s="129">
        <f>"Class: "&amp;$C$6&amp;" / "&amp;$C$7</f>
        <v/>
      </c>
      <c r="E73" s="129" t="n"/>
      <c r="F73" s="129" t="n"/>
      <c r="G73" s="129" t="n"/>
      <c r="H73" s="127" t="n"/>
      <c r="I73" s="127" t="n"/>
      <c r="J73" s="127" t="n"/>
      <c r="K73" s="127" t="n"/>
      <c r="L73" s="127" t="n"/>
      <c r="M73" s="127" t="n"/>
      <c r="N73" s="127" t="n"/>
      <c r="O73" s="127" t="n"/>
      <c r="P73" s="127" t="n"/>
      <c r="Q73" s="127" t="n"/>
      <c r="R73" s="127" t="n"/>
      <c r="S73" s="127" t="n"/>
      <c r="T73" s="127" t="n"/>
      <c r="U73" s="127" t="n"/>
    </row>
    <row r="74" ht="13" customHeight="1" s="518">
      <c r="A74" s="127" t="n"/>
      <c r="B74" s="251" t="inlineStr">
        <is>
          <t>Colorado -- WESTERN region (assumed)</t>
        </is>
      </c>
      <c r="C74" s="127">
        <f>"CCM/De-trend: "&amp;TEXT(D33,"0.000")&amp;" | LAM: "&amp;TEXT(D34,"0.000")</f>
        <v/>
      </c>
      <c r="D74" s="129">
        <f>"Sec.99 p.3/p.7 (Jan 2025 insert) + Sec.98 Denver de-trend"</f>
        <v/>
      </c>
      <c r="E74" s="129" t="n"/>
      <c r="F74" s="129" t="n"/>
      <c r="G74" s="129" t="n"/>
      <c r="H74" s="127" t="n"/>
      <c r="I74" s="127" t="n"/>
      <c r="J74" s="127" t="n"/>
      <c r="K74" s="127" t="n"/>
      <c r="L74" s="127" t="n"/>
      <c r="M74" s="127" t="n"/>
      <c r="N74" s="127" t="n"/>
      <c r="O74" s="127" t="n"/>
      <c r="P74" s="127" t="n"/>
      <c r="Q74" s="127" t="n"/>
      <c r="R74" s="127" t="n"/>
      <c r="S74" s="127" t="n"/>
      <c r="T74" s="127" t="n"/>
      <c r="U74" s="127" t="n"/>
    </row>
    <row r="75">
      <c r="A75" s="127" t="n"/>
      <c r="B75" s="132" t="n"/>
      <c r="C75" s="127">
        <f>"Story Ht Mult: "&amp;TEXT(D36,"0.000")&amp;" | Area Mult: "&amp;TEXT(D35,"0.000")</f>
        <v/>
      </c>
      <c r="D75" s="129" t="n"/>
      <c r="E75" s="129" t="n"/>
      <c r="F75" s="129" t="n"/>
      <c r="G75" s="129" t="n"/>
      <c r="H75" s="127" t="n"/>
      <c r="I75" s="127" t="n"/>
      <c r="J75" s="127" t="n"/>
      <c r="K75" s="127" t="n"/>
      <c r="L75" s="127" t="n"/>
      <c r="M75" s="127" t="n"/>
      <c r="N75" s="127" t="n"/>
      <c r="O75" s="127" t="n"/>
      <c r="P75" s="127" t="n"/>
      <c r="Q75" s="127" t="n"/>
      <c r="R75" s="127" t="n"/>
      <c r="S75" s="127" t="n"/>
      <c r="T75" s="127" t="n"/>
      <c r="U75" s="127" t="n"/>
    </row>
    <row r="76" hidden="1" s="518">
      <c r="A76" s="127" t="n"/>
      <c r="B76" s="132" t="n"/>
      <c r="C76" s="133" t="n"/>
      <c r="D76" s="129" t="n"/>
      <c r="E76" s="129" t="n"/>
      <c r="F76" s="129" t="n"/>
      <c r="G76" s="129" t="n"/>
      <c r="H76" s="127" t="n"/>
      <c r="I76" s="127" t="n"/>
      <c r="J76" s="127" t="n"/>
      <c r="K76" s="127" t="n"/>
      <c r="L76" s="127" t="n"/>
      <c r="M76" s="127" t="n"/>
      <c r="N76" s="127" t="n"/>
      <c r="O76" s="127" t="n"/>
      <c r="P76" s="127" t="n"/>
      <c r="Q76" s="127" t="n"/>
      <c r="R76" s="127" t="n"/>
      <c r="S76" s="127" t="n"/>
      <c r="T76" s="127" t="n"/>
      <c r="U76" s="127" t="n"/>
    </row>
    <row r="77" hidden="1" s="518">
      <c r="A77" s="127" t="n"/>
      <c r="B77" s="696">
        <f>IF(OR($D$24=0,$C$59=0),"⚠ INCOMPLETE -- Base Cost and/or Life Expectancy could not be determined. Fill in the Manual MVS Override section below.",IF(OR($C$81&gt;0,$C$82&gt;0,$C$83&lt;&gt;""),"ℹ Using Manual MVS Override values below -- confirm these before relying on this indicated value.",""))</f>
        <v/>
      </c>
      <c r="J77" s="127" t="n"/>
      <c r="K77" s="127" t="n"/>
      <c r="L77" s="127" t="n"/>
      <c r="M77" s="127" t="n"/>
      <c r="N77" s="127" t="n"/>
      <c r="O77" s="127" t="n"/>
      <c r="P77" s="127" t="n"/>
      <c r="Q77" s="127" t="n"/>
      <c r="R77" s="127" t="n"/>
      <c r="S77" s="127" t="n"/>
      <c r="T77" s="127" t="n"/>
      <c r="U77" s="127" t="n"/>
    </row>
    <row r="78" hidden="1" ht="16" customHeight="1" s="518">
      <c r="A78" s="127" t="n"/>
      <c r="B78" s="298" t="inlineStr">
        <is>
          <t>MANUAL MVS OVERRIDE -- only needed if your Occupancy Type isn't in the dropdown above</t>
        </is>
      </c>
      <c r="C78" s="299" t="n"/>
      <c r="D78" s="299" t="n"/>
      <c r="E78" s="299" t="n"/>
      <c r="F78" s="299" t="n"/>
      <c r="G78" s="299" t="n"/>
      <c r="H78" s="300" t="n"/>
      <c r="I78" s="300" t="n"/>
      <c r="J78" s="127" t="n"/>
      <c r="K78" s="127" t="n"/>
      <c r="L78" s="127" t="n"/>
      <c r="M78" s="127" t="n"/>
      <c r="N78" s="127" t="n"/>
      <c r="O78" s="127" t="n"/>
      <c r="P78" s="127" t="n"/>
      <c r="Q78" s="127" t="n"/>
      <c r="R78" s="127" t="n"/>
      <c r="S78" s="127" t="n"/>
      <c r="T78" s="127" t="n"/>
      <c r="U78" s="127" t="n"/>
    </row>
    <row r="79" hidden="1" ht="55" customHeight="1" s="518">
      <c r="A79" s="127" t="n"/>
      <c r="B79" s="608" t="inlineStr">
        <is>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is>
      </c>
      <c r="J79" s="127" t="n"/>
      <c r="K79" s="127" t="n"/>
      <c r="L79" s="127" t="n"/>
      <c r="M79" s="127" t="n"/>
      <c r="N79" s="127" t="n"/>
      <c r="O79" s="127" t="n"/>
      <c r="P79" s="127" t="n"/>
      <c r="Q79" s="127" t="n"/>
      <c r="R79" s="127" t="n"/>
      <c r="S79" s="127" t="n"/>
      <c r="T79" s="127" t="n"/>
      <c r="U79" s="127" t="n"/>
    </row>
    <row r="80" hidden="1" s="518">
      <c r="A80" s="127" t="n"/>
      <c r="B80" s="132" t="n"/>
      <c r="C80" s="129" t="n"/>
      <c r="D80" s="129" t="n"/>
      <c r="E80" s="129" t="n"/>
      <c r="F80" s="129" t="n"/>
      <c r="G80" s="129" t="n"/>
      <c r="H80" s="127" t="n"/>
      <c r="I80" s="127" t="n"/>
      <c r="J80" s="127" t="n"/>
      <c r="K80" s="127" t="n"/>
      <c r="L80" s="127" t="n"/>
      <c r="M80" s="127" t="n"/>
      <c r="N80" s="127" t="n"/>
      <c r="O80" s="127" t="n"/>
      <c r="P80" s="127" t="n"/>
      <c r="Q80" s="127" t="n"/>
      <c r="R80" s="127" t="n"/>
      <c r="S80" s="127" t="n"/>
      <c r="T80" s="127" t="n"/>
      <c r="U80" s="127" t="n"/>
    </row>
    <row r="81" hidden="1" s="518">
      <c r="A81" s="127" t="n"/>
      <c r="B81" s="132" t="inlineStr">
        <is>
          <t>Manual Base Cost ($/SF)</t>
        </is>
      </c>
      <c r="C81" s="697" t="n">
        <v>0</v>
      </c>
      <c r="D81" s="129" t="n"/>
      <c r="E81" s="129" t="n"/>
      <c r="F81" s="129" t="n"/>
      <c r="G81" s="129" t="n"/>
      <c r="H81" s="127" t="n"/>
      <c r="I81" s="127" t="n"/>
      <c r="J81" s="127" t="n"/>
      <c r="K81" s="127" t="n"/>
      <c r="L81" s="127" t="n"/>
      <c r="M81" s="127" t="n"/>
      <c r="N81" s="127" t="n"/>
      <c r="O81" s="127" t="n"/>
      <c r="P81" s="127" t="n"/>
      <c r="Q81" s="127" t="n"/>
      <c r="R81" s="127" t="n"/>
      <c r="S81" s="127" t="n"/>
      <c r="T81" s="127" t="n"/>
      <c r="U81" s="127" t="n"/>
    </row>
    <row r="82" hidden="1" s="518">
      <c r="A82" s="127" t="n"/>
      <c r="B82" s="132" t="inlineStr">
        <is>
          <t>Manual Life Expectancy (Years)</t>
        </is>
      </c>
      <c r="C82" s="302" t="n">
        <v>0</v>
      </c>
      <c r="D82" s="129" t="n"/>
      <c r="E82" s="129" t="n"/>
      <c r="F82" s="129" t="n"/>
      <c r="G82" s="129" t="n"/>
      <c r="H82" s="127" t="n"/>
      <c r="I82" s="127" t="n"/>
      <c r="J82" s="127" t="n"/>
      <c r="K82" s="127" t="n"/>
      <c r="L82" s="127" t="n"/>
      <c r="M82" s="127" t="n"/>
      <c r="N82" s="127" t="n"/>
      <c r="O82" s="127" t="n"/>
      <c r="P82" s="127" t="n"/>
      <c r="Q82" s="127" t="n"/>
      <c r="R82" s="127" t="n"/>
      <c r="S82" s="127" t="n"/>
      <c r="T82" s="127" t="n"/>
      <c r="U82" s="127" t="n"/>
    </row>
    <row r="83" hidden="1" s="518">
      <c r="A83" s="127" t="n"/>
      <c r="B83" s="131" t="inlineStr">
        <is>
          <t>Manual MVS Section (drives cost multiplier / story-height / sprinkler tables)</t>
        </is>
      </c>
      <c r="C83" s="303" t="n"/>
      <c r="D83" s="304">
        <f>IF($C$83="","",IF($C$83="11","Apartments/Hotels/Clubs",IF($C$83="12","Residences/Multiples/Motels",IF($C$83="13","Retail/Stores/Shopping Centers",IF($C$83="14","Industrial/Warehouse",IF($C$83="15","Office/Medical/Public",IF($C$83="16","Churches/Theaters/Auditoriums",IF($C$83="17","Sheds/Farm",IF($C$83="18","Schools",)))))))))</f>
        <v/>
      </c>
      <c r="E83" s="129" t="n"/>
      <c r="F83" s="129" t="n"/>
      <c r="G83" s="129" t="n"/>
      <c r="H83" s="127" t="n"/>
      <c r="I83" s="127" t="n"/>
      <c r="J83" s="127" t="n"/>
      <c r="K83" s="127" t="n"/>
      <c r="L83" s="127" t="n"/>
      <c r="M83" s="127" t="n"/>
      <c r="N83" s="127" t="n"/>
      <c r="O83" s="127" t="n"/>
      <c r="P83" s="127" t="n"/>
      <c r="Q83" s="127" t="n"/>
      <c r="R83" s="127" t="n"/>
      <c r="S83" s="127" t="n"/>
      <c r="T83" s="127" t="n"/>
      <c r="U83" s="127" t="n"/>
    </row>
    <row r="84" hidden="1" s="518">
      <c r="A84" s="127" t="n"/>
      <c r="B84" s="131" t="n"/>
      <c r="C84" s="129" t="n"/>
      <c r="D84" s="129" t="n"/>
      <c r="E84" s="129" t="n"/>
      <c r="F84" s="129" t="n"/>
      <c r="G84" s="129" t="n"/>
      <c r="H84" s="127" t="n"/>
      <c r="I84" s="127" t="n"/>
      <c r="J84" s="127" t="n"/>
      <c r="K84" s="127" t="n"/>
      <c r="L84" s="127" t="n"/>
      <c r="M84" s="127" t="n"/>
      <c r="N84" s="127" t="n"/>
      <c r="O84" s="127" t="n"/>
      <c r="P84" s="127" t="n"/>
      <c r="Q84" s="127" t="n"/>
      <c r="R84" s="127" t="n"/>
      <c r="S84" s="127" t="n"/>
      <c r="T84" s="127" t="n"/>
      <c r="U84" s="127" t="n"/>
    </row>
    <row r="85" hidden="1" s="518">
      <c r="A85" s="127" t="n"/>
      <c r="B85" s="132" t="n"/>
      <c r="C85" s="127" t="n"/>
      <c r="D85" s="129" t="n"/>
      <c r="E85" s="129" t="n"/>
      <c r="F85" s="129" t="n"/>
      <c r="G85" s="129" t="n"/>
      <c r="H85" s="127" t="n"/>
      <c r="I85" s="127" t="n"/>
      <c r="J85" s="127" t="n"/>
      <c r="K85" s="127" t="n"/>
      <c r="L85" s="127" t="n"/>
      <c r="M85" s="127" t="n"/>
      <c r="N85" s="127" t="n"/>
      <c r="O85" s="127" t="n"/>
      <c r="P85" s="127" t="n"/>
      <c r="Q85" s="127" t="n"/>
      <c r="R85" s="127" t="n"/>
      <c r="S85" s="127" t="n"/>
      <c r="T85" s="127" t="n"/>
      <c r="U85" s="127" t="n"/>
    </row>
    <row r="86" hidden="1" s="518">
      <c r="A86" s="127" t="n"/>
      <c r="B86" s="132" t="n"/>
      <c r="C86" s="127" t="n"/>
      <c r="D86" s="129" t="n"/>
      <c r="E86" s="129" t="n"/>
      <c r="F86" s="129" t="n"/>
      <c r="G86" s="129" t="n"/>
      <c r="H86" s="127" t="n"/>
      <c r="I86" s="127" t="n"/>
      <c r="J86" s="127" t="n"/>
      <c r="K86" s="127" t="n"/>
      <c r="L86" s="127" t="n"/>
      <c r="M86" s="127" t="n"/>
      <c r="N86" s="127" t="n"/>
      <c r="O86" s="127" t="n"/>
      <c r="P86" s="127" t="n"/>
      <c r="Q86" s="127" t="n"/>
      <c r="R86" s="127" t="n"/>
      <c r="S86" s="127" t="n"/>
      <c r="T86" s="127" t="n"/>
      <c r="U86" s="127" t="n"/>
    </row>
    <row r="87" hidden="1" s="518">
      <c r="A87" s="127" t="n"/>
      <c r="B87" s="132" t="n"/>
      <c r="C87" s="127" t="n"/>
      <c r="D87" s="129" t="n"/>
      <c r="E87" s="129" t="n"/>
      <c r="F87" s="129" t="n"/>
      <c r="G87" s="129" t="n"/>
      <c r="H87" s="127" t="n"/>
      <c r="I87" s="127" t="n"/>
      <c r="J87" s="127" t="n"/>
      <c r="K87" s="127" t="n"/>
      <c r="L87" s="127" t="n"/>
      <c r="M87" s="127" t="n"/>
      <c r="N87" s="127" t="n"/>
      <c r="O87" s="127" t="n"/>
      <c r="P87" s="127" t="n"/>
      <c r="Q87" s="127" t="n"/>
      <c r="R87" s="127" t="n"/>
      <c r="S87" s="127" t="n"/>
      <c r="T87" s="127" t="n"/>
      <c r="U87" s="127" t="n"/>
    </row>
    <row r="88" hidden="1" s="518">
      <c r="A88" s="127" t="n"/>
      <c r="B88" s="132" t="n"/>
      <c r="C88" s="129" t="n"/>
      <c r="D88" s="129" t="n"/>
      <c r="E88" s="129" t="n"/>
      <c r="F88" s="129" t="n"/>
      <c r="G88" s="129" t="n"/>
      <c r="H88" s="127" t="n"/>
      <c r="I88" s="127" t="n"/>
      <c r="J88" s="127" t="n"/>
      <c r="K88" s="127" t="n"/>
      <c r="L88" s="127" t="n"/>
      <c r="M88" s="127" t="n"/>
      <c r="N88" s="127" t="n"/>
      <c r="O88" s="127" t="n"/>
      <c r="P88" s="127" t="n"/>
      <c r="Q88" s="127" t="n"/>
      <c r="R88" s="127" t="n"/>
      <c r="S88" s="127" t="n"/>
      <c r="T88" s="127" t="n"/>
      <c r="U88" s="127" t="n"/>
    </row>
    <row r="89" hidden="1" s="518">
      <c r="A89" s="127" t="n"/>
      <c r="B89" s="132" t="n"/>
      <c r="C89" s="129" t="n"/>
      <c r="D89" s="129" t="n"/>
      <c r="E89" s="127" t="n"/>
      <c r="F89" s="129" t="n"/>
      <c r="G89" s="129" t="n"/>
      <c r="H89" s="127" t="n"/>
      <c r="I89" s="127" t="n"/>
      <c r="J89" s="127" t="n"/>
      <c r="K89" s="127" t="n"/>
      <c r="L89" s="127" t="n"/>
      <c r="M89" s="127" t="n"/>
      <c r="N89" s="127" t="n"/>
      <c r="O89" s="127" t="n"/>
      <c r="P89" s="127" t="n"/>
      <c r="Q89" s="127" t="n"/>
      <c r="R89" s="127" t="n"/>
      <c r="S89" s="127" t="n"/>
      <c r="T89" s="127" t="n"/>
      <c r="U89" s="127" t="n"/>
    </row>
    <row r="90" hidden="1" s="518">
      <c r="A90" s="127" t="n"/>
      <c r="B90" s="131" t="n"/>
      <c r="C90" s="129" t="n"/>
      <c r="D90" s="127" t="n"/>
      <c r="E90" s="127" t="n"/>
      <c r="F90" s="129" t="n"/>
      <c r="G90" s="129" t="n"/>
      <c r="H90" s="127" t="n"/>
      <c r="I90" s="127" t="n"/>
      <c r="J90" s="127" t="n"/>
      <c r="K90" s="127" t="n"/>
      <c r="L90" s="127" t="n"/>
      <c r="M90" s="127" t="n"/>
      <c r="N90" s="127" t="n"/>
      <c r="O90" s="127" t="n"/>
      <c r="P90" s="127" t="n"/>
      <c r="Q90" s="127" t="n"/>
      <c r="R90" s="127" t="n"/>
      <c r="S90" s="127" t="n"/>
      <c r="T90" s="127" t="n"/>
      <c r="U90" s="127" t="n"/>
    </row>
    <row r="91" hidden="1" s="518">
      <c r="A91" s="127" t="n"/>
      <c r="B91" s="131" t="n"/>
      <c r="C91" s="129" t="n"/>
      <c r="D91" s="127" t="n"/>
      <c r="E91" s="127" t="n"/>
      <c r="F91" s="129" t="n"/>
      <c r="G91" s="129" t="n"/>
      <c r="H91" s="127" t="n"/>
      <c r="I91" s="127" t="n"/>
      <c r="J91" s="127" t="n"/>
      <c r="K91" s="127" t="n"/>
      <c r="L91" s="127" t="n"/>
      <c r="M91" s="127" t="n"/>
      <c r="N91" s="127" t="n"/>
      <c r="O91" s="127" t="n"/>
      <c r="P91" s="127" t="n"/>
      <c r="Q91" s="127" t="n"/>
      <c r="R91" s="127" t="n"/>
      <c r="S91" s="127" t="n"/>
      <c r="T91" s="127" t="n"/>
      <c r="U91" s="127" t="n"/>
    </row>
    <row r="92" hidden="1" s="518">
      <c r="A92" s="127" t="n"/>
      <c r="B92" s="132" t="n"/>
      <c r="C92" s="129" t="n"/>
      <c r="D92" s="133" t="n"/>
      <c r="E92" s="133" t="n"/>
      <c r="F92" s="129" t="n"/>
      <c r="G92" s="129" t="n"/>
      <c r="H92" s="127" t="n"/>
      <c r="I92" s="127" t="n"/>
      <c r="J92" s="127" t="n"/>
      <c r="K92" s="127" t="n"/>
      <c r="L92" s="127" t="n"/>
      <c r="M92" s="127" t="n"/>
      <c r="N92" s="127" t="n"/>
      <c r="O92" s="127" t="n"/>
      <c r="P92" s="127" t="n"/>
      <c r="Q92" s="127" t="n"/>
      <c r="R92" s="127" t="n"/>
      <c r="S92" s="127" t="n"/>
      <c r="T92" s="127" t="n"/>
      <c r="U92" s="127" t="n"/>
    </row>
    <row r="93" hidden="1" s="518">
      <c r="A93" s="127" t="n"/>
      <c r="B93" s="131" t="n"/>
      <c r="C93" s="129" t="n"/>
      <c r="D93" s="129" t="n"/>
      <c r="E93" s="129" t="n"/>
      <c r="F93" s="129" t="n"/>
      <c r="G93" s="129" t="n"/>
      <c r="H93" s="127" t="n"/>
      <c r="I93" s="127" t="n"/>
      <c r="J93" s="127" t="n"/>
      <c r="K93" s="127" t="n"/>
      <c r="L93" s="127" t="n"/>
      <c r="M93" s="127" t="n"/>
      <c r="N93" s="127" t="n"/>
      <c r="O93" s="127" t="n"/>
      <c r="P93" s="127" t="n"/>
      <c r="Q93" s="127" t="n"/>
      <c r="R93" s="127" t="n"/>
      <c r="S93" s="127" t="n"/>
      <c r="T93" s="127" t="n"/>
      <c r="U93" s="127" t="n"/>
    </row>
    <row r="94" hidden="1" s="518">
      <c r="A94" s="127" t="n"/>
      <c r="B94" s="132" t="n"/>
      <c r="C94" s="129" t="n"/>
      <c r="D94" s="133" t="n"/>
      <c r="E94" s="133" t="n"/>
      <c r="F94" s="127" t="n"/>
      <c r="G94" s="129" t="n"/>
      <c r="H94" s="127" t="n"/>
      <c r="I94" s="127" t="n"/>
      <c r="J94" s="127" t="n"/>
      <c r="K94" s="127" t="n"/>
      <c r="L94" s="127" t="n"/>
      <c r="M94" s="127" t="n"/>
      <c r="N94" s="127" t="n"/>
      <c r="O94" s="127" t="n"/>
      <c r="P94" s="127" t="n"/>
      <c r="Q94" s="127" t="n"/>
      <c r="R94" s="127" t="n"/>
      <c r="S94" s="127" t="n"/>
      <c r="T94" s="127" t="n"/>
      <c r="U94" s="127" t="n"/>
    </row>
    <row r="95" hidden="1" s="518">
      <c r="A95" s="127" t="n"/>
      <c r="B95" s="131" t="n"/>
      <c r="C95" s="129" t="n"/>
      <c r="D95" s="129" t="n"/>
      <c r="E95" s="129" t="n"/>
      <c r="F95" s="129" t="n"/>
      <c r="G95" s="129" t="n"/>
      <c r="H95" s="127" t="n"/>
      <c r="I95" s="127" t="n"/>
      <c r="J95" s="127" t="n"/>
      <c r="K95" s="127" t="n"/>
      <c r="L95" s="127" t="n"/>
      <c r="M95" s="127" t="n"/>
      <c r="N95" s="127" t="n"/>
      <c r="O95" s="127" t="n"/>
      <c r="P95" s="127" t="n"/>
      <c r="Q95" s="127" t="n"/>
      <c r="R95" s="127" t="n"/>
      <c r="S95" s="127" t="n"/>
      <c r="T95" s="127" t="n"/>
      <c r="U95" s="127" t="n"/>
    </row>
    <row r="96" hidden="1" s="518">
      <c r="A96" s="127" t="n"/>
      <c r="B96" s="132" t="n"/>
      <c r="C96" s="129" t="n"/>
      <c r="D96" s="129" t="n"/>
      <c r="E96" s="129" t="n"/>
      <c r="F96" s="129" t="n"/>
      <c r="G96" s="129" t="n"/>
      <c r="H96" s="127" t="n"/>
      <c r="I96" s="127" t="n"/>
      <c r="J96" s="127" t="n"/>
      <c r="K96" s="127" t="n"/>
      <c r="L96" s="127" t="n"/>
      <c r="M96" s="127" t="n"/>
      <c r="N96" s="127" t="n"/>
      <c r="O96" s="127" t="n"/>
      <c r="P96" s="127" t="n"/>
      <c r="Q96" s="127" t="n"/>
      <c r="R96" s="127" t="n"/>
      <c r="S96" s="127" t="n"/>
      <c r="T96" s="127" t="n"/>
      <c r="U96" s="127" t="n"/>
    </row>
    <row r="97" hidden="1" s="518">
      <c r="A97" s="127" t="n"/>
      <c r="B97" s="129" t="n"/>
      <c r="C97" s="129" t="n"/>
      <c r="D97" s="129" t="n"/>
      <c r="E97" s="129" t="n"/>
      <c r="F97" s="129" t="n"/>
      <c r="G97" s="129" t="n"/>
      <c r="H97" s="127" t="n"/>
      <c r="I97" s="127" t="n"/>
      <c r="J97" s="127" t="n"/>
      <c r="K97" s="127" t="n"/>
      <c r="L97" s="127" t="n"/>
      <c r="M97" s="127" t="n"/>
      <c r="N97" s="127" t="n"/>
      <c r="O97" s="127" t="n"/>
      <c r="P97" s="127" t="n"/>
      <c r="Q97" s="127" t="n"/>
      <c r="R97" s="127" t="n"/>
      <c r="S97" s="127" t="n"/>
      <c r="T97" s="127" t="n"/>
      <c r="U97" s="127" t="n"/>
    </row>
    <row r="98" hidden="1" s="518">
      <c r="A98" s="127" t="n"/>
      <c r="B98" s="129" t="n"/>
      <c r="C98" s="129" t="n"/>
      <c r="D98" s="129" t="n"/>
      <c r="E98" s="129" t="n"/>
      <c r="F98" s="129" t="n"/>
      <c r="G98" s="129" t="n"/>
      <c r="H98" s="127" t="n"/>
      <c r="I98" s="127" t="n"/>
      <c r="J98" s="127" t="n"/>
      <c r="K98" s="127" t="n"/>
      <c r="L98" s="127" t="n"/>
      <c r="M98" s="127" t="n"/>
      <c r="N98" s="127" t="n"/>
      <c r="O98" s="127" t="n"/>
      <c r="P98" s="127" t="n"/>
      <c r="Q98" s="127" t="n"/>
      <c r="R98" s="127" t="n"/>
      <c r="S98" s="127" t="n"/>
      <c r="T98" s="127" t="n"/>
      <c r="U98" s="127" t="n"/>
    </row>
    <row r="99" hidden="1" s="518">
      <c r="A99" s="127" t="n"/>
      <c r="B99" s="131" t="n"/>
      <c r="C99" s="129" t="n"/>
      <c r="D99" s="129" t="n"/>
      <c r="E99" s="129" t="n"/>
      <c r="F99" s="129" t="n"/>
      <c r="G99" s="129" t="n"/>
      <c r="H99" s="127" t="n"/>
      <c r="I99" s="127" t="n"/>
      <c r="J99" s="127" t="n"/>
      <c r="K99" s="127" t="n"/>
      <c r="L99" s="127" t="n"/>
      <c r="M99" s="127" t="n"/>
      <c r="N99" s="127" t="n"/>
      <c r="O99" s="127" t="n"/>
      <c r="P99" s="127" t="n"/>
      <c r="Q99" s="127" t="n"/>
      <c r="R99" s="127" t="n"/>
      <c r="S99" s="127" t="n"/>
      <c r="T99" s="127" t="n"/>
      <c r="U99" s="127" t="n"/>
    </row>
    <row r="100" hidden="1" s="518">
      <c r="A100" s="127" t="n"/>
      <c r="B100" s="132" t="n"/>
      <c r="C100" s="129" t="n"/>
      <c r="D100" s="129" t="n"/>
      <c r="E100" s="129" t="n"/>
      <c r="F100" s="129" t="n"/>
      <c r="G100" s="129" t="n"/>
      <c r="H100" s="127" t="n"/>
      <c r="I100" s="127" t="n"/>
      <c r="J100" s="127" t="n"/>
      <c r="K100" s="127" t="n"/>
      <c r="L100" s="127" t="n"/>
      <c r="M100" s="127" t="n"/>
      <c r="N100" s="127" t="n"/>
      <c r="O100" s="127" t="n"/>
      <c r="P100" s="127" t="n"/>
      <c r="Q100" s="127" t="n"/>
      <c r="R100" s="127" t="n"/>
      <c r="S100" s="127" t="n"/>
      <c r="T100" s="127" t="n"/>
      <c r="U100" s="127" t="n"/>
    </row>
    <row r="101" hidden="1" s="518">
      <c r="A101" s="127" t="n"/>
      <c r="B101" s="132" t="n"/>
      <c r="C101" s="129" t="n"/>
      <c r="D101" s="129" t="n"/>
      <c r="E101" s="129" t="n"/>
      <c r="F101" s="129" t="n"/>
      <c r="G101" s="129" t="n"/>
      <c r="H101" s="127" t="n"/>
      <c r="I101" s="127" t="n"/>
      <c r="J101" s="127" t="n"/>
      <c r="K101" s="127" t="n"/>
      <c r="L101" s="127" t="n"/>
      <c r="M101" s="127" t="n"/>
      <c r="N101" s="127" t="n"/>
      <c r="O101" s="127" t="n"/>
      <c r="P101" s="127" t="n"/>
      <c r="Q101" s="127" t="n"/>
      <c r="R101" s="127" t="n"/>
      <c r="S101" s="127" t="n"/>
      <c r="T101" s="127" t="n"/>
      <c r="U101" s="127" t="n"/>
    </row>
    <row r="102" hidden="1" s="518">
      <c r="A102" s="127" t="n"/>
      <c r="B102" s="134" t="n"/>
      <c r="C102" s="129" t="n"/>
      <c r="D102" s="129" t="n"/>
      <c r="E102" s="129" t="n"/>
      <c r="F102" s="129" t="n"/>
      <c r="G102" s="129" t="n"/>
      <c r="H102" s="127" t="n"/>
      <c r="I102" s="127" t="n"/>
      <c r="J102" s="127" t="n"/>
      <c r="K102" s="127" t="n"/>
      <c r="L102" s="127" t="n"/>
      <c r="M102" s="127" t="n"/>
      <c r="N102" s="127" t="n"/>
      <c r="O102" s="127" t="n"/>
      <c r="P102" s="127" t="n"/>
      <c r="Q102" s="127" t="n"/>
      <c r="R102" s="127" t="n"/>
      <c r="S102" s="127" t="n"/>
      <c r="T102" s="127" t="n"/>
      <c r="U102" s="127" t="n"/>
    </row>
    <row r="103" hidden="1" s="518">
      <c r="A103" s="127" t="n"/>
      <c r="B103" s="134" t="n"/>
      <c r="C103" s="129" t="n"/>
      <c r="D103" s="129" t="n"/>
      <c r="E103" s="129" t="n"/>
      <c r="F103" s="129" t="n"/>
      <c r="G103" s="129" t="n"/>
      <c r="H103" s="127" t="n"/>
      <c r="I103" s="127" t="n"/>
      <c r="J103" s="127" t="n"/>
      <c r="K103" s="127" t="n"/>
      <c r="L103" s="127" t="n"/>
      <c r="M103" s="127" t="n"/>
      <c r="N103" s="127" t="n"/>
      <c r="O103" s="127" t="n"/>
      <c r="P103" s="127" t="n"/>
      <c r="Q103" s="127" t="n"/>
      <c r="R103" s="127" t="n"/>
      <c r="S103" s="127" t="n"/>
      <c r="T103" s="127" t="n"/>
      <c r="U103" s="127" t="n"/>
    </row>
    <row r="104" hidden="1" s="518">
      <c r="A104" s="127" t="n"/>
      <c r="B104" s="134" t="n"/>
      <c r="C104" s="129" t="n"/>
      <c r="D104" s="129" t="n"/>
      <c r="E104" s="129" t="n"/>
      <c r="F104" s="129" t="n"/>
      <c r="G104" s="129" t="n"/>
      <c r="H104" s="127" t="n"/>
      <c r="I104" s="127" t="n"/>
      <c r="J104" s="127" t="n"/>
      <c r="K104" s="127" t="n"/>
      <c r="L104" s="127" t="n"/>
      <c r="M104" s="127" t="n"/>
      <c r="N104" s="127" t="n"/>
      <c r="O104" s="127" t="n"/>
      <c r="P104" s="127" t="n"/>
      <c r="Q104" s="127" t="n"/>
      <c r="R104" s="127" t="n"/>
      <c r="S104" s="127" t="n"/>
      <c r="T104" s="127" t="n"/>
      <c r="U104" s="127" t="n"/>
    </row>
    <row r="105" hidden="1" s="518">
      <c r="A105" s="127" t="n"/>
      <c r="B105" s="131" t="n"/>
      <c r="C105" s="129" t="n"/>
      <c r="D105" s="129" t="n"/>
      <c r="E105" s="129" t="n"/>
      <c r="F105" s="129" t="n"/>
      <c r="G105" s="129" t="n"/>
      <c r="H105" s="127" t="n"/>
      <c r="I105" s="127" t="n"/>
      <c r="J105" s="127" t="n"/>
      <c r="K105" s="127" t="n"/>
      <c r="L105" s="127" t="n"/>
      <c r="M105" s="127" t="n"/>
      <c r="N105" s="127" t="n"/>
      <c r="O105" s="127" t="n"/>
      <c r="P105" s="127" t="n"/>
      <c r="Q105" s="127" t="n"/>
      <c r="R105" s="127" t="n"/>
      <c r="S105" s="127" t="n"/>
      <c r="T105" s="127" t="n"/>
      <c r="U105" s="127" t="n"/>
    </row>
    <row r="106" hidden="1" s="518">
      <c r="A106" s="127" t="n"/>
      <c r="B106" s="131" t="n"/>
      <c r="C106" s="129" t="n"/>
      <c r="D106" s="129" t="n"/>
      <c r="E106" s="129" t="n"/>
      <c r="F106" s="129" t="n"/>
      <c r="G106" s="129" t="n"/>
      <c r="H106" s="127" t="n"/>
      <c r="I106" s="127" t="n"/>
      <c r="J106" s="127" t="n"/>
      <c r="K106" s="127" t="n"/>
      <c r="L106" s="127" t="n"/>
      <c r="M106" s="127" t="n"/>
      <c r="N106" s="127" t="n"/>
      <c r="O106" s="127" t="n"/>
      <c r="P106" s="127" t="n"/>
      <c r="Q106" s="127" t="n"/>
      <c r="R106" s="127" t="n"/>
      <c r="S106" s="127" t="n"/>
      <c r="T106" s="127" t="n"/>
      <c r="U106" s="127" t="n"/>
    </row>
    <row r="107" hidden="1" s="518">
      <c r="A107" s="127" t="n"/>
      <c r="B107" s="131" t="n"/>
      <c r="C107" s="129" t="n"/>
      <c r="D107" s="129" t="n"/>
      <c r="E107" s="129" t="n"/>
      <c r="F107" s="129" t="n"/>
      <c r="G107" s="129" t="n"/>
      <c r="H107" s="127" t="n"/>
      <c r="I107" s="127" t="n"/>
      <c r="J107" s="127" t="n"/>
      <c r="K107" s="127" t="n"/>
      <c r="L107" s="127" t="n"/>
      <c r="M107" s="127" t="n"/>
      <c r="N107" s="127" t="n"/>
      <c r="O107" s="127" t="n"/>
      <c r="P107" s="127" t="n"/>
      <c r="Q107" s="127" t="n"/>
      <c r="R107" s="127" t="n"/>
      <c r="S107" s="127" t="n"/>
      <c r="T107" s="127" t="n"/>
      <c r="U107" s="127" t="n"/>
    </row>
    <row r="108" hidden="1" s="518">
      <c r="A108" s="127" t="n"/>
      <c r="B108" s="129" t="n"/>
      <c r="C108" s="129" t="n"/>
      <c r="D108" s="129" t="n"/>
      <c r="E108" s="129" t="n"/>
      <c r="F108" s="129" t="n"/>
      <c r="G108" s="129" t="n"/>
      <c r="H108" s="127" t="n"/>
      <c r="I108" s="127" t="n"/>
      <c r="J108" s="127" t="n"/>
      <c r="K108" s="127" t="n"/>
      <c r="L108" s="127" t="n"/>
      <c r="M108" s="127" t="n"/>
      <c r="N108" s="127" t="n"/>
      <c r="O108" s="127" t="n"/>
      <c r="P108" s="127" t="n"/>
      <c r="Q108" s="127" t="n"/>
      <c r="R108" s="127" t="n"/>
      <c r="S108" s="127" t="n"/>
      <c r="T108" s="127" t="n"/>
      <c r="U108" s="127" t="n"/>
    </row>
    <row r="109" hidden="1" s="518">
      <c r="A109" s="127" t="n"/>
      <c r="B109" s="132" t="n"/>
      <c r="C109" s="129" t="n"/>
      <c r="D109" s="129" t="n"/>
      <c r="E109" s="129" t="n"/>
      <c r="F109" s="129" t="n"/>
      <c r="G109" s="129" t="n"/>
      <c r="H109" s="127" t="n"/>
      <c r="I109" s="127" t="n"/>
      <c r="J109" s="127" t="n"/>
      <c r="K109" s="127" t="n"/>
      <c r="L109" s="127" t="n"/>
      <c r="M109" s="127" t="n"/>
      <c r="N109" s="127" t="n"/>
      <c r="O109" s="127" t="n"/>
      <c r="P109" s="127" t="n"/>
      <c r="Q109" s="127" t="n"/>
      <c r="R109" s="127" t="n"/>
      <c r="S109" s="127" t="n"/>
      <c r="T109" s="127" t="n"/>
      <c r="U109" s="127" t="n"/>
    </row>
    <row r="110" hidden="1" s="518">
      <c r="A110" s="127" t="n"/>
      <c r="B110" s="131" t="n"/>
      <c r="C110" s="129" t="n"/>
      <c r="D110" s="129" t="n"/>
      <c r="E110" s="129" t="n"/>
      <c r="F110" s="129" t="n"/>
      <c r="G110" s="129" t="n"/>
      <c r="H110" s="127" t="n"/>
      <c r="I110" s="127" t="n"/>
      <c r="J110" s="127" t="n"/>
      <c r="K110" s="127" t="n"/>
      <c r="L110" s="127" t="n"/>
      <c r="M110" s="127" t="n"/>
      <c r="N110" s="127" t="n"/>
      <c r="O110" s="127" t="n"/>
      <c r="P110" s="127" t="n"/>
      <c r="Q110" s="129" t="n"/>
      <c r="R110" s="129" t="n"/>
      <c r="S110" s="127" t="n"/>
      <c r="T110" s="127" t="n"/>
      <c r="U110" s="127" t="n"/>
    </row>
    <row r="111" hidden="1" s="518">
      <c r="A111" s="127" t="n"/>
      <c r="B111" s="129" t="n"/>
      <c r="C111" s="129" t="n"/>
      <c r="D111" s="129" t="n"/>
      <c r="E111" s="129" t="n"/>
      <c r="F111" s="129" t="n"/>
      <c r="G111" s="129" t="n"/>
      <c r="H111" s="127" t="n"/>
      <c r="I111" s="127" t="n"/>
      <c r="J111" s="127" t="n"/>
      <c r="K111" s="127" t="n"/>
      <c r="L111" s="127" t="n"/>
      <c r="M111" s="127" t="n"/>
      <c r="N111" s="127" t="n"/>
      <c r="O111" s="127" t="n"/>
      <c r="P111" s="127" t="n"/>
      <c r="Q111" s="129" t="n"/>
      <c r="R111" s="129" t="n"/>
      <c r="S111" s="127" t="n"/>
      <c r="T111" s="127" t="n"/>
      <c r="U111" s="127" t="n"/>
    </row>
    <row r="112" hidden="1" s="518">
      <c r="A112" s="127" t="n"/>
      <c r="B112" s="129" t="n"/>
      <c r="C112" s="129" t="n"/>
      <c r="D112" s="129" t="n"/>
      <c r="E112" s="129" t="n"/>
      <c r="F112" s="129" t="n"/>
      <c r="G112" s="129" t="n"/>
      <c r="H112" s="127" t="n"/>
      <c r="I112" s="127" t="n"/>
      <c r="J112" s="127" t="n"/>
      <c r="K112" s="127" t="n"/>
      <c r="L112" s="127" t="n"/>
      <c r="M112" s="127" t="n"/>
      <c r="N112" s="127" t="n"/>
      <c r="O112" s="127" t="n"/>
      <c r="P112" s="127" t="n"/>
      <c r="Q112" s="127" t="n"/>
      <c r="R112" s="127" t="n"/>
      <c r="S112" s="127" t="n"/>
      <c r="T112" s="127" t="n"/>
      <c r="U112" s="127" t="n"/>
    </row>
    <row r="113" hidden="1" s="518">
      <c r="A113" s="127" t="n"/>
      <c r="B113" s="129" t="n"/>
      <c r="C113" s="129" t="n"/>
      <c r="D113" s="129" t="n"/>
      <c r="E113" s="129" t="n"/>
      <c r="F113" s="129" t="n"/>
      <c r="G113" s="129" t="n"/>
      <c r="H113" s="127" t="n"/>
      <c r="I113" s="127" t="n"/>
      <c r="J113" s="127" t="n"/>
      <c r="K113" s="127" t="n"/>
      <c r="L113" s="127" t="n"/>
      <c r="M113" s="127" t="n"/>
      <c r="N113" s="127" t="n"/>
      <c r="O113" s="127" t="n"/>
      <c r="P113" s="127" t="n"/>
      <c r="Q113" s="127" t="n"/>
      <c r="R113" s="127" t="n"/>
      <c r="S113" s="127" t="n"/>
      <c r="T113" s="127" t="n"/>
      <c r="U113" s="127" t="n"/>
    </row>
    <row r="114" hidden="1" s="518">
      <c r="A114" s="127" t="n"/>
      <c r="B114" s="135" t="n"/>
      <c r="C114" s="136" t="n"/>
      <c r="D114" s="129" t="n"/>
      <c r="E114" s="129" t="n"/>
      <c r="F114" s="129" t="n"/>
      <c r="G114" s="127" t="n"/>
      <c r="H114" s="127" t="n"/>
      <c r="I114" s="127" t="n"/>
      <c r="J114" s="127" t="n"/>
      <c r="K114" s="127" t="n"/>
      <c r="L114" s="127" t="n"/>
      <c r="M114" s="127" t="n"/>
      <c r="N114" s="127" t="n"/>
      <c r="O114" s="127" t="n"/>
      <c r="P114" s="127" t="n"/>
      <c r="Q114" s="127" t="n"/>
      <c r="R114" s="127" t="n"/>
      <c r="S114" s="127" t="n"/>
      <c r="T114" s="127" t="n"/>
      <c r="U114" s="127" t="n"/>
    </row>
    <row r="115" hidden="1" s="518">
      <c r="A115" s="127" t="n"/>
      <c r="B115" s="131" t="n"/>
      <c r="C115" s="129" t="n"/>
      <c r="D115" s="129" t="n"/>
      <c r="E115" s="129" t="n"/>
      <c r="F115" s="129" t="n"/>
      <c r="G115" s="129" t="n"/>
      <c r="H115" s="127" t="n"/>
      <c r="I115" s="127" t="n"/>
      <c r="J115" s="127" t="n"/>
      <c r="K115" s="127" t="n"/>
      <c r="L115" s="127" t="n"/>
      <c r="M115" s="127" t="n"/>
      <c r="N115" s="127" t="n"/>
      <c r="O115" s="127" t="n"/>
      <c r="P115" s="127" t="n"/>
      <c r="Q115" s="127" t="n"/>
      <c r="R115" s="127" t="n"/>
      <c r="S115" s="127" t="n"/>
      <c r="T115" s="127" t="n"/>
      <c r="U115" s="127" t="n"/>
    </row>
    <row r="116" hidden="1" s="518">
      <c r="A116" s="127" t="n"/>
      <c r="B116" s="128" t="n"/>
      <c r="C116" s="128" t="n"/>
      <c r="D116" s="129" t="n"/>
      <c r="E116" s="129" t="n"/>
      <c r="F116" s="129" t="n"/>
      <c r="G116" s="129" t="n"/>
      <c r="H116" s="127" t="n"/>
      <c r="I116" s="127" t="n"/>
      <c r="J116" s="127" t="n"/>
      <c r="K116" s="127" t="n"/>
      <c r="L116" s="127" t="n"/>
      <c r="M116" s="127" t="n"/>
      <c r="N116" s="127" t="n"/>
      <c r="O116" s="127" t="n"/>
      <c r="P116" s="127" t="n"/>
      <c r="Q116" s="127" t="n"/>
      <c r="R116" s="127" t="n"/>
      <c r="S116" s="127" t="n"/>
      <c r="T116" s="127" t="n"/>
      <c r="U116" s="127" t="n"/>
    </row>
    <row r="117" hidden="1" s="518">
      <c r="A117" s="127" t="n"/>
      <c r="B117" s="137" t="n"/>
      <c r="C117" s="137" t="n"/>
      <c r="D117" s="137" t="n"/>
      <c r="E117" s="137" t="n"/>
      <c r="F117" s="137" t="n"/>
      <c r="G117" s="137" t="n"/>
      <c r="H117" s="127" t="n"/>
      <c r="I117" s="127" t="n"/>
      <c r="J117" s="127" t="n"/>
      <c r="K117" s="127" t="n"/>
      <c r="L117" s="127" t="n"/>
      <c r="M117" s="127" t="n"/>
      <c r="N117" s="127" t="n"/>
      <c r="O117" s="127" t="n"/>
      <c r="P117" s="127" t="n"/>
      <c r="Q117" s="127" t="n"/>
      <c r="R117" s="127" t="n"/>
      <c r="S117" s="127" t="n"/>
      <c r="T117" s="127" t="n"/>
      <c r="U117" s="127" t="n"/>
    </row>
    <row r="118" hidden="1" s="518">
      <c r="A118" s="127" t="n"/>
      <c r="B118" s="127" t="n"/>
      <c r="C118" s="127" t="n"/>
      <c r="D118" s="127" t="n"/>
      <c r="E118" s="127" t="n"/>
      <c r="F118" s="127" t="n"/>
      <c r="G118" s="127" t="n"/>
      <c r="H118" s="127" t="n"/>
      <c r="I118" s="127" t="n"/>
      <c r="J118" s="127" t="n"/>
      <c r="K118" s="127" t="n"/>
      <c r="L118" s="127" t="n"/>
      <c r="M118" s="127" t="n"/>
      <c r="N118" s="127" t="n"/>
      <c r="O118" s="127" t="n"/>
      <c r="P118" s="127" t="n"/>
      <c r="Q118" s="129" t="n"/>
      <c r="R118" s="129" t="n"/>
      <c r="S118" s="127" t="n"/>
      <c r="T118" s="127" t="n"/>
      <c r="U118" s="127" t="n"/>
    </row>
    <row r="119" hidden="1" s="518">
      <c r="A119" s="127" t="n"/>
      <c r="B119" s="133" t="n"/>
      <c r="C119" s="127" t="n"/>
      <c r="D119" s="127" t="n"/>
      <c r="E119" s="127" t="n"/>
      <c r="F119" s="127" t="n"/>
      <c r="G119" s="127" t="n"/>
      <c r="H119" s="127" t="n"/>
      <c r="I119" s="127" t="n"/>
      <c r="J119" s="127" t="n"/>
      <c r="K119" s="127" t="n"/>
      <c r="L119" s="127" t="n"/>
      <c r="M119" s="127" t="n"/>
      <c r="N119" s="127" t="n"/>
      <c r="O119" s="127" t="n"/>
      <c r="P119" s="127" t="n"/>
      <c r="Q119" s="129" t="n"/>
      <c r="R119" s="129" t="n"/>
      <c r="S119" s="127" t="n"/>
      <c r="T119" s="127" t="n"/>
      <c r="U119" s="127" t="n"/>
    </row>
    <row r="120" hidden="1" s="518">
      <c r="A120" s="127" t="n"/>
      <c r="B120" s="128" t="n"/>
      <c r="C120" s="129" t="n"/>
      <c r="D120" s="139" t="n"/>
      <c r="E120" s="127" t="n"/>
      <c r="F120" s="127" t="n"/>
      <c r="G120" s="127" t="n"/>
      <c r="H120" s="127" t="n"/>
      <c r="I120" s="127" t="n"/>
      <c r="J120" s="127" t="n"/>
      <c r="K120" s="127" t="n"/>
      <c r="L120" s="127" t="n"/>
      <c r="M120" s="127" t="n"/>
      <c r="N120" s="127" t="n"/>
      <c r="O120" s="127" t="n"/>
      <c r="P120" s="127" t="n"/>
      <c r="Q120" s="129" t="n"/>
      <c r="R120" s="129" t="n"/>
      <c r="S120" s="127" t="n"/>
      <c r="T120" s="127" t="n"/>
      <c r="U120" s="127" t="n"/>
    </row>
    <row r="121" hidden="1" s="518">
      <c r="A121" s="127" t="n"/>
      <c r="B121" s="128" t="n"/>
      <c r="C121" s="129" t="n"/>
      <c r="D121" s="139" t="n"/>
      <c r="E121" s="127" t="n"/>
      <c r="F121" s="127" t="n"/>
      <c r="G121" s="127" t="n"/>
      <c r="H121" s="127" t="n"/>
      <c r="I121" s="127" t="n"/>
      <c r="J121" s="127" t="n"/>
      <c r="K121" s="127" t="n"/>
      <c r="L121" s="127" t="n"/>
      <c r="M121" s="127" t="n"/>
      <c r="N121" s="127" t="n"/>
      <c r="O121" s="127" t="n"/>
      <c r="P121" s="127" t="n"/>
      <c r="Q121" s="129" t="n"/>
      <c r="R121" s="129" t="n"/>
      <c r="S121" s="127" t="n"/>
      <c r="T121" s="127" t="n"/>
      <c r="U121" s="127" t="n"/>
    </row>
    <row r="122" hidden="1" ht="24" customHeight="1" s="518">
      <c r="A122" s="127" t="n"/>
      <c r="B122" s="140" t="n"/>
      <c r="C122" s="129" t="n"/>
      <c r="D122" s="139" t="n"/>
      <c r="E122" s="127" t="n"/>
      <c r="F122" s="127" t="n"/>
      <c r="G122" s="127" t="n"/>
      <c r="H122" s="127" t="n"/>
      <c r="I122" s="127" t="n"/>
      <c r="J122" s="127" t="n"/>
      <c r="K122" s="127" t="n"/>
      <c r="L122" s="127" t="n"/>
      <c r="M122" s="127" t="n"/>
      <c r="N122" s="127" t="n"/>
      <c r="O122" s="127" t="n"/>
      <c r="P122" s="127" t="n"/>
      <c r="Q122" s="127" t="n"/>
      <c r="R122" s="127" t="n"/>
      <c r="S122" s="127" t="n"/>
      <c r="T122" s="127" t="n"/>
      <c r="U122" s="127" t="n"/>
    </row>
    <row r="123" hidden="1" s="518">
      <c r="A123" s="127" t="n"/>
      <c r="B123" s="128" t="n"/>
      <c r="C123" s="129" t="n"/>
      <c r="D123" s="139" t="n"/>
      <c r="E123" s="127" t="n"/>
      <c r="F123" s="127" t="n"/>
      <c r="G123" s="127" t="n"/>
      <c r="H123" s="127" t="n"/>
      <c r="I123" s="127" t="n"/>
      <c r="J123" s="127" t="n"/>
      <c r="K123" s="127" t="n"/>
      <c r="L123" s="127" t="n"/>
      <c r="M123" s="127" t="n"/>
      <c r="N123" s="127" t="n"/>
      <c r="O123" s="127" t="n"/>
      <c r="P123" s="127" t="n"/>
      <c r="Q123" s="127" t="n"/>
      <c r="R123" s="127" t="n"/>
      <c r="S123" s="127" t="n"/>
      <c r="T123" s="127" t="n"/>
      <c r="U123" s="127" t="n"/>
    </row>
    <row r="124" hidden="1" s="518">
      <c r="A124" s="127" t="n"/>
      <c r="B124" s="128" t="n"/>
      <c r="C124" s="129" t="n"/>
      <c r="D124" s="139" t="n"/>
      <c r="E124" s="127" t="n"/>
      <c r="F124" s="127" t="n"/>
      <c r="G124" s="127" t="n"/>
      <c r="H124" s="127" t="n"/>
      <c r="I124" s="127" t="n"/>
      <c r="J124" s="127" t="n"/>
      <c r="K124" s="127" t="n"/>
      <c r="L124" s="127" t="n"/>
      <c r="M124" s="127" t="n"/>
      <c r="N124" s="127" t="n"/>
      <c r="O124" s="127" t="n"/>
      <c r="P124" s="127" t="n"/>
      <c r="Q124" s="127" t="n"/>
      <c r="R124" s="127" t="n"/>
      <c r="S124" s="127" t="n"/>
      <c r="T124" s="127" t="n"/>
      <c r="U124" s="127" t="n"/>
    </row>
    <row r="125" hidden="1" s="518">
      <c r="A125" s="127" t="n"/>
      <c r="B125" s="128" t="n"/>
      <c r="C125" s="129" t="n"/>
      <c r="D125" s="139" t="n"/>
      <c r="E125" s="127" t="n"/>
      <c r="F125" s="127" t="n"/>
      <c r="G125" s="127" t="n"/>
      <c r="H125" s="127" t="n"/>
      <c r="I125" s="127" t="n"/>
      <c r="J125" s="127" t="n"/>
      <c r="K125" s="127" t="n"/>
      <c r="L125" s="127" t="n"/>
      <c r="M125" s="127" t="n"/>
      <c r="N125" s="127" t="n"/>
      <c r="O125" s="127" t="n"/>
      <c r="P125" s="127" t="n"/>
      <c r="Q125" s="127" t="n"/>
      <c r="R125" s="127" t="n"/>
      <c r="S125" s="127" t="n"/>
      <c r="T125" s="127" t="n"/>
      <c r="U125" s="127" t="n"/>
    </row>
    <row r="126" hidden="1" s="518">
      <c r="A126" s="127" t="n"/>
      <c r="B126" s="128" t="n"/>
      <c r="C126" s="129" t="n"/>
      <c r="D126" s="139" t="n"/>
      <c r="E126" s="127" t="n"/>
      <c r="F126" s="127" t="n"/>
      <c r="G126" s="127" t="n"/>
      <c r="H126" s="127" t="n"/>
      <c r="I126" s="127" t="n"/>
      <c r="J126" s="127" t="n"/>
      <c r="K126" s="127" t="n"/>
      <c r="L126" s="127" t="n"/>
      <c r="M126" s="127" t="n"/>
      <c r="N126" s="127" t="n"/>
      <c r="O126" s="127" t="n"/>
      <c r="P126" s="127" t="n"/>
      <c r="Q126" s="127" t="n"/>
      <c r="R126" s="127" t="n"/>
      <c r="S126" s="127" t="n"/>
      <c r="T126" s="127" t="n"/>
      <c r="U126" s="127" t="n"/>
    </row>
    <row r="127" hidden="1" s="518">
      <c r="A127" s="127" t="n"/>
      <c r="B127" s="128" t="n"/>
      <c r="C127" s="129" t="n"/>
      <c r="D127" s="139" t="n"/>
      <c r="E127" s="127" t="n"/>
      <c r="F127" s="127" t="n"/>
      <c r="G127" s="127" t="n"/>
      <c r="H127" s="127" t="n"/>
      <c r="I127" s="127" t="n"/>
      <c r="J127" s="127" t="n"/>
      <c r="K127" s="127" t="n"/>
      <c r="L127" s="127" t="n"/>
      <c r="M127" s="127" t="n"/>
      <c r="N127" s="127" t="n"/>
      <c r="O127" s="127" t="n"/>
      <c r="P127" s="127" t="n"/>
      <c r="Q127" s="127" t="n"/>
      <c r="R127" s="127" t="n"/>
      <c r="S127" s="127" t="n"/>
      <c r="T127" s="127" t="n"/>
      <c r="U127" s="127" t="n"/>
    </row>
    <row r="128" hidden="1" s="518">
      <c r="A128" s="127" t="n"/>
      <c r="B128" s="128" t="n"/>
      <c r="C128" s="129" t="n"/>
      <c r="D128" s="139" t="n"/>
      <c r="E128" s="127" t="n"/>
      <c r="F128" s="127" t="n"/>
      <c r="G128" s="127" t="n"/>
      <c r="H128" s="127" t="n"/>
      <c r="I128" s="127" t="n"/>
      <c r="J128" s="127" t="n"/>
      <c r="K128" s="127" t="n"/>
      <c r="L128" s="127" t="n"/>
      <c r="M128" s="127" t="n"/>
      <c r="N128" s="127" t="n"/>
      <c r="O128" s="127" t="n"/>
      <c r="P128" s="127" t="n"/>
      <c r="Q128" s="127" t="n"/>
      <c r="R128" s="127" t="n"/>
      <c r="S128" s="127" t="n"/>
      <c r="T128" s="127" t="n"/>
      <c r="U128" s="127" t="n"/>
    </row>
    <row r="129" hidden="1" s="518">
      <c r="A129" s="127" t="n"/>
      <c r="B129" s="128" t="n"/>
      <c r="C129" s="129" t="n"/>
      <c r="D129" s="139" t="n"/>
      <c r="E129" s="127" t="n"/>
      <c r="F129" s="127" t="n"/>
      <c r="G129" s="127" t="n"/>
      <c r="H129" s="127" t="n"/>
      <c r="I129" s="127" t="n"/>
      <c r="J129" s="127" t="n"/>
      <c r="K129" s="127" t="n"/>
      <c r="L129" s="127" t="n"/>
      <c r="M129" s="127" t="n"/>
      <c r="N129" s="127" t="n"/>
      <c r="O129" s="127" t="n"/>
      <c r="P129" s="127" t="n"/>
      <c r="Q129" s="127" t="n"/>
      <c r="R129" s="127" t="n"/>
      <c r="S129" s="127" t="n"/>
      <c r="T129" s="127" t="n"/>
      <c r="U129" s="127" t="n"/>
    </row>
    <row r="130" hidden="1" s="518">
      <c r="A130" s="127" t="n"/>
      <c r="B130" s="128" t="n"/>
      <c r="C130" s="129" t="n"/>
      <c r="D130" s="139" t="n"/>
      <c r="E130" s="127" t="n"/>
      <c r="F130" s="127" t="n"/>
      <c r="G130" s="127" t="n"/>
      <c r="H130" s="127" t="n"/>
      <c r="I130" s="127" t="n"/>
      <c r="J130" s="127" t="n"/>
      <c r="K130" s="127" t="n"/>
      <c r="L130" s="127" t="n"/>
      <c r="M130" s="127" t="n"/>
      <c r="N130" s="127" t="n"/>
      <c r="O130" s="127" t="n"/>
      <c r="P130" s="127" t="n"/>
      <c r="Q130" s="127" t="n"/>
      <c r="R130" s="127" t="n"/>
      <c r="S130" s="127" t="n"/>
      <c r="T130" s="127" t="n"/>
      <c r="U130" s="127" t="n"/>
    </row>
    <row r="131" hidden="1" s="518">
      <c r="A131" s="127" t="n"/>
      <c r="B131" s="128" t="n"/>
      <c r="C131" s="129" t="n"/>
      <c r="D131" s="139" t="n"/>
      <c r="E131" s="127" t="n"/>
      <c r="F131" s="127" t="n"/>
      <c r="G131" s="127" t="n"/>
      <c r="H131" s="127" t="n"/>
      <c r="I131" s="127" t="n"/>
      <c r="J131" s="127" t="n"/>
      <c r="K131" s="127" t="n"/>
      <c r="L131" s="127" t="n"/>
      <c r="M131" s="127" t="n"/>
      <c r="N131" s="127" t="n"/>
      <c r="O131" s="127" t="n"/>
      <c r="P131" s="127" t="n"/>
      <c r="Q131" s="127" t="n"/>
      <c r="R131" s="127" t="n"/>
      <c r="S131" s="127" t="n"/>
      <c r="T131" s="127" t="n"/>
      <c r="U131" s="127" t="n"/>
    </row>
    <row r="132" hidden="1" s="518">
      <c r="A132" s="127" t="n"/>
      <c r="B132" s="129" t="n"/>
      <c r="C132" s="129" t="n"/>
      <c r="D132" s="129" t="n"/>
      <c r="E132" s="127" t="n"/>
      <c r="F132" s="127" t="n"/>
      <c r="G132" s="127" t="n"/>
      <c r="H132" s="127" t="n"/>
      <c r="I132" s="127" t="n"/>
      <c r="J132" s="127" t="n"/>
      <c r="K132" s="127" t="n"/>
      <c r="L132" s="127" t="n"/>
      <c r="M132" s="127" t="n"/>
      <c r="N132" s="127" t="n"/>
      <c r="O132" s="127" t="n"/>
      <c r="P132" s="127" t="n"/>
      <c r="Q132" s="127" t="n"/>
      <c r="R132" s="127" t="n"/>
      <c r="S132" s="127" t="n"/>
      <c r="T132" s="127" t="n"/>
      <c r="U132" s="127" t="n"/>
    </row>
    <row r="133" hidden="1" s="518">
      <c r="A133" s="127" t="n"/>
      <c r="B133" s="135" t="n"/>
      <c r="C133" s="129" t="n"/>
      <c r="D133" s="127" t="n"/>
      <c r="E133" s="127" t="n"/>
      <c r="F133" s="127" t="n"/>
      <c r="G133" s="127" t="n"/>
      <c r="H133" s="127" t="n"/>
      <c r="I133" s="127" t="n"/>
      <c r="J133" s="127" t="n"/>
      <c r="K133" s="127" t="n"/>
      <c r="L133" s="127" t="n"/>
      <c r="M133" s="127" t="n"/>
      <c r="N133" s="127" t="n"/>
      <c r="O133" s="127" t="n"/>
      <c r="P133" s="127" t="n"/>
      <c r="Q133" s="127" t="n"/>
      <c r="R133" s="127" t="n"/>
      <c r="S133" s="127" t="n"/>
      <c r="T133" s="127" t="n"/>
      <c r="U133" s="127" t="n"/>
    </row>
    <row r="134" hidden="1" s="518">
      <c r="A134" s="127" t="n"/>
      <c r="B134" s="127" t="n"/>
      <c r="C134" s="127" t="n"/>
      <c r="D134" s="127" t="n"/>
      <c r="E134" s="127" t="n"/>
      <c r="F134" s="127" t="n"/>
      <c r="G134" s="127" t="n"/>
      <c r="H134" s="127" t="n"/>
      <c r="I134" s="127" t="n"/>
      <c r="J134" s="127" t="n"/>
      <c r="K134" s="127" t="n"/>
      <c r="L134" s="127" t="n"/>
      <c r="M134" s="127" t="n"/>
      <c r="N134" s="127" t="n"/>
      <c r="O134" s="127" t="n"/>
      <c r="P134" s="127" t="n"/>
      <c r="Q134" s="127" t="n"/>
      <c r="R134" s="127" t="n"/>
      <c r="S134" s="127" t="n"/>
      <c r="T134" s="127" t="n"/>
      <c r="U134" s="127" t="n"/>
    </row>
    <row r="135" hidden="1" s="518">
      <c r="A135" s="127" t="n"/>
      <c r="B135" s="128" t="n"/>
      <c r="C135" s="131" t="n"/>
      <c r="D135" s="129" t="n"/>
      <c r="E135" s="127" t="n"/>
      <c r="F135" s="127" t="n"/>
      <c r="G135" s="127" t="n"/>
      <c r="H135" s="127" t="n"/>
      <c r="I135" s="127" t="n"/>
      <c r="J135" s="127" t="n"/>
      <c r="K135" s="127" t="n"/>
      <c r="L135" s="127" t="n"/>
      <c r="M135" s="127" t="n"/>
      <c r="N135" s="127" t="n"/>
      <c r="O135" s="127" t="n"/>
      <c r="P135" s="127" t="n"/>
      <c r="Q135" s="127" t="n"/>
      <c r="R135" s="127" t="n"/>
      <c r="S135" s="127" t="n"/>
      <c r="T135" s="127" t="n"/>
      <c r="U135" s="127" t="n"/>
    </row>
    <row r="136" hidden="1" ht="15" customHeight="1" s="518">
      <c r="B136" s="141" t="n"/>
      <c r="C136" s="698" t="n"/>
      <c r="D136" s="143" t="n"/>
      <c r="E136" s="144" t="n"/>
      <c r="F136" s="699" t="n"/>
      <c r="G136" s="699" t="n"/>
      <c r="H136" s="146" t="n"/>
      <c r="I136" s="146" t="n"/>
    </row>
    <row r="137" ht="15" customHeight="1" s="518">
      <c r="B137" s="147" t="n"/>
      <c r="C137" s="144" t="n"/>
      <c r="D137" s="144" t="n"/>
      <c r="E137" s="144" t="n"/>
      <c r="F137" s="699" t="n"/>
      <c r="G137" s="699" t="n"/>
      <c r="H137" s="146" t="n"/>
      <c r="I137" s="146" t="n"/>
    </row>
    <row r="138" ht="15" customHeight="1" s="518">
      <c r="B138" s="147" t="n"/>
      <c r="C138" s="144" t="n"/>
      <c r="D138" s="144" t="n"/>
      <c r="E138" s="144" t="n"/>
      <c r="F138" s="699" t="n"/>
      <c r="G138" s="699" t="n"/>
      <c r="H138" s="146" t="n"/>
      <c r="I138" s="146" t="n"/>
    </row>
    <row r="139" ht="15" customHeight="1" s="518">
      <c r="B139" s="147" t="n"/>
      <c r="C139" s="144" t="n"/>
      <c r="D139" s="144" t="n"/>
      <c r="E139" s="144" t="n"/>
      <c r="F139" s="699" t="n"/>
      <c r="G139" s="699" t="n"/>
      <c r="H139" s="146" t="n"/>
      <c r="I139" s="146" t="n"/>
    </row>
    <row r="140" ht="15" customHeight="1" s="518">
      <c r="B140" s="147" t="n"/>
      <c r="C140" s="144" t="n"/>
      <c r="D140" s="144" t="n"/>
      <c r="E140" s="144" t="n"/>
      <c r="F140" s="699" t="n"/>
      <c r="G140" s="699" t="n"/>
      <c r="H140" s="146" t="n"/>
      <c r="I140" s="146" t="n"/>
    </row>
    <row r="141" ht="15" customHeight="1" s="518">
      <c r="B141" s="147" t="n"/>
      <c r="C141" s="144" t="n"/>
      <c r="D141" s="144" t="n"/>
      <c r="E141" s="144" t="n"/>
      <c r="F141" s="699" t="n"/>
      <c r="G141" s="699" t="n"/>
      <c r="H141" s="146" t="n"/>
      <c r="I141" s="146" t="n"/>
    </row>
    <row r="142" ht="15" customHeight="1" s="518">
      <c r="B142" s="147" t="n"/>
      <c r="C142" s="144" t="n"/>
      <c r="D142" s="144" t="n"/>
      <c r="E142" s="144" t="n"/>
      <c r="F142" s="699" t="n"/>
      <c r="G142" s="699" t="n"/>
      <c r="H142" s="146" t="n"/>
      <c r="I142" s="146" t="n"/>
    </row>
    <row r="143" ht="15" customHeight="1" s="518">
      <c r="B143" s="147" t="n"/>
      <c r="C143" s="144" t="n"/>
      <c r="D143" s="144" t="n"/>
      <c r="E143" s="144" t="n"/>
      <c r="F143" s="699" t="n"/>
      <c r="G143" s="699" t="n"/>
      <c r="H143" s="146" t="n"/>
      <c r="I143" s="146" t="n"/>
    </row>
    <row r="144" ht="15" customHeight="1" s="518">
      <c r="B144" s="147" t="n"/>
      <c r="C144" s="144" t="n"/>
      <c r="D144" s="144" t="n"/>
      <c r="E144" s="144" t="n"/>
      <c r="F144" s="699" t="n"/>
      <c r="G144" s="699" t="n"/>
      <c r="H144" s="146" t="n"/>
      <c r="I144" s="146" t="n"/>
    </row>
    <row r="145" ht="15" customHeight="1" s="518">
      <c r="B145" s="147" t="n"/>
      <c r="C145" s="144" t="n"/>
      <c r="D145" s="144" t="n"/>
      <c r="E145" s="144" t="n"/>
      <c r="F145" s="699" t="n"/>
      <c r="G145" s="699" t="n"/>
      <c r="H145" s="146" t="n"/>
      <c r="I145" s="146" t="n"/>
    </row>
    <row r="146" ht="15" customHeight="1" s="518">
      <c r="B146" s="147" t="n"/>
      <c r="C146" s="144" t="n"/>
      <c r="D146" s="144" t="n"/>
      <c r="E146" s="144" t="n"/>
      <c r="F146" s="699" t="n"/>
      <c r="G146" s="699" t="n"/>
      <c r="H146" s="146" t="n"/>
      <c r="I146" s="146" t="n"/>
    </row>
    <row r="147" ht="15" customHeight="1" s="518">
      <c r="B147" s="147" t="n"/>
      <c r="C147" s="144" t="n"/>
      <c r="D147" s="144" t="n"/>
      <c r="E147" s="144" t="n"/>
      <c r="F147" s="699" t="n"/>
      <c r="G147" s="699" t="n"/>
      <c r="H147" s="146" t="n"/>
      <c r="I147" s="146" t="n"/>
    </row>
    <row r="223" ht="14" customHeight="1" s="518">
      <c r="Q223" s="148" t="n"/>
      <c r="R223" s="148" t="n"/>
    </row>
    <row r="224" ht="14" customHeight="1" s="518">
      <c r="Q224" s="148" t="n"/>
      <c r="R224" s="148" t="n"/>
    </row>
    <row r="225" ht="14" customHeight="1" s="518">
      <c r="Q225" s="148" t="n"/>
      <c r="R225" s="148" t="n"/>
    </row>
    <row r="226" ht="14" customHeight="1" s="518">
      <c r="Q226" s="148" t="n"/>
      <c r="R226" s="148" t="n"/>
    </row>
    <row r="341" ht="14" customHeight="1" s="518">
      <c r="Q341" s="148" t="n"/>
      <c r="R341" s="148" t="n"/>
    </row>
    <row r="540" ht="14" customHeight="1" s="518">
      <c r="Q540" s="148" t="n"/>
      <c r="R540" s="148" t="n"/>
    </row>
    <row r="541" ht="14" customHeight="1" s="518">
      <c r="Q541" s="148" t="n"/>
      <c r="R541" s="148" t="n"/>
    </row>
    <row r="542" ht="14" customHeight="1" s="518">
      <c r="Q542" s="148" t="n"/>
      <c r="R542" s="148" t="n"/>
    </row>
  </sheetData>
  <mergeCells count="3">
    <mergeCell ref="B77:I77"/>
    <mergeCell ref="B2:G2"/>
    <mergeCell ref="B79:I79"/>
  </mergeCells>
  <dataValidations count="8">
    <dataValidation sqref="D11 D74" showDropDown="0" showInputMessage="1" showErrorMessage="1" allowBlank="1"/>
    <dataValidation sqref="C4" showDropDown="0" showInputMessage="0" showErrorMessage="0" allowBlank="1" type="list">
      <formula1>OCC_NAME</formula1>
    </dataValidation>
    <dataValidation sqref="C6" showDropDown="0" showInputMessage="0" showErrorMessage="0" allowBlank="1" type="list">
      <formula1>"A,B,A-B,C,CMILL,CDS,D,DPOLE,DMASVEN,S,SSLANT"</formula1>
    </dataValidation>
    <dataValidation sqref="C7 C14" showDropDown="0" showInputMessage="0" showErrorMessage="0" allowBlank="1" type="list">
      <formula1>"Low Cost,Fair,Average,Good,Very Good,Excellent,Cheap"</formula1>
    </dataValidation>
    <dataValidation sqref="C8" showDropDown="0" showInputMessage="0" showErrorMessage="0" allowBlank="1" type="list">
      <formula1>LAM_CITY</formula1>
    </dataValidation>
    <dataValidation sqref="C18:C19" showDropDown="0" showInputMessage="0" showErrorMessage="0" allowBlank="1" type="list">
      <formula1>DEN_LABEL</formula1>
    </dataValidation>
    <dataValidation sqref="C82" showDropDown="0" showInputMessage="0" showErrorMessage="1" allowBlank="1" type="list">
      <formula1>"70,65,60,55,50,45,40,35,30,25,20"</formula1>
    </dataValidation>
    <dataValidation sqref="C83" showDropDown="0" showInputMessage="0" showErrorMessage="1" allowBlank="1" type="list">
      <formula1>"11,12,13,14,15,16,17,18"</formula1>
    </dataValidation>
  </dataValidations>
  <pageMargins left="0.75" right="0.75" top="1" bottom="1" header="0.5" footer="0.5"/>
  <legacyDrawing xmlns:r="http://schemas.openxmlformats.org/officeDocument/2006/relationships" r:id="anysvml"/>
</worksheet>
</file>

<file path=xl/worksheets/sheet11.xml><?xml version="1.0" encoding="utf-8"?>
<worksheet xmlns="http://schemas.openxmlformats.org/spreadsheetml/2006/main">
  <sheetPr>
    <outlinePr summaryBelow="1" summaryRight="1"/>
    <pageSetUpPr/>
  </sheetPr>
  <dimension ref="B1:L45"/>
  <sheetViews>
    <sheetView workbookViewId="0">
      <selection activeCell="C7" sqref="C7"/>
    </sheetView>
  </sheetViews>
  <sheetFormatPr baseColWidth="8" defaultRowHeight="12.5"/>
  <cols>
    <col width="2" customWidth="1" style="518" min="1" max="1"/>
    <col width="46" customWidth="1" style="518" min="2" max="2"/>
    <col width="14" customWidth="1" style="518" min="3" max="12"/>
  </cols>
  <sheetData>
    <row r="1" ht="22" customHeight="1" s="518">
      <c r="B1" s="187" t="inlineStr">
        <is>
          <t>COST APPROACH — MULTI-BUILDING SUMMARY</t>
        </is>
      </c>
      <c r="C1" s="187" t="n"/>
      <c r="D1" s="187" t="n"/>
      <c r="E1" s="187" t="n"/>
      <c r="F1" s="187" t="n"/>
      <c r="G1" s="187" t="n"/>
      <c r="H1" s="187" t="n"/>
      <c r="I1" s="187" t="n"/>
      <c r="J1" s="187" t="n"/>
      <c r="K1" s="187" t="n"/>
      <c r="L1" s="187" t="n"/>
    </row>
    <row r="2" ht="70" customHeight="1" s="518">
      <c r="B2" s="166" t="inlineStr">
        <is>
          <t>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t="n"/>
      <c r="D2" s="166" t="n"/>
      <c r="E2" s="166" t="n"/>
      <c r="F2" s="166" t="n"/>
      <c r="G2" s="166" t="n"/>
      <c r="H2" s="166" t="n"/>
      <c r="I2" s="166" t="n"/>
      <c r="J2" s="166" t="n"/>
      <c r="K2" s="166" t="n"/>
      <c r="L2" s="166" t="n"/>
    </row>
    <row r="4">
      <c r="B4" s="166" t="inlineStr">
        <is>
          <t>Line item \ Building</t>
        </is>
      </c>
      <c r="C4" s="166" t="inlineStr">
        <is>
          <t>Building 1</t>
        </is>
      </c>
      <c r="D4" s="166" t="inlineStr">
        <is>
          <t>Building 2</t>
        </is>
      </c>
      <c r="E4" s="166" t="inlineStr">
        <is>
          <t>Building 3</t>
        </is>
      </c>
      <c r="F4" s="166" t="inlineStr">
        <is>
          <t>Building 4</t>
        </is>
      </c>
      <c r="G4" s="166" t="inlineStr">
        <is>
          <t>Building 5</t>
        </is>
      </c>
      <c r="H4" s="166" t="inlineStr">
        <is>
          <t>Building 6</t>
        </is>
      </c>
      <c r="I4" s="166" t="inlineStr">
        <is>
          <t>Building 7</t>
        </is>
      </c>
      <c r="J4" s="166" t="inlineStr">
        <is>
          <t>Building 8</t>
        </is>
      </c>
      <c r="K4" s="166" t="inlineStr">
        <is>
          <t>Building 9</t>
        </is>
      </c>
      <c r="L4" s="166" t="inlineStr">
        <is>
          <t>Building 10</t>
        </is>
      </c>
    </row>
    <row r="5">
      <c r="B5" s="166" t="inlineStr">
        <is>
          <t>OCC Code (from Subject Property)</t>
        </is>
      </c>
      <c r="C5" s="191">
        <f>'Subject Property'!C14</f>
        <v/>
      </c>
      <c r="D5" s="191">
        <f>'Subject Property'!D14</f>
        <v/>
      </c>
      <c r="E5" s="191">
        <f>'Subject Property'!E14</f>
        <v/>
      </c>
      <c r="F5" s="191">
        <f>'Subject Property'!F14</f>
        <v/>
      </c>
      <c r="G5" s="191">
        <f>'Subject Property'!G14</f>
        <v/>
      </c>
      <c r="H5" s="191">
        <f>'Subject Property'!H14</f>
        <v/>
      </c>
      <c r="I5" s="191">
        <f>'Subject Property'!I14</f>
        <v/>
      </c>
      <c r="J5" s="191">
        <f>'Subject Property'!J14</f>
        <v/>
      </c>
      <c r="K5" s="191">
        <f>'Subject Property'!K14</f>
        <v/>
      </c>
      <c r="L5" s="191">
        <f>'Subject Property'!L14</f>
        <v/>
      </c>
    </row>
    <row r="6">
      <c r="B6" s="166" t="inlineStr">
        <is>
          <t>Occupancy (MVS, auto)</t>
        </is>
      </c>
      <c r="C6" s="191">
        <f>IF(C5="","",IFERROR(INDEX(OCCMAP_NAME,MATCH(C5,OCCMAP_CODE,0)),"n/a"))</f>
        <v/>
      </c>
      <c r="D6" s="191">
        <f>IF(D5="","",IFERROR(INDEX(OCCMAP_NAME,MATCH(D5,OCCMAP_CODE,0)),"n/a"))</f>
        <v/>
      </c>
      <c r="E6" s="191">
        <f>IF(E5="","",IFERROR(INDEX(OCCMAP_NAME,MATCH(E5,OCCMAP_CODE,0)),"n/a"))</f>
        <v/>
      </c>
      <c r="F6" s="191">
        <f>IF(F5="","",IFERROR(INDEX(OCCMAP_NAME,MATCH(F5,OCCMAP_CODE,0)),"n/a"))</f>
        <v/>
      </c>
      <c r="G6" s="191">
        <f>IF(G5="","",IFERROR(INDEX(OCCMAP_NAME,MATCH(G5,OCCMAP_CODE,0)),"n/a"))</f>
        <v/>
      </c>
      <c r="H6" s="191">
        <f>IF(H5="","",IFERROR(INDEX(OCCMAP_NAME,MATCH(H5,OCCMAP_CODE,0)),"n/a"))</f>
        <v/>
      </c>
      <c r="I6" s="191">
        <f>IF(I5="","",IFERROR(INDEX(OCCMAP_NAME,MATCH(I5,OCCMAP_CODE,0)),"n/a"))</f>
        <v/>
      </c>
      <c r="J6" s="191">
        <f>IF(J5="","",IFERROR(INDEX(OCCMAP_NAME,MATCH(J5,OCCMAP_CODE,0)),"n/a"))</f>
        <v/>
      </c>
      <c r="K6" s="191">
        <f>IF(K5="","",IFERROR(INDEX(OCCMAP_NAME,MATCH(K5,OCCMAP_CODE,0)),"n/a"))</f>
        <v/>
      </c>
      <c r="L6" s="191">
        <f>IF(L5="","",IFERROR(INDEX(OCCMAP_NAME,MATCH(L5,OCCMAP_CODE,0)),"n/a"))</f>
        <v/>
      </c>
    </row>
    <row r="7">
      <c r="B7" s="166" t="inlineStr">
        <is>
          <t>Building Class  [enter]</t>
        </is>
      </c>
      <c r="C7" s="521" t="inlineStr">
        <is>
          <t>C</t>
        </is>
      </c>
      <c r="D7" s="521" t="n"/>
      <c r="E7" s="521" t="n"/>
      <c r="F7" s="521" t="n"/>
      <c r="G7" s="521" t="n"/>
      <c r="H7" s="521" t="n"/>
      <c r="I7" s="521" t="n"/>
      <c r="J7" s="521" t="n"/>
      <c r="K7" s="521" t="n"/>
      <c r="L7" s="521" t="n"/>
    </row>
    <row r="8">
      <c r="B8" s="166" t="inlineStr">
        <is>
          <t>Quality (MVS)  [enter]</t>
        </is>
      </c>
      <c r="C8" s="521" t="inlineStr">
        <is>
          <t>Excellent</t>
        </is>
      </c>
      <c r="D8" s="521" t="n"/>
      <c r="E8" s="521" t="n"/>
      <c r="F8" s="521" t="n"/>
      <c r="G8" s="521" t="n"/>
      <c r="H8" s="521" t="n"/>
      <c r="I8" s="521" t="n"/>
      <c r="J8" s="521" t="n"/>
      <c r="K8" s="521" t="n"/>
      <c r="L8" s="521" t="n"/>
    </row>
    <row r="9">
      <c r="B9" s="166" t="inlineStr">
        <is>
          <t>Building Size SF (from Subject)</t>
        </is>
      </c>
      <c r="C9" s="189">
        <f>'Subject Property'!C15</f>
        <v/>
      </c>
      <c r="D9" s="189">
        <f>'Subject Property'!D15</f>
        <v/>
      </c>
      <c r="E9" s="189">
        <f>'Subject Property'!E15</f>
        <v/>
      </c>
      <c r="F9" s="189">
        <f>'Subject Property'!F15</f>
        <v/>
      </c>
      <c r="G9" s="189">
        <f>'Subject Property'!G15</f>
        <v/>
      </c>
      <c r="H9" s="189">
        <f>'Subject Property'!H15</f>
        <v/>
      </c>
      <c r="I9" s="189">
        <f>'Subject Property'!I15</f>
        <v/>
      </c>
      <c r="J9" s="189">
        <f>'Subject Property'!J15</f>
        <v/>
      </c>
      <c r="K9" s="189">
        <f>'Subject Property'!K15</f>
        <v/>
      </c>
      <c r="L9" s="189">
        <f>'Subject Property'!L15</f>
        <v/>
      </c>
    </row>
    <row r="10">
      <c r="B10" s="166" t="inlineStr">
        <is>
          <t>Avg Eave/Wall Height ft  [enter]</t>
        </is>
      </c>
      <c r="C10" s="189" t="n">
        <v>18</v>
      </c>
      <c r="D10" s="189" t="n"/>
      <c r="E10" s="189" t="n"/>
      <c r="F10" s="189" t="n"/>
      <c r="G10" s="189" t="n"/>
      <c r="H10" s="189" t="n"/>
      <c r="I10" s="189" t="n"/>
      <c r="J10" s="189" t="n"/>
      <c r="K10" s="189" t="n"/>
      <c r="L10" s="189" t="n"/>
    </row>
    <row r="11">
      <c r="B11" s="166" t="inlineStr">
        <is>
          <t>Sprinkler Tier  [enter]</t>
        </is>
      </c>
      <c r="C11" s="521" t="inlineStr">
        <is>
          <t>Average</t>
        </is>
      </c>
      <c r="D11" s="521" t="n"/>
      <c r="E11" s="521" t="n"/>
      <c r="F11" s="521" t="n"/>
      <c r="G11" s="521" t="n"/>
      <c r="H11" s="521" t="n"/>
      <c r="I11" s="521" t="n"/>
      <c r="J11" s="521" t="n"/>
      <c r="K11" s="521" t="n"/>
      <c r="L11" s="521" t="n"/>
    </row>
    <row r="12">
      <c r="B12" s="166" t="inlineStr">
        <is>
          <t>Effective Age yrs (from Subject)</t>
        </is>
      </c>
      <c r="C12" s="189">
        <f>'Subject Property'!C19</f>
        <v/>
      </c>
      <c r="D12" s="189">
        <f>'Subject Property'!D19</f>
        <v/>
      </c>
      <c r="E12" s="189">
        <f>'Subject Property'!E19</f>
        <v/>
      </c>
      <c r="F12" s="189">
        <f>'Subject Property'!F19</f>
        <v/>
      </c>
      <c r="G12" s="189">
        <f>'Subject Property'!G19</f>
        <v/>
      </c>
      <c r="H12" s="189">
        <f>'Subject Property'!H19</f>
        <v/>
      </c>
      <c r="I12" s="189">
        <f>'Subject Property'!I19</f>
        <v/>
      </c>
      <c r="J12" s="189">
        <f>'Subject Property'!J19</f>
        <v/>
      </c>
      <c r="K12" s="189">
        <f>'Subject Property'!K19</f>
        <v/>
      </c>
      <c r="L12" s="189">
        <f>'Subject Property'!L19</f>
        <v/>
      </c>
    </row>
    <row r="13">
      <c r="B13" s="166" t="inlineStr">
        <is>
          <t>MVS Section (auto)</t>
        </is>
      </c>
      <c r="C13" s="191">
        <f>IFERROR(INDEX(OCC_SECTION,MATCH(C6,OCC_NAME,0)),"")</f>
        <v/>
      </c>
      <c r="D13" s="191">
        <f>IFERROR(INDEX(OCC_SECTION,MATCH(D6,OCC_NAME,0)),"")</f>
        <v/>
      </c>
      <c r="E13" s="191">
        <f>IFERROR(INDEX(OCC_SECTION,MATCH(E6,OCC_NAME,0)),"")</f>
        <v/>
      </c>
      <c r="F13" s="191">
        <f>IFERROR(INDEX(OCC_SECTION,MATCH(F6,OCC_NAME,0)),"")</f>
        <v/>
      </c>
      <c r="G13" s="191">
        <f>IFERROR(INDEX(OCC_SECTION,MATCH(G6,OCC_NAME,0)),"")</f>
        <v/>
      </c>
      <c r="H13" s="191">
        <f>IFERROR(INDEX(OCC_SECTION,MATCH(H6,OCC_NAME,0)),"")</f>
        <v/>
      </c>
      <c r="I13" s="191">
        <f>IFERROR(INDEX(OCC_SECTION,MATCH(I6,OCC_NAME,0)),"")</f>
        <v/>
      </c>
      <c r="J13" s="191">
        <f>IFERROR(INDEX(OCC_SECTION,MATCH(J6,OCC_NAME,0)),"")</f>
        <v/>
      </c>
      <c r="K13" s="191">
        <f>IFERROR(INDEX(OCC_SECTION,MATCH(K6,OCC_NAME,0)),"")</f>
        <v/>
      </c>
      <c r="L13" s="191">
        <f>IFERROR(INDEX(OCC_SECTION,MATCH(L6,OCC_NAME,0)),"")</f>
        <v/>
      </c>
    </row>
    <row r="14">
      <c r="B14" s="166" t="inlineStr">
        <is>
          <t>Base Cost $/SF (auto)</t>
        </is>
      </c>
      <c r="C14" s="191">
        <f>IFERROR(INDEX(BC_VALUE,MATCH(C6&amp;"|"&amp;C7&amp;"|"&amp;C8,BC_KEY,0)),0)</f>
        <v/>
      </c>
      <c r="D14" s="191">
        <f>IFERROR(INDEX(BC_VALUE,MATCH(D6&amp;"|"&amp;D7&amp;"|"&amp;D8,BC_KEY,0)),0)</f>
        <v/>
      </c>
      <c r="E14" s="191">
        <f>IFERROR(INDEX(BC_VALUE,MATCH(E6&amp;"|"&amp;E7&amp;"|"&amp;E8,BC_KEY,0)),0)</f>
        <v/>
      </c>
      <c r="F14" s="191">
        <f>IFERROR(INDEX(BC_VALUE,MATCH(F6&amp;"|"&amp;F7&amp;"|"&amp;F8,BC_KEY,0)),0)</f>
        <v/>
      </c>
      <c r="G14" s="191">
        <f>IFERROR(INDEX(BC_VALUE,MATCH(G6&amp;"|"&amp;G7&amp;"|"&amp;G8,BC_KEY,0)),0)</f>
        <v/>
      </c>
      <c r="H14" s="191">
        <f>IFERROR(INDEX(BC_VALUE,MATCH(H6&amp;"|"&amp;H7&amp;"|"&amp;H8,BC_KEY,0)),0)</f>
        <v/>
      </c>
      <c r="I14" s="191">
        <f>IFERROR(INDEX(BC_VALUE,MATCH(I6&amp;"|"&amp;I7&amp;"|"&amp;I8,BC_KEY,0)),0)</f>
        <v/>
      </c>
      <c r="J14" s="191">
        <f>IFERROR(INDEX(BC_VALUE,MATCH(J6&amp;"|"&amp;J7&amp;"|"&amp;J8,BC_KEY,0)),0)</f>
        <v/>
      </c>
      <c r="K14" s="191">
        <f>IFERROR(INDEX(BC_VALUE,MATCH(K6&amp;"|"&amp;K7&amp;"|"&amp;K8,BC_KEY,0)),0)</f>
        <v/>
      </c>
      <c r="L14" s="191">
        <f>IFERROR(INDEX(BC_VALUE,MATCH(L6&amp;"|"&amp;L7&amp;"|"&amp;L8,BC_KEY,0)),0)</f>
        <v/>
      </c>
    </row>
    <row r="15">
      <c r="B15" s="166" t="inlineStr">
        <is>
          <t>Sprinkler $/SF (auto)</t>
        </is>
      </c>
      <c r="C15" s="191">
        <f>IFERROR(INDEX(INDIRECT("SPR"&amp;C13&amp;"_VALS"),MATCH(C9,INDIRECT("SPR"&amp;C13&amp;"_SF"),1),MATCH(C11,SPR_HDR,0)),0)</f>
        <v/>
      </c>
      <c r="D15" s="191">
        <f>IFERROR(INDEX(INDIRECT("SPR"&amp;D13&amp;"_VALS"),MATCH(D9,INDIRECT("SPR"&amp;D13&amp;"_SF"),1),MATCH(D11,SPR_HDR,0)),0)</f>
        <v/>
      </c>
      <c r="E15" s="191">
        <f>IFERROR(INDEX(INDIRECT("SPR"&amp;E13&amp;"_VALS"),MATCH(E9,INDIRECT("SPR"&amp;E13&amp;"_SF"),1),MATCH(E11,SPR_HDR,0)),0)</f>
        <v/>
      </c>
      <c r="F15" s="191">
        <f>IFERROR(INDEX(INDIRECT("SPR"&amp;F13&amp;"_VALS"),MATCH(F9,INDIRECT("SPR"&amp;F13&amp;"_SF"),1),MATCH(F11,SPR_HDR,0)),0)</f>
        <v/>
      </c>
      <c r="G15" s="191">
        <f>IFERROR(INDEX(INDIRECT("SPR"&amp;G13&amp;"_VALS"),MATCH(G9,INDIRECT("SPR"&amp;G13&amp;"_SF"),1),MATCH(G11,SPR_HDR,0)),0)</f>
        <v/>
      </c>
      <c r="H15" s="191">
        <f>IFERROR(INDEX(INDIRECT("SPR"&amp;H13&amp;"_VALS"),MATCH(H9,INDIRECT("SPR"&amp;H13&amp;"_SF"),1),MATCH(H11,SPR_HDR,0)),0)</f>
        <v/>
      </c>
      <c r="I15" s="191">
        <f>IFERROR(INDEX(INDIRECT("SPR"&amp;I13&amp;"_VALS"),MATCH(I9,INDIRECT("SPR"&amp;I13&amp;"_SF"),1),MATCH(I11,SPR_HDR,0)),0)</f>
        <v/>
      </c>
      <c r="J15" s="191">
        <f>IFERROR(INDEX(INDIRECT("SPR"&amp;J13&amp;"_VALS"),MATCH(J9,INDIRECT("SPR"&amp;J13&amp;"_SF"),1),MATCH(J11,SPR_HDR,0)),0)</f>
        <v/>
      </c>
      <c r="K15" s="191">
        <f>IFERROR(INDEX(INDIRECT("SPR"&amp;K13&amp;"_VALS"),MATCH(K9,INDIRECT("SPR"&amp;K13&amp;"_SF"),1),MATCH(K11,SPR_HDR,0)),0)</f>
        <v/>
      </c>
      <c r="L15" s="191">
        <f>IFERROR(INDEX(INDIRECT("SPR"&amp;L13&amp;"_VALS"),MATCH(L9,INDIRECT("SPR"&amp;L13&amp;"_SF"),1),MATCH(L11,SPR_HDR,0)),0)</f>
        <v/>
      </c>
    </row>
    <row r="16">
      <c r="B16" s="166" t="inlineStr">
        <is>
          <t>Story-Height Mult (auto)</t>
        </is>
      </c>
      <c r="C16" s="191">
        <f>IFERROR(INDEX(INDIRECT("SH"&amp;C13&amp;"_M"),MATCH(C10,INDIRECT("SH"&amp;C13&amp;"_H"),1)),1)</f>
        <v/>
      </c>
      <c r="D16" s="191">
        <f>IFERROR(INDEX(INDIRECT("SH"&amp;D13&amp;"_M"),MATCH(D10,INDIRECT("SH"&amp;D13&amp;"_H"),1)),1)</f>
        <v/>
      </c>
      <c r="E16" s="191">
        <f>IFERROR(INDEX(INDIRECT("SH"&amp;E13&amp;"_M"),MATCH(E10,INDIRECT("SH"&amp;E13&amp;"_H"),1)),1)</f>
        <v/>
      </c>
      <c r="F16" s="191">
        <f>IFERROR(INDEX(INDIRECT("SH"&amp;F13&amp;"_M"),MATCH(F10,INDIRECT("SH"&amp;F13&amp;"_H"),1)),1)</f>
        <v/>
      </c>
      <c r="G16" s="191">
        <f>IFERROR(INDEX(INDIRECT("SH"&amp;G13&amp;"_M"),MATCH(G10,INDIRECT("SH"&amp;G13&amp;"_H"),1)),1)</f>
        <v/>
      </c>
      <c r="H16" s="191">
        <f>IFERROR(INDEX(INDIRECT("SH"&amp;H13&amp;"_M"),MATCH(H10,INDIRECT("SH"&amp;H13&amp;"_H"),1)),1)</f>
        <v/>
      </c>
      <c r="I16" s="191">
        <f>IFERROR(INDEX(INDIRECT("SH"&amp;I13&amp;"_M"),MATCH(I10,INDIRECT("SH"&amp;I13&amp;"_H"),1)),1)</f>
        <v/>
      </c>
      <c r="J16" s="191">
        <f>IFERROR(INDEX(INDIRECT("SH"&amp;J13&amp;"_M"),MATCH(J10,INDIRECT("SH"&amp;J13&amp;"_H"),1)),1)</f>
        <v/>
      </c>
      <c r="K16" s="191">
        <f>IFERROR(INDEX(INDIRECT("SH"&amp;K13&amp;"_M"),MATCH(K10,INDIRECT("SH"&amp;K13&amp;"_H"),1)),1)</f>
        <v/>
      </c>
      <c r="L16" s="191">
        <f>IFERROR(INDEX(INDIRECT("SH"&amp;L13&amp;"_M"),MATCH(L10,INDIRECT("SH"&amp;L13&amp;"_H"),1)),1)</f>
        <v/>
      </c>
    </row>
    <row r="17">
      <c r="B17" s="166" t="inlineStr">
        <is>
          <t>Adjusted Building Cost</t>
        </is>
      </c>
      <c r="C17" s="191">
        <f>IF(C6="","",C9*(C14+C15)*C44*IF(N(C45)=0,1,C45)*IF(C43="",1,C43)*C16)</f>
        <v/>
      </c>
      <c r="D17" s="191">
        <f>IF(D6="","",D9*(D14+D15)*D44*IF(N(D45)=0,1,D45)*IF(D43="",1,D43)*D16)</f>
        <v/>
      </c>
      <c r="E17" s="191">
        <f>IF(E6="","",E9*(E14+E15)*E44*IF(N(E45)=0,1,E45)*IF(E43="",1,E43)*E16)</f>
        <v/>
      </c>
      <c r="F17" s="191">
        <f>IF(F6="","",F9*(F14+F15)*F44*IF(N(F45)=0,1,F45)*IF(F43="",1,F43)*F16)</f>
        <v/>
      </c>
      <c r="G17" s="191">
        <f>IF(G6="","",G9*(G14+G15)*G44*IF(N(G45)=0,1,G45)*IF(G43="",1,G43)*G16)</f>
        <v/>
      </c>
      <c r="H17" s="191">
        <f>IF(H6="","",H9*(H14+H15)*H44*IF(N(H45)=0,1,H45)*IF(H43="",1,H43)*H16)</f>
        <v/>
      </c>
      <c r="I17" s="191">
        <f>IF(I6="","",I9*(I14+I15)*I44*IF(N(I45)=0,1,I45)*IF(I43="",1,I43)*I16)</f>
        <v/>
      </c>
      <c r="J17" s="191">
        <f>IF(J6="","",J9*(J14+J15)*J44*IF(N(J45)=0,1,J45)*IF(J43="",1,J43)*J16)</f>
        <v/>
      </c>
      <c r="K17" s="191">
        <f>IF(K6="","",K9*(K14+K15)*K44*IF(N(K45)=0,1,K45)*IF(K43="",1,K43)*K16)</f>
        <v/>
      </c>
      <c r="L17" s="191">
        <f>IF(L6="","",L9*(L14+L15)*L44*IF(N(L45)=0,1,L45)*IF(L43="",1,L43)*L16)</f>
        <v/>
      </c>
    </row>
    <row r="18">
      <c r="B18" s="166" t="inlineStr">
        <is>
          <t>RCN (+ indirect + EP)</t>
        </is>
      </c>
      <c r="C18" s="191">
        <f>IF(C17="","",C17*(1+'Cost Approach'!$C$48)*(1+'Cost Approach'!$C$50))</f>
        <v/>
      </c>
      <c r="D18" s="191">
        <f>IF(D17="","",D17*(1+'Cost Approach'!$C$48)*(1+'Cost Approach'!$C$50))</f>
        <v/>
      </c>
      <c r="E18" s="191">
        <f>IF(E17="","",E17*(1+'Cost Approach'!$C$48)*(1+'Cost Approach'!$C$50))</f>
        <v/>
      </c>
      <c r="F18" s="191">
        <f>IF(F17="","",F17*(1+'Cost Approach'!$C$48)*(1+'Cost Approach'!$C$50))</f>
        <v/>
      </c>
      <c r="G18" s="191">
        <f>IF(G17="","",G17*(1+'Cost Approach'!$C$48)*(1+'Cost Approach'!$C$50))</f>
        <v/>
      </c>
      <c r="H18" s="191">
        <f>IF(H17="","",H17*(1+'Cost Approach'!$C$48)*(1+'Cost Approach'!$C$50))</f>
        <v/>
      </c>
      <c r="I18" s="191">
        <f>IF(I17="","",I17*(1+'Cost Approach'!$C$48)*(1+'Cost Approach'!$C$50))</f>
        <v/>
      </c>
      <c r="J18" s="191">
        <f>IF(J17="","",J17*(1+'Cost Approach'!$C$48)*(1+'Cost Approach'!$C$50))</f>
        <v/>
      </c>
      <c r="K18" s="191">
        <f>IF(K17="","",K17*(1+'Cost Approach'!$C$48)*(1+'Cost Approach'!$C$50))</f>
        <v/>
      </c>
      <c r="L18" s="191">
        <f>IF(L17="","",L17*(1+'Cost Approach'!$C$48)*(1+'Cost Approach'!$C$50))</f>
        <v/>
      </c>
    </row>
    <row r="19">
      <c r="B19" s="166" t="inlineStr">
        <is>
          <t>Life Expectancy yrs (auto)</t>
        </is>
      </c>
      <c r="C19" s="191">
        <f>IFERROR(INDEX(LIFE_VALUES,MATCH(C6&amp;"|"&amp;C8,LIFE_KEY,0),MATCH("Class "&amp;IF(C7="CMILL","C",IF(OR(C7="DPOLE",C7="DMASVEN",C7="CDS"),"D",IF(C7="A-B","B",IF(C7="SSLANT","S",C7)))),LIFE_CLASSHDR,0)),0)</f>
        <v/>
      </c>
      <c r="D19" s="191">
        <f>IFERROR(INDEX(LIFE_VALUES,MATCH(D6&amp;"|"&amp;D8,LIFE_KEY,0),MATCH("Class "&amp;IF(D7="CMILL","C",IF(OR(D7="DPOLE",D7="DMASVEN",D7="CDS"),"D",IF(D7="A-B","B",IF(D7="SSLANT","S",D7)))),LIFE_CLASSHDR,0)),0)</f>
        <v/>
      </c>
      <c r="E19" s="191">
        <f>IFERROR(INDEX(LIFE_VALUES,MATCH(E6&amp;"|"&amp;E8,LIFE_KEY,0),MATCH("Class "&amp;IF(E7="CMILL","C",IF(OR(E7="DPOLE",E7="DMASVEN",E7="CDS"),"D",IF(E7="A-B","B",IF(E7="SSLANT","S",E7)))),LIFE_CLASSHDR,0)),0)</f>
        <v/>
      </c>
      <c r="F19" s="191">
        <f>IFERROR(INDEX(LIFE_VALUES,MATCH(F6&amp;"|"&amp;F8,LIFE_KEY,0),MATCH("Class "&amp;IF(F7="CMILL","C",IF(OR(F7="DPOLE",F7="DMASVEN",F7="CDS"),"D",IF(F7="A-B","B",IF(F7="SSLANT","S",F7)))),LIFE_CLASSHDR,0)),0)</f>
        <v/>
      </c>
      <c r="G19" s="191">
        <f>IFERROR(INDEX(LIFE_VALUES,MATCH(G6&amp;"|"&amp;G8,LIFE_KEY,0),MATCH("Class "&amp;IF(G7="CMILL","C",IF(OR(G7="DPOLE",G7="DMASVEN",G7="CDS"),"D",IF(G7="A-B","B",IF(G7="SSLANT","S",G7)))),LIFE_CLASSHDR,0)),0)</f>
        <v/>
      </c>
      <c r="H19" s="191">
        <f>IFERROR(INDEX(LIFE_VALUES,MATCH(H6&amp;"|"&amp;H8,LIFE_KEY,0),MATCH("Class "&amp;IF(H7="CMILL","C",IF(OR(H7="DPOLE",H7="DMASVEN",H7="CDS"),"D",IF(H7="A-B","B",IF(H7="SSLANT","S",H7)))),LIFE_CLASSHDR,0)),0)</f>
        <v/>
      </c>
      <c r="I19" s="191">
        <f>IFERROR(INDEX(LIFE_VALUES,MATCH(I6&amp;"|"&amp;I8,LIFE_KEY,0),MATCH("Class "&amp;IF(I7="CMILL","C",IF(OR(I7="DPOLE",I7="DMASVEN",I7="CDS"),"D",IF(I7="A-B","B",IF(I7="SSLANT","S",I7)))),LIFE_CLASSHDR,0)),0)</f>
        <v/>
      </c>
      <c r="J19" s="191">
        <f>IFERROR(INDEX(LIFE_VALUES,MATCH(J6&amp;"|"&amp;J8,LIFE_KEY,0),MATCH("Class "&amp;IF(J7="CMILL","C",IF(OR(J7="DPOLE",J7="DMASVEN",J7="CDS"),"D",IF(J7="A-B","B",IF(J7="SSLANT","S",J7)))),LIFE_CLASSHDR,0)),0)</f>
        <v/>
      </c>
      <c r="K19" s="191">
        <f>IFERROR(INDEX(LIFE_VALUES,MATCH(K6&amp;"|"&amp;K8,LIFE_KEY,0),MATCH("Class "&amp;IF(K7="CMILL","C",IF(OR(K7="DPOLE",K7="DMASVEN",K7="CDS"),"D",IF(K7="A-B","B",IF(K7="SSLANT","S",K7)))),LIFE_CLASSHDR,0)),0)</f>
        <v/>
      </c>
      <c r="L19" s="191">
        <f>IFERROR(INDEX(LIFE_VALUES,MATCH(L6&amp;"|"&amp;L8,LIFE_KEY,0),MATCH("Class "&amp;IF(L7="CMILL","C",IF(OR(L7="DPOLE",L7="DMASVEN",L7="CDS"),"D",IF(L7="A-B","B",IF(L7="SSLANT","S",L7)))),LIFE_CLASSHDR,0)),0)</f>
        <v/>
      </c>
    </row>
    <row r="20">
      <c r="B20" s="166" t="inlineStr">
        <is>
          <t>Physical Depr % (auto)</t>
        </is>
      </c>
      <c r="C20" s="191">
        <f>IF(OR(C6="",C19=0),0,IFERROR(IF(IFERROR(INDEX(OCC_DEPR,MATCH(C6,OCC_NAME,0)),"C")="R",INDEX(DEPRR_VALUES,MATCH(C12,DEPRR_AGE,1),MATCH(C19,DEPRR_LIFEHDR,0)),INDEX(DEPR_VALUES,MATCH(C12,DEPR_AGE,1),MATCH(C19,DEPR_LIFEHDR,0)))/100,1))</f>
        <v/>
      </c>
      <c r="D20" s="191">
        <f>IF(OR(D6="",D19=0),0,IFERROR(IF(IFERROR(INDEX(OCC_DEPR,MATCH(D6,OCC_NAME,0)),"C")="R",INDEX(DEPRR_VALUES,MATCH(D12,DEPRR_AGE,1),MATCH(D19,DEPRR_LIFEHDR,0)),INDEX(DEPR_VALUES,MATCH(D12,DEPR_AGE,1),MATCH(D19,DEPR_LIFEHDR,0)))/100,1))</f>
        <v/>
      </c>
      <c r="E20" s="191">
        <f>IF(OR(E6="",E19=0),0,IFERROR(IF(IFERROR(INDEX(OCC_DEPR,MATCH(E6,OCC_NAME,0)),"C")="R",INDEX(DEPRR_VALUES,MATCH(E12,DEPRR_AGE,1),MATCH(E19,DEPRR_LIFEHDR,0)),INDEX(DEPR_VALUES,MATCH(E12,DEPR_AGE,1),MATCH(E19,DEPR_LIFEHDR,0)))/100,1))</f>
        <v/>
      </c>
      <c r="F20" s="191">
        <f>IF(OR(F6="",F19=0),0,IFERROR(IF(IFERROR(INDEX(OCC_DEPR,MATCH(F6,OCC_NAME,0)),"C")="R",INDEX(DEPRR_VALUES,MATCH(F12,DEPRR_AGE,1),MATCH(F19,DEPRR_LIFEHDR,0)),INDEX(DEPR_VALUES,MATCH(F12,DEPR_AGE,1),MATCH(F19,DEPR_LIFEHDR,0)))/100,1))</f>
        <v/>
      </c>
      <c r="G20" s="191">
        <f>IF(OR(G6="",G19=0),0,IFERROR(IF(IFERROR(INDEX(OCC_DEPR,MATCH(G6,OCC_NAME,0)),"C")="R",INDEX(DEPRR_VALUES,MATCH(G12,DEPRR_AGE,1),MATCH(G19,DEPRR_LIFEHDR,0)),INDEX(DEPR_VALUES,MATCH(G12,DEPR_AGE,1),MATCH(G19,DEPR_LIFEHDR,0)))/100,1))</f>
        <v/>
      </c>
      <c r="H20" s="191">
        <f>IF(OR(H6="",H19=0),0,IFERROR(IF(IFERROR(INDEX(OCC_DEPR,MATCH(H6,OCC_NAME,0)),"C")="R",INDEX(DEPRR_VALUES,MATCH(H12,DEPRR_AGE,1),MATCH(H19,DEPRR_LIFEHDR,0)),INDEX(DEPR_VALUES,MATCH(H12,DEPR_AGE,1),MATCH(H19,DEPR_LIFEHDR,0)))/100,1))</f>
        <v/>
      </c>
      <c r="I20" s="191">
        <f>IF(OR(I6="",I19=0),0,IFERROR(IF(IFERROR(INDEX(OCC_DEPR,MATCH(I6,OCC_NAME,0)),"C")="R",INDEX(DEPRR_VALUES,MATCH(I12,DEPRR_AGE,1),MATCH(I19,DEPRR_LIFEHDR,0)),INDEX(DEPR_VALUES,MATCH(I12,DEPR_AGE,1),MATCH(I19,DEPR_LIFEHDR,0)))/100,1))</f>
        <v/>
      </c>
      <c r="J20" s="191">
        <f>IF(OR(J6="",J19=0),0,IFERROR(IF(IFERROR(INDEX(OCC_DEPR,MATCH(J6,OCC_NAME,0)),"C")="R",INDEX(DEPRR_VALUES,MATCH(J12,DEPRR_AGE,1),MATCH(J19,DEPRR_LIFEHDR,0)),INDEX(DEPR_VALUES,MATCH(J12,DEPR_AGE,1),MATCH(J19,DEPR_LIFEHDR,0)))/100,1))</f>
        <v/>
      </c>
      <c r="K20" s="191">
        <f>IF(OR(K6="",K19=0),0,IFERROR(IF(IFERROR(INDEX(OCC_DEPR,MATCH(K6,OCC_NAME,0)),"C")="R",INDEX(DEPRR_VALUES,MATCH(K12,DEPRR_AGE,1),MATCH(K19,DEPRR_LIFEHDR,0)),INDEX(DEPR_VALUES,MATCH(K12,DEPR_AGE,1),MATCH(K19,DEPR_LIFEHDR,0)))/100,1))</f>
        <v/>
      </c>
      <c r="L20" s="191">
        <f>IF(OR(L6="",L19=0),0,IFERROR(IF(IFERROR(INDEX(OCC_DEPR,MATCH(L6,OCC_NAME,0)),"C")="R",INDEX(DEPRR_VALUES,MATCH(L12,DEPRR_AGE,1),MATCH(L19,DEPRR_LIFEHDR,0)),INDEX(DEPR_VALUES,MATCH(L12,DEPR_AGE,1),MATCH(L19,DEPR_LIFEHDR,0)))/100,1))</f>
        <v/>
      </c>
    </row>
    <row r="21">
      <c r="B21" s="166" t="inlineStr">
        <is>
          <t>Functional Obs %  [enter]</t>
        </is>
      </c>
      <c r="C21" s="189" t="n">
        <v>0</v>
      </c>
      <c r="D21" s="189" t="n"/>
      <c r="E21" s="189" t="n"/>
      <c r="F21" s="189" t="n"/>
      <c r="G21" s="189" t="n"/>
      <c r="H21" s="189" t="n"/>
      <c r="I21" s="189" t="n"/>
      <c r="J21" s="189" t="n"/>
      <c r="K21" s="189" t="n"/>
      <c r="L21" s="189" t="n"/>
    </row>
    <row r="22">
      <c r="B22" s="166" t="inlineStr">
        <is>
          <t>External Obs %  [enter]</t>
        </is>
      </c>
      <c r="C22" s="189" t="n">
        <v>0</v>
      </c>
      <c r="D22" s="189" t="n"/>
      <c r="E22" s="189" t="n"/>
      <c r="F22" s="189" t="n"/>
      <c r="G22" s="189" t="n"/>
      <c r="H22" s="189" t="n"/>
      <c r="I22" s="189" t="n"/>
      <c r="J22" s="189" t="n"/>
      <c r="K22" s="189" t="n"/>
      <c r="L22" s="189" t="n"/>
    </row>
    <row r="23">
      <c r="B23" s="166" t="inlineStr">
        <is>
          <t>Depreciated Improvement Value</t>
        </is>
      </c>
      <c r="C23" s="189">
        <f>IF(OR(C6="",COLUMN()-2&gt;Subj_NumBldgs),0,C18*(1-C20-C21-C22))</f>
        <v/>
      </c>
      <c r="D23" s="189">
        <f>IF(OR(D6="",COLUMN()-2&gt;Subj_NumBldgs),0,D18*(1-D20-D21-D22))</f>
        <v/>
      </c>
      <c r="E23" s="189">
        <f>IF(OR(E6="",COLUMN()-2&gt;Subj_NumBldgs),0,E18*(1-E20-E21-E22))</f>
        <v/>
      </c>
      <c r="F23" s="189">
        <f>IF(OR(F6="",COLUMN()-2&gt;Subj_NumBldgs),0,F18*(1-F20-F21-F22))</f>
        <v/>
      </c>
      <c r="G23" s="189">
        <f>IF(OR(G6="",COLUMN()-2&gt;Subj_NumBldgs),0,G18*(1-G20-G21-G22))</f>
        <v/>
      </c>
      <c r="H23" s="189">
        <f>IF(OR(H6="",COLUMN()-2&gt;Subj_NumBldgs),0,H18*(1-H20-H21-H22))</f>
        <v/>
      </c>
      <c r="I23" s="189">
        <f>IF(OR(I6="",COLUMN()-2&gt;Subj_NumBldgs),0,I18*(1-I20-I21-I22))</f>
        <v/>
      </c>
      <c r="J23" s="189">
        <f>IF(OR(J6="",COLUMN()-2&gt;Subj_NumBldgs),0,J18*(1-J20-J21-J22))</f>
        <v/>
      </c>
      <c r="K23" s="189">
        <f>IF(OR(K6="",COLUMN()-2&gt;Subj_NumBldgs),0,K18*(1-K20-K21-K22))</f>
        <v/>
      </c>
      <c r="L23" s="189">
        <f>IF(OR(L6="",COLUMN()-2&gt;Subj_NumBldgs),0,L18*(1-L20-L21-L22))</f>
        <v/>
      </c>
    </row>
    <row r="25">
      <c r="B25" s="187" t="inlineStr">
        <is>
          <t>TOTAL DEPRECIATED IMPROVEMENTS (all buildings)</t>
        </is>
      </c>
      <c r="C25" s="187">
        <f>SUM(C23:L23)</f>
        <v/>
      </c>
    </row>
    <row r="26">
      <c r="B26" s="166" t="inlineStr">
        <is>
          <t>Less Curable / Deferred Maintenance (Cost Approach)</t>
        </is>
      </c>
      <c r="C26" s="189">
        <f>'Cost Approach'!$F$56</f>
        <v/>
      </c>
    </row>
    <row r="27">
      <c r="B27" s="166" t="inlineStr">
        <is>
          <t>Plus Site Improvements (Cost Approach)</t>
        </is>
      </c>
      <c r="C27" s="189">
        <f>'Cost Approach'!$G$46</f>
        <v/>
      </c>
    </row>
    <row r="28">
      <c r="B28" s="166" t="inlineStr">
        <is>
          <t>Plus Land Value (Cost Approach)</t>
        </is>
      </c>
      <c r="C28" s="189">
        <f>'Cost Approach'!$G$67</f>
        <v/>
      </c>
    </row>
    <row r="29">
      <c r="B29" s="187" t="inlineStr">
        <is>
          <t>INDICATED VALUE BY COST APPROACH (multi-building)</t>
        </is>
      </c>
      <c r="C29" s="187">
        <f>C25-C26+C27+C28</f>
        <v/>
      </c>
    </row>
    <row r="30">
      <c r="B30" s="166" t="inlineStr">
        <is>
          <t>Rounded (nearest $5,000)</t>
        </is>
      </c>
      <c r="C30" s="189">
        <f>ROUND(C29/5000,0)*5000</f>
        <v/>
      </c>
    </row>
    <row r="31">
      <c r="B31" s="166" t="inlineStr">
        <is>
          <t>per SF of total building area</t>
        </is>
      </c>
      <c r="C31" s="189">
        <f>IFERROR(C29/Subj_TotalBldgSF,"")</f>
        <v/>
      </c>
    </row>
    <row r="33">
      <c r="B33" s="187" t="inlineStr">
        <is>
          <t>PROPERTY-TYPE VALUATION METRIC</t>
        </is>
      </c>
      <c r="C33" s="187" t="n"/>
      <c r="D33" s="187" t="n"/>
      <c r="E33" s="187" t="n"/>
      <c r="F33" s="187" t="n"/>
      <c r="G33" s="187" t="n"/>
      <c r="H33" s="187" t="n"/>
      <c r="I33" s="187" t="n"/>
      <c r="J33" s="187" t="n"/>
      <c r="K33" s="187" t="n"/>
      <c r="L33" s="187" t="n"/>
    </row>
    <row r="34">
      <c r="B34" s="166" t="inlineStr">
        <is>
          <t>Valuation Basis (auto from occupancy)</t>
        </is>
      </c>
      <c r="C34" s="191">
        <f>IF(C6="","",IF(OR(ISNUMBER(SEARCH("Apart",C6)),ISNUMBER(SEARCH("Multiple Residence",C6))),"Per Unit",IF(OR(ISNUMBER(SEARCH("Hotel",C6)),ISNUMBER(SEARCH("Motel",C6))),"Per Key","Per SF")))</f>
        <v/>
      </c>
      <c r="D34" s="191">
        <f>IF(D6="","",IF(OR(ISNUMBER(SEARCH("Apart",D6)),ISNUMBER(SEARCH("Multiple Residence",D6))),"Per Unit",IF(OR(ISNUMBER(SEARCH("Hotel",D6)),ISNUMBER(SEARCH("Motel",D6))),"Per Key","Per SF")))</f>
        <v/>
      </c>
      <c r="E34" s="191">
        <f>IF(E6="","",IF(OR(ISNUMBER(SEARCH("Apart",E6)),ISNUMBER(SEARCH("Multiple Residence",E6))),"Per Unit",IF(OR(ISNUMBER(SEARCH("Hotel",E6)),ISNUMBER(SEARCH("Motel",E6))),"Per Key","Per SF")))</f>
        <v/>
      </c>
      <c r="F34" s="191">
        <f>IF(F6="","",IF(OR(ISNUMBER(SEARCH("Apart",F6)),ISNUMBER(SEARCH("Multiple Residence",F6))),"Per Unit",IF(OR(ISNUMBER(SEARCH("Hotel",F6)),ISNUMBER(SEARCH("Motel",F6))),"Per Key","Per SF")))</f>
        <v/>
      </c>
      <c r="G34" s="191">
        <f>IF(G6="","",IF(OR(ISNUMBER(SEARCH("Apart",G6)),ISNUMBER(SEARCH("Multiple Residence",G6))),"Per Unit",IF(OR(ISNUMBER(SEARCH("Hotel",G6)),ISNUMBER(SEARCH("Motel",G6))),"Per Key","Per SF")))</f>
        <v/>
      </c>
      <c r="H34" s="191">
        <f>IF(H6="","",IF(OR(ISNUMBER(SEARCH("Apart",H6)),ISNUMBER(SEARCH("Multiple Residence",H6))),"Per Unit",IF(OR(ISNUMBER(SEARCH("Hotel",H6)),ISNUMBER(SEARCH("Motel",H6))),"Per Key","Per SF")))</f>
        <v/>
      </c>
      <c r="I34" s="191">
        <f>IF(I6="","",IF(OR(ISNUMBER(SEARCH("Apart",I6)),ISNUMBER(SEARCH("Multiple Residence",I6))),"Per Unit",IF(OR(ISNUMBER(SEARCH("Hotel",I6)),ISNUMBER(SEARCH("Motel",I6))),"Per Key","Per SF")))</f>
        <v/>
      </c>
      <c r="J34" s="191">
        <f>IF(J6="","",IF(OR(ISNUMBER(SEARCH("Apart",J6)),ISNUMBER(SEARCH("Multiple Residence",J6))),"Per Unit",IF(OR(ISNUMBER(SEARCH("Hotel",J6)),ISNUMBER(SEARCH("Motel",J6))),"Per Key","Per SF")))</f>
        <v/>
      </c>
      <c r="K34" s="191">
        <f>IF(K6="","",IF(OR(ISNUMBER(SEARCH("Apart",K6)),ISNUMBER(SEARCH("Multiple Residence",K6))),"Per Unit",IF(OR(ISNUMBER(SEARCH("Hotel",K6)),ISNUMBER(SEARCH("Motel",K6))),"Per Key","Per SF")))</f>
        <v/>
      </c>
      <c r="L34" s="191">
        <f>IF(L6="","",IF(OR(ISNUMBER(SEARCH("Apart",L6)),ISNUMBER(SEARCH("Multiple Residence",L6))),"Per Unit",IF(OR(ISNUMBER(SEARCH("Hotel",L6)),ISNUMBER(SEARCH("Motel",L6))),"Per Key","Per SF")))</f>
        <v/>
      </c>
    </row>
    <row r="35">
      <c r="B35" s="166" t="inlineStr">
        <is>
          <t>Override Basis (optional)</t>
        </is>
      </c>
      <c r="C35" s="521" t="n"/>
      <c r="D35" s="521" t="n"/>
      <c r="E35" s="521" t="n"/>
      <c r="F35" s="521" t="n"/>
      <c r="G35" s="521" t="n"/>
      <c r="H35" s="521" t="n"/>
      <c r="I35" s="521" t="n"/>
      <c r="J35" s="521" t="n"/>
      <c r="K35" s="521" t="n"/>
      <c r="L35" s="521" t="n"/>
    </row>
    <row r="36">
      <c r="B36" s="166" t="inlineStr">
        <is>
          <t>Effective Basis</t>
        </is>
      </c>
      <c r="C36" s="191">
        <f>IF(C35&lt;&gt;"",C35,C34)</f>
        <v/>
      </c>
      <c r="D36" s="191">
        <f>IF(D35&lt;&gt;"",D35,D34)</f>
        <v/>
      </c>
      <c r="E36" s="191">
        <f>IF(E35&lt;&gt;"",E35,E34)</f>
        <v/>
      </c>
      <c r="F36" s="191">
        <f>IF(F35&lt;&gt;"",F35,F34)</f>
        <v/>
      </c>
      <c r="G36" s="191">
        <f>IF(G35&lt;&gt;"",G35,G34)</f>
        <v/>
      </c>
      <c r="H36" s="191">
        <f>IF(H35&lt;&gt;"",H35,H34)</f>
        <v/>
      </c>
      <c r="I36" s="191">
        <f>IF(I35&lt;&gt;"",I35,I34)</f>
        <v/>
      </c>
      <c r="J36" s="191">
        <f>IF(J35&lt;&gt;"",J35,J34)</f>
        <v/>
      </c>
      <c r="K36" s="191">
        <f>IF(K35&lt;&gt;"",K35,K34)</f>
        <v/>
      </c>
      <c r="L36" s="191">
        <f>IF(L35&lt;&gt;"",L35,L34)</f>
        <v/>
      </c>
    </row>
    <row r="37">
      <c r="B37" s="166" t="inlineStr">
        <is>
          <t>Units / Keys (from Subject)</t>
        </is>
      </c>
      <c r="C37" s="189">
        <f>'Subject Property'!C20</f>
        <v/>
      </c>
      <c r="D37" s="189">
        <f>'Subject Property'!D20</f>
        <v/>
      </c>
      <c r="E37" s="189">
        <f>'Subject Property'!E20</f>
        <v/>
      </c>
      <c r="F37" s="189">
        <f>'Subject Property'!F20</f>
        <v/>
      </c>
      <c r="G37" s="189">
        <f>'Subject Property'!G20</f>
        <v/>
      </c>
      <c r="H37" s="189">
        <f>'Subject Property'!H20</f>
        <v/>
      </c>
      <c r="I37" s="189">
        <f>'Subject Property'!I20</f>
        <v/>
      </c>
      <c r="J37" s="189">
        <f>'Subject Property'!J20</f>
        <v/>
      </c>
      <c r="K37" s="189">
        <f>'Subject Property'!K20</f>
        <v/>
      </c>
      <c r="L37" s="189">
        <f>'Subject Property'!L20</f>
        <v/>
      </c>
    </row>
    <row r="38">
      <c r="B38" s="166" t="inlineStr">
        <is>
          <t>Indicated Value / SF</t>
        </is>
      </c>
      <c r="C38" s="189">
        <f>IFERROR(C23/C9,"")</f>
        <v/>
      </c>
      <c r="D38" s="189">
        <f>IFERROR(D23/D9,"")</f>
        <v/>
      </c>
      <c r="E38" s="189">
        <f>IFERROR(E23/E9,"")</f>
        <v/>
      </c>
      <c r="F38" s="189">
        <f>IFERROR(F23/F9,"")</f>
        <v/>
      </c>
      <c r="G38" s="189">
        <f>IFERROR(G23/G9,"")</f>
        <v/>
      </c>
      <c r="H38" s="189">
        <f>IFERROR(H23/H9,"")</f>
        <v/>
      </c>
      <c r="I38" s="189">
        <f>IFERROR(I23/I9,"")</f>
        <v/>
      </c>
      <c r="J38" s="189">
        <f>IFERROR(J23/J9,"")</f>
        <v/>
      </c>
      <c r="K38" s="189">
        <f>IFERROR(K23/K9,"")</f>
        <v/>
      </c>
      <c r="L38" s="189">
        <f>IFERROR(L23/L9,"")</f>
        <v/>
      </c>
    </row>
    <row r="39">
      <c r="B39" s="166" t="inlineStr">
        <is>
          <t>Indicated Value / Unit or Key</t>
        </is>
      </c>
      <c r="C39" s="189">
        <f>IF(AND(C36&lt;&gt;"Per SF",N(C37)&gt;0),C23/C37,"")</f>
        <v/>
      </c>
      <c r="D39" s="189">
        <f>IF(AND(D36&lt;&gt;"Per SF",N(D37)&gt;0),D23/D37,"")</f>
        <v/>
      </c>
      <c r="E39" s="189">
        <f>IF(AND(E36&lt;&gt;"Per SF",N(E37)&gt;0),E23/E37,"")</f>
        <v/>
      </c>
      <c r="F39" s="189">
        <f>IF(AND(F36&lt;&gt;"Per SF",N(F37)&gt;0),F23/F37,"")</f>
        <v/>
      </c>
      <c r="G39" s="189">
        <f>IF(AND(G36&lt;&gt;"Per SF",N(G37)&gt;0),G23/G37,"")</f>
        <v/>
      </c>
      <c r="H39" s="189">
        <f>IF(AND(H36&lt;&gt;"Per SF",N(H37)&gt;0),H23/H37,"")</f>
        <v/>
      </c>
      <c r="I39" s="189">
        <f>IF(AND(I36&lt;&gt;"Per SF",N(I37)&gt;0),I23/I37,"")</f>
        <v/>
      </c>
      <c r="J39" s="189">
        <f>IF(AND(J36&lt;&gt;"Per SF",N(J37)&gt;0),J23/J37,"")</f>
        <v/>
      </c>
      <c r="K39" s="189">
        <f>IF(AND(K36&lt;&gt;"Per SF",N(K37)&gt;0),K23/K37,"")</f>
        <v/>
      </c>
      <c r="L39" s="189">
        <f>IF(AND(L36&lt;&gt;"Per SF",N(L37)&gt;0),L23/L37,"")</f>
        <v/>
      </c>
    </row>
    <row r="40">
      <c r="B40" s="166" t="inlineStr">
        <is>
          <t>Headline Metric (auto by basis)</t>
        </is>
      </c>
      <c r="C40" s="191">
        <f>IF(C6="","",IF(C36="Per SF",TEXT(C38,"$#,##0")&amp;" /SF",IF(C36="Per Unit",IFERROR(TEXT(C23/C37,"$#,##0")&amp;" /unit","enter units"),IFERROR(TEXT(C23/C37,"$#,##0")&amp;" /key","enter keys"))))</f>
        <v/>
      </c>
      <c r="D40" s="191">
        <f>IF(D6="","",IF(D36="Per SF",TEXT(D38,"$#,##0")&amp;" /SF",IF(D36="Per Unit",IFERROR(TEXT(D23/D37,"$#,##0")&amp;" /unit","enter units"),IFERROR(TEXT(D23/D37,"$#,##0")&amp;" /key","enter keys"))))</f>
        <v/>
      </c>
      <c r="E40" s="191">
        <f>IF(E6="","",IF(E36="Per SF",TEXT(E38,"$#,##0")&amp;" /SF",IF(E36="Per Unit",IFERROR(TEXT(E23/E37,"$#,##0")&amp;" /unit","enter units"),IFERROR(TEXT(E23/E37,"$#,##0")&amp;" /key","enter keys"))))</f>
        <v/>
      </c>
      <c r="F40" s="191">
        <f>IF(F6="","",IF(F36="Per SF",TEXT(F38,"$#,##0")&amp;" /SF",IF(F36="Per Unit",IFERROR(TEXT(F23/F37,"$#,##0")&amp;" /unit","enter units"),IFERROR(TEXT(F23/F37,"$#,##0")&amp;" /key","enter keys"))))</f>
        <v/>
      </c>
      <c r="G40" s="191">
        <f>IF(G6="","",IF(G36="Per SF",TEXT(G38,"$#,##0")&amp;" /SF",IF(G36="Per Unit",IFERROR(TEXT(G23/G37,"$#,##0")&amp;" /unit","enter units"),IFERROR(TEXT(G23/G37,"$#,##0")&amp;" /key","enter keys"))))</f>
        <v/>
      </c>
      <c r="H40" s="191">
        <f>IF(H6="","",IF(H36="Per SF",TEXT(H38,"$#,##0")&amp;" /SF",IF(H36="Per Unit",IFERROR(TEXT(H23/H37,"$#,##0")&amp;" /unit","enter units"),IFERROR(TEXT(H23/H37,"$#,##0")&amp;" /key","enter keys"))))</f>
        <v/>
      </c>
      <c r="I40" s="191">
        <f>IF(I6="","",IF(I36="Per SF",TEXT(I38,"$#,##0")&amp;" /SF",IF(I36="Per Unit",IFERROR(TEXT(I23/I37,"$#,##0")&amp;" /unit","enter units"),IFERROR(TEXT(I23/I37,"$#,##0")&amp;" /key","enter keys"))))</f>
        <v/>
      </c>
      <c r="J40" s="191">
        <f>IF(J6="","",IF(J36="Per SF",TEXT(J38,"$#,##0")&amp;" /SF",IF(J36="Per Unit",IFERROR(TEXT(J23/J37,"$#,##0")&amp;" /unit","enter units"),IFERROR(TEXT(J23/J37,"$#,##0")&amp;" /key","enter keys"))))</f>
        <v/>
      </c>
      <c r="K40" s="191">
        <f>IF(K6="","",IF(K36="Per SF",TEXT(K38,"$#,##0")&amp;" /SF",IF(K36="Per Unit",IFERROR(TEXT(K23/K37,"$#,##0")&amp;" /unit","enter units"),IFERROR(TEXT(K23/K37,"$#,##0")&amp;" /key","enter keys"))))</f>
        <v/>
      </c>
      <c r="L40" s="191">
        <f>IF(L6="","",IF(L36="Per SF",TEXT(L38,"$#,##0")&amp;" /SF",IF(L36="Per Unit",IFERROR(TEXT(L23/L37,"$#,##0")&amp;" /unit","enter units"),IFERROR(TEXT(L23/L37,"$#,##0")&amp;" /key","enter keys"))))</f>
        <v/>
      </c>
    </row>
    <row r="42">
      <c r="B42" s="187" t="inlineStr">
        <is>
          <t>PER-BUILDING MVS MULTIPLIERS (independent per building)</t>
        </is>
      </c>
      <c r="C42" s="187" t="n"/>
      <c r="D42" s="187" t="n"/>
      <c r="E42" s="187" t="n"/>
      <c r="F42" s="187" t="n"/>
      <c r="G42" s="187" t="n"/>
      <c r="H42" s="187" t="n"/>
      <c r="I42" s="187" t="n"/>
      <c r="J42" s="187" t="n"/>
      <c r="K42" s="187" t="n"/>
      <c r="L42" s="187" t="n"/>
    </row>
    <row r="43">
      <c r="B43" s="166" t="inlineStr">
        <is>
          <t>Area/Perimeter Multiplier [enter]</t>
        </is>
      </c>
      <c r="C43" s="189" t="n">
        <v>1</v>
      </c>
      <c r="D43" s="189" t="n">
        <v>1</v>
      </c>
      <c r="E43" s="189" t="n">
        <v>1</v>
      </c>
      <c r="F43" s="189" t="n">
        <v>1</v>
      </c>
      <c r="G43" s="189" t="n">
        <v>1</v>
      </c>
      <c r="H43" s="189" t="n">
        <v>1</v>
      </c>
      <c r="I43" s="189" t="n">
        <v>1</v>
      </c>
      <c r="J43" s="189" t="n">
        <v>1</v>
      </c>
      <c r="K43" s="189" t="n">
        <v>1</v>
      </c>
      <c r="L43" s="189" t="n">
        <v>1</v>
      </c>
    </row>
    <row r="44">
      <c r="B44" s="166" t="inlineStr">
        <is>
          <t>Current Cost Mult / de-trend (auto)</t>
        </is>
      </c>
      <c r="C44" s="191">
        <f>IFERROR(INDEX(CCM_VALUES,MATCH(IF(C7="CMILL","C",IF(C7="DPOLE","D",IF(C7="A-B","B",C7))),CCM_CLASS,0),MATCH("Sec."&amp;IF(C13&lt;&gt;"",C13,"14"),CCM_SECTIONHDR,0)),1)/IFERROR(INDEX(DEN_VALUES,MATCH('Cost Approach'!$C$18,DEN_LABEL,0),MATCH("Class "&amp;IF(C7="CMILL","C",IF(C7="DPOLE","D",IF(C7="A-B","B",C7))),DEN_CLASSHDR,0))+(INDEX(DEN_VALUES,MATCH('Cost Approach'!$C$19,DEN_LABEL,0),MATCH("Class "&amp;IF(C7="CMILL","C",IF(C7="DPOLE","D",IF(C7="A-B","B",C7))),DEN_CLASSHDR,0))-INDEX(DEN_VALUES,MATCH('Cost Approach'!$C$18,DEN_LABEL,0),MATCH("Class "&amp;IF(C7="CMILL","C",IF(C7="DPOLE","D",IF(C7="A-B","B",C7))),DEN_CLASSHDR,0)))*('Cost Approach'!$C$17-DATEVALUE("1 "&amp;'Cost Approach'!$C$18))/(DATEVALUE("1 "&amp;'Cost Approach'!$C$19)-DATEVALUE("1 "&amp;'Cost Approach'!$C$18)),1)</f>
        <v/>
      </c>
      <c r="D44" s="191">
        <f>IFERROR(INDEX(CCM_VALUES,MATCH(IF(D7="CMILL","C",IF(D7="DPOLE","D",IF(D7="A-B","B",D7))),CCM_CLASS,0),MATCH("Sec."&amp;IF(D13&lt;&gt;"",D13,"14"),CCM_SECTIONHDR,0)),1)/IFERROR(INDEX(DEN_VALUES,MATCH('Cost Approach'!$C$18,DEN_LABEL,0),MATCH("Class "&amp;IF(D7="CMILL","C",IF(D7="DPOLE","D",IF(D7="A-B","B",D7))),DEN_CLASSHDR,0))+(INDEX(DEN_VALUES,MATCH('Cost Approach'!$C$19,DEN_LABEL,0),MATCH("Class "&amp;IF(D7="CMILL","C",IF(D7="DPOLE","D",IF(D7="A-B","B",D7))),DEN_CLASSHDR,0))-INDEX(DEN_VALUES,MATCH('Cost Approach'!$C$18,DEN_LABEL,0),MATCH("Class "&amp;IF(D7="CMILL","C",IF(D7="DPOLE","D",IF(D7="A-B","B",D7))),DEN_CLASSHDR,0)))*('Cost Approach'!$C$17-DATEVALUE("1 "&amp;'Cost Approach'!$C$18))/(DATEVALUE("1 "&amp;'Cost Approach'!$C$19)-DATEVALUE("1 "&amp;'Cost Approach'!$C$18)),1)</f>
        <v/>
      </c>
      <c r="E44" s="191">
        <f>IFERROR(INDEX(CCM_VALUES,MATCH(IF(E7="CMILL","C",IF(E7="DPOLE","D",IF(E7="A-B","B",E7))),CCM_CLASS,0),MATCH("Sec."&amp;IF(E13&lt;&gt;"",E13,"14"),CCM_SECTIONHDR,0)),1)/IFERROR(INDEX(DEN_VALUES,MATCH('Cost Approach'!$C$18,DEN_LABEL,0),MATCH("Class "&amp;IF(E7="CMILL","C",IF(E7="DPOLE","D",IF(E7="A-B","B",E7))),DEN_CLASSHDR,0))+(INDEX(DEN_VALUES,MATCH('Cost Approach'!$C$19,DEN_LABEL,0),MATCH("Class "&amp;IF(E7="CMILL","C",IF(E7="DPOLE","D",IF(E7="A-B","B",E7))),DEN_CLASSHDR,0))-INDEX(DEN_VALUES,MATCH('Cost Approach'!$C$18,DEN_LABEL,0),MATCH("Class "&amp;IF(E7="CMILL","C",IF(E7="DPOLE","D",IF(E7="A-B","B",E7))),DEN_CLASSHDR,0)))*('Cost Approach'!$C$17-DATEVALUE("1 "&amp;'Cost Approach'!$C$18))/(DATEVALUE("1 "&amp;'Cost Approach'!$C$19)-DATEVALUE("1 "&amp;'Cost Approach'!$C$18)),1)</f>
        <v/>
      </c>
      <c r="F44" s="191">
        <f>IFERROR(INDEX(CCM_VALUES,MATCH(IF(F7="CMILL","C",IF(F7="DPOLE","D",IF(F7="A-B","B",F7))),CCM_CLASS,0),MATCH("Sec."&amp;IF(F13&lt;&gt;"",F13,"14"),CCM_SECTIONHDR,0)),1)/IFERROR(INDEX(DEN_VALUES,MATCH('Cost Approach'!$C$18,DEN_LABEL,0),MATCH("Class "&amp;IF(F7="CMILL","C",IF(F7="DPOLE","D",IF(F7="A-B","B",F7))),DEN_CLASSHDR,0))+(INDEX(DEN_VALUES,MATCH('Cost Approach'!$C$19,DEN_LABEL,0),MATCH("Class "&amp;IF(F7="CMILL","C",IF(F7="DPOLE","D",IF(F7="A-B","B",F7))),DEN_CLASSHDR,0))-INDEX(DEN_VALUES,MATCH('Cost Approach'!$C$18,DEN_LABEL,0),MATCH("Class "&amp;IF(F7="CMILL","C",IF(F7="DPOLE","D",IF(F7="A-B","B",F7))),DEN_CLASSHDR,0)))*('Cost Approach'!$C$17-DATEVALUE("1 "&amp;'Cost Approach'!$C$18))/(DATEVALUE("1 "&amp;'Cost Approach'!$C$19)-DATEVALUE("1 "&amp;'Cost Approach'!$C$18)),1)</f>
        <v/>
      </c>
      <c r="G44" s="191">
        <f>IFERROR(INDEX(CCM_VALUES,MATCH(IF(G7="CMILL","C",IF(G7="DPOLE","D",IF(G7="A-B","B",G7))),CCM_CLASS,0),MATCH("Sec."&amp;IF(G13&lt;&gt;"",G13,"14"),CCM_SECTIONHDR,0)),1)/IFERROR(INDEX(DEN_VALUES,MATCH('Cost Approach'!$C$18,DEN_LABEL,0),MATCH("Class "&amp;IF(G7="CMILL","C",IF(G7="DPOLE","D",IF(G7="A-B","B",G7))),DEN_CLASSHDR,0))+(INDEX(DEN_VALUES,MATCH('Cost Approach'!$C$19,DEN_LABEL,0),MATCH("Class "&amp;IF(G7="CMILL","C",IF(G7="DPOLE","D",IF(G7="A-B","B",G7))),DEN_CLASSHDR,0))-INDEX(DEN_VALUES,MATCH('Cost Approach'!$C$18,DEN_LABEL,0),MATCH("Class "&amp;IF(G7="CMILL","C",IF(G7="DPOLE","D",IF(G7="A-B","B",G7))),DEN_CLASSHDR,0)))*('Cost Approach'!$C$17-DATEVALUE("1 "&amp;'Cost Approach'!$C$18))/(DATEVALUE("1 "&amp;'Cost Approach'!$C$19)-DATEVALUE("1 "&amp;'Cost Approach'!$C$18)),1)</f>
        <v/>
      </c>
      <c r="H44" s="191">
        <f>IFERROR(INDEX(CCM_VALUES,MATCH(IF(H7="CMILL","C",IF(H7="DPOLE","D",IF(H7="A-B","B",H7))),CCM_CLASS,0),MATCH("Sec."&amp;IF(H13&lt;&gt;"",H13,"14"),CCM_SECTIONHDR,0)),1)/IFERROR(INDEX(DEN_VALUES,MATCH('Cost Approach'!$C$18,DEN_LABEL,0),MATCH("Class "&amp;IF(H7="CMILL","C",IF(H7="DPOLE","D",IF(H7="A-B","B",H7))),DEN_CLASSHDR,0))+(INDEX(DEN_VALUES,MATCH('Cost Approach'!$C$19,DEN_LABEL,0),MATCH("Class "&amp;IF(H7="CMILL","C",IF(H7="DPOLE","D",IF(H7="A-B","B",H7))),DEN_CLASSHDR,0))-INDEX(DEN_VALUES,MATCH('Cost Approach'!$C$18,DEN_LABEL,0),MATCH("Class "&amp;IF(H7="CMILL","C",IF(H7="DPOLE","D",IF(H7="A-B","B",H7))),DEN_CLASSHDR,0)))*('Cost Approach'!$C$17-DATEVALUE("1 "&amp;'Cost Approach'!$C$18))/(DATEVALUE("1 "&amp;'Cost Approach'!$C$19)-DATEVALUE("1 "&amp;'Cost Approach'!$C$18)),1)</f>
        <v/>
      </c>
      <c r="I44" s="191">
        <f>IFERROR(INDEX(CCM_VALUES,MATCH(IF(I7="CMILL","C",IF(I7="DPOLE","D",IF(I7="A-B","B",I7))),CCM_CLASS,0),MATCH("Sec."&amp;IF(I13&lt;&gt;"",I13,"14"),CCM_SECTIONHDR,0)),1)/IFERROR(INDEX(DEN_VALUES,MATCH('Cost Approach'!$C$18,DEN_LABEL,0),MATCH("Class "&amp;IF(I7="CMILL","C",IF(I7="DPOLE","D",IF(I7="A-B","B",I7))),DEN_CLASSHDR,0))+(INDEX(DEN_VALUES,MATCH('Cost Approach'!$C$19,DEN_LABEL,0),MATCH("Class "&amp;IF(I7="CMILL","C",IF(I7="DPOLE","D",IF(I7="A-B","B",I7))),DEN_CLASSHDR,0))-INDEX(DEN_VALUES,MATCH('Cost Approach'!$C$18,DEN_LABEL,0),MATCH("Class "&amp;IF(I7="CMILL","C",IF(I7="DPOLE","D",IF(I7="A-B","B",I7))),DEN_CLASSHDR,0)))*('Cost Approach'!$C$17-DATEVALUE("1 "&amp;'Cost Approach'!$C$18))/(DATEVALUE("1 "&amp;'Cost Approach'!$C$19)-DATEVALUE("1 "&amp;'Cost Approach'!$C$18)),1)</f>
        <v/>
      </c>
      <c r="J44" s="191">
        <f>IFERROR(INDEX(CCM_VALUES,MATCH(IF(J7="CMILL","C",IF(J7="DPOLE","D",IF(J7="A-B","B",J7))),CCM_CLASS,0),MATCH("Sec."&amp;IF(J13&lt;&gt;"",J13,"14"),CCM_SECTIONHDR,0)),1)/IFERROR(INDEX(DEN_VALUES,MATCH('Cost Approach'!$C$18,DEN_LABEL,0),MATCH("Class "&amp;IF(J7="CMILL","C",IF(J7="DPOLE","D",IF(J7="A-B","B",J7))),DEN_CLASSHDR,0))+(INDEX(DEN_VALUES,MATCH('Cost Approach'!$C$19,DEN_LABEL,0),MATCH("Class "&amp;IF(J7="CMILL","C",IF(J7="DPOLE","D",IF(J7="A-B","B",J7))),DEN_CLASSHDR,0))-INDEX(DEN_VALUES,MATCH('Cost Approach'!$C$18,DEN_LABEL,0),MATCH("Class "&amp;IF(J7="CMILL","C",IF(J7="DPOLE","D",IF(J7="A-B","B",J7))),DEN_CLASSHDR,0)))*('Cost Approach'!$C$17-DATEVALUE("1 "&amp;'Cost Approach'!$C$18))/(DATEVALUE("1 "&amp;'Cost Approach'!$C$19)-DATEVALUE("1 "&amp;'Cost Approach'!$C$18)),1)</f>
        <v/>
      </c>
      <c r="K44" s="191">
        <f>IFERROR(INDEX(CCM_VALUES,MATCH(IF(K7="CMILL","C",IF(K7="DPOLE","D",IF(K7="A-B","B",K7))),CCM_CLASS,0),MATCH("Sec."&amp;IF(K13&lt;&gt;"",K13,"14"),CCM_SECTIONHDR,0)),1)/IFERROR(INDEX(DEN_VALUES,MATCH('Cost Approach'!$C$18,DEN_LABEL,0),MATCH("Class "&amp;IF(K7="CMILL","C",IF(K7="DPOLE","D",IF(K7="A-B","B",K7))),DEN_CLASSHDR,0))+(INDEX(DEN_VALUES,MATCH('Cost Approach'!$C$19,DEN_LABEL,0),MATCH("Class "&amp;IF(K7="CMILL","C",IF(K7="DPOLE","D",IF(K7="A-B","B",K7))),DEN_CLASSHDR,0))-INDEX(DEN_VALUES,MATCH('Cost Approach'!$C$18,DEN_LABEL,0),MATCH("Class "&amp;IF(K7="CMILL","C",IF(K7="DPOLE","D",IF(K7="A-B","B",K7))),DEN_CLASSHDR,0)))*('Cost Approach'!$C$17-DATEVALUE("1 "&amp;'Cost Approach'!$C$18))/(DATEVALUE("1 "&amp;'Cost Approach'!$C$19)-DATEVALUE("1 "&amp;'Cost Approach'!$C$18)),1)</f>
        <v/>
      </c>
      <c r="L44" s="191">
        <f>IFERROR(INDEX(CCM_VALUES,MATCH(IF(L7="CMILL","C",IF(L7="DPOLE","D",IF(L7="A-B","B",L7))),CCM_CLASS,0),MATCH("Sec."&amp;IF(L13&lt;&gt;"",L13,"14"),CCM_SECTIONHDR,0)),1)/IFERROR(INDEX(DEN_VALUES,MATCH('Cost Approach'!$C$18,DEN_LABEL,0),MATCH("Class "&amp;IF(L7="CMILL","C",IF(L7="DPOLE","D",IF(L7="A-B","B",L7))),DEN_CLASSHDR,0))+(INDEX(DEN_VALUES,MATCH('Cost Approach'!$C$19,DEN_LABEL,0),MATCH("Class "&amp;IF(L7="CMILL","C",IF(L7="DPOLE","D",IF(L7="A-B","B",L7))),DEN_CLASSHDR,0))-INDEX(DEN_VALUES,MATCH('Cost Approach'!$C$18,DEN_LABEL,0),MATCH("Class "&amp;IF(L7="CMILL","C",IF(L7="DPOLE","D",IF(L7="A-B","B",L7))),DEN_CLASSHDR,0)))*('Cost Approach'!$C$17-DATEVALUE("1 "&amp;'Cost Approach'!$C$18))/(DATEVALUE("1 "&amp;'Cost Approach'!$C$19)-DATEVALUE("1 "&amp;'Cost Approach'!$C$18)),1)</f>
        <v/>
      </c>
    </row>
    <row r="45">
      <c r="B45" s="166" t="inlineStr">
        <is>
          <t>Local Area Multiplier (auto)</t>
        </is>
      </c>
      <c r="C45" s="191">
        <f>IFERROR(INDEX(LAM_VALUES,MATCH('Cost Approach'!$C$8,LAM_CITY,0),MATCH("Class "&amp;IF(C7="CMILL","C",IF(C7="DPOLE","D",IF(C7="A-B","B",C7))),LAM_CLASSHDR,0)),"")</f>
        <v/>
      </c>
      <c r="D45" s="191">
        <f>IFERROR(INDEX(LAM_VALUES,MATCH('Cost Approach'!$C$8,LAM_CITY,0),MATCH("Class "&amp;IF(D7="CMILL","C",IF(D7="DPOLE","D",IF(D7="A-B","B",D7))),LAM_CLASSHDR,0)),"")</f>
        <v/>
      </c>
      <c r="E45" s="191">
        <f>IFERROR(INDEX(LAM_VALUES,MATCH('Cost Approach'!$C$8,LAM_CITY,0),MATCH("Class "&amp;IF(E7="CMILL","C",IF(E7="DPOLE","D",IF(E7="A-B","B",E7))),LAM_CLASSHDR,0)),"")</f>
        <v/>
      </c>
      <c r="F45" s="191">
        <f>IFERROR(INDEX(LAM_VALUES,MATCH('Cost Approach'!$C$8,LAM_CITY,0),MATCH("Class "&amp;IF(F7="CMILL","C",IF(F7="DPOLE","D",IF(F7="A-B","B",F7))),LAM_CLASSHDR,0)),"")</f>
        <v/>
      </c>
      <c r="G45" s="191">
        <f>IFERROR(INDEX(LAM_VALUES,MATCH('Cost Approach'!$C$8,LAM_CITY,0),MATCH("Class "&amp;IF(G7="CMILL","C",IF(G7="DPOLE","D",IF(G7="A-B","B",G7))),LAM_CLASSHDR,0)),"")</f>
        <v/>
      </c>
      <c r="H45" s="191">
        <f>IFERROR(INDEX(LAM_VALUES,MATCH('Cost Approach'!$C$8,LAM_CITY,0),MATCH("Class "&amp;IF(H7="CMILL","C",IF(H7="DPOLE","D",IF(H7="A-B","B",H7))),LAM_CLASSHDR,0)),"")</f>
        <v/>
      </c>
      <c r="I45" s="191">
        <f>IFERROR(INDEX(LAM_VALUES,MATCH('Cost Approach'!$C$8,LAM_CITY,0),MATCH("Class "&amp;IF(I7="CMILL","C",IF(I7="DPOLE","D",IF(I7="A-B","B",I7))),LAM_CLASSHDR,0)),"")</f>
        <v/>
      </c>
      <c r="J45" s="191">
        <f>IFERROR(INDEX(LAM_VALUES,MATCH('Cost Approach'!$C$8,LAM_CITY,0),MATCH("Class "&amp;IF(J7="CMILL","C",IF(J7="DPOLE","D",IF(J7="A-B","B",J7))),LAM_CLASSHDR,0)),"")</f>
        <v/>
      </c>
      <c r="K45" s="191">
        <f>IFERROR(INDEX(LAM_VALUES,MATCH('Cost Approach'!$C$8,LAM_CITY,0),MATCH("Class "&amp;IF(K7="CMILL","C",IF(K7="DPOLE","D",IF(K7="A-B","B",K7))),LAM_CLASSHDR,0)),"")</f>
        <v/>
      </c>
      <c r="L45" s="191">
        <f>IFERROR(INDEX(LAM_VALUES,MATCH('Cost Approach'!$C$8,LAM_CITY,0),MATCH("Class "&amp;IF(L7="CMILL","C",IF(L7="DPOLE","D",IF(L7="A-B","B",L7))),LAM_CLASSHDR,0)),"")</f>
        <v/>
      </c>
    </row>
  </sheetData>
  <conditionalFormatting sqref="C4:L45">
    <cfRule type="expression" priority="1" dxfId="3">
      <formula>(COLUMN()-2)&gt;Subj_NumBldgs</formula>
    </cfRule>
  </conditionalFormatting>
  <dataValidations count="4">
    <dataValidation sqref="C7:L7" showDropDown="0" showInputMessage="0" showErrorMessage="1" allowBlank="1" type="list">
      <formula1>"A,B,A-B,C,CMILL,CDS,D,DPOLE,DMASVEN,S,SSLANT"</formula1>
    </dataValidation>
    <dataValidation sqref="C8:L8" showDropDown="0" showInputMessage="0" showErrorMessage="1" allowBlank="1" type="list">
      <formula1>"Low Cost,Fair,Average,Good,Very Good,Excellent,Cheap"</formula1>
    </dataValidation>
    <dataValidation sqref="C11:L11" showDropDown="0" showInputMessage="0" showErrorMessage="1" allowBlank="1" type="list">
      <formula1>"Low Cost,Fair,Average,Good,Very Good,Excellent,Cheap"</formula1>
    </dataValidation>
    <dataValidation sqref="C35:L35" showDropDown="0" showInputMessage="0" showErrorMessage="1" allowBlank="1" type="list">
      <formula1>"Per SF,Per Unit,Per Key"</formula1>
    </dataValidation>
  </dataValidations>
  <pageMargins left="0.7" right="0.7" top="0.75" bottom="0.75" header="0.3" footer="0.3"/>
</worksheet>
</file>

<file path=xl/worksheets/sheet12.xml><?xml version="1.0" encoding="utf-8"?>
<worksheet xmlns="http://schemas.openxmlformats.org/spreadsheetml/2006/main">
  <sheetPr>
    <outlinePr summaryBelow="1" summaryRight="1"/>
    <pageSetUpPr/>
  </sheetPr>
  <dimension ref="B1:G18"/>
  <sheetViews>
    <sheetView workbookViewId="0">
      <selection activeCell="D10" sqref="D10"/>
    </sheetView>
  </sheetViews>
  <sheetFormatPr baseColWidth="8" defaultRowHeight="12.5"/>
  <cols>
    <col width="2" customWidth="1" style="518" min="1" max="1"/>
    <col width="34" customWidth="1" style="518" min="2" max="2"/>
    <col width="18" customWidth="1" style="518" min="3" max="3"/>
    <col width="9" customWidth="1" style="518" min="4" max="4"/>
    <col width="16" customWidth="1" style="518" min="5" max="5"/>
    <col width="13" customWidth="1" style="518" min="6" max="6"/>
    <col width="15" customWidth="1" style="518" min="7" max="7"/>
  </cols>
  <sheetData>
    <row r="1" ht="22" customHeight="1" s="518">
      <c r="B1" s="609" t="inlineStr">
        <is>
          <t>VALUE RECONCILIATION &amp; FINAL VALUE</t>
        </is>
      </c>
    </row>
    <row r="2" ht="56" customHeight="1" s="518">
      <c r="B2" s="700" t="inlineStr">
        <is>
          <t>Enter a weight for each approach (they need not sum to 100%). Enter the Income Approach conclusion in F12 (there is no auto income build-up in this workbook). Optional overrides for Cost/Sales go in column F. The concluded value shows per SF and, for multifamily/hotel subjects, per unit/key.</t>
        </is>
      </c>
    </row>
    <row r="4">
      <c r="B4" s="166" t="inlineStr">
        <is>
          <t>Subject Address</t>
        </is>
      </c>
      <c r="C4" s="521">
        <f>Subj_Address</f>
        <v/>
      </c>
    </row>
    <row r="5">
      <c r="B5" s="166" t="inlineStr">
        <is>
          <t>Valuation Basis (auto)</t>
        </is>
      </c>
      <c r="C5" s="521">
        <f>Subj_Basis</f>
        <v/>
      </c>
    </row>
    <row r="6">
      <c r="B6" s="166" t="inlineStr">
        <is>
          <t>Total Building SF</t>
        </is>
      </c>
      <c r="C6" s="189">
        <f>Subj_TotalBldgSF</f>
        <v/>
      </c>
    </row>
    <row r="7">
      <c r="B7" s="166" t="inlineStr">
        <is>
          <t>Total Units / Keys</t>
        </is>
      </c>
      <c r="C7" s="189">
        <f>Subj_TotalUnits</f>
        <v/>
      </c>
    </row>
    <row r="9">
      <c r="B9" s="187" t="inlineStr">
        <is>
          <t>Approach</t>
        </is>
      </c>
      <c r="C9" s="187" t="inlineStr">
        <is>
          <t>Indicated Value</t>
        </is>
      </c>
      <c r="D9" s="187" t="inlineStr">
        <is>
          <t>Weight</t>
        </is>
      </c>
      <c r="E9" s="187" t="inlineStr">
        <is>
          <t>Weighted</t>
        </is>
      </c>
      <c r="F9" s="187" t="inlineStr">
        <is>
          <t>Override</t>
        </is>
      </c>
      <c r="G9" s="187" t="inlineStr">
        <is>
          <t>Sales comps (WO)</t>
        </is>
      </c>
    </row>
    <row r="10">
      <c r="B10" s="166" t="inlineStr">
        <is>
          <t>Cost Approach (multi-building)</t>
        </is>
      </c>
      <c r="C10" s="189">
        <f>IF(F10&lt;&gt;"",F10,IFERROR('Cost Approach MB'!C29,0))</f>
        <v/>
      </c>
      <c r="D10" s="189" t="n">
        <v>0</v>
      </c>
      <c r="E10" s="189">
        <f>N(C10)*N(D10)</f>
        <v/>
      </c>
      <c r="F10" s="521" t="n"/>
      <c r="G10" s="189" t="n"/>
    </row>
    <row r="11">
      <c r="B11" s="166" t="inlineStr">
        <is>
          <t>Sales Comparison (WO grid)</t>
        </is>
      </c>
      <c r="C11" s="189">
        <f>IF(F11&lt;&gt;"",F11,IFERROR(AVERAGEIF(G11:G13,"&gt;0"),0))</f>
        <v/>
      </c>
      <c r="D11" s="189" t="n">
        <v>1</v>
      </c>
      <c r="E11" s="189">
        <f>N(C11)*N(D11)</f>
        <v/>
      </c>
      <c r="F11" s="521" t="n"/>
      <c r="G11" s="189">
        <f>IFERROR(WO!H22,0)</f>
        <v/>
      </c>
    </row>
    <row r="12">
      <c r="B12" s="166" t="inlineStr">
        <is>
          <t>Income Approach (enter in F12)</t>
        </is>
      </c>
      <c r="C12" s="189">
        <f>IF(F12&lt;&gt;"",F12,0)</f>
        <v/>
      </c>
      <c r="D12" s="189" t="n">
        <v>0</v>
      </c>
      <c r="E12" s="189">
        <f>N(C12)*N(D12)</f>
        <v/>
      </c>
      <c r="F12" s="521" t="n"/>
      <c r="G12" s="189">
        <f>IFERROR(WO!H25,0)</f>
        <v/>
      </c>
    </row>
    <row r="13">
      <c r="B13" s="166" t="inlineStr">
        <is>
          <t>Total</t>
        </is>
      </c>
      <c r="C13" s="189" t="n"/>
      <c r="D13" s="189">
        <f>SUM(D10:D12)</f>
        <v/>
      </c>
      <c r="E13" s="189">
        <f>SUM(E10:E12)</f>
        <v/>
      </c>
      <c r="F13" s="521" t="n"/>
      <c r="G13" s="189">
        <f>IFERROR(WO!H28,0)</f>
        <v/>
      </c>
    </row>
    <row r="15">
      <c r="B15" s="187" t="inlineStr">
        <is>
          <t>Weighted Indicated Value</t>
        </is>
      </c>
      <c r="C15" s="187">
        <f>IF(D13=0,0,E13/D13)</f>
        <v/>
      </c>
    </row>
    <row r="16">
      <c r="B16" s="187" t="inlineStr">
        <is>
          <t>CONCLUDED VALUE (rounded)</t>
        </is>
      </c>
      <c r="C16" s="187">
        <f>ROUND(C15/5000,0)*5000</f>
        <v/>
      </c>
    </row>
    <row r="17">
      <c r="B17" s="166" t="inlineStr">
        <is>
          <t xml:space="preserve">   per SF</t>
        </is>
      </c>
      <c r="C17" s="189">
        <f>IFERROR(C16/Subj_TotalBldgSF,"")</f>
        <v/>
      </c>
    </row>
    <row r="18">
      <c r="B18" s="166" t="inlineStr">
        <is>
          <t xml:space="preserve">   per Unit / Key</t>
        </is>
      </c>
      <c r="C18" s="189">
        <f>IF(Subj_Basis="Per SF","n/a (SF-based)",IFERROR(C16/Subj_TotalUnits,""))</f>
        <v/>
      </c>
    </row>
  </sheetData>
  <mergeCells count="2">
    <mergeCell ref="B2:F2"/>
    <mergeCell ref="B1:F1"/>
  </mergeCells>
  <pageMargins left="0.7" right="0.7" top="0.75" bottom="0.75" header="0.3" footer="0.3"/>
</worksheet>
</file>

<file path=xl/worksheets/sheet13.xml><?xml version="1.0" encoding="utf-8"?>
<worksheet xmlns="http://schemas.openxmlformats.org/spreadsheetml/2006/main">
  <sheetPr codeName="Sheet2">
    <tabColor rgb="FF0E7490"/>
    <outlinePr summaryBelow="1" summaryRight="1"/>
    <pageSetUpPr fitToPage="1"/>
  </sheetPr>
  <dimension ref="A1:AN115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width="6" bestFit="1" customWidth="1" style="59" min="1" max="2"/>
    <col width="10" customWidth="1" style="59" min="3" max="3"/>
    <col width="30" bestFit="1" customWidth="1" style="59" min="4" max="4"/>
    <col width="7" customWidth="1" style="59" min="5" max="5"/>
    <col width="17" bestFit="1" customWidth="1" style="59" min="6" max="6"/>
    <col width="6" customWidth="1" style="59" min="7" max="7"/>
    <col width="15.59765625" bestFit="1" customWidth="1" style="701" min="8" max="8"/>
    <col width="21" bestFit="1" customWidth="1" style="59" min="9" max="9"/>
    <col width="11" bestFit="1" customWidth="1" style="59" min="10" max="10"/>
    <col width="9.796875" bestFit="1" customWidth="1" style="59" min="11" max="11"/>
    <col width="11.3984375" bestFit="1" customWidth="1" style="59" min="12" max="12"/>
    <col width="7" bestFit="1" customWidth="1" style="59" min="13" max="13"/>
    <col width="8.3984375" bestFit="1" customWidth="1" style="59" min="14" max="14"/>
    <col width="9" bestFit="1" customWidth="1" style="67" min="15" max="15"/>
    <col width="26" bestFit="1" customWidth="1" style="59" min="16" max="16"/>
    <col width="5.59765625" bestFit="1" customWidth="1" style="67" min="17" max="17"/>
    <col width="11" bestFit="1" customWidth="1" style="112" min="18" max="18"/>
    <col width="11.3984375" bestFit="1" customWidth="1" style="59" min="19" max="19"/>
    <col width="11.59765625" bestFit="1" customWidth="1" style="59" min="20" max="20"/>
    <col width="11" bestFit="1" customWidth="1" style="59" min="21" max="21"/>
    <col width="8.796875" bestFit="1" customWidth="1" style="59" min="22" max="22"/>
    <col width="7" bestFit="1" customWidth="1" style="59" min="23" max="23"/>
    <col width="13.19921875" bestFit="1" customWidth="1" style="59" min="24" max="24"/>
    <col width="13.3984375" bestFit="1" customWidth="1" style="59" min="25" max="25"/>
    <col width="12" bestFit="1" customWidth="1" style="59" min="26" max="26"/>
    <col width="13.3984375" bestFit="1" customWidth="1" style="59" min="27" max="27"/>
    <col width="10.59765625" bestFit="1" customWidth="1" style="59" min="28" max="28"/>
    <col width="15" bestFit="1" customWidth="1" style="59" min="29" max="30"/>
    <col width="52" bestFit="1" customWidth="1" style="59" min="31" max="32"/>
    <col width="10.19921875" bestFit="1" customWidth="1" style="59" min="33" max="34"/>
    <col hidden="1" width="9.3984375" customWidth="1" style="59" min="35" max="35"/>
    <col hidden="1" width="13" customWidth="1" style="518" min="36" max="36"/>
    <col hidden="1" width="9.3984375" customWidth="1" style="59" min="37" max="16384"/>
  </cols>
  <sheetData>
    <row r="1" ht="36" customHeight="1" s="518">
      <c r="A1" s="222" t="inlineStr">
        <is>
          <t>Pos</t>
        </is>
      </c>
      <c r="B1" s="222" t="inlineStr">
        <is>
          <t>Num</t>
        </is>
      </c>
      <c r="C1" s="222" t="inlineStr">
        <is>
          <t>Parcel</t>
        </is>
      </c>
      <c r="D1" s="223" t="inlineStr">
        <is>
          <t>Filtered
Address</t>
        </is>
      </c>
      <c r="E1" s="222" t="inlineStr">
        <is>
          <t>OCC</t>
        </is>
      </c>
      <c r="F1" s="222" t="inlineStr">
        <is>
          <t>CITY</t>
        </is>
      </c>
      <c r="G1" s="223" t="inlineStr">
        <is>
          <t>Loc</t>
        </is>
      </c>
      <c r="H1" s="702" t="inlineStr">
        <is>
          <t>FTS</t>
        </is>
      </c>
      <c r="I1" s="222" t="inlineStr">
        <is>
          <t>Date</t>
        </is>
      </c>
      <c r="J1" s="222" t="inlineStr">
        <is>
          <t>Above
Grade NRA</t>
        </is>
      </c>
      <c r="K1" s="222" t="inlineStr">
        <is>
          <t>Bsmt
NRA</t>
        </is>
      </c>
      <c r="L1" s="222" t="inlineStr">
        <is>
          <t>NRA</t>
        </is>
      </c>
      <c r="M1" s="222" t="inlineStr">
        <is>
          <t>YOC</t>
        </is>
      </c>
      <c r="N1" s="222" t="inlineStr">
        <is>
          <t># Units</t>
        </is>
      </c>
      <c r="O1" s="222" t="inlineStr">
        <is>
          <t># Bldgs</t>
        </is>
      </c>
      <c r="P1" s="222" t="inlineStr">
        <is>
          <t>Zone</t>
        </is>
      </c>
      <c r="Q1" s="222" t="inlineStr">
        <is>
          <t>Str</t>
        </is>
      </c>
      <c r="R1" s="222" t="inlineStr">
        <is>
          <t>Grd</t>
        </is>
      </c>
      <c r="S1" s="222" t="inlineStr">
        <is>
          <t>Land</t>
        </is>
      </c>
      <c r="T1" s="223" t="inlineStr">
        <is>
          <t>L:B RATIO</t>
        </is>
      </c>
      <c r="U1" s="222" t="inlineStr">
        <is>
          <t>PHY</t>
        </is>
      </c>
      <c r="V1" s="222" t="inlineStr">
        <is>
          <t>FUN</t>
        </is>
      </c>
      <c r="W1" s="222" t="inlineStr">
        <is>
          <t>PF</t>
        </is>
      </c>
      <c r="X1" s="222" t="inlineStr">
        <is>
          <t>Tie-Back</t>
        </is>
      </c>
      <c r="Y1" s="222" t="inlineStr">
        <is>
          <t>Amount</t>
        </is>
      </c>
      <c r="Z1" s="222" t="inlineStr">
        <is>
          <t>Deduct.</t>
        </is>
      </c>
      <c r="AA1" s="222" t="inlineStr">
        <is>
          <t>Amount</t>
        </is>
      </c>
      <c r="AB1" s="222" t="inlineStr">
        <is>
          <t>Remarks</t>
        </is>
      </c>
      <c r="AC1" s="222" t="inlineStr">
        <is>
          <t>Parcel Number</t>
        </is>
      </c>
      <c r="AD1" s="222" t="inlineStr">
        <is>
          <t>Reception #</t>
        </is>
      </c>
      <c r="AE1" s="263" t="inlineStr">
        <is>
          <t>Grantor</t>
        </is>
      </c>
      <c r="AF1" s="263" t="inlineStr">
        <is>
          <t>Grantee</t>
        </is>
      </c>
      <c r="AG1" s="222" t="inlineStr">
        <is>
          <t>Street</t>
        </is>
      </c>
      <c r="AH1" s="222" t="inlineStr">
        <is>
          <t>Street</t>
        </is>
      </c>
      <c r="AI1" s="225" t="inlineStr">
        <is>
          <t>Score (internal)</t>
        </is>
      </c>
      <c r="AJ1" t="inlineStr">
        <is>
          <t>TieBreak (internal)</t>
        </is>
      </c>
      <c r="AK1" t="inlineStr">
        <is>
          <t>Price / Unit-Key</t>
        </is>
      </c>
    </row>
    <row r="2" ht="15" customHeight="1" s="518">
      <c r="A2" s="60" t="n">
        <v>5</v>
      </c>
      <c r="N2" s="4" t="n"/>
      <c r="O2" s="4" t="n"/>
      <c r="AB2" s="61" t="n"/>
      <c r="AI2">
        <f>IF(AND($E2=Subj_OccCode,Subj_BldgSF&gt;0,ABS($L2-Subj_BldgSF)&lt;=Subj_BldgSF*Subj_SizeTol),ABS($L2-Subj_BldgSF),NA())</f>
        <v/>
      </c>
      <c r="AJ2">
        <f>IF(ISNA(AI2),NA(),AI2+ROW()/10000000)</f>
        <v/>
      </c>
      <c r="AK2">
        <f>IF(AND(ISNUMBER($N2),$N2&gt;0,ISNUMBER($Y2)),$Y2/$N2,"")</f>
        <v/>
      </c>
    </row>
    <row r="3" ht="15" customHeight="1" s="518">
      <c r="A3" s="60" t="n">
        <v>5</v>
      </c>
      <c r="AB3" s="61" t="n"/>
      <c r="AI3">
        <f>IF(AND($E3=Subj_OccCode,Subj_BldgSF&gt;0,ABS($L3-Subj_BldgSF)&lt;=Subj_BldgSF*Subj_SizeTol),ABS($L3-Subj_BldgSF),NA())</f>
        <v/>
      </c>
      <c r="AJ3">
        <f>IF(ISNA(AI3),NA(),AI3+ROW()/10000000)</f>
        <v/>
      </c>
      <c r="AK3">
        <f>IF(AND(ISNUMBER($N3),$N3&gt;0,ISNUMBER($Y3)),$Y3/$N3,"")</f>
        <v/>
      </c>
    </row>
    <row r="4" ht="15" customHeight="1" s="518">
      <c r="A4" s="60" t="n">
        <v>5</v>
      </c>
      <c r="AB4" s="61" t="n"/>
      <c r="AI4">
        <f>IF(AND($E4=Subj_OccCode,Subj_BldgSF&gt;0,ABS($L4-Subj_BldgSF)&lt;=Subj_BldgSF*Subj_SizeTol),ABS($L4-Subj_BldgSF),NA())</f>
        <v/>
      </c>
      <c r="AJ4">
        <f>IF(ISNA(AI4),NA(),AI4+ROW()/10000000)</f>
        <v/>
      </c>
      <c r="AK4">
        <f>IF(AND(ISNUMBER($N4),$N4&gt;0,ISNUMBER($Y4)),$Y4/$N4,"")</f>
        <v/>
      </c>
    </row>
    <row r="5" ht="15" customHeight="1" s="518">
      <c r="A5" s="60" t="n">
        <v>5</v>
      </c>
      <c r="AB5" s="61" t="n"/>
      <c r="AI5">
        <f>IF(AND($E5=Subj_OccCode,Subj_BldgSF&gt;0,ABS($L5-Subj_BldgSF)&lt;=Subj_BldgSF*Subj_SizeTol),ABS($L5-Subj_BldgSF),NA())</f>
        <v/>
      </c>
      <c r="AJ5">
        <f>IF(ISNA(AI5),NA(),AI5+ROW()/10000000)</f>
        <v/>
      </c>
      <c r="AK5">
        <f>IF(AND(ISNUMBER($N5),$N5&gt;0,ISNUMBER($Y5)),$Y5/$N5,"")</f>
        <v/>
      </c>
    </row>
    <row r="6" ht="15" customHeight="1" s="518">
      <c r="A6" s="123" t="n">
        <v>6</v>
      </c>
      <c r="B6" s="59" t="n">
        <v>427</v>
      </c>
      <c r="C6" t="inlineStr">
        <is>
          <t>R0042518</t>
        </is>
      </c>
      <c r="D6" t="inlineStr">
        <is>
          <t>1412 W 104TH AVE</t>
        </is>
      </c>
      <c r="E6" t="n">
        <v>353</v>
      </c>
      <c r="F6" t="inlineStr">
        <is>
          <t>NORTHGLENN</t>
        </is>
      </c>
      <c r="G6" t="inlineStr">
        <is>
          <t>4</t>
        </is>
      </c>
      <c r="H6" s="703">
        <f>Y6/J6</f>
        <v/>
      </c>
      <c r="I6" s="704" t="n">
        <v>43731</v>
      </c>
      <c r="J6" t="n">
        <v>34790</v>
      </c>
      <c r="L6" t="n">
        <v>34790</v>
      </c>
      <c r="M6" t="n">
        <v>1973</v>
      </c>
      <c r="P6" t="inlineStr">
        <is>
          <t>R-1-B-Nor</t>
        </is>
      </c>
      <c r="R6" t="inlineStr">
        <is>
          <t>Average</t>
        </is>
      </c>
      <c r="S6" t="n">
        <v>156485</v>
      </c>
      <c r="T6" s="119">
        <f>S6/J6</f>
        <v/>
      </c>
      <c r="U6" t="inlineStr">
        <is>
          <t>Average</t>
        </is>
      </c>
      <c r="Y6" t="n">
        <v>5600000</v>
      </c>
      <c r="AA6" t="n">
        <v>5600000</v>
      </c>
      <c r="AC6" t="inlineStr">
        <is>
          <t>0171916102001</t>
        </is>
      </c>
      <c r="AD6" t="inlineStr">
        <is>
          <t>2019000080555</t>
        </is>
      </c>
      <c r="AE6" s="575" t="inlineStr">
        <is>
          <t xml:space="preserve">MCCAIN PROPERTIES II LLC, C/O WHEELHOUSE COMMERCIAL MGMT </t>
        </is>
      </c>
      <c r="AF6" s="575" t="inlineStr">
        <is>
          <t>TRIUMPH HILLCREST PLAZA ACQUISTION LP</t>
        </is>
      </c>
      <c r="AI6" s="59">
        <f>IF(AND($E6=Subj_OccCode,Subj_BldgSF&gt;0,ABS($L6-Subj_BldgSF)&lt;=Subj_BldgSF*Subj_SizeTol),ABS($L6-Subj_BldgSF),NA())</f>
        <v/>
      </c>
      <c r="AJ6">
        <f>IF(ISNA(AI6),NA(),AI6+ROW()/10000000)</f>
        <v/>
      </c>
      <c r="AK6">
        <f>IF(AND(ISNUMBER($N6),$N6&gt;0,ISNUMBER($Y6)),$Y6/$N6,"")</f>
        <v/>
      </c>
    </row>
    <row r="7" ht="15" customHeight="1" s="518">
      <c r="A7" s="123" t="n">
        <v>6</v>
      </c>
      <c r="B7" s="59" t="n">
        <v>514</v>
      </c>
      <c r="C7" t="inlineStr">
        <is>
          <t>R0168917</t>
        </is>
      </c>
      <c r="D7" t="inlineStr">
        <is>
          <t>462 MALLEY DR</t>
        </is>
      </c>
      <c r="E7" t="n">
        <v>353</v>
      </c>
      <c r="F7" t="inlineStr">
        <is>
          <t>NORTHGLENN</t>
        </is>
      </c>
      <c r="G7" t="inlineStr">
        <is>
          <t>2</t>
        </is>
      </c>
      <c r="H7" s="703">
        <f>Y7/J7</f>
        <v/>
      </c>
      <c r="I7" s="704" t="n">
        <v>43374</v>
      </c>
      <c r="J7" t="n">
        <v>14700</v>
      </c>
      <c r="L7" t="n">
        <v>14700</v>
      </c>
      <c r="M7" t="n">
        <v>1978</v>
      </c>
      <c r="R7" t="inlineStr">
        <is>
          <t>Average</t>
        </is>
      </c>
      <c r="S7" t="n">
        <v>93313</v>
      </c>
      <c r="T7" s="119">
        <f>S7/J7</f>
        <v/>
      </c>
      <c r="U7" t="inlineStr">
        <is>
          <t>Average</t>
        </is>
      </c>
      <c r="Y7" t="n">
        <v>1955000</v>
      </c>
      <c r="AA7" t="n">
        <v>1955000</v>
      </c>
      <c r="AC7" t="inlineStr">
        <is>
          <t>0171903409022</t>
        </is>
      </c>
      <c r="AD7" t="inlineStr">
        <is>
          <t>2018000079617</t>
        </is>
      </c>
      <c r="AE7" s="575" t="inlineStr">
        <is>
          <t>NORTH GATE SHOPPING CENTER LL</t>
        </is>
      </c>
      <c r="AF7" s="575" t="inlineStr">
        <is>
          <t>TRECO NORTHGLENN INVESTMENT LLC</t>
        </is>
      </c>
      <c r="AI7" s="59">
        <f>IF(AND($E7=Subj_OccCode,Subj_BldgSF&gt;0,ABS($L7-Subj_BldgSF)&lt;=Subj_BldgSF*Subj_SizeTol),ABS($L7-Subj_BldgSF),NA())</f>
        <v/>
      </c>
      <c r="AJ7">
        <f>IF(ISNA(AI7),NA(),AI7+ROW()/10000000)</f>
        <v/>
      </c>
      <c r="AK7">
        <f>IF(AND(ISNUMBER($N7),$N7&gt;0,ISNUMBER($Y7)),$Y7/$N7,"")</f>
        <v/>
      </c>
    </row>
    <row r="8" ht="15" customHeight="1" s="518">
      <c r="A8" s="123" t="n">
        <v>6</v>
      </c>
      <c r="B8" s="59" t="n">
        <v>599</v>
      </c>
      <c r="C8" t="inlineStr">
        <is>
          <t>R0164562</t>
        </is>
      </c>
      <c r="D8" t="inlineStr">
        <is>
          <t>7310  FEDERAL BLVD</t>
        </is>
      </c>
      <c r="E8" t="n">
        <v>353</v>
      </c>
      <c r="F8" t="inlineStr">
        <is>
          <t>WESTMINSTER</t>
        </is>
      </c>
      <c r="G8" t="inlineStr">
        <is>
          <t>1</t>
        </is>
      </c>
      <c r="H8" s="703">
        <f>Y8/J8</f>
        <v/>
      </c>
      <c r="I8" s="704" t="n">
        <v>43354</v>
      </c>
      <c r="J8" t="n">
        <v>19206</v>
      </c>
      <c r="L8" t="n">
        <v>19206</v>
      </c>
      <c r="M8" t="n">
        <v>2005</v>
      </c>
      <c r="R8" t="inlineStr">
        <is>
          <t>Average</t>
        </is>
      </c>
      <c r="S8" t="n">
        <v>104650</v>
      </c>
      <c r="T8" s="119">
        <f>S8/J8</f>
        <v/>
      </c>
      <c r="U8" t="inlineStr">
        <is>
          <t>Average</t>
        </is>
      </c>
      <c r="Y8" t="n">
        <v>2800000</v>
      </c>
      <c r="AA8" t="n">
        <v>2800000</v>
      </c>
      <c r="AC8" t="inlineStr">
        <is>
          <t>0171932421001</t>
        </is>
      </c>
      <c r="AD8" t="inlineStr">
        <is>
          <t>2018000074031</t>
        </is>
      </c>
      <c r="AE8" s="575" t="inlineStr">
        <is>
          <t>LA CONTE J AND R REAL ESTATE, ADMINISTRATIVE TRUST</t>
        </is>
      </c>
      <c r="AF8" s="575" t="inlineStr">
        <is>
          <t>72ND AND FEDERAL LLC</t>
        </is>
      </c>
      <c r="AI8" s="59">
        <f>IF(AND($E8=Subj_OccCode,Subj_BldgSF&gt;0,ABS($L8-Subj_BldgSF)&lt;=Subj_BldgSF*Subj_SizeTol),ABS($L8-Subj_BldgSF),NA())</f>
        <v/>
      </c>
      <c r="AJ8">
        <f>IF(ISNA(AI8),NA(),AI8+ROW()/10000000)</f>
        <v/>
      </c>
      <c r="AK8">
        <f>IF(AND(ISNUMBER($N8),$N8&gt;0,ISNUMBER($Y8)),$Y8/$N8,"")</f>
        <v/>
      </c>
    </row>
    <row r="9" ht="15" customHeight="1" s="518">
      <c r="A9" s="62" t="n">
        <v>7</v>
      </c>
      <c r="B9" s="59" t="n">
        <v>1</v>
      </c>
      <c r="C9" t="inlineStr">
        <is>
          <t>R0025081</t>
        </is>
      </c>
      <c r="D9" t="inlineStr">
        <is>
          <t>395 W 120TH AVE</t>
        </is>
      </c>
      <c r="E9" t="n">
        <v>350</v>
      </c>
      <c r="F9" t="inlineStr">
        <is>
          <t>WESTMINSTER</t>
        </is>
      </c>
      <c r="G9" t="inlineStr">
        <is>
          <t>3</t>
        </is>
      </c>
      <c r="H9" s="703">
        <f>Y9/J9</f>
        <v/>
      </c>
      <c r="I9" s="124" t="n">
        <v>45219</v>
      </c>
      <c r="J9" t="n">
        <v>5306</v>
      </c>
      <c r="K9" s="703" t="n"/>
      <c r="L9" t="n">
        <v>5306</v>
      </c>
      <c r="M9" t="n">
        <v>1986</v>
      </c>
      <c r="P9" t="inlineStr">
        <is>
          <t>PUD-Wes</t>
        </is>
      </c>
      <c r="R9" t="inlineStr">
        <is>
          <t>Average</t>
        </is>
      </c>
      <c r="S9" t="n">
        <v>35348</v>
      </c>
      <c r="T9" s="121">
        <f>S9/L9</f>
        <v/>
      </c>
      <c r="U9" t="inlineStr">
        <is>
          <t>Average</t>
        </is>
      </c>
      <c r="V9" s="121" t="n"/>
      <c r="W9" s="121" t="n"/>
      <c r="X9" s="121" t="n"/>
      <c r="Y9" s="705" t="n">
        <v>1000000</v>
      </c>
      <c r="Z9" s="705" t="n"/>
      <c r="AA9" s="705" t="n">
        <v>1000000</v>
      </c>
      <c r="AB9" s="705" t="n"/>
      <c r="AC9" t="inlineStr">
        <is>
          <t>0157334310007</t>
        </is>
      </c>
      <c r="AD9" t="inlineStr">
        <is>
          <t>2023000059964</t>
        </is>
      </c>
      <c r="AE9" s="575" t="inlineStr">
        <is>
          <t>DENVER NORTHGLENN HOTELS LLC</t>
        </is>
      </c>
      <c r="AF9" s="575" t="inlineStr">
        <is>
          <t>ASHOORIGROUP PROPERTIES LLC</t>
        </is>
      </c>
      <c r="AI9" s="59">
        <f>IF(AND($E9=Subj_OccCode,Subj_BldgSF&gt;0,ABS($L9-Subj_BldgSF)&lt;=Subj_BldgSF*Subj_SizeTol),ABS($L9-Subj_BldgSF),NA())</f>
        <v/>
      </c>
      <c r="AJ9">
        <f>IF(ISNA(AI9),NA(),AI9+ROW()/10000000)</f>
        <v/>
      </c>
      <c r="AK9">
        <f>IF(AND(ISNUMBER($N9),$N9&gt;0,ISNUMBER($Y9)),$Y9/$N9,"")</f>
        <v/>
      </c>
    </row>
    <row r="10" ht="15" customHeight="1" s="518">
      <c r="A10" s="62" t="n">
        <v>7</v>
      </c>
      <c r="B10" s="59" t="n">
        <v>2</v>
      </c>
      <c r="C10" t="inlineStr">
        <is>
          <t>R0093007</t>
        </is>
      </c>
      <c r="D10" t="inlineStr">
        <is>
          <t>3788 WHEELING ST</t>
        </is>
      </c>
      <c r="E10" t="n">
        <v>334</v>
      </c>
      <c r="F10" t="inlineStr">
        <is>
          <t>AURORA</t>
        </is>
      </c>
      <c r="G10" t="inlineStr">
        <is>
          <t>6</t>
        </is>
      </c>
      <c r="H10" s="703">
        <f>Y10/J10</f>
        <v/>
      </c>
      <c r="I10" s="124" t="n">
        <v>44875</v>
      </c>
      <c r="J10" t="n">
        <v>16524</v>
      </c>
      <c r="K10" s="703" t="n"/>
      <c r="L10" t="n">
        <v>16524</v>
      </c>
      <c r="M10" t="n">
        <v>1978</v>
      </c>
      <c r="P10" t="inlineStr">
        <is>
          <t>M-3</t>
        </is>
      </c>
      <c r="R10" t="inlineStr">
        <is>
          <t>Good</t>
        </is>
      </c>
      <c r="S10" t="n">
        <v>93218</v>
      </c>
      <c r="T10" s="121">
        <f>S10/L10</f>
        <v/>
      </c>
      <c r="U10" t="inlineStr">
        <is>
          <t>Good</t>
        </is>
      </c>
      <c r="V10" s="121" t="n"/>
      <c r="W10" s="121" t="n"/>
      <c r="X10" s="121" t="n"/>
      <c r="Y10" s="705" t="n">
        <v>3479000</v>
      </c>
      <c r="Z10" s="705" t="n"/>
      <c r="AA10" s="705" t="n">
        <v>3479000</v>
      </c>
      <c r="AB10" s="705" t="n"/>
      <c r="AC10" t="inlineStr">
        <is>
          <t>0182325114006</t>
        </is>
      </c>
      <c r="AD10" t="inlineStr">
        <is>
          <t>2022000090697</t>
        </is>
      </c>
      <c r="AE10" s="575" t="inlineStr">
        <is>
          <t>JACOBSON RICHARD LESLIE</t>
        </is>
      </c>
      <c r="AF10" s="575" t="inlineStr">
        <is>
          <t>WHEELING HOLDINGS LLC</t>
        </is>
      </c>
      <c r="AI10" s="59">
        <f>IF(AND($E10=Subj_OccCode,Subj_BldgSF&gt;0,ABS($L10-Subj_BldgSF)&lt;=Subj_BldgSF*Subj_SizeTol),ABS($L10-Subj_BldgSF),NA())</f>
        <v/>
      </c>
      <c r="AJ10">
        <f>IF(ISNA(AI10),NA(),AI10+ROW()/10000000)</f>
        <v/>
      </c>
      <c r="AK10">
        <f>IF(AND(ISNUMBER($N10),$N10&gt;0,ISNUMBER($Y10)),$Y10/$N10,"")</f>
        <v/>
      </c>
    </row>
    <row r="11" ht="15" customHeight="1" s="518">
      <c r="A11" s="62" t="n">
        <v>7</v>
      </c>
      <c r="B11" s="59" t="n">
        <v>3</v>
      </c>
      <c r="C11" t="inlineStr">
        <is>
          <t>R0093893</t>
        </is>
      </c>
      <c r="D11" t="inlineStr">
        <is>
          <t>3202 NOME ST</t>
        </is>
      </c>
      <c r="E11" t="n">
        <v>407</v>
      </c>
      <c r="F11" t="inlineStr">
        <is>
          <t>AURORA</t>
        </is>
      </c>
      <c r="G11" t="inlineStr">
        <is>
          <t>6</t>
        </is>
      </c>
      <c r="H11" s="703">
        <f>Y11/J11</f>
        <v/>
      </c>
      <c r="I11" s="124" t="n">
        <v>45275</v>
      </c>
      <c r="J11" t="n">
        <v>9600</v>
      </c>
      <c r="K11" s="703" t="n"/>
      <c r="L11" t="n">
        <v>9600</v>
      </c>
      <c r="M11" t="n">
        <v>1972</v>
      </c>
      <c r="P11" t="inlineStr">
        <is>
          <t>M-3</t>
        </is>
      </c>
      <c r="R11" t="inlineStr">
        <is>
          <t>Average</t>
        </is>
      </c>
      <c r="S11" t="n">
        <v>22687</v>
      </c>
      <c r="T11" s="121">
        <f>S11/L11</f>
        <v/>
      </c>
      <c r="U11" t="inlineStr">
        <is>
          <t>Average</t>
        </is>
      </c>
      <c r="V11" s="121" t="n"/>
      <c r="W11" s="121" t="n"/>
      <c r="X11" s="121" t="n"/>
      <c r="Y11" s="705" t="n">
        <v>1700000</v>
      </c>
      <c r="Z11" s="705" t="n"/>
      <c r="AA11" s="705" t="n">
        <v>1700000</v>
      </c>
      <c r="AB11" s="705" t="n"/>
      <c r="AC11" t="inlineStr">
        <is>
          <t>0182326102004</t>
        </is>
      </c>
      <c r="AD11" t="inlineStr">
        <is>
          <t>2023000069965</t>
        </is>
      </c>
      <c r="AE11" s="575" t="inlineStr">
        <is>
          <t xml:space="preserve">MEEKS GARY I AND , MEEKS PAULA K </t>
        </is>
      </c>
      <c r="AF11" s="575" t="inlineStr">
        <is>
          <t>REP HOLDINGS LLC</t>
        </is>
      </c>
      <c r="AI11" s="59">
        <f>IF(AND($E11=Subj_OccCode,Subj_BldgSF&gt;0,ABS($L11-Subj_BldgSF)&lt;=Subj_BldgSF*Subj_SizeTol),ABS($L11-Subj_BldgSF),NA())</f>
        <v/>
      </c>
      <c r="AJ11">
        <f>IF(ISNA(AI11),NA(),AI11+ROW()/10000000)</f>
        <v/>
      </c>
      <c r="AK11">
        <f>IF(AND(ISNUMBER($N11),$N11&gt;0,ISNUMBER($Y11)),$Y11/$N11,"")</f>
        <v/>
      </c>
    </row>
    <row r="12" ht="15" customHeight="1" s="518">
      <c r="A12" s="62" t="n">
        <v>7</v>
      </c>
      <c r="B12" s="59" t="n">
        <v>4</v>
      </c>
      <c r="C12" t="inlineStr">
        <is>
          <t>R0113646</t>
        </is>
      </c>
      <c r="D12" t="inlineStr">
        <is>
          <t>8971 YATES ST</t>
        </is>
      </c>
      <c r="E12" t="n">
        <v>350</v>
      </c>
      <c r="F12" t="inlineStr">
        <is>
          <t>WESTMINSTER</t>
        </is>
      </c>
      <c r="G12" t="inlineStr">
        <is>
          <t>4</t>
        </is>
      </c>
      <c r="H12" s="703">
        <f>Y12/J12</f>
        <v/>
      </c>
      <c r="I12" s="124" t="n">
        <v>45331</v>
      </c>
      <c r="J12" t="n">
        <v>9768</v>
      </c>
      <c r="K12" s="703" t="n"/>
      <c r="L12" t="n">
        <v>9768</v>
      </c>
      <c r="M12" t="n">
        <v>1999</v>
      </c>
      <c r="P12" t="inlineStr">
        <is>
          <t>PUD-Wes</t>
        </is>
      </c>
      <c r="R12" t="inlineStr">
        <is>
          <t>Good</t>
        </is>
      </c>
      <c r="S12" t="n">
        <v>68877.07030000001</v>
      </c>
      <c r="T12" s="121">
        <f>S12/L12</f>
        <v/>
      </c>
      <c r="U12" t="inlineStr">
        <is>
          <t>Good</t>
        </is>
      </c>
      <c r="V12" s="121" t="n"/>
      <c r="W12" s="121" t="n"/>
      <c r="X12" s="121" t="n"/>
      <c r="Y12" s="705" t="n">
        <v>2000000</v>
      </c>
      <c r="Z12" s="705" t="n"/>
      <c r="AA12" s="705" t="n">
        <v>2000000</v>
      </c>
      <c r="AB12" s="705" t="n"/>
      <c r="AC12" t="inlineStr">
        <is>
          <t>0171919324002</t>
        </is>
      </c>
      <c r="AD12" t="inlineStr">
        <is>
          <t>2024000007838</t>
        </is>
      </c>
      <c r="AE12" s="575" t="inlineStr">
        <is>
          <t>SHIH PROPERTIES INCORPORATED</t>
        </is>
      </c>
      <c r="AF12" s="575" t="inlineStr">
        <is>
          <t>BHATTARAI DOL PRASAD</t>
        </is>
      </c>
      <c r="AI12" s="59">
        <f>IF(AND($E12=Subj_OccCode,Subj_BldgSF&gt;0,ABS($L12-Subj_BldgSF)&lt;=Subj_BldgSF*Subj_SizeTol),ABS($L12-Subj_BldgSF),NA())</f>
        <v/>
      </c>
      <c r="AJ12">
        <f>IF(ISNA(AI12),NA(),AI12+ROW()/10000000)</f>
        <v/>
      </c>
      <c r="AK12">
        <f>IF(AND(ISNUMBER($N12),$N12&gt;0,ISNUMBER($Y12)),$Y12/$N12,"")</f>
        <v/>
      </c>
    </row>
    <row r="13" ht="15" customHeight="1" s="518">
      <c r="A13" s="62" t="n">
        <v>7</v>
      </c>
      <c r="B13" s="59" t="n">
        <v>5</v>
      </c>
      <c r="C13" t="inlineStr">
        <is>
          <t>R0169173</t>
        </is>
      </c>
      <c r="D13" t="inlineStr">
        <is>
          <t>2751 W 120TH AVE</t>
        </is>
      </c>
      <c r="E13" t="n">
        <v>353</v>
      </c>
      <c r="F13" t="inlineStr">
        <is>
          <t>WESTMINSTER</t>
        </is>
      </c>
      <c r="G13" t="inlineStr">
        <is>
          <t>3</t>
        </is>
      </c>
      <c r="H13" s="703">
        <f>Y13/J13</f>
        <v/>
      </c>
      <c r="I13" s="124" t="n">
        <v>45258</v>
      </c>
      <c r="J13" t="n">
        <v>6306</v>
      </c>
      <c r="K13" s="703" t="n"/>
      <c r="L13" t="n">
        <v>6306</v>
      </c>
      <c r="M13" t="n">
        <v>2006</v>
      </c>
      <c r="P13" t="inlineStr">
        <is>
          <t>PUD-Wes</t>
        </is>
      </c>
      <c r="R13" t="inlineStr">
        <is>
          <t>Good</t>
        </is>
      </c>
      <c r="S13" t="n">
        <v>40087</v>
      </c>
      <c r="T13" s="121">
        <f>S13/L13</f>
        <v/>
      </c>
      <c r="U13" t="inlineStr">
        <is>
          <t>Good</t>
        </is>
      </c>
      <c r="V13" s="121" t="n"/>
      <c r="W13" s="121" t="n"/>
      <c r="X13" s="121" t="n"/>
      <c r="Y13" s="705" t="n">
        <v>1600000</v>
      </c>
      <c r="Z13" s="705" t="n"/>
      <c r="AA13" s="705" t="n">
        <v>1500000</v>
      </c>
      <c r="AB13" s="705" t="n"/>
      <c r="AC13" t="inlineStr">
        <is>
          <t>0157332401012</t>
        </is>
      </c>
      <c r="AD13" t="inlineStr">
        <is>
          <t>2023000065924</t>
        </is>
      </c>
      <c r="AE13" s="575" t="inlineStr">
        <is>
          <t>R &amp; R PROPERTIES LLC</t>
        </is>
      </c>
      <c r="AF13" s="575" t="inlineStr">
        <is>
          <t>WELBY CENTER LLC</t>
        </is>
      </c>
      <c r="AI13" s="59">
        <f>IF(AND($E13=Subj_OccCode,Subj_BldgSF&gt;0,ABS($L13-Subj_BldgSF)&lt;=Subj_BldgSF*Subj_SizeTol),ABS($L13-Subj_BldgSF),NA())</f>
        <v/>
      </c>
      <c r="AJ13">
        <f>IF(ISNA(AI13),NA(),AI13+ROW()/10000000)</f>
        <v/>
      </c>
      <c r="AK13">
        <f>IF(AND(ISNUMBER($N13),$N13&gt;0,ISNUMBER($Y13)),$Y13/$N13,"")</f>
        <v/>
      </c>
    </row>
    <row r="14" ht="15" customHeight="1" s="518">
      <c r="A14" s="62" t="n">
        <v>7</v>
      </c>
      <c r="B14" s="59" t="n">
        <v>6</v>
      </c>
      <c r="C14" t="inlineStr">
        <is>
          <t>R0176529</t>
        </is>
      </c>
      <c r="D14" t="inlineStr">
        <is>
          <t>2761 W 120TH AVE</t>
        </is>
      </c>
      <c r="E14" t="n">
        <v>1344</v>
      </c>
      <c r="F14" t="inlineStr">
        <is>
          <t>WESTMINSTER</t>
        </is>
      </c>
      <c r="G14" t="inlineStr">
        <is>
          <t>3</t>
        </is>
      </c>
      <c r="H14" s="703">
        <f>Y14/J14</f>
        <v/>
      </c>
      <c r="I14" s="124" t="n">
        <v>44970</v>
      </c>
      <c r="J14" t="n">
        <v>19714</v>
      </c>
      <c r="K14" s="703" t="n"/>
      <c r="L14" t="n">
        <v>19714</v>
      </c>
      <c r="M14" t="n">
        <v>2006</v>
      </c>
      <c r="P14" t="inlineStr">
        <is>
          <t>PUD-Wes</t>
        </is>
      </c>
      <c r="R14" t="inlineStr">
        <is>
          <t>Average</t>
        </is>
      </c>
      <c r="S14" t="n">
        <v>5486</v>
      </c>
      <c r="T14" s="121">
        <f>S14/L14</f>
        <v/>
      </c>
      <c r="U14" t="inlineStr">
        <is>
          <t>Average</t>
        </is>
      </c>
      <c r="V14" s="121" t="n"/>
      <c r="W14" s="121" t="n"/>
      <c r="X14" s="121" t="n"/>
      <c r="Y14" s="705" t="n">
        <v>450000</v>
      </c>
      <c r="Z14" s="705" t="n"/>
      <c r="AA14" s="705" t="n">
        <v>450000</v>
      </c>
      <c r="AB14" s="705" t="n"/>
      <c r="AC14" t="inlineStr">
        <is>
          <t>0157332401021</t>
        </is>
      </c>
      <c r="AD14" t="inlineStr">
        <is>
          <t>2023000008038</t>
        </is>
      </c>
      <c r="AE14" s="575" t="inlineStr">
        <is>
          <t>CHIROPRACTIC OF NORTH DENVER PC</t>
        </is>
      </c>
      <c r="AF14" s="575" t="inlineStr">
        <is>
          <t>HARTIGAN PROPERTIES LLC</t>
        </is>
      </c>
      <c r="AI14" s="59">
        <f>IF(AND($E14=Subj_OccCode,Subj_BldgSF&gt;0,ABS($L14-Subj_BldgSF)&lt;=Subj_BldgSF*Subj_SizeTol),ABS($L14-Subj_BldgSF),NA())</f>
        <v/>
      </c>
      <c r="AJ14">
        <f>IF(ISNA(AI14),NA(),AI14+ROW()/10000000)</f>
        <v/>
      </c>
      <c r="AK14">
        <f>IF(AND(ISNUMBER($N14),$N14&gt;0,ISNUMBER($Y14)),$Y14/$N14,"")</f>
        <v/>
      </c>
    </row>
    <row r="15" ht="15" customHeight="1" s="518">
      <c r="A15" s="62" t="n">
        <v>7</v>
      </c>
      <c r="B15" s="59" t="n">
        <v>7</v>
      </c>
      <c r="C15" t="inlineStr">
        <is>
          <t>R0188147</t>
        </is>
      </c>
      <c r="D15" t="inlineStr">
        <is>
          <t>2741 W 120TH AVE</t>
        </is>
      </c>
      <c r="E15" t="n">
        <v>353</v>
      </c>
      <c r="F15" t="inlineStr">
        <is>
          <t>WESTMINSTER</t>
        </is>
      </c>
      <c r="G15" t="inlineStr">
        <is>
          <t>3</t>
        </is>
      </c>
      <c r="H15" s="703">
        <f>Y15/J15</f>
        <v/>
      </c>
      <c r="I15" s="124" t="n">
        <v>44748</v>
      </c>
      <c r="J15" t="n">
        <v>6164</v>
      </c>
      <c r="K15" s="703" t="n"/>
      <c r="L15" t="n">
        <v>6164</v>
      </c>
      <c r="M15" t="n">
        <v>2017</v>
      </c>
      <c r="P15" t="inlineStr">
        <is>
          <t>PUD-Wes</t>
        </is>
      </c>
      <c r="R15" t="inlineStr">
        <is>
          <t>Average</t>
        </is>
      </c>
      <c r="S15" t="n">
        <v>34853</v>
      </c>
      <c r="T15" s="121">
        <f>S15/L15</f>
        <v/>
      </c>
      <c r="U15" t="inlineStr">
        <is>
          <t>Average</t>
        </is>
      </c>
      <c r="V15" s="121" t="n"/>
      <c r="W15" s="121" t="n"/>
      <c r="X15" s="121" t="n"/>
      <c r="Y15" s="705" t="n">
        <v>2490000</v>
      </c>
      <c r="Z15" s="705" t="n"/>
      <c r="AA15" s="705" t="n">
        <v>2490000</v>
      </c>
      <c r="AB15" s="705" t="n"/>
      <c r="AC15" t="inlineStr">
        <is>
          <t>0157332401027</t>
        </is>
      </c>
      <c r="AD15" t="inlineStr">
        <is>
          <t>2022000058894</t>
        </is>
      </c>
      <c r="AE15" s="575" t="inlineStr">
        <is>
          <t>COUNTRY CLUB VILLAGE TWO LLC</t>
        </is>
      </c>
      <c r="AF15" s="575" t="inlineStr">
        <is>
          <t>CTJ LEASING LLC</t>
        </is>
      </c>
      <c r="AI15" s="59">
        <f>IF(AND($E15=Subj_OccCode,Subj_BldgSF&gt;0,ABS($L15-Subj_BldgSF)&lt;=Subj_BldgSF*Subj_SizeTol),ABS($L15-Subj_BldgSF),NA())</f>
        <v/>
      </c>
      <c r="AJ15">
        <f>IF(ISNA(AI15),NA(),AI15+ROW()/10000000)</f>
        <v/>
      </c>
      <c r="AK15">
        <f>IF(AND(ISNUMBER($N15),$N15&gt;0,ISNUMBER($Y15)),$Y15/$N15,"")</f>
        <v/>
      </c>
    </row>
    <row r="16" ht="15" customHeight="1" s="518">
      <c r="A16" s="62" t="n">
        <v>7</v>
      </c>
      <c r="B16" s="59" t="n">
        <v>8</v>
      </c>
      <c r="C16" t="inlineStr">
        <is>
          <t>R0025151</t>
        </is>
      </c>
      <c r="D16" t="inlineStr">
        <is>
          <t>12055 MELODY DR</t>
        </is>
      </c>
      <c r="E16" t="n">
        <v>1332</v>
      </c>
      <c r="F16" t="inlineStr">
        <is>
          <t>WESTMINSTER</t>
        </is>
      </c>
      <c r="G16" t="inlineStr">
        <is>
          <t>3</t>
        </is>
      </c>
      <c r="H16" s="703">
        <f>Y16/J16</f>
        <v/>
      </c>
      <c r="I16" s="124" t="n">
        <v>45398</v>
      </c>
      <c r="J16" t="n">
        <v>116</v>
      </c>
      <c r="K16" s="703" t="n"/>
      <c r="L16" t="n">
        <v>116</v>
      </c>
      <c r="M16" t="n">
        <v>1985</v>
      </c>
      <c r="P16" t="inlineStr">
        <is>
          <t>PUD-Wes</t>
        </is>
      </c>
      <c r="R16" t="inlineStr">
        <is>
          <t>Good</t>
        </is>
      </c>
      <c r="S16" t="n">
        <v>92400</v>
      </c>
      <c r="T16" s="121">
        <f>S16/L16</f>
        <v/>
      </c>
      <c r="U16" t="inlineStr">
        <is>
          <t>Good</t>
        </is>
      </c>
      <c r="V16" s="121" t="n"/>
      <c r="W16" s="121" t="n"/>
      <c r="X16" s="121" t="n"/>
      <c r="Y16" s="705" t="n">
        <v>7785000</v>
      </c>
      <c r="Z16" s="705" t="n"/>
      <c r="AA16" s="705" t="n">
        <v>7785000</v>
      </c>
      <c r="AB16" s="705" t="n"/>
      <c r="AC16" t="inlineStr">
        <is>
          <t>0157334313002</t>
        </is>
      </c>
      <c r="AD16" t="inlineStr">
        <is>
          <t>2024000020298</t>
        </is>
      </c>
      <c r="AE16" s="575" t="inlineStr">
        <is>
          <t>CHANG AND IM INCORPORATED</t>
        </is>
      </c>
      <c r="AF16" s="575" t="inlineStr">
        <is>
          <t>MELODY DRIVE INVESTMENT LLC</t>
        </is>
      </c>
      <c r="AI16" s="59">
        <f>IF(AND($E16=Subj_OccCode,Subj_BldgSF&gt;0,ABS($L16-Subj_BldgSF)&lt;=Subj_BldgSF*Subj_SizeTol),ABS($L16-Subj_BldgSF),NA())</f>
        <v/>
      </c>
      <c r="AJ16">
        <f>IF(ISNA(AI16),NA(),AI16+ROW()/10000000)</f>
        <v/>
      </c>
      <c r="AK16">
        <f>IF(AND(ISNUMBER($N16),$N16&gt;0,ISNUMBER($Y16)),$Y16/$N16,"")</f>
        <v/>
      </c>
    </row>
    <row r="17" ht="15" customHeight="1" s="518">
      <c r="A17" s="62" t="n">
        <v>7</v>
      </c>
      <c r="B17" s="59" t="n">
        <v>9</v>
      </c>
      <c r="C17" t="inlineStr">
        <is>
          <t>R0061279</t>
        </is>
      </c>
      <c r="D17" t="inlineStr">
        <is>
          <t>3030 W 81ST AVE</t>
        </is>
      </c>
      <c r="E17" t="n">
        <v>344</v>
      </c>
      <c r="F17" t="inlineStr">
        <is>
          <t>WESTMINSTER</t>
        </is>
      </c>
      <c r="G17" t="inlineStr">
        <is>
          <t>4</t>
        </is>
      </c>
      <c r="H17" s="703">
        <f>Y17/J17</f>
        <v/>
      </c>
      <c r="I17" s="124" t="n">
        <v>45358</v>
      </c>
      <c r="J17" t="n">
        <v>2400</v>
      </c>
      <c r="K17" s="703" t="n"/>
      <c r="L17" t="n">
        <v>2400</v>
      </c>
      <c r="M17" t="n">
        <v>1980</v>
      </c>
      <c r="P17" t="inlineStr">
        <is>
          <t>PUD-Wes</t>
        </is>
      </c>
      <c r="R17" t="inlineStr">
        <is>
          <t>Average</t>
        </is>
      </c>
      <c r="S17" t="n">
        <v>12501.72</v>
      </c>
      <c r="T17" s="121">
        <f>S17/L17</f>
        <v/>
      </c>
      <c r="U17" t="inlineStr">
        <is>
          <t>Average</t>
        </is>
      </c>
      <c r="V17" s="121" t="n"/>
      <c r="W17" s="121" t="n"/>
      <c r="X17" s="121" t="n"/>
      <c r="Y17" s="705" t="n">
        <v>850000</v>
      </c>
      <c r="Z17" s="705" t="n"/>
      <c r="AA17" s="705" t="n">
        <v>850000</v>
      </c>
      <c r="AB17" s="705" t="n"/>
      <c r="AC17" t="inlineStr">
        <is>
          <t>0171929322001</t>
        </is>
      </c>
      <c r="AD17" t="inlineStr">
        <is>
          <t>2024000012610</t>
        </is>
      </c>
      <c r="AE17" s="575" t="inlineStr">
        <is>
          <t>3030 81ST LLC</t>
        </is>
      </c>
      <c r="AF17" s="575" t="inlineStr">
        <is>
          <t>BAB REALTY LLC</t>
        </is>
      </c>
      <c r="AI17" s="59">
        <f>IF(AND($E17=Subj_OccCode,Subj_BldgSF&gt;0,ABS($L17-Subj_BldgSF)&lt;=Subj_BldgSF*Subj_SizeTol),ABS($L17-Subj_BldgSF),NA())</f>
        <v/>
      </c>
      <c r="AJ17">
        <f>IF(ISNA(AI17),NA(),AI17+ROW()/10000000)</f>
        <v/>
      </c>
      <c r="AK17">
        <f>IF(AND(ISNUMBER($N17),$N17&gt;0,ISNUMBER($Y17)),$Y17/$N17,"")</f>
        <v/>
      </c>
    </row>
    <row r="18" ht="15" customHeight="1" s="518">
      <c r="A18" s="62" t="n">
        <v>7</v>
      </c>
      <c r="B18" s="59" t="n">
        <v>10</v>
      </c>
      <c r="C18" t="inlineStr">
        <is>
          <t>R0064517</t>
        </is>
      </c>
      <c r="D18" t="inlineStr">
        <is>
          <t>5141 W 78TH AVE</t>
        </is>
      </c>
      <c r="E18" t="n">
        <v>344</v>
      </c>
      <c r="F18" t="inlineStr">
        <is>
          <t>WESTMINSTER</t>
        </is>
      </c>
      <c r="G18" t="inlineStr">
        <is>
          <t>4</t>
        </is>
      </c>
      <c r="H18" s="703">
        <f>Y18/J18</f>
        <v/>
      </c>
      <c r="I18" s="124" t="n">
        <v>45169</v>
      </c>
      <c r="J18" t="n">
        <v>4365</v>
      </c>
      <c r="K18" s="703" t="n"/>
      <c r="L18" t="n">
        <v>4365</v>
      </c>
      <c r="M18" t="n">
        <v>2000</v>
      </c>
      <c r="P18" t="inlineStr">
        <is>
          <t>PUD-Wes</t>
        </is>
      </c>
      <c r="R18" t="inlineStr">
        <is>
          <t>Average</t>
        </is>
      </c>
      <c r="S18" t="n">
        <v>14136</v>
      </c>
      <c r="T18" s="121">
        <f>S18/L18</f>
        <v/>
      </c>
      <c r="U18" t="inlineStr">
        <is>
          <t>Average</t>
        </is>
      </c>
      <c r="V18" s="121" t="n"/>
      <c r="W18" s="121" t="n"/>
      <c r="X18" s="121" t="n"/>
      <c r="Y18" s="705" t="n">
        <v>849000</v>
      </c>
      <c r="Z18" s="705" t="n"/>
      <c r="AA18" s="705" t="n">
        <v>849000</v>
      </c>
      <c r="AB18" s="705" t="n"/>
      <c r="AC18" t="inlineStr">
        <is>
          <t>0171931217002</t>
        </is>
      </c>
      <c r="AD18" t="inlineStr">
        <is>
          <t>2023000049988</t>
        </is>
      </c>
      <c r="AE18" s="575" t="inlineStr">
        <is>
          <t>W S A FRATERNAL LIFE</t>
        </is>
      </c>
      <c r="AF18" s="575" t="inlineStr">
        <is>
          <t>FARMHOUSE CENTER LLC</t>
        </is>
      </c>
      <c r="AI18" s="59">
        <f>IF(AND($E18=Subj_OccCode,Subj_BldgSF&gt;0,ABS($L18-Subj_BldgSF)&lt;=Subj_BldgSF*Subj_SizeTol),ABS($L18-Subj_BldgSF),NA())</f>
        <v/>
      </c>
      <c r="AJ18">
        <f>IF(ISNA(AI18),NA(),AI18+ROW()/10000000)</f>
        <v/>
      </c>
      <c r="AK18">
        <f>IF(AND(ISNUMBER($N18),$N18&gt;0,ISNUMBER($Y18)),$Y18/$N18,"")</f>
        <v/>
      </c>
    </row>
    <row r="19" ht="15" customHeight="1" s="518">
      <c r="A19" s="62" t="n">
        <v>7</v>
      </c>
      <c r="B19" s="59" t="n">
        <v>11</v>
      </c>
      <c r="C19" t="inlineStr">
        <is>
          <t>R0093873</t>
        </is>
      </c>
      <c r="D19" t="inlineStr">
        <is>
          <t>3323 MOLINE ST</t>
        </is>
      </c>
      <c r="E19" t="n">
        <v>407</v>
      </c>
      <c r="F19" t="inlineStr">
        <is>
          <t>AURORA</t>
        </is>
      </c>
      <c r="G19" t="inlineStr">
        <is>
          <t>6</t>
        </is>
      </c>
      <c r="H19" s="703">
        <f>Y19/J19</f>
        <v/>
      </c>
      <c r="I19" s="124" t="n">
        <v>45068</v>
      </c>
      <c r="J19" t="n">
        <v>9906</v>
      </c>
      <c r="K19" s="703" t="n"/>
      <c r="L19" t="n">
        <v>9906</v>
      </c>
      <c r="M19" t="n">
        <v>1974</v>
      </c>
      <c r="P19" t="inlineStr">
        <is>
          <t>M-3</t>
        </is>
      </c>
      <c r="R19" t="inlineStr">
        <is>
          <t>Average</t>
        </is>
      </c>
      <c r="S19" t="n">
        <v>30056</v>
      </c>
      <c r="T19" s="121">
        <f>S19/L19</f>
        <v/>
      </c>
      <c r="U19" t="inlineStr">
        <is>
          <t>Average</t>
        </is>
      </c>
      <c r="V19" s="121" t="n"/>
      <c r="W19" s="121" t="n"/>
      <c r="X19" s="121" t="n"/>
      <c r="Y19" s="705" t="n">
        <v>1850000</v>
      </c>
      <c r="Z19" s="705" t="n"/>
      <c r="AA19" s="705" t="n">
        <v>1850000</v>
      </c>
      <c r="AB19" s="705" t="n"/>
      <c r="AC19" t="inlineStr">
        <is>
          <t>0182326101023</t>
        </is>
      </c>
      <c r="AD19" t="inlineStr">
        <is>
          <t>2023000030494</t>
        </is>
      </c>
      <c r="AE19" s="575" t="inlineStr">
        <is>
          <t>VANDER HORST FAMILY TRUST THE</t>
        </is>
      </c>
      <c r="AF19" s="575" t="inlineStr">
        <is>
          <t>BARR AVENUE PARTNERSHIP LLC</t>
        </is>
      </c>
      <c r="AI19" s="59">
        <f>IF(AND($E19=Subj_OccCode,Subj_BldgSF&gt;0,ABS($L19-Subj_BldgSF)&lt;=Subj_BldgSF*Subj_SizeTol),ABS($L19-Subj_BldgSF),NA())</f>
        <v/>
      </c>
      <c r="AJ19">
        <f>IF(ISNA(AI19),NA(),AI19+ROW()/10000000)</f>
        <v/>
      </c>
      <c r="AK19">
        <f>IF(AND(ISNUMBER($N19),$N19&gt;0,ISNUMBER($Y19)),$Y19/$N19,"")</f>
        <v/>
      </c>
    </row>
    <row r="20" ht="15" customHeight="1" s="518">
      <c r="A20" s="62" t="n">
        <v>7</v>
      </c>
      <c r="B20" s="59" t="n">
        <v>12</v>
      </c>
      <c r="C20" t="inlineStr">
        <is>
          <t>R0124578</t>
        </is>
      </c>
      <c r="D20" t="inlineStr">
        <is>
          <t>11152 HURON ST</t>
        </is>
      </c>
      <c r="E20" t="n">
        <v>1344</v>
      </c>
      <c r="F20" t="inlineStr">
        <is>
          <t>NORTHGLENN</t>
        </is>
      </c>
      <c r="G20" t="inlineStr">
        <is>
          <t>4</t>
        </is>
      </c>
      <c r="H20" s="703">
        <f>Y20/J20</f>
        <v/>
      </c>
      <c r="I20" s="124" t="n">
        <v>45209</v>
      </c>
      <c r="J20" t="n">
        <v>20472</v>
      </c>
      <c r="K20" s="703" t="n"/>
      <c r="L20" t="n">
        <v>20472</v>
      </c>
      <c r="M20" t="n">
        <v>2000</v>
      </c>
      <c r="P20" t="inlineStr">
        <is>
          <t>C-0-Nor</t>
        </is>
      </c>
      <c r="R20" t="inlineStr">
        <is>
          <t>Average</t>
        </is>
      </c>
      <c r="S20" t="n">
        <v>3100</v>
      </c>
      <c r="T20" s="121">
        <f>S20/L20</f>
        <v/>
      </c>
      <c r="U20" t="inlineStr">
        <is>
          <t>Average</t>
        </is>
      </c>
      <c r="V20" s="121" t="n"/>
      <c r="W20" s="121" t="n"/>
      <c r="X20" s="121" t="n"/>
      <c r="Y20" s="705" t="n">
        <v>270000</v>
      </c>
      <c r="Z20" s="705" t="n"/>
      <c r="AA20" s="705" t="n">
        <v>270000</v>
      </c>
      <c r="AB20" s="705" t="n"/>
      <c r="AC20" t="inlineStr">
        <is>
          <t>0171910205038</t>
        </is>
      </c>
      <c r="AD20" t="inlineStr">
        <is>
          <t>2023000057923</t>
        </is>
      </c>
      <c r="AE20" s="575" t="inlineStr">
        <is>
          <t>CJ AND K PARTNERS LLC</t>
        </is>
      </c>
      <c r="AF20" s="575" t="inlineStr">
        <is>
          <t>PREMIER HOME HEALTH CARE INC</t>
        </is>
      </c>
      <c r="AI20" s="59">
        <f>IF(AND($E20=Subj_OccCode,Subj_BldgSF&gt;0,ABS($L20-Subj_BldgSF)&lt;=Subj_BldgSF*Subj_SizeTol),ABS($L20-Subj_BldgSF),NA())</f>
        <v/>
      </c>
      <c r="AJ20">
        <f>IF(ISNA(AI20),NA(),AI20+ROW()/10000000)</f>
        <v/>
      </c>
      <c r="AK20">
        <f>IF(AND(ISNUMBER($N20),$N20&gt;0,ISNUMBER($Y20)),$Y20/$N20,"")</f>
        <v/>
      </c>
    </row>
    <row r="21" ht="15" customHeight="1" s="518">
      <c r="A21" s="62" t="n">
        <v>7</v>
      </c>
      <c r="B21" s="59" t="n">
        <v>13</v>
      </c>
      <c r="C21" t="inlineStr">
        <is>
          <t>R0179233</t>
        </is>
      </c>
      <c r="D21" t="inlineStr">
        <is>
          <t>4257 MAIN ST</t>
        </is>
      </c>
      <c r="E21" t="n">
        <v>1353</v>
      </c>
      <c r="F21" t="inlineStr">
        <is>
          <t>WESTMINSTER</t>
        </is>
      </c>
      <c r="G21" t="inlineStr">
        <is>
          <t>3</t>
        </is>
      </c>
      <c r="H21" s="703">
        <f>Y21/J21</f>
        <v/>
      </c>
      <c r="I21" s="124" t="n">
        <v>44879</v>
      </c>
      <c r="J21" t="n">
        <v>11520</v>
      </c>
      <c r="K21" s="703" t="n"/>
      <c r="L21" t="n">
        <v>11520</v>
      </c>
      <c r="M21" t="n">
        <v>2007</v>
      </c>
      <c r="P21" t="inlineStr">
        <is>
          <t>PUD-Wes</t>
        </is>
      </c>
      <c r="R21" t="inlineStr">
        <is>
          <t>Average</t>
        </is>
      </c>
      <c r="S21" t="n">
        <v>3906.5</v>
      </c>
      <c r="T21" s="121">
        <f>S21/L21</f>
        <v/>
      </c>
      <c r="U21" t="inlineStr">
        <is>
          <t>Average</t>
        </is>
      </c>
      <c r="V21" s="121" t="n"/>
      <c r="W21" s="121" t="n"/>
      <c r="X21" s="121" t="n"/>
      <c r="Y21" s="705" t="n">
        <v>2350000</v>
      </c>
      <c r="Z21" s="705" t="n"/>
      <c r="AA21" s="705" t="n">
        <v>2350000</v>
      </c>
      <c r="AB21" s="705" t="n"/>
      <c r="AC21" t="inlineStr">
        <is>
          <t>0171906101012</t>
        </is>
      </c>
      <c r="AD21" t="inlineStr">
        <is>
          <t>2022000091184</t>
        </is>
      </c>
      <c r="AE21" s="575" t="inlineStr">
        <is>
          <t>121ST PROPERTY PARTNERS LLC</t>
        </is>
      </c>
      <c r="AF21" s="575" t="inlineStr">
        <is>
          <t>HSP PROPERTIES INC</t>
        </is>
      </c>
      <c r="AI21" s="59">
        <f>IF(AND($E21=Subj_OccCode,Subj_BldgSF&gt;0,ABS($L21-Subj_BldgSF)&lt;=Subj_BldgSF*Subj_SizeTol),ABS($L21-Subj_BldgSF),NA())</f>
        <v/>
      </c>
      <c r="AJ21">
        <f>IF(ISNA(AI21),NA(),AI21+ROW()/10000000)</f>
        <v/>
      </c>
      <c r="AK21">
        <f>IF(AND(ISNUMBER($N21),$N21&gt;0,ISNUMBER($Y21)),$Y21/$N21,"")</f>
        <v/>
      </c>
    </row>
    <row r="22" ht="15" customHeight="1" s="518">
      <c r="A22" s="62" t="n">
        <v>7</v>
      </c>
      <c r="B22" s="59" t="n">
        <v>14</v>
      </c>
      <c r="C22" t="inlineStr">
        <is>
          <t>R0183438</t>
        </is>
      </c>
      <c r="D22" t="inlineStr">
        <is>
          <t>2861 W 120TH AVE</t>
        </is>
      </c>
      <c r="E22" t="n">
        <v>344</v>
      </c>
      <c r="F22" t="inlineStr">
        <is>
          <t>WESTMINSTER</t>
        </is>
      </c>
      <c r="G22" t="inlineStr">
        <is>
          <t>3</t>
        </is>
      </c>
      <c r="H22" s="703">
        <f>Y22/J22</f>
        <v/>
      </c>
      <c r="I22" s="124" t="n">
        <v>45301</v>
      </c>
      <c r="J22" t="n">
        <v>57173</v>
      </c>
      <c r="K22" s="703" t="n"/>
      <c r="L22" t="n">
        <v>57173</v>
      </c>
      <c r="M22" t="n">
        <v>2007</v>
      </c>
      <c r="P22" t="inlineStr">
        <is>
          <t>PUD-Wes</t>
        </is>
      </c>
      <c r="R22" t="inlineStr">
        <is>
          <t>Average</t>
        </is>
      </c>
      <c r="S22" t="n">
        <v>10083</v>
      </c>
      <c r="T22" s="121">
        <f>S22/L22</f>
        <v/>
      </c>
      <c r="U22" t="inlineStr">
        <is>
          <t>Average</t>
        </is>
      </c>
      <c r="V22" s="121" t="n"/>
      <c r="W22" s="121" t="n"/>
      <c r="X22" s="121" t="n"/>
      <c r="Y22" s="705" t="n">
        <v>964500</v>
      </c>
      <c r="Z22" s="705" t="n"/>
      <c r="AA22" s="705" t="n">
        <v>964500</v>
      </c>
      <c r="AB22" s="705" t="n"/>
      <c r="AC22" t="inlineStr">
        <is>
          <t>0157332401024</t>
        </is>
      </c>
      <c r="AD22" t="inlineStr">
        <is>
          <t>2024000001871</t>
        </is>
      </c>
      <c r="AE22" s="575" t="inlineStr">
        <is>
          <t>GOLD CROWN LLC</t>
        </is>
      </c>
      <c r="AF22" s="575" t="inlineStr">
        <is>
          <t>ENE MANAGEMENT LLC</t>
        </is>
      </c>
      <c r="AI22" s="59">
        <f>IF(AND($E22=Subj_OccCode,Subj_BldgSF&gt;0,ABS($L22-Subj_BldgSF)&lt;=Subj_BldgSF*Subj_SizeTol),ABS($L22-Subj_BldgSF),NA())</f>
        <v/>
      </c>
      <c r="AJ22">
        <f>IF(ISNA(AI22),NA(),AI22+ROW()/10000000)</f>
        <v/>
      </c>
      <c r="AK22">
        <f>IF(AND(ISNUMBER($N22),$N22&gt;0,ISNUMBER($Y22)),$Y22/$N22,"")</f>
        <v/>
      </c>
    </row>
    <row r="23" ht="15" customHeight="1" s="518">
      <c r="A23" s="62" t="n">
        <v>7</v>
      </c>
      <c r="B23" s="59" t="n">
        <v>15</v>
      </c>
      <c r="C23" t="inlineStr">
        <is>
          <t>R0024493</t>
        </is>
      </c>
      <c r="D23" t="inlineStr">
        <is>
          <t>497 E 120TH AVE</t>
        </is>
      </c>
      <c r="E23" t="n">
        <v>350</v>
      </c>
      <c r="F23" t="inlineStr">
        <is>
          <t>THORNTON</t>
        </is>
      </c>
      <c r="G23" t="inlineStr">
        <is>
          <t>3</t>
        </is>
      </c>
      <c r="H23" s="703">
        <f>Y23/J23</f>
        <v/>
      </c>
      <c r="I23" s="124" t="n">
        <v>45225</v>
      </c>
      <c r="J23" t="n">
        <v>6160</v>
      </c>
      <c r="K23" s="703" t="n"/>
      <c r="L23" t="n">
        <v>6160</v>
      </c>
      <c r="M23" t="n">
        <v>1995</v>
      </c>
      <c r="P23" t="inlineStr">
        <is>
          <t>Regional Commercial</t>
        </is>
      </c>
      <c r="R23" t="inlineStr">
        <is>
          <t>Average</t>
        </is>
      </c>
      <c r="S23" t="n">
        <v>66550</v>
      </c>
      <c r="T23" s="121">
        <f>S23/L23</f>
        <v/>
      </c>
      <c r="U23" t="inlineStr">
        <is>
          <t>Average</t>
        </is>
      </c>
      <c r="V23" s="121" t="n"/>
      <c r="W23" s="121" t="n"/>
      <c r="X23" s="121" t="n"/>
      <c r="Y23" s="705" t="n">
        <v>3743500</v>
      </c>
      <c r="Z23" s="705" t="n"/>
      <c r="AA23" s="705" t="n">
        <v>3743500</v>
      </c>
      <c r="AB23" s="705" t="n"/>
      <c r="AC23" t="inlineStr">
        <is>
          <t>0157334010018</t>
        </is>
      </c>
      <c r="AD23" t="inlineStr">
        <is>
          <t>2023000061238</t>
        </is>
      </c>
      <c r="AE23" s="575" t="inlineStr">
        <is>
          <t>LCN BLM CHANDLER LLC , ATTN BLOOMIN BRANDS INC</t>
        </is>
      </c>
      <c r="AF23" s="575" t="inlineStr">
        <is>
          <t>CANNISTRA REALTY LLC</t>
        </is>
      </c>
      <c r="AI23" s="59">
        <f>IF(AND($E23=Subj_OccCode,Subj_BldgSF&gt;0,ABS($L23-Subj_BldgSF)&lt;=Subj_BldgSF*Subj_SizeTol),ABS($L23-Subj_BldgSF),NA())</f>
        <v/>
      </c>
      <c r="AJ23">
        <f>IF(ISNA(AI23),NA(),AI23+ROW()/10000000)</f>
        <v/>
      </c>
      <c r="AK23">
        <f>IF(AND(ISNUMBER($N23),$N23&gt;0,ISNUMBER($Y23)),$Y23/$N23,"")</f>
        <v/>
      </c>
    </row>
    <row r="24" ht="15" customHeight="1" s="518">
      <c r="A24" s="62" t="n">
        <v>7</v>
      </c>
      <c r="B24" s="59" t="n">
        <v>16</v>
      </c>
      <c r="C24" t="inlineStr">
        <is>
          <t>R0114862</t>
        </is>
      </c>
      <c r="D24" t="inlineStr">
        <is>
          <t>8778 WOLFF CT</t>
        </is>
      </c>
      <c r="E24" t="n">
        <v>344</v>
      </c>
      <c r="F24" t="inlineStr">
        <is>
          <t>WESTMINSTER</t>
        </is>
      </c>
      <c r="G24" t="inlineStr">
        <is>
          <t>4</t>
        </is>
      </c>
      <c r="H24" s="703">
        <f>Y24/J24</f>
        <v/>
      </c>
      <c r="I24" s="124" t="n">
        <v>45139</v>
      </c>
      <c r="J24" t="n">
        <v>12323</v>
      </c>
      <c r="K24" s="703" t="n"/>
      <c r="L24" t="n">
        <v>12323</v>
      </c>
      <c r="M24" t="n">
        <v>1999</v>
      </c>
      <c r="P24" t="inlineStr">
        <is>
          <t>PUD-Wes</t>
        </is>
      </c>
      <c r="R24" t="inlineStr">
        <is>
          <t>Average</t>
        </is>
      </c>
      <c r="S24" t="n">
        <v>51531.4805</v>
      </c>
      <c r="T24" s="121">
        <f>S24/L24</f>
        <v/>
      </c>
      <c r="U24" t="inlineStr">
        <is>
          <t>Average</t>
        </is>
      </c>
      <c r="V24" s="121" t="n"/>
      <c r="W24" s="121" t="n"/>
      <c r="X24" s="121" t="n"/>
      <c r="Y24" s="705" t="n">
        <v>1425000</v>
      </c>
      <c r="Z24" s="705" t="n"/>
      <c r="AA24" s="705" t="n">
        <v>1425000</v>
      </c>
      <c r="AB24" s="705" t="n"/>
      <c r="AC24" t="inlineStr">
        <is>
          <t>0171930219021</t>
        </is>
      </c>
      <c r="AD24" t="inlineStr">
        <is>
          <t>2023000044191</t>
        </is>
      </c>
      <c r="AE24" s="575" t="inlineStr">
        <is>
          <t>8778 WOLFF LLC, C/O HOLDER R BRUCE/R WAYNE</t>
        </is>
      </c>
      <c r="AF24" s="575" t="inlineStr">
        <is>
          <t>DIVINE HOMES DENVER LLC</t>
        </is>
      </c>
      <c r="AI24" s="59">
        <f>IF(AND($E24=Subj_OccCode,Subj_BldgSF&gt;0,ABS($L24-Subj_BldgSF)&lt;=Subj_BldgSF*Subj_SizeTol),ABS($L24-Subj_BldgSF),NA())</f>
        <v/>
      </c>
      <c r="AJ24">
        <f>IF(ISNA(AI24),NA(),AI24+ROW()/10000000)</f>
        <v/>
      </c>
      <c r="AK24">
        <f>IF(AND(ISNUMBER($N24),$N24&gt;0,ISNUMBER($Y24)),$Y24/$N24,"")</f>
        <v/>
      </c>
    </row>
    <row r="25" ht="15" customHeight="1" s="518">
      <c r="A25" s="62" t="n">
        <v>7</v>
      </c>
      <c r="B25" s="59" t="n">
        <v>17</v>
      </c>
      <c r="C25" t="inlineStr">
        <is>
          <t>R0077378</t>
        </is>
      </c>
      <c r="D25" t="inlineStr">
        <is>
          <t>8777 BRIGHTON RD</t>
        </is>
      </c>
      <c r="E25" t="n">
        <v>334</v>
      </c>
      <c r="G25" t="inlineStr">
        <is>
          <t>5</t>
        </is>
      </c>
      <c r="H25" s="703">
        <f>Y25/J25</f>
        <v/>
      </c>
      <c r="I25" s="124" t="n">
        <v>45169</v>
      </c>
      <c r="J25" t="n">
        <v>51640</v>
      </c>
      <c r="K25" s="703" t="n"/>
      <c r="L25" t="n">
        <v>51640</v>
      </c>
      <c r="M25" t="n">
        <v>1978</v>
      </c>
      <c r="P25" t="inlineStr">
        <is>
          <t>Industrial</t>
        </is>
      </c>
      <c r="R25" t="inlineStr">
        <is>
          <t>Average</t>
        </is>
      </c>
      <c r="S25" t="n">
        <v>146187</v>
      </c>
      <c r="T25" s="121">
        <f>S25/L25</f>
        <v/>
      </c>
      <c r="U25" t="inlineStr">
        <is>
          <t>Average</t>
        </is>
      </c>
      <c r="V25" s="121" t="n"/>
      <c r="W25" s="121" t="n"/>
      <c r="X25" s="121" t="n"/>
      <c r="Y25" s="705" t="n">
        <v>4800000</v>
      </c>
      <c r="Z25" s="705" t="n"/>
      <c r="AA25" s="705" t="n">
        <v>4800000</v>
      </c>
      <c r="AB25" s="705" t="n"/>
      <c r="AC25" t="inlineStr">
        <is>
          <t>0172129200004</t>
        </is>
      </c>
      <c r="AD25" t="inlineStr">
        <is>
          <t>2023000049971</t>
        </is>
      </c>
      <c r="AE25" s="575" t="inlineStr">
        <is>
          <t>SAHLI-SUNDBY ANN C</t>
        </is>
      </c>
      <c r="AF25" s="575" t="inlineStr">
        <is>
          <t>BRIGHTON RD LLC</t>
        </is>
      </c>
      <c r="AI25" s="59">
        <f>IF(AND($E25=Subj_OccCode,Subj_BldgSF&gt;0,ABS($L25-Subj_BldgSF)&lt;=Subj_BldgSF*Subj_SizeTol),ABS($L25-Subj_BldgSF),NA())</f>
        <v/>
      </c>
      <c r="AJ25">
        <f>IF(ISNA(AI25),NA(),AI25+ROW()/10000000)</f>
        <v/>
      </c>
      <c r="AK25">
        <f>IF(AND(ISNUMBER($N25),$N25&gt;0,ISNUMBER($Y25)),$Y25/$N25,"")</f>
        <v/>
      </c>
    </row>
    <row r="26" ht="15" customHeight="1" s="518">
      <c r="A26" s="62" t="n">
        <v>7</v>
      </c>
      <c r="B26" s="59" t="n">
        <v>18</v>
      </c>
      <c r="C26" t="inlineStr">
        <is>
          <t>R0077738</t>
        </is>
      </c>
      <c r="D26" t="inlineStr">
        <is>
          <t>7787 BRIGHTON BLVD</t>
        </is>
      </c>
      <c r="E26" t="n">
        <v>353</v>
      </c>
      <c r="G26" t="inlineStr">
        <is>
          <t>5</t>
        </is>
      </c>
      <c r="H26" s="703">
        <f>Y26/J26</f>
        <v/>
      </c>
      <c r="I26" s="124" t="n">
        <v>44764</v>
      </c>
      <c r="J26" t="n">
        <v>1350</v>
      </c>
      <c r="K26" s="703" t="n"/>
      <c r="L26" t="n">
        <v>1350</v>
      </c>
      <c r="M26" t="n">
        <v>1955</v>
      </c>
      <c r="P26" t="inlineStr">
        <is>
          <t>Industrial</t>
        </is>
      </c>
      <c r="R26" t="inlineStr">
        <is>
          <t>Average</t>
        </is>
      </c>
      <c r="S26" t="n">
        <v>12325</v>
      </c>
      <c r="T26" s="121">
        <f>S26/L26</f>
        <v/>
      </c>
      <c r="U26" t="inlineStr">
        <is>
          <t>Average</t>
        </is>
      </c>
      <c r="V26" s="121" t="n"/>
      <c r="W26" s="121" t="n"/>
      <c r="X26" s="121" t="n"/>
      <c r="Y26" s="705" t="n">
        <v>440000</v>
      </c>
      <c r="Z26" s="705" t="n"/>
      <c r="AA26" s="705" t="n">
        <v>440000</v>
      </c>
      <c r="AB26" s="705" t="n"/>
      <c r="AC26" t="inlineStr">
        <is>
          <t>0172131103002</t>
        </is>
      </c>
      <c r="AD26" t="inlineStr">
        <is>
          <t>2022000063980</t>
        </is>
      </c>
      <c r="AE26" s="575" t="inlineStr">
        <is>
          <t>MARTINEZ ORLANDO</t>
        </is>
      </c>
      <c r="AF26" s="575" t="inlineStr">
        <is>
          <t>JOE SINGH INC</t>
        </is>
      </c>
      <c r="AI26" s="59">
        <f>IF(AND($E26=Subj_OccCode,Subj_BldgSF&gt;0,ABS($L26-Subj_BldgSF)&lt;=Subj_BldgSF*Subj_SizeTol),ABS($L26-Subj_BldgSF),NA())</f>
        <v/>
      </c>
      <c r="AJ26">
        <f>IF(ISNA(AI26),NA(),AI26+ROW()/10000000)</f>
        <v/>
      </c>
      <c r="AK26">
        <f>IF(AND(ISNUMBER($N26),$N26&gt;0,ISNUMBER($Y26)),$Y26/$N26,"")</f>
        <v/>
      </c>
    </row>
    <row r="27" ht="15" customHeight="1" s="518">
      <c r="A27" s="62" t="n">
        <v>7</v>
      </c>
      <c r="B27" s="59" t="n">
        <v>19</v>
      </c>
      <c r="C27" t="inlineStr">
        <is>
          <t>R0082000</t>
        </is>
      </c>
      <c r="D27" t="inlineStr">
        <is>
          <t>1506 MAIN ST</t>
        </is>
      </c>
      <c r="E27" t="n">
        <v>353</v>
      </c>
      <c r="F27" t="inlineStr">
        <is>
          <t>STRASBURG</t>
        </is>
      </c>
      <c r="G27" t="inlineStr">
        <is>
          <t>1</t>
        </is>
      </c>
      <c r="H27" s="703">
        <f>Y27/J27</f>
        <v/>
      </c>
      <c r="I27" s="124" t="n">
        <v>45295</v>
      </c>
      <c r="J27" t="n">
        <v>5620</v>
      </c>
      <c r="K27" s="703" t="n"/>
      <c r="L27" t="n">
        <v>5620</v>
      </c>
      <c r="M27" t="n">
        <v>1918</v>
      </c>
      <c r="P27" t="inlineStr">
        <is>
          <t>Commercial</t>
        </is>
      </c>
      <c r="R27" t="inlineStr">
        <is>
          <t>Average</t>
        </is>
      </c>
      <c r="S27" t="n">
        <v>7800</v>
      </c>
      <c r="T27" s="121">
        <f>S27/L27</f>
        <v/>
      </c>
      <c r="U27" t="inlineStr">
        <is>
          <t>Average</t>
        </is>
      </c>
      <c r="V27" s="121" t="n"/>
      <c r="W27" s="121" t="n"/>
      <c r="X27" s="121" t="n"/>
      <c r="Y27" s="705" t="n">
        <v>600000</v>
      </c>
      <c r="Z27" s="705" t="n"/>
      <c r="AA27" s="705" t="n">
        <v>600000</v>
      </c>
      <c r="AB27" s="705" t="n"/>
      <c r="AC27" t="inlineStr">
        <is>
          <t>0181333422015</t>
        </is>
      </c>
      <c r="AD27" t="inlineStr">
        <is>
          <t>2024000000995</t>
        </is>
      </c>
      <c r="AE27" s="575" t="inlineStr">
        <is>
          <t>L S STRASBURG LLC</t>
        </is>
      </c>
      <c r="AF27" s="575" t="inlineStr">
        <is>
          <t>SODDIK INVESTMENTS LLC</t>
        </is>
      </c>
      <c r="AI27" s="59">
        <f>IF(AND($E27=Subj_OccCode,Subj_BldgSF&gt;0,ABS($L27-Subj_BldgSF)&lt;=Subj_BldgSF*Subj_SizeTol),ABS($L27-Subj_BldgSF),NA())</f>
        <v/>
      </c>
      <c r="AJ27">
        <f>IF(ISNA(AI27),NA(),AI27+ROW()/10000000)</f>
        <v/>
      </c>
      <c r="AK27">
        <f>IF(AND(ISNUMBER($N27),$N27&gt;0,ISNUMBER($Y27)),$Y27/$N27,"")</f>
        <v/>
      </c>
    </row>
    <row r="28" ht="15" customHeight="1" s="518">
      <c r="A28" s="62" t="n">
        <v>7</v>
      </c>
      <c r="B28" s="59" t="n">
        <v>20</v>
      </c>
      <c r="C28" t="inlineStr">
        <is>
          <t>R0084263</t>
        </is>
      </c>
      <c r="D28" t="inlineStr">
        <is>
          <t>15200 E 33RD PL</t>
        </is>
      </c>
      <c r="E28" t="n">
        <v>210</v>
      </c>
      <c r="F28" t="inlineStr">
        <is>
          <t>AURORA</t>
        </is>
      </c>
      <c r="G28" t="inlineStr">
        <is>
          <t>6</t>
        </is>
      </c>
      <c r="H28" s="703">
        <f>Y28/J28</f>
        <v/>
      </c>
      <c r="I28" s="124" t="n">
        <v>45238</v>
      </c>
      <c r="J28" t="n">
        <v>66772</v>
      </c>
      <c r="K28" s="703" t="n"/>
      <c r="L28" t="n">
        <v>66772</v>
      </c>
      <c r="M28" t="n">
        <v>1985</v>
      </c>
      <c r="P28" t="inlineStr">
        <is>
          <t>M-1-Aur</t>
        </is>
      </c>
      <c r="R28" t="inlineStr">
        <is>
          <t>Average</t>
        </is>
      </c>
      <c r="S28" t="n">
        <v>214751</v>
      </c>
      <c r="T28" s="121">
        <f>S28/L28</f>
        <v/>
      </c>
      <c r="U28" t="inlineStr">
        <is>
          <t>Average</t>
        </is>
      </c>
      <c r="V28" s="121" t="n"/>
      <c r="W28" s="121" t="n"/>
      <c r="X28" s="121" t="n"/>
      <c r="Y28" s="705" t="n">
        <v>9200000</v>
      </c>
      <c r="Z28" s="705" t="n"/>
      <c r="AA28" s="705" t="n">
        <v>9200000</v>
      </c>
      <c r="AB28" s="705" t="n"/>
      <c r="AC28" t="inlineStr">
        <is>
          <t>0182130007002</t>
        </is>
      </c>
      <c r="AD28" t="inlineStr">
        <is>
          <t>2023000062952</t>
        </is>
      </c>
      <c r="AE28" s="575" t="inlineStr">
        <is>
          <t>PIII CHAMBERS ROAD LLC</t>
        </is>
      </c>
      <c r="AF28" s="575" t="inlineStr">
        <is>
          <t>MCA IGF COMMERCE CENTER LLC</t>
        </is>
      </c>
      <c r="AI28" s="59">
        <f>IF(AND($E28=Subj_OccCode,Subj_BldgSF&gt;0,ABS($L28-Subj_BldgSF)&lt;=Subj_BldgSF*Subj_SizeTol),ABS($L28-Subj_BldgSF),NA())</f>
        <v/>
      </c>
      <c r="AJ28">
        <f>IF(ISNA(AI28),NA(),AI28+ROW()/10000000)</f>
        <v/>
      </c>
      <c r="AK28">
        <f>IF(AND(ISNUMBER($N28),$N28&gt;0,ISNUMBER($Y28)),$Y28/$N28,"")</f>
        <v/>
      </c>
    </row>
    <row r="29" ht="15" customHeight="1" s="518">
      <c r="A29" s="62" t="n">
        <v>7</v>
      </c>
      <c r="B29" s="59" t="n">
        <v>21</v>
      </c>
      <c r="C29" t="inlineStr">
        <is>
          <t>R0085792</t>
        </is>
      </c>
      <c r="D29" t="inlineStr">
        <is>
          <t>2200 N CHAMBERS RD</t>
        </is>
      </c>
      <c r="E29" t="n">
        <v>425</v>
      </c>
      <c r="F29" t="inlineStr">
        <is>
          <t>AURORA</t>
        </is>
      </c>
      <c r="G29" t="inlineStr">
        <is>
          <t>6</t>
        </is>
      </c>
      <c r="H29" s="703">
        <f>Y29/J29</f>
        <v/>
      </c>
      <c r="I29" s="124" t="n">
        <v>45187</v>
      </c>
      <c r="J29" t="n">
        <v>18000</v>
      </c>
      <c r="K29" s="703" t="n"/>
      <c r="L29" t="n">
        <v>18000</v>
      </c>
      <c r="M29" t="n">
        <v>1984</v>
      </c>
      <c r="P29" t="inlineStr">
        <is>
          <t>M-1-Aur</t>
        </is>
      </c>
      <c r="R29" t="inlineStr">
        <is>
          <t>Good</t>
        </is>
      </c>
      <c r="S29" t="n">
        <v>5227</v>
      </c>
      <c r="T29" s="121">
        <f>S29/L29</f>
        <v/>
      </c>
      <c r="U29" t="inlineStr">
        <is>
          <t>Good</t>
        </is>
      </c>
      <c r="V29" s="121" t="n"/>
      <c r="W29" s="121" t="n"/>
      <c r="X29" s="121" t="n"/>
      <c r="Y29" s="705" t="n">
        <v>325000</v>
      </c>
      <c r="Z29" s="705" t="n"/>
      <c r="AA29" s="705" t="n">
        <v>325000</v>
      </c>
      <c r="AB29" s="705" t="n"/>
      <c r="AC29" t="inlineStr">
        <is>
          <t>0182132008008</t>
        </is>
      </c>
      <c r="AD29" t="inlineStr">
        <is>
          <t>2023000053910</t>
        </is>
      </c>
      <c r="AE29" s="575" t="inlineStr">
        <is>
          <t>SCHWARTZ JOSH JON</t>
        </is>
      </c>
      <c r="AF29" s="575" t="inlineStr">
        <is>
          <t>CHOCOLATE WORKS LLC</t>
        </is>
      </c>
      <c r="AI29" s="59">
        <f>IF(AND($E29=Subj_OccCode,Subj_BldgSF&gt;0,ABS($L29-Subj_BldgSF)&lt;=Subj_BldgSF*Subj_SizeTol),ABS($L29-Subj_BldgSF),NA())</f>
        <v/>
      </c>
      <c r="AJ29">
        <f>IF(ISNA(AI29),NA(),AI29+ROW()/10000000)</f>
        <v/>
      </c>
      <c r="AK29">
        <f>IF(AND(ISNUMBER($N29),$N29&gt;0,ISNUMBER($Y29)),$Y29/$N29,"")</f>
        <v/>
      </c>
    </row>
    <row r="30" ht="15" customHeight="1" s="518">
      <c r="A30" s="62" t="n">
        <v>7</v>
      </c>
      <c r="B30" s="59" t="n">
        <v>22</v>
      </c>
      <c r="C30" t="inlineStr">
        <is>
          <t>R0093109</t>
        </is>
      </c>
      <c r="D30" t="inlineStr">
        <is>
          <t>3250 QUENTIN ST</t>
        </is>
      </c>
      <c r="E30" t="n">
        <v>210</v>
      </c>
      <c r="F30" t="inlineStr">
        <is>
          <t>AURORA</t>
        </is>
      </c>
      <c r="G30" t="inlineStr">
        <is>
          <t>6</t>
        </is>
      </c>
      <c r="H30" s="703">
        <f>Y30/J30</f>
        <v/>
      </c>
      <c r="I30" s="124" t="n">
        <v>45288</v>
      </c>
      <c r="J30" t="n">
        <v>144468</v>
      </c>
      <c r="K30" s="703" t="n"/>
      <c r="L30" t="n">
        <v>144468</v>
      </c>
      <c r="M30" t="n">
        <v>1985</v>
      </c>
      <c r="P30" t="inlineStr">
        <is>
          <t>M-1-Aur</t>
        </is>
      </c>
      <c r="R30" t="inlineStr">
        <is>
          <t>Good</t>
        </is>
      </c>
      <c r="S30" t="n">
        <v>363339</v>
      </c>
      <c r="T30" s="121">
        <f>S30/L30</f>
        <v/>
      </c>
      <c r="U30" t="inlineStr">
        <is>
          <t>Good</t>
        </is>
      </c>
      <c r="V30" s="121" t="n"/>
      <c r="W30" s="121" t="n"/>
      <c r="X30" s="121" t="n"/>
      <c r="Y30" s="705" t="n">
        <v>21500000</v>
      </c>
      <c r="Z30" s="705" t="n"/>
      <c r="AA30" s="705" t="n">
        <v>20379895</v>
      </c>
      <c r="AB30" s="705" t="n"/>
      <c r="AC30" t="inlineStr">
        <is>
          <t>0182325212001</t>
        </is>
      </c>
      <c r="AD30" t="inlineStr">
        <is>
          <t>2023000071663</t>
        </is>
      </c>
      <c r="AE30" s="575" t="inlineStr">
        <is>
          <t>HZ SORRENTO HIGHPOINTE SQUARE LLC ET AL, C/O PARAMOUNT PROPERTY COMPANY, LTD</t>
        </is>
      </c>
      <c r="AF30" s="575" t="inlineStr">
        <is>
          <t>MNG COMMERCE MIDTOWN LLC UND 42% INT AND, MNG COMMERCE OLIVEHAIN LLC UND  et al.</t>
        </is>
      </c>
      <c r="AI30" s="59">
        <f>IF(AND($E30=Subj_OccCode,Subj_BldgSF&gt;0,ABS($L30-Subj_BldgSF)&lt;=Subj_BldgSF*Subj_SizeTol),ABS($L30-Subj_BldgSF),NA())</f>
        <v/>
      </c>
      <c r="AJ30">
        <f>IF(ISNA(AI30),NA(),AI30+ROW()/10000000)</f>
        <v/>
      </c>
      <c r="AK30">
        <f>IF(AND(ISNUMBER($N30),$N30&gt;0,ISNUMBER($Y30)),$Y30/$N30,"")</f>
        <v/>
      </c>
    </row>
    <row r="31" ht="15" customHeight="1" s="518">
      <c r="A31" s="62" t="n">
        <v>7</v>
      </c>
      <c r="B31" s="59" t="n">
        <v>23</v>
      </c>
      <c r="C31" t="inlineStr">
        <is>
          <t>R0098103</t>
        </is>
      </c>
      <c r="D31" t="inlineStr">
        <is>
          <t>1247 E 68TH AVE</t>
        </is>
      </c>
      <c r="E31" t="n">
        <v>406</v>
      </c>
      <c r="G31" t="inlineStr">
        <is>
          <t>5</t>
        </is>
      </c>
      <c r="H31" s="703">
        <f>Y31/J31</f>
        <v/>
      </c>
      <c r="I31" s="124" t="n">
        <v>45099</v>
      </c>
      <c r="J31" t="n">
        <v>25300</v>
      </c>
      <c r="K31" s="703" t="n"/>
      <c r="L31" t="n">
        <v>25300</v>
      </c>
      <c r="M31" t="n">
        <v>1994</v>
      </c>
      <c r="P31" t="inlineStr">
        <is>
          <t>Industrial</t>
        </is>
      </c>
      <c r="R31" t="inlineStr">
        <is>
          <t>Average</t>
        </is>
      </c>
      <c r="S31" t="n">
        <v>197703</v>
      </c>
      <c r="T31" s="121">
        <f>S31/L31</f>
        <v/>
      </c>
      <c r="U31" t="inlineStr">
        <is>
          <t>Average</t>
        </is>
      </c>
      <c r="V31" s="121" t="n"/>
      <c r="W31" s="121" t="n"/>
      <c r="X31" s="121" t="n"/>
      <c r="Y31" s="705" t="n">
        <v>5000000</v>
      </c>
      <c r="Z31" s="705" t="n"/>
      <c r="AA31" s="705" t="n">
        <v>5000000</v>
      </c>
      <c r="AB31" s="705" t="n"/>
      <c r="AC31" t="inlineStr">
        <is>
          <t>0182502205015</t>
        </is>
      </c>
      <c r="AD31" t="inlineStr">
        <is>
          <t>2023000035170</t>
        </is>
      </c>
      <c r="AE31" s="575" t="inlineStr">
        <is>
          <t>JECO HOLDINGS INC</t>
        </is>
      </c>
      <c r="AF31" s="575" t="inlineStr">
        <is>
          <t>1247 DENVER PARTNERS LLC, C/O ALTERRA PROPERTY GROUP</t>
        </is>
      </c>
      <c r="AI31" s="59">
        <f>IF(AND($E31=Subj_OccCode,Subj_BldgSF&gt;0,ABS($L31-Subj_BldgSF)&lt;=Subj_BldgSF*Subj_SizeTol),ABS($L31-Subj_BldgSF),NA())</f>
        <v/>
      </c>
      <c r="AJ31">
        <f>IF(ISNA(AI31),NA(),AI31+ROW()/10000000)</f>
        <v/>
      </c>
      <c r="AK31">
        <f>IF(AND(ISNUMBER($N31),$N31&gt;0,ISNUMBER($Y31)),$Y31/$N31,"")</f>
        <v/>
      </c>
    </row>
    <row r="32" ht="15" customHeight="1" s="518">
      <c r="A32" s="62" t="n">
        <v>7</v>
      </c>
      <c r="B32" s="59" t="n">
        <v>24</v>
      </c>
      <c r="C32" t="inlineStr">
        <is>
          <t>R0108009</t>
        </is>
      </c>
      <c r="D32" t="inlineStr">
        <is>
          <t>6940 PECOS ST</t>
        </is>
      </c>
      <c r="E32" t="n">
        <v>350</v>
      </c>
      <c r="G32" t="inlineStr">
        <is>
          <t>4</t>
        </is>
      </c>
      <c r="H32" s="703">
        <f>Y32/J32</f>
        <v/>
      </c>
      <c r="I32" s="124" t="n">
        <v>45117</v>
      </c>
      <c r="J32" t="n">
        <v>1050</v>
      </c>
      <c r="K32" s="703" t="n"/>
      <c r="L32" t="n">
        <v>1050</v>
      </c>
      <c r="M32" t="n">
        <v>1964</v>
      </c>
      <c r="P32" t="inlineStr">
        <is>
          <t>Commercial</t>
        </is>
      </c>
      <c r="R32" t="inlineStr">
        <is>
          <t>Average</t>
        </is>
      </c>
      <c r="S32" t="n">
        <v>24750</v>
      </c>
      <c r="T32" s="121">
        <f>S32/L32</f>
        <v/>
      </c>
      <c r="U32" t="inlineStr">
        <is>
          <t>Average</t>
        </is>
      </c>
      <c r="V32" s="121" t="n"/>
      <c r="W32" s="121" t="n"/>
      <c r="X32" s="121" t="n"/>
      <c r="Y32" s="705" t="n">
        <v>680000</v>
      </c>
      <c r="Z32" s="705" t="n"/>
      <c r="AA32" s="705" t="n">
        <v>680000</v>
      </c>
      <c r="AB32" s="705" t="n"/>
      <c r="AC32" t="inlineStr">
        <is>
          <t>0182504113010</t>
        </is>
      </c>
      <c r="AD32" t="inlineStr">
        <is>
          <t>2023000039259</t>
        </is>
      </c>
      <c r="AE32" s="575" t="inlineStr">
        <is>
          <t>VITELAS LLC</t>
        </is>
      </c>
      <c r="AF32" s="575" t="inlineStr">
        <is>
          <t>ALVAREZ DANIEL CASTRO</t>
        </is>
      </c>
      <c r="AI32" s="59">
        <f>IF(AND($E32=Subj_OccCode,Subj_BldgSF&gt;0,ABS($L32-Subj_BldgSF)&lt;=Subj_BldgSF*Subj_SizeTol),ABS($L32-Subj_BldgSF),NA())</f>
        <v/>
      </c>
      <c r="AJ32">
        <f>IF(ISNA(AI32),NA(),AI32+ROW()/10000000)</f>
        <v/>
      </c>
      <c r="AK32">
        <f>IF(AND(ISNUMBER($N32),$N32&gt;0,ISNUMBER($Y32)),$Y32/$N32,"")</f>
        <v/>
      </c>
    </row>
    <row r="33" ht="15" customHeight="1" s="518">
      <c r="A33" s="62" t="n">
        <v>7</v>
      </c>
      <c r="B33" s="59" t="n">
        <v>25</v>
      </c>
      <c r="C33" t="inlineStr">
        <is>
          <t>R0130283</t>
        </is>
      </c>
      <c r="D33" t="inlineStr">
        <is>
          <t>5635 FRANKLIN ST</t>
        </is>
      </c>
      <c r="E33" t="n">
        <v>407</v>
      </c>
      <c r="G33" t="inlineStr">
        <is>
          <t>5</t>
        </is>
      </c>
      <c r="H33" s="703">
        <f>Y33/J33</f>
        <v/>
      </c>
      <c r="I33" s="124" t="n">
        <v>45273</v>
      </c>
      <c r="J33" t="n">
        <v>30000</v>
      </c>
      <c r="K33" s="703" t="n"/>
      <c r="L33" t="n">
        <v>30000</v>
      </c>
      <c r="M33" t="n">
        <v>2001</v>
      </c>
      <c r="P33" t="inlineStr">
        <is>
          <t>Industrial</t>
        </is>
      </c>
      <c r="R33" t="inlineStr">
        <is>
          <t>Average</t>
        </is>
      </c>
      <c r="S33" t="n">
        <v>96703.2</v>
      </c>
      <c r="T33" s="121">
        <f>S33/L33</f>
        <v/>
      </c>
      <c r="U33" t="inlineStr">
        <is>
          <t>Average</t>
        </is>
      </c>
      <c r="V33" s="121" t="n"/>
      <c r="W33" s="121" t="n"/>
      <c r="X33" s="121" t="n"/>
      <c r="Y33" s="705" t="n">
        <v>7050000</v>
      </c>
      <c r="Z33" s="705" t="n"/>
      <c r="AA33" s="705" t="n">
        <v>6675000</v>
      </c>
      <c r="AB33" s="705" t="n"/>
      <c r="AC33" t="inlineStr">
        <is>
          <t>0182511314008</t>
        </is>
      </c>
      <c r="AD33" t="inlineStr">
        <is>
          <t>2023000069014</t>
        </is>
      </c>
      <c r="AE33" s="575" t="inlineStr">
        <is>
          <t>J STREET I LLC</t>
        </is>
      </c>
      <c r="AF33" s="575" t="inlineStr">
        <is>
          <t>FRANKLIN INDUSTRIAL LLC</t>
        </is>
      </c>
      <c r="AI33" s="59">
        <f>IF(AND($E33=Subj_OccCode,Subj_BldgSF&gt;0,ABS($L33-Subj_BldgSF)&lt;=Subj_BldgSF*Subj_SizeTol),ABS($L33-Subj_BldgSF),NA())</f>
        <v/>
      </c>
      <c r="AJ33">
        <f>IF(ISNA(AI33),NA(),AI33+ROW()/10000000)</f>
        <v/>
      </c>
      <c r="AK33">
        <f>IF(AND(ISNUMBER($N33),$N33&gt;0,ISNUMBER($Y33)),$Y33/$N33,"")</f>
        <v/>
      </c>
    </row>
    <row r="34" ht="15" customHeight="1" s="518">
      <c r="A34" s="62" t="n">
        <v>7</v>
      </c>
      <c r="B34" s="59" t="n">
        <v>26</v>
      </c>
      <c r="C34" t="inlineStr">
        <is>
          <t>R0158487</t>
        </is>
      </c>
      <c r="D34" t="inlineStr">
        <is>
          <t>1750 W 64TH LN</t>
        </is>
      </c>
      <c r="E34" t="n">
        <v>425</v>
      </c>
      <c r="G34" t="inlineStr">
        <is>
          <t>5</t>
        </is>
      </c>
      <c r="H34" s="703">
        <f>Y34/J34</f>
        <v/>
      </c>
      <c r="I34" s="124" t="n">
        <v>45264</v>
      </c>
      <c r="J34" t="n">
        <v>10840</v>
      </c>
      <c r="K34" s="703" t="n"/>
      <c r="L34" t="n">
        <v>10840</v>
      </c>
      <c r="M34" t="n">
        <v>2003</v>
      </c>
      <c r="P34" t="inlineStr">
        <is>
          <t>Planned Unit Development</t>
        </is>
      </c>
      <c r="R34" t="inlineStr">
        <is>
          <t>Average</t>
        </is>
      </c>
      <c r="S34" t="n">
        <v>9670</v>
      </c>
      <c r="T34" s="121">
        <f>S34/L34</f>
        <v/>
      </c>
      <c r="U34" t="inlineStr">
        <is>
          <t>Average</t>
        </is>
      </c>
      <c r="V34" s="121" t="n"/>
      <c r="W34" s="121" t="n"/>
      <c r="X34" s="121" t="n"/>
      <c r="Y34" s="705" t="n">
        <v>560000</v>
      </c>
      <c r="Z34" s="705" t="n"/>
      <c r="AA34" s="705" t="n">
        <v>560000</v>
      </c>
      <c r="AB34" s="705" t="n"/>
      <c r="AC34" t="inlineStr">
        <is>
          <t>0182504302017</t>
        </is>
      </c>
      <c r="AD34" t="inlineStr">
        <is>
          <t>2023000067126</t>
        </is>
      </c>
      <c r="AE34" s="575" t="inlineStr">
        <is>
          <t>QUALLS JOSEPH M AND, QUALLS CYNTHIA A</t>
        </is>
      </c>
      <c r="AF34" s="575" t="inlineStr">
        <is>
          <t>KOEGEL REAL ESTATE LLC</t>
        </is>
      </c>
      <c r="AI34" s="59">
        <f>IF(AND($E34=Subj_OccCode,Subj_BldgSF&gt;0,ABS($L34-Subj_BldgSF)&lt;=Subj_BldgSF*Subj_SizeTol),ABS($L34-Subj_BldgSF),NA())</f>
        <v/>
      </c>
      <c r="AJ34">
        <f>IF(ISNA(AI34),NA(),AI34+ROW()/10000000)</f>
        <v/>
      </c>
      <c r="AK34">
        <f>IF(AND(ISNUMBER($N34),$N34&gt;0,ISNUMBER($Y34)),$Y34/$N34,"")</f>
        <v/>
      </c>
    </row>
    <row r="35" ht="15" customHeight="1" s="518">
      <c r="A35" s="62" t="n">
        <v>7</v>
      </c>
      <c r="B35" s="59" t="n">
        <v>27</v>
      </c>
      <c r="C35" t="inlineStr">
        <is>
          <t>R0177294</t>
        </is>
      </c>
      <c r="D35" t="inlineStr">
        <is>
          <t>5156 W 58TH AVE</t>
        </is>
      </c>
      <c r="E35" t="n">
        <v>210</v>
      </c>
      <c r="F35" t="inlineStr">
        <is>
          <t>ARVADA</t>
        </is>
      </c>
      <c r="G35" t="inlineStr">
        <is>
          <t>5</t>
        </is>
      </c>
      <c r="H35" s="703">
        <f>Y35/J35</f>
        <v/>
      </c>
      <c r="I35" s="124" t="n">
        <v>45372</v>
      </c>
      <c r="J35" t="n">
        <v>23554</v>
      </c>
      <c r="K35" s="703" t="n"/>
      <c r="L35" t="n">
        <v>23554</v>
      </c>
      <c r="M35" t="n">
        <v>2008</v>
      </c>
      <c r="P35" t="inlineStr">
        <is>
          <t>I-1-Arv</t>
        </is>
      </c>
      <c r="R35" t="inlineStr">
        <is>
          <t>Average</t>
        </is>
      </c>
      <c r="S35" t="n">
        <v>98285</v>
      </c>
      <c r="T35" s="121">
        <f>S35/L35</f>
        <v/>
      </c>
      <c r="U35" t="inlineStr">
        <is>
          <t>Average</t>
        </is>
      </c>
      <c r="V35" s="121" t="n"/>
      <c r="W35" s="121" t="n"/>
      <c r="X35" s="121" t="n"/>
      <c r="Y35" s="705" t="n">
        <v>5180000</v>
      </c>
      <c r="Z35" s="705" t="n"/>
      <c r="AA35" s="705" t="n">
        <v>5180000</v>
      </c>
      <c r="AB35" s="705" t="n"/>
      <c r="AC35" t="inlineStr">
        <is>
          <t>0182507309001</t>
        </is>
      </c>
      <c r="AD35" t="inlineStr">
        <is>
          <t>2024000014950</t>
        </is>
      </c>
      <c r="AE35" s="575" t="inlineStr">
        <is>
          <t>DUCTS HOLDINGS LLC</t>
        </is>
      </c>
      <c r="AF35" s="575" t="inlineStr">
        <is>
          <t>DU REAL ESTATE HOLDINGS LLC</t>
        </is>
      </c>
      <c r="AI35" s="59">
        <f>IF(AND($E35=Subj_OccCode,Subj_BldgSF&gt;0,ABS($L35-Subj_BldgSF)&lt;=Subj_BldgSF*Subj_SizeTol),ABS($L35-Subj_BldgSF),NA())</f>
        <v/>
      </c>
      <c r="AJ35">
        <f>IF(ISNA(AI35),NA(),AI35+ROW()/10000000)</f>
        <v/>
      </c>
      <c r="AK35">
        <f>IF(AND(ISNUMBER($N35),$N35&gt;0,ISNUMBER($Y35)),$Y35/$N35,"")</f>
        <v/>
      </c>
    </row>
    <row r="36" ht="15" customHeight="1" s="518">
      <c r="A36" s="62" t="n">
        <v>7</v>
      </c>
      <c r="B36" s="59" t="n">
        <v>28</v>
      </c>
      <c r="C36" t="inlineStr">
        <is>
          <t>R0004560</t>
        </is>
      </c>
      <c r="D36" t="inlineStr">
        <is>
          <t>501 S MAIN ST</t>
        </is>
      </c>
      <c r="E36" t="n">
        <v>406</v>
      </c>
      <c r="F36" t="inlineStr">
        <is>
          <t>BRIGHTON</t>
        </is>
      </c>
      <c r="G36" t="inlineStr">
        <is>
          <t>2</t>
        </is>
      </c>
      <c r="H36" s="703">
        <f>Y36/J36</f>
        <v/>
      </c>
      <c r="I36" s="124" t="n">
        <v>44869</v>
      </c>
      <c r="J36" t="n">
        <v>4080</v>
      </c>
      <c r="K36" s="703" t="n"/>
      <c r="L36" t="n">
        <v>4080</v>
      </c>
      <c r="M36" t="n">
        <v>1954</v>
      </c>
      <c r="P36" t="inlineStr">
        <is>
          <t>I-1-Bri</t>
        </is>
      </c>
      <c r="R36" t="inlineStr">
        <is>
          <t>Average</t>
        </is>
      </c>
      <c r="S36" t="n">
        <v>12762</v>
      </c>
      <c r="T36" s="121">
        <f>S36/L36</f>
        <v/>
      </c>
      <c r="U36" t="inlineStr">
        <is>
          <t>Average</t>
        </is>
      </c>
      <c r="V36" s="121" t="n"/>
      <c r="W36" s="121" t="n"/>
      <c r="X36" s="121" t="n"/>
      <c r="Y36" s="705" t="n">
        <v>750000</v>
      </c>
      <c r="Z36" s="705" t="n"/>
      <c r="AA36" s="705" t="n">
        <v>750000</v>
      </c>
      <c r="AB36" s="705" t="n"/>
      <c r="AC36" t="inlineStr">
        <is>
          <t>0156907323002</t>
        </is>
      </c>
      <c r="AD36" t="inlineStr">
        <is>
          <t>2022000089640</t>
        </is>
      </c>
      <c r="AE36" s="575" t="inlineStr">
        <is>
          <t>PACHECO JESUS L</t>
        </is>
      </c>
      <c r="AF36" s="575" t="inlineStr">
        <is>
          <t>RELIANCE POWER COMPANY LLC AND, 4 SEASONS TRANSPORT LLC</t>
        </is>
      </c>
      <c r="AI36" s="59">
        <f>IF(AND($E36=Subj_OccCode,Subj_BldgSF&gt;0,ABS($L36-Subj_BldgSF)&lt;=Subj_BldgSF*Subj_SizeTol),ABS($L36-Subj_BldgSF),NA())</f>
        <v/>
      </c>
      <c r="AJ36">
        <f>IF(ISNA(AI36),NA(),AI36+ROW()/10000000)</f>
        <v/>
      </c>
      <c r="AK36">
        <f>IF(AND(ISNUMBER($N36),$N36&gt;0,ISNUMBER($Y36)),$Y36/$N36,"")</f>
        <v/>
      </c>
    </row>
    <row r="37" ht="15" customHeight="1" s="518">
      <c r="A37" s="62" t="n">
        <v>7</v>
      </c>
      <c r="B37" s="59" t="n">
        <v>29</v>
      </c>
      <c r="C37" t="inlineStr">
        <is>
          <t>R0081995</t>
        </is>
      </c>
      <c r="D37" t="inlineStr">
        <is>
          <t>56761 E COLFAX AVE</t>
        </is>
      </c>
      <c r="E37" t="n">
        <v>353</v>
      </c>
      <c r="F37" t="inlineStr">
        <is>
          <t>STRASBURG</t>
        </is>
      </c>
      <c r="G37" t="inlineStr">
        <is>
          <t>1</t>
        </is>
      </c>
      <c r="H37" s="703">
        <f>Y37/J37</f>
        <v/>
      </c>
      <c r="I37" s="124" t="n">
        <v>45190</v>
      </c>
      <c r="J37" t="n">
        <v>2880</v>
      </c>
      <c r="K37" s="703" t="n"/>
      <c r="L37" t="n">
        <v>2880</v>
      </c>
      <c r="M37" t="n">
        <v>1954</v>
      </c>
      <c r="P37" t="inlineStr">
        <is>
          <t>Commercial</t>
        </is>
      </c>
      <c r="R37" t="inlineStr">
        <is>
          <t>Average</t>
        </is>
      </c>
      <c r="S37" t="n">
        <v>5000</v>
      </c>
      <c r="T37" s="121">
        <f>S37/L37</f>
        <v/>
      </c>
      <c r="U37" t="inlineStr">
        <is>
          <t>Average</t>
        </is>
      </c>
      <c r="V37" s="121" t="n"/>
      <c r="W37" s="121" t="n"/>
      <c r="X37" s="121" t="n"/>
      <c r="Y37" s="705" t="n">
        <v>350000</v>
      </c>
      <c r="Z37" s="705" t="n"/>
      <c r="AA37" s="705" t="n">
        <v>350000</v>
      </c>
      <c r="AB37" s="705" t="n"/>
      <c r="AC37" t="inlineStr">
        <is>
          <t>0181333422008</t>
        </is>
      </c>
      <c r="AD37" t="inlineStr">
        <is>
          <t>2023000054363</t>
        </is>
      </c>
      <c r="AE37" s="575" t="inlineStr">
        <is>
          <t>K &amp; S FAMILY INDUSTRIES LLC</t>
        </is>
      </c>
      <c r="AF37" s="575" t="inlineStr">
        <is>
          <t>THE STRASBURG YARD LLC</t>
        </is>
      </c>
      <c r="AI37" s="59">
        <f>IF(AND($E37=Subj_OccCode,Subj_BldgSF&gt;0,ABS($L37-Subj_BldgSF)&lt;=Subj_BldgSF*Subj_SizeTol),ABS($L37-Subj_BldgSF),NA())</f>
        <v/>
      </c>
      <c r="AJ37">
        <f>IF(ISNA(AI37),NA(),AI37+ROW()/10000000)</f>
        <v/>
      </c>
      <c r="AK37">
        <f>IF(AND(ISNUMBER($N37),$N37&gt;0,ISNUMBER($Y37)),$Y37/$N37,"")</f>
        <v/>
      </c>
    </row>
    <row r="38" ht="15" customHeight="1" s="518">
      <c r="A38" s="62" t="n">
        <v>7</v>
      </c>
      <c r="B38" s="59" t="n">
        <v>30</v>
      </c>
      <c r="C38" t="inlineStr">
        <is>
          <t>R0084235</t>
        </is>
      </c>
      <c r="D38" t="inlineStr">
        <is>
          <t>3751 FRASER ST</t>
        </is>
      </c>
      <c r="E38" t="n">
        <v>407</v>
      </c>
      <c r="F38" t="inlineStr">
        <is>
          <t>AURORA</t>
        </is>
      </c>
      <c r="G38" t="inlineStr">
        <is>
          <t>6</t>
        </is>
      </c>
      <c r="H38" s="703">
        <f>Y38/J38</f>
        <v/>
      </c>
      <c r="I38" s="124" t="n">
        <v>44791</v>
      </c>
      <c r="J38" t="n">
        <v>24836</v>
      </c>
      <c r="K38" s="703" t="n"/>
      <c r="L38" t="n">
        <v>24836</v>
      </c>
      <c r="M38" t="n">
        <v>1976</v>
      </c>
      <c r="P38" t="inlineStr">
        <is>
          <t>M-1-Aur</t>
        </is>
      </c>
      <c r="R38" t="inlineStr">
        <is>
          <t>Fair</t>
        </is>
      </c>
      <c r="S38" t="n">
        <v>290110</v>
      </c>
      <c r="T38" s="121">
        <f>S38/L38</f>
        <v/>
      </c>
      <c r="U38" t="inlineStr">
        <is>
          <t>Fair</t>
        </is>
      </c>
      <c r="V38" s="121" t="n"/>
      <c r="W38" s="121" t="n"/>
      <c r="X38" s="121" t="n"/>
      <c r="Y38" s="705" t="n">
        <v>7452000</v>
      </c>
      <c r="Z38" s="705" t="n"/>
      <c r="AA38" s="705" t="n">
        <v>7452000</v>
      </c>
      <c r="AB38" s="705" t="n"/>
      <c r="AC38" t="inlineStr">
        <is>
          <t>0182130002003</t>
        </is>
      </c>
      <c r="AD38" t="inlineStr">
        <is>
          <t>2022000070197</t>
        </is>
      </c>
      <c r="AE38" s="575" t="inlineStr">
        <is>
          <t>FRASER SERVICE CENTER LLC</t>
        </is>
      </c>
      <c r="AF38" s="575" t="inlineStr">
        <is>
          <t>NICOLA 3751 FRASER LP</t>
        </is>
      </c>
      <c r="AI38" s="59">
        <f>IF(AND($E38=Subj_OccCode,Subj_BldgSF&gt;0,ABS($L38-Subj_BldgSF)&lt;=Subj_BldgSF*Subj_SizeTol),ABS($L38-Subj_BldgSF),NA())</f>
        <v/>
      </c>
      <c r="AJ38">
        <f>IF(ISNA(AI38),NA(),AI38+ROW()/10000000)</f>
        <v/>
      </c>
      <c r="AK38">
        <f>IF(AND(ISNUMBER($N38),$N38&gt;0,ISNUMBER($Y38)),$Y38/$N38,"")</f>
        <v/>
      </c>
    </row>
    <row r="39" ht="15" customHeight="1" s="518">
      <c r="A39" s="62" t="n">
        <v>7</v>
      </c>
      <c r="B39" s="59" t="n">
        <v>31</v>
      </c>
      <c r="C39" t="inlineStr">
        <is>
          <t>R0124575</t>
        </is>
      </c>
      <c r="D39" t="inlineStr">
        <is>
          <t>11152 HURON ST #105</t>
        </is>
      </c>
      <c r="E39" t="n">
        <v>1344</v>
      </c>
      <c r="F39" t="inlineStr">
        <is>
          <t>NORTHGLENN</t>
        </is>
      </c>
      <c r="G39" t="inlineStr">
        <is>
          <t>4</t>
        </is>
      </c>
      <c r="H39" s="703">
        <f>Y39/J39</f>
        <v/>
      </c>
      <c r="I39" s="124" t="n">
        <v>45036</v>
      </c>
      <c r="J39" t="n">
        <v>20472</v>
      </c>
      <c r="K39" s="703" t="n"/>
      <c r="L39" t="n">
        <v>20472</v>
      </c>
      <c r="M39" t="n">
        <v>2000</v>
      </c>
      <c r="P39" t="inlineStr">
        <is>
          <t>C-0-Nor</t>
        </is>
      </c>
      <c r="R39" t="inlineStr">
        <is>
          <t>Average</t>
        </is>
      </c>
      <c r="S39" t="n">
        <v>3100</v>
      </c>
      <c r="T39" s="121">
        <f>S39/L39</f>
        <v/>
      </c>
      <c r="U39" t="inlineStr">
        <is>
          <t>Average</t>
        </is>
      </c>
      <c r="V39" s="121" t="n"/>
      <c r="W39" s="121" t="n"/>
      <c r="X39" s="121" t="n"/>
      <c r="Y39" s="705" t="n">
        <v>240000</v>
      </c>
      <c r="Z39" s="705" t="n"/>
      <c r="AA39" s="705" t="n">
        <v>240000</v>
      </c>
      <c r="AB39" s="705" t="n"/>
      <c r="AC39" t="inlineStr">
        <is>
          <t>0171910205035</t>
        </is>
      </c>
      <c r="AD39" t="inlineStr">
        <is>
          <t>2023000022836</t>
        </is>
      </c>
      <c r="AE39" s="575" t="inlineStr">
        <is>
          <t>PACER HOLDINGS LLC</t>
        </is>
      </c>
      <c r="AF39" s="575" t="inlineStr">
        <is>
          <t>HELIE CHIROPRACTIC CLINIC LLC</t>
        </is>
      </c>
      <c r="AI39" s="59">
        <f>IF(AND($E39=Subj_OccCode,Subj_BldgSF&gt;0,ABS($L39-Subj_BldgSF)&lt;=Subj_BldgSF*Subj_SizeTol),ABS($L39-Subj_BldgSF),NA())</f>
        <v/>
      </c>
      <c r="AJ39">
        <f>IF(ISNA(AI39),NA(),AI39+ROW()/10000000)</f>
        <v/>
      </c>
      <c r="AK39">
        <f>IF(AND(ISNUMBER($N39),$N39&gt;0,ISNUMBER($Y39)),$Y39/$N39,"")</f>
        <v/>
      </c>
    </row>
    <row r="40" ht="15" customHeight="1" s="518">
      <c r="A40" s="62" t="n">
        <v>7</v>
      </c>
      <c r="B40" s="59" t="n">
        <v>32</v>
      </c>
      <c r="C40" t="inlineStr">
        <is>
          <t>R0124576</t>
        </is>
      </c>
      <c r="D40" t="inlineStr">
        <is>
          <t>11152 HURON ST #106</t>
        </is>
      </c>
      <c r="E40" t="n">
        <v>1344</v>
      </c>
      <c r="F40" t="inlineStr">
        <is>
          <t>NORTHGLENN</t>
        </is>
      </c>
      <c r="G40" t="inlineStr">
        <is>
          <t>4</t>
        </is>
      </c>
      <c r="H40" s="703">
        <f>Y40/J40</f>
        <v/>
      </c>
      <c r="I40" s="124" t="n">
        <v>45054</v>
      </c>
      <c r="J40" t="n">
        <v>20472</v>
      </c>
      <c r="K40" s="703" t="n"/>
      <c r="L40" t="n">
        <v>20472</v>
      </c>
      <c r="M40" t="n">
        <v>2000</v>
      </c>
      <c r="P40" t="inlineStr">
        <is>
          <t>C-0-Nor</t>
        </is>
      </c>
      <c r="R40" t="inlineStr">
        <is>
          <t>Average</t>
        </is>
      </c>
      <c r="S40" t="n">
        <v>3100</v>
      </c>
      <c r="T40" s="121">
        <f>S40/L40</f>
        <v/>
      </c>
      <c r="U40" t="inlineStr">
        <is>
          <t>Average</t>
        </is>
      </c>
      <c r="V40" s="121" t="n"/>
      <c r="W40" s="121" t="n"/>
      <c r="X40" s="121" t="n"/>
      <c r="Y40" s="705" t="n">
        <v>246300</v>
      </c>
      <c r="Z40" s="705" t="n"/>
      <c r="AA40" s="705" t="n">
        <v>246300</v>
      </c>
      <c r="AB40" s="705" t="n"/>
      <c r="AC40" t="inlineStr">
        <is>
          <t>0171910205036</t>
        </is>
      </c>
      <c r="AD40" t="inlineStr">
        <is>
          <t>2023000026486</t>
        </is>
      </c>
      <c r="AE40" s="575" t="inlineStr">
        <is>
          <t>PACER HOLDINGS LLC</t>
        </is>
      </c>
      <c r="AF40" s="575" t="inlineStr">
        <is>
          <t>CCIRE I LLC</t>
        </is>
      </c>
      <c r="AI40" s="59">
        <f>IF(AND($E40=Subj_OccCode,Subj_BldgSF&gt;0,ABS($L40-Subj_BldgSF)&lt;=Subj_BldgSF*Subj_SizeTol),ABS($L40-Subj_BldgSF),NA())</f>
        <v/>
      </c>
      <c r="AJ40">
        <f>IF(ISNA(AI40),NA(),AI40+ROW()/10000000)</f>
        <v/>
      </c>
      <c r="AK40">
        <f>IF(AND(ISNUMBER($N40),$N40&gt;0,ISNUMBER($Y40)),$Y40/$N40,"")</f>
        <v/>
      </c>
    </row>
    <row r="41" ht="15" customHeight="1" s="518">
      <c r="A41" s="62" t="n">
        <v>7</v>
      </c>
      <c r="B41" s="59" t="n">
        <v>33</v>
      </c>
      <c r="C41" t="inlineStr">
        <is>
          <t>R0124580</t>
        </is>
      </c>
      <c r="D41" t="inlineStr">
        <is>
          <t>11152 HURON ST #204</t>
        </is>
      </c>
      <c r="E41" t="n">
        <v>1344</v>
      </c>
      <c r="F41" t="inlineStr">
        <is>
          <t>NORTHGLENN</t>
        </is>
      </c>
      <c r="G41" t="inlineStr">
        <is>
          <t>4</t>
        </is>
      </c>
      <c r="H41" s="703">
        <f>Y41/J41</f>
        <v/>
      </c>
      <c r="I41" s="124" t="n">
        <v>45154</v>
      </c>
      <c r="J41" t="n">
        <v>20472</v>
      </c>
      <c r="K41" s="703" t="n"/>
      <c r="L41" t="n">
        <v>20472</v>
      </c>
      <c r="M41" t="n">
        <v>2000</v>
      </c>
      <c r="P41" t="inlineStr">
        <is>
          <t>C-0-Nor</t>
        </is>
      </c>
      <c r="R41" t="inlineStr">
        <is>
          <t>Average</t>
        </is>
      </c>
      <c r="S41" t="n">
        <v>3100</v>
      </c>
      <c r="T41" s="121">
        <f>S41/L41</f>
        <v/>
      </c>
      <c r="U41" t="inlineStr">
        <is>
          <t>Average</t>
        </is>
      </c>
      <c r="V41" s="121" t="n"/>
      <c r="W41" s="121" t="n"/>
      <c r="X41" s="121" t="n"/>
      <c r="Y41" s="705" t="n">
        <v>320000</v>
      </c>
      <c r="Z41" s="705" t="n"/>
      <c r="AA41" s="705" t="n">
        <v>320000</v>
      </c>
      <c r="AB41" s="705" t="n"/>
      <c r="AC41" t="inlineStr">
        <is>
          <t>0171910205040</t>
        </is>
      </c>
      <c r="AD41" t="inlineStr">
        <is>
          <t>2023000046995</t>
        </is>
      </c>
      <c r="AE41" s="575" t="inlineStr">
        <is>
          <t>HURON 210 LLC</t>
        </is>
      </c>
      <c r="AF41" s="575" t="inlineStr">
        <is>
          <t>A C HOLDINGS LLC</t>
        </is>
      </c>
      <c r="AI41" s="59">
        <f>IF(AND($E41=Subj_OccCode,Subj_BldgSF&gt;0,ABS($L41-Subj_BldgSF)&lt;=Subj_BldgSF*Subj_SizeTol),ABS($L41-Subj_BldgSF),NA())</f>
        <v/>
      </c>
      <c r="AJ41">
        <f>IF(ISNA(AI41),NA(),AI41+ROW()/10000000)</f>
        <v/>
      </c>
      <c r="AK41">
        <f>IF(AND(ISNUMBER($N41),$N41&gt;0,ISNUMBER($Y41)),$Y41/$N41,"")</f>
        <v/>
      </c>
    </row>
    <row r="42" ht="15" customHeight="1" s="518">
      <c r="A42" s="62" t="n">
        <v>7</v>
      </c>
      <c r="B42" s="59" t="n">
        <v>34</v>
      </c>
      <c r="C42" t="inlineStr">
        <is>
          <t>R0132006</t>
        </is>
      </c>
      <c r="D42" t="inlineStr">
        <is>
          <t>12021 PENNSYLVANIA ST #206</t>
        </is>
      </c>
      <c r="E42" t="n">
        <v>1344</v>
      </c>
      <c r="F42" t="inlineStr">
        <is>
          <t>THORNTON</t>
        </is>
      </c>
      <c r="G42" t="inlineStr">
        <is>
          <t>3</t>
        </is>
      </c>
      <c r="H42" s="703">
        <f>Y42/J42</f>
        <v/>
      </c>
      <c r="I42" s="124" t="n">
        <v>45205</v>
      </c>
      <c r="J42" t="n">
        <v>17328</v>
      </c>
      <c r="K42" s="703" t="n"/>
      <c r="L42" t="n">
        <v>17328</v>
      </c>
      <c r="M42" t="n">
        <v>2000</v>
      </c>
      <c r="P42" t="inlineStr">
        <is>
          <t>Regional Commercial</t>
        </is>
      </c>
      <c r="R42" t="inlineStr">
        <is>
          <t>Average</t>
        </is>
      </c>
      <c r="S42" t="n">
        <v>3838.69</v>
      </c>
      <c r="T42" s="121">
        <f>S42/L42</f>
        <v/>
      </c>
      <c r="U42" t="inlineStr">
        <is>
          <t>Average</t>
        </is>
      </c>
      <c r="V42" s="121" t="n"/>
      <c r="W42" s="121" t="n"/>
      <c r="X42" s="121" t="n"/>
      <c r="Y42" s="705" t="n">
        <v>335000</v>
      </c>
      <c r="Z42" s="705" t="n"/>
      <c r="AA42" s="705" t="n">
        <v>335000</v>
      </c>
      <c r="AB42" s="705" t="n"/>
      <c r="AC42" t="inlineStr">
        <is>
          <t>0157334401018</t>
        </is>
      </c>
      <c r="AD42" t="inlineStr">
        <is>
          <t>2023000057840</t>
        </is>
      </c>
      <c r="AE42" s="575" t="inlineStr">
        <is>
          <t>GRAND PROPERTIES CO LLC</t>
        </is>
      </c>
      <c r="AF42" s="575" t="inlineStr">
        <is>
          <t>VARGUEZ VERONIC</t>
        </is>
      </c>
      <c r="AI42" s="59">
        <f>IF(AND($E42=Subj_OccCode,Subj_BldgSF&gt;0,ABS($L42-Subj_BldgSF)&lt;=Subj_BldgSF*Subj_SizeTol),ABS($L42-Subj_BldgSF),NA())</f>
        <v/>
      </c>
      <c r="AJ42">
        <f>IF(ISNA(AI42),NA(),AI42+ROW()/10000000)</f>
        <v/>
      </c>
      <c r="AK42">
        <f>IF(AND(ISNUMBER($N42),$N42&gt;0,ISNUMBER($Y42)),$Y42/$N42,"")</f>
        <v/>
      </c>
    </row>
    <row r="43" ht="15" customHeight="1" s="518">
      <c r="A43" s="62" t="n">
        <v>7</v>
      </c>
      <c r="B43" s="59" t="n">
        <v>35</v>
      </c>
      <c r="C43" t="inlineStr">
        <is>
          <t>R0159467</t>
        </is>
      </c>
      <c r="D43" t="inlineStr">
        <is>
          <t>12001 E 33RD AVE</t>
        </is>
      </c>
      <c r="E43" t="n">
        <v>425</v>
      </c>
      <c r="F43" t="inlineStr">
        <is>
          <t>AURORA</t>
        </is>
      </c>
      <c r="G43" t="inlineStr">
        <is>
          <t>6</t>
        </is>
      </c>
      <c r="H43" s="703">
        <f>Y43/J43</f>
        <v/>
      </c>
      <c r="I43" s="124" t="n">
        <v>44957</v>
      </c>
      <c r="J43" t="n">
        <v>32500</v>
      </c>
      <c r="K43" s="703" t="n"/>
      <c r="L43" t="n">
        <v>32500</v>
      </c>
      <c r="M43" t="n">
        <v>2004</v>
      </c>
      <c r="P43" t="inlineStr">
        <is>
          <t>M-2</t>
        </is>
      </c>
      <c r="R43" t="inlineStr">
        <is>
          <t>Average</t>
        </is>
      </c>
      <c r="S43" t="n">
        <v>4740</v>
      </c>
      <c r="T43" s="121">
        <f>S43/L43</f>
        <v/>
      </c>
      <c r="U43" t="inlineStr">
        <is>
          <t>Average</t>
        </is>
      </c>
      <c r="V43" s="121" t="n"/>
      <c r="W43" s="121" t="n"/>
      <c r="X43" s="121" t="n"/>
      <c r="Y43" s="705" t="n">
        <v>599000</v>
      </c>
      <c r="Z43" s="705" t="n"/>
      <c r="AA43" s="705" t="n">
        <v>599000</v>
      </c>
      <c r="AB43" s="705" t="n"/>
      <c r="AC43" t="inlineStr">
        <is>
          <t>0182326103031</t>
        </is>
      </c>
      <c r="AD43" t="inlineStr">
        <is>
          <t>2023000005839</t>
        </is>
      </c>
      <c r="AE43" s="575" t="inlineStr">
        <is>
          <t>SOUTH STREET CAPITAL PARTNERS LLC</t>
        </is>
      </c>
      <c r="AF43" s="575" t="inlineStr">
        <is>
          <t>DIASPORA DANCE COMPANY LLC</t>
        </is>
      </c>
      <c r="AI43" s="59">
        <f>IF(AND($E43=Subj_OccCode,Subj_BldgSF&gt;0,ABS($L43-Subj_BldgSF)&lt;=Subj_BldgSF*Subj_SizeTol),ABS($L43-Subj_BldgSF),NA())</f>
        <v/>
      </c>
      <c r="AJ43">
        <f>IF(ISNA(AI43),NA(),AI43+ROW()/10000000)</f>
        <v/>
      </c>
      <c r="AK43">
        <f>IF(AND(ISNUMBER($N43),$N43&gt;0,ISNUMBER($Y43)),$Y43/$N43,"")</f>
        <v/>
      </c>
    </row>
    <row r="44" ht="15" customHeight="1" s="518">
      <c r="A44" s="62" t="n">
        <v>7</v>
      </c>
      <c r="B44" s="59" t="n">
        <v>36</v>
      </c>
      <c r="C44" t="inlineStr">
        <is>
          <t>R0170482</t>
        </is>
      </c>
      <c r="D44" t="inlineStr">
        <is>
          <t>5030 W 88TH PL</t>
        </is>
      </c>
      <c r="E44" t="n">
        <v>1332</v>
      </c>
      <c r="F44" t="inlineStr">
        <is>
          <t>WESTMINSTER</t>
        </is>
      </c>
      <c r="G44" t="inlineStr">
        <is>
          <t>4</t>
        </is>
      </c>
      <c r="H44" s="703">
        <f>Y44/J44</f>
        <v/>
      </c>
      <c r="I44" s="124" t="n">
        <v>45113</v>
      </c>
      <c r="J44" t="n">
        <v>107</v>
      </c>
      <c r="K44" s="703" t="n"/>
      <c r="L44" t="n">
        <v>107</v>
      </c>
      <c r="M44" t="n">
        <v>1997</v>
      </c>
      <c r="P44" t="inlineStr">
        <is>
          <t>PUD-Wes</t>
        </is>
      </c>
      <c r="R44" t="inlineStr">
        <is>
          <t>Average</t>
        </is>
      </c>
      <c r="S44" t="n">
        <v>114649.92</v>
      </c>
      <c r="T44" s="121">
        <f>S44/L44</f>
        <v/>
      </c>
      <c r="U44" t="inlineStr">
        <is>
          <t>Average</t>
        </is>
      </c>
      <c r="V44" s="121" t="n"/>
      <c r="W44" s="121" t="n"/>
      <c r="X44" s="121" t="n"/>
      <c r="Y44" s="705" t="n">
        <v>11000000</v>
      </c>
      <c r="Z44" s="705" t="n"/>
      <c r="AA44" s="705" t="n">
        <v>11000000</v>
      </c>
      <c r="AB44" s="705" t="n"/>
      <c r="AC44" t="inlineStr">
        <is>
          <t>0171919324006</t>
        </is>
      </c>
      <c r="AD44" t="inlineStr">
        <is>
          <t>2023000038091</t>
        </is>
      </c>
      <c r="AE44" s="575" t="inlineStr">
        <is>
          <t>SUPREME BRIGHT COLORADO IX LLC</t>
        </is>
      </c>
      <c r="AF44" s="575" t="inlineStr">
        <is>
          <t>D 5030 WESTMINSTER LLC</t>
        </is>
      </c>
      <c r="AI44" s="59">
        <f>IF(AND($E44=Subj_OccCode,Subj_BldgSF&gt;0,ABS($L44-Subj_BldgSF)&lt;=Subj_BldgSF*Subj_SizeTol),ABS($L44-Subj_BldgSF),NA())</f>
        <v/>
      </c>
      <c r="AJ44">
        <f>IF(ISNA(AI44),NA(),AI44+ROW()/10000000)</f>
        <v/>
      </c>
      <c r="AK44">
        <f>IF(AND(ISNUMBER($N44),$N44&gt;0,ISNUMBER($Y44)),$Y44/$N44,"")</f>
        <v/>
      </c>
    </row>
    <row r="45" ht="15" customHeight="1" s="518">
      <c r="A45" s="62" t="n">
        <v>7</v>
      </c>
      <c r="B45" s="59" t="n">
        <v>37</v>
      </c>
      <c r="C45" t="inlineStr">
        <is>
          <t>R0173167</t>
        </is>
      </c>
      <c r="D45" t="inlineStr">
        <is>
          <t>11154 HURON ST #104</t>
        </is>
      </c>
      <c r="E45" t="n">
        <v>1344</v>
      </c>
      <c r="F45" t="inlineStr">
        <is>
          <t>NORTHGLENN</t>
        </is>
      </c>
      <c r="G45" t="inlineStr">
        <is>
          <t>4</t>
        </is>
      </c>
      <c r="H45" s="703">
        <f>Y45/J45</f>
        <v/>
      </c>
      <c r="I45" s="124" t="n">
        <v>45215</v>
      </c>
      <c r="J45" t="n">
        <v>19584</v>
      </c>
      <c r="K45" s="703" t="n"/>
      <c r="L45" t="n">
        <v>19584</v>
      </c>
      <c r="M45" t="n">
        <v>2001</v>
      </c>
      <c r="P45" t="inlineStr">
        <is>
          <t>C-0-Nor</t>
        </is>
      </c>
      <c r="R45" t="inlineStr">
        <is>
          <t>Average</t>
        </is>
      </c>
      <c r="S45" t="n">
        <v>5862</v>
      </c>
      <c r="T45" s="121">
        <f>S45/L45</f>
        <v/>
      </c>
      <c r="U45" t="inlineStr">
        <is>
          <t>Average</t>
        </is>
      </c>
      <c r="V45" s="121" t="n"/>
      <c r="W45" s="121" t="n"/>
      <c r="X45" s="121" t="n"/>
      <c r="Y45" s="705" t="n">
        <v>345000</v>
      </c>
      <c r="Z45" s="705" t="n"/>
      <c r="AA45" s="705" t="n">
        <v>345000</v>
      </c>
      <c r="AB45" s="705" t="n"/>
      <c r="AC45" t="inlineStr">
        <is>
          <t>0171910205046</t>
        </is>
      </c>
      <c r="AD45" t="inlineStr">
        <is>
          <t>2023000058615</t>
        </is>
      </c>
      <c r="AE45" s="575" t="inlineStr">
        <is>
          <t>LAMM DEVELOPMENTS LTD</t>
        </is>
      </c>
      <c r="AF45" s="575" t="inlineStr">
        <is>
          <t>WANDERSPRING LLC</t>
        </is>
      </c>
      <c r="AI45" s="59">
        <f>IF(AND($E45=Subj_OccCode,Subj_BldgSF&gt;0,ABS($L45-Subj_BldgSF)&lt;=Subj_BldgSF*Subj_SizeTol),ABS($L45-Subj_BldgSF),NA())</f>
        <v/>
      </c>
      <c r="AJ45">
        <f>IF(ISNA(AI45),NA(),AI45+ROW()/10000000)</f>
        <v/>
      </c>
      <c r="AK45">
        <f>IF(AND(ISNUMBER($N45),$N45&gt;0,ISNUMBER($Y45)),$Y45/$N45,"")</f>
        <v/>
      </c>
    </row>
    <row r="46" ht="15" customHeight="1" s="518">
      <c r="A46" s="62" t="n">
        <v>7</v>
      </c>
      <c r="B46" s="59" t="n">
        <v>38</v>
      </c>
      <c r="C46" t="inlineStr">
        <is>
          <t>R0194196</t>
        </is>
      </c>
      <c r="D46" t="inlineStr">
        <is>
          <t>1800 W 104TH AVE</t>
        </is>
      </c>
      <c r="E46" t="n">
        <v>227</v>
      </c>
      <c r="F46" t="inlineStr">
        <is>
          <t>THORNTON</t>
        </is>
      </c>
      <c r="G46" t="inlineStr">
        <is>
          <t>4</t>
        </is>
      </c>
      <c r="H46" s="703">
        <f>Y46/J46</f>
        <v/>
      </c>
      <c r="I46" s="124" t="n">
        <v>45379</v>
      </c>
      <c r="J46" t="n">
        <v>36534</v>
      </c>
      <c r="K46" s="703" t="n"/>
      <c r="L46" t="n">
        <v>36534</v>
      </c>
      <c r="M46" t="n">
        <v>1975</v>
      </c>
      <c r="P46" t="inlineStr">
        <is>
          <t>Regional Commercial</t>
        </is>
      </c>
      <c r="R46" t="inlineStr">
        <is>
          <t>Average</t>
        </is>
      </c>
      <c r="S46" t="n">
        <v>586186.92</v>
      </c>
      <c r="T46" s="121">
        <f>S46/L46</f>
        <v/>
      </c>
      <c r="U46" t="inlineStr">
        <is>
          <t>Average</t>
        </is>
      </c>
      <c r="V46" s="121" t="n"/>
      <c r="W46" s="121" t="n"/>
      <c r="X46" s="121" t="n"/>
      <c r="Y46" s="705" t="n">
        <v>11875000</v>
      </c>
      <c r="Z46" s="705" t="n"/>
      <c r="AA46" s="705" t="n">
        <v>11875000</v>
      </c>
      <c r="AB46" s="705" t="n"/>
      <c r="AC46" t="inlineStr">
        <is>
          <t>0171916202056</t>
        </is>
      </c>
      <c r="AD46" t="inlineStr">
        <is>
          <t>2024000016866</t>
        </is>
      </c>
      <c r="AE46" s="575" t="inlineStr">
        <is>
          <t>FCA REALTY LLC, TAX AFFAIRS 485-12-30</t>
        </is>
      </c>
      <c r="AF46" s="575" t="inlineStr">
        <is>
          <t>LHM TCD LLC, C/O ASBURY AUTOMOTIVE GROUP INC</t>
        </is>
      </c>
      <c r="AI46" s="59">
        <f>IF(AND($E46=Subj_OccCode,Subj_BldgSF&gt;0,ABS($L46-Subj_BldgSF)&lt;=Subj_BldgSF*Subj_SizeTol),ABS($L46-Subj_BldgSF),NA())</f>
        <v/>
      </c>
      <c r="AJ46">
        <f>IF(ISNA(AI46),NA(),AI46+ROW()/10000000)</f>
        <v/>
      </c>
      <c r="AK46">
        <f>IF(AND(ISNUMBER($N46),$N46&gt;0,ISNUMBER($Y46)),$Y46/$N46,"")</f>
        <v/>
      </c>
    </row>
    <row r="47" ht="15" customHeight="1" s="518">
      <c r="A47" s="62" t="n">
        <v>7</v>
      </c>
      <c r="B47" s="59" t="n">
        <v>39</v>
      </c>
      <c r="C47" t="inlineStr">
        <is>
          <t>R0058121</t>
        </is>
      </c>
      <c r="D47" t="inlineStr">
        <is>
          <t>8630 PEARL ST</t>
        </is>
      </c>
      <c r="E47" t="n">
        <v>353</v>
      </c>
      <c r="F47" t="inlineStr">
        <is>
          <t>THORNTON</t>
        </is>
      </c>
      <c r="G47" t="inlineStr">
        <is>
          <t>4</t>
        </is>
      </c>
      <c r="H47" s="703">
        <f>Y47/J47</f>
        <v/>
      </c>
      <c r="I47" s="124" t="n">
        <v>45294</v>
      </c>
      <c r="J47" t="n">
        <v>1292</v>
      </c>
      <c r="K47" s="703" t="n"/>
      <c r="L47" t="n">
        <v>1292</v>
      </c>
      <c r="M47" t="n">
        <v>1959</v>
      </c>
      <c r="P47" t="inlineStr">
        <is>
          <t>Regional Commercial</t>
        </is>
      </c>
      <c r="R47" t="inlineStr">
        <is>
          <t>Average</t>
        </is>
      </c>
      <c r="S47" t="n">
        <v>10018.8</v>
      </c>
      <c r="T47" s="121">
        <f>S47/L47</f>
        <v/>
      </c>
      <c r="U47" t="inlineStr">
        <is>
          <t>Average</t>
        </is>
      </c>
      <c r="V47" s="121" t="n"/>
      <c r="W47" s="121" t="n"/>
      <c r="X47" s="121" t="n"/>
      <c r="Y47" s="705" t="n">
        <v>400000</v>
      </c>
      <c r="Z47" s="705" t="n"/>
      <c r="AA47" s="705" t="n">
        <v>400000</v>
      </c>
      <c r="AB47" s="705" t="n"/>
      <c r="AC47" t="inlineStr">
        <is>
          <t>0171927100050</t>
        </is>
      </c>
      <c r="AD47" t="inlineStr">
        <is>
          <t>2024000000938</t>
        </is>
      </c>
      <c r="AE47" s="575" t="inlineStr">
        <is>
          <t>FIOCCA THOMAS ROBERT AND , FIOCCA ERIN LOIS</t>
        </is>
      </c>
      <c r="AF47" s="575" t="inlineStr">
        <is>
          <t>8630 PEARL LLC</t>
        </is>
      </c>
      <c r="AI47" s="59">
        <f>IF(AND($E47=Subj_OccCode,Subj_BldgSF&gt;0,ABS($L47-Subj_BldgSF)&lt;=Subj_BldgSF*Subj_SizeTol),ABS($L47-Subj_BldgSF),NA())</f>
        <v/>
      </c>
      <c r="AJ47">
        <f>IF(ISNA(AI47),NA(),AI47+ROW()/10000000)</f>
        <v/>
      </c>
      <c r="AK47">
        <f>IF(AND(ISNUMBER($N47),$N47&gt;0,ISNUMBER($Y47)),$Y47/$N47,"")</f>
        <v/>
      </c>
    </row>
    <row r="48" ht="15" customHeight="1" s="518">
      <c r="A48" s="62" t="n">
        <v>7</v>
      </c>
      <c r="B48" s="59" t="n">
        <v>40</v>
      </c>
      <c r="C48" t="inlineStr">
        <is>
          <t>R0062940</t>
        </is>
      </c>
      <c r="D48" t="inlineStr">
        <is>
          <t>8362 SHERIDAN BLVD</t>
        </is>
      </c>
      <c r="E48" t="n">
        <v>353</v>
      </c>
      <c r="F48" t="inlineStr">
        <is>
          <t>WESTMINSTER</t>
        </is>
      </c>
      <c r="G48" t="inlineStr">
        <is>
          <t>4</t>
        </is>
      </c>
      <c r="H48" s="703">
        <f>Y48/J48</f>
        <v/>
      </c>
      <c r="I48" s="124" t="n">
        <v>44764</v>
      </c>
      <c r="J48" t="n">
        <v>10189</v>
      </c>
      <c r="K48" s="703" t="n"/>
      <c r="L48" t="n">
        <v>10189</v>
      </c>
      <c r="M48" t="n">
        <v>1986</v>
      </c>
      <c r="P48" t="inlineStr">
        <is>
          <t>PUD-Wes</t>
        </is>
      </c>
      <c r="R48" t="inlineStr">
        <is>
          <t>Average</t>
        </is>
      </c>
      <c r="S48" t="n">
        <v>66211</v>
      </c>
      <c r="T48" s="121">
        <f>S48/L48</f>
        <v/>
      </c>
      <c r="U48" t="inlineStr">
        <is>
          <t>Average</t>
        </is>
      </c>
      <c r="V48" s="121" t="n"/>
      <c r="W48" s="121" t="n"/>
      <c r="X48" s="121" t="n"/>
      <c r="Y48" s="705" t="n">
        <v>3300000</v>
      </c>
      <c r="Z48" s="705" t="n"/>
      <c r="AA48" s="705" t="n">
        <v>3300000</v>
      </c>
      <c r="AB48" s="705" t="n"/>
      <c r="AC48" t="inlineStr">
        <is>
          <t>0171930221002</t>
        </is>
      </c>
      <c r="AD48" t="inlineStr">
        <is>
          <t>2022000063191</t>
        </is>
      </c>
      <c r="AE48" s="575" t="inlineStr">
        <is>
          <t>84TH SHERIDAN LLC</t>
        </is>
      </c>
      <c r="AF48" s="575" t="inlineStr">
        <is>
          <t>DELSOUZ &amp; LALEH LLC</t>
        </is>
      </c>
      <c r="AI48" s="59">
        <f>IF(AND($E48=Subj_OccCode,Subj_BldgSF&gt;0,ABS($L48-Subj_BldgSF)&lt;=Subj_BldgSF*Subj_SizeTol),ABS($L48-Subj_BldgSF),NA())</f>
        <v/>
      </c>
      <c r="AJ48">
        <f>IF(ISNA(AI48),NA(),AI48+ROW()/10000000)</f>
        <v/>
      </c>
      <c r="AK48">
        <f>IF(AND(ISNUMBER($N48),$N48&gt;0,ISNUMBER($Y48)),$Y48/$N48,"")</f>
        <v/>
      </c>
    </row>
    <row r="49" ht="15" customHeight="1" s="518">
      <c r="A49" s="62" t="n">
        <v>7</v>
      </c>
      <c r="B49" s="59" t="n">
        <v>41</v>
      </c>
      <c r="C49" t="inlineStr">
        <is>
          <t>R0064212</t>
        </is>
      </c>
      <c r="D49" t="inlineStr">
        <is>
          <t>4800 W 80TH AVE</t>
        </is>
      </c>
      <c r="E49" t="n">
        <v>344</v>
      </c>
      <c r="F49" t="inlineStr">
        <is>
          <t>WESTMINSTER</t>
        </is>
      </c>
      <c r="G49" t="inlineStr">
        <is>
          <t>4</t>
        </is>
      </c>
      <c r="H49" s="703">
        <f>Y49/J49</f>
        <v/>
      </c>
      <c r="I49" s="124" t="n">
        <v>44838</v>
      </c>
      <c r="J49" t="n">
        <v>3362</v>
      </c>
      <c r="K49" s="703" t="n"/>
      <c r="L49" t="n">
        <v>3362</v>
      </c>
      <c r="M49" t="n">
        <v>1987</v>
      </c>
      <c r="P49" t="inlineStr">
        <is>
          <t>PUD-Wes</t>
        </is>
      </c>
      <c r="R49" t="inlineStr">
        <is>
          <t>Average</t>
        </is>
      </c>
      <c r="S49" t="n">
        <v>3070</v>
      </c>
      <c r="T49" s="121">
        <f>S49/L49</f>
        <v/>
      </c>
      <c r="U49" t="inlineStr">
        <is>
          <t>Average</t>
        </is>
      </c>
      <c r="V49" s="121" t="n"/>
      <c r="W49" s="121" t="n"/>
      <c r="X49" s="121" t="n"/>
      <c r="Y49" s="705" t="n">
        <v>600000</v>
      </c>
      <c r="Z49" s="705" t="n"/>
      <c r="AA49" s="705" t="n">
        <v>600000</v>
      </c>
      <c r="AB49" s="705" t="n"/>
      <c r="AC49" t="inlineStr">
        <is>
          <t>0171931205030</t>
        </is>
      </c>
      <c r="AD49" t="inlineStr">
        <is>
          <t>2022000082406</t>
        </is>
      </c>
      <c r="AE49" s="575" t="inlineStr">
        <is>
          <t>DEEM RICHARD O</t>
        </is>
      </c>
      <c r="AF49" s="575" t="inlineStr">
        <is>
          <t>4800 W 80TH LLC</t>
        </is>
      </c>
      <c r="AI49" s="59">
        <f>IF(AND($E49=Subj_OccCode,Subj_BldgSF&gt;0,ABS($L49-Subj_BldgSF)&lt;=Subj_BldgSF*Subj_SizeTol),ABS($L49-Subj_BldgSF),NA())</f>
        <v/>
      </c>
      <c r="AJ49">
        <f>IF(ISNA(AI49),NA(),AI49+ROW()/10000000)</f>
        <v/>
      </c>
      <c r="AK49">
        <f>IF(AND(ISNUMBER($N49),$N49&gt;0,ISNUMBER($Y49)),$Y49/$N49,"")</f>
        <v/>
      </c>
    </row>
    <row r="50" ht="15" customHeight="1" s="518">
      <c r="A50" s="62" t="n">
        <v>7</v>
      </c>
      <c r="B50" s="59" t="n">
        <v>42</v>
      </c>
      <c r="C50" t="inlineStr">
        <is>
          <t>R0164301</t>
        </is>
      </c>
      <c r="D50" t="inlineStr">
        <is>
          <t>16711 WASHINGTON ST</t>
        </is>
      </c>
      <c r="E50" t="n">
        <v>304</v>
      </c>
      <c r="F50" t="inlineStr">
        <is>
          <t>THORNTON</t>
        </is>
      </c>
      <c r="G50" t="inlineStr">
        <is>
          <t>3</t>
        </is>
      </c>
      <c r="H50" s="703">
        <f>Y50/J50</f>
        <v/>
      </c>
      <c r="I50" s="124" t="n">
        <v>44845</v>
      </c>
      <c r="J50" t="n">
        <v>5189</v>
      </c>
      <c r="K50" s="703" t="n"/>
      <c r="L50" t="n">
        <v>5189</v>
      </c>
      <c r="M50" t="n">
        <v>2006</v>
      </c>
      <c r="P50" t="inlineStr">
        <is>
          <t>Regional Commercial</t>
        </is>
      </c>
      <c r="R50" t="inlineStr">
        <is>
          <t>Average</t>
        </is>
      </c>
      <c r="S50" t="n">
        <v>37287</v>
      </c>
      <c r="T50" s="121">
        <f>S50/L50</f>
        <v/>
      </c>
      <c r="U50" t="inlineStr">
        <is>
          <t>Average</t>
        </is>
      </c>
      <c r="V50" s="121" t="n"/>
      <c r="W50" s="121" t="n"/>
      <c r="X50" s="121" t="n"/>
      <c r="Y50" s="705" t="n">
        <v>1285000</v>
      </c>
      <c r="Z50" s="705" t="n"/>
      <c r="AA50" s="705" t="n">
        <v>1285000</v>
      </c>
      <c r="AB50" s="705" t="n"/>
      <c r="AC50" t="inlineStr">
        <is>
          <t>0157302208001</t>
        </is>
      </c>
      <c r="AD50" t="inlineStr">
        <is>
          <t>2022000083624</t>
        </is>
      </c>
      <c r="AE50" s="575" t="inlineStr">
        <is>
          <t>US BANK NATIONAL ASSOCIATION, C/O RYAN PTS DEPT.908</t>
        </is>
      </c>
      <c r="AF50" s="575" t="inlineStr">
        <is>
          <t>EAT-2202 LLC</t>
        </is>
      </c>
      <c r="AI50" s="59">
        <f>IF(AND($E50=Subj_OccCode,Subj_BldgSF&gt;0,ABS($L50-Subj_BldgSF)&lt;=Subj_BldgSF*Subj_SizeTol),ABS($L50-Subj_BldgSF),NA())</f>
        <v/>
      </c>
      <c r="AJ50">
        <f>IF(ISNA(AI50),NA(),AI50+ROW()/10000000)</f>
        <v/>
      </c>
      <c r="AK50">
        <f>IF(AND(ISNUMBER($N50),$N50&gt;0,ISNUMBER($Y50)),$Y50/$N50,"")</f>
        <v/>
      </c>
    </row>
    <row r="51" ht="15" customHeight="1" s="518">
      <c r="A51" s="62" t="n">
        <v>7</v>
      </c>
      <c r="B51" s="59" t="n">
        <v>43</v>
      </c>
      <c r="C51" t="inlineStr">
        <is>
          <t>R0188148</t>
        </is>
      </c>
      <c r="D51" t="inlineStr">
        <is>
          <t>2731 W 120TH AVE</t>
        </is>
      </c>
      <c r="E51" t="n">
        <v>353</v>
      </c>
      <c r="F51" t="inlineStr">
        <is>
          <t>WESTMINSTER</t>
        </is>
      </c>
      <c r="G51" t="inlineStr">
        <is>
          <t>3</t>
        </is>
      </c>
      <c r="H51" s="703">
        <f>Y51/J51</f>
        <v/>
      </c>
      <c r="I51" s="124" t="n">
        <v>44774</v>
      </c>
      <c r="J51" t="n">
        <v>6161</v>
      </c>
      <c r="K51" s="703" t="n"/>
      <c r="L51" t="n">
        <v>6161</v>
      </c>
      <c r="M51" t="n">
        <v>2017</v>
      </c>
      <c r="P51" t="inlineStr">
        <is>
          <t>PUD-Wes</t>
        </is>
      </c>
      <c r="R51" t="inlineStr">
        <is>
          <t>Average</t>
        </is>
      </c>
      <c r="S51" t="n">
        <v>41047</v>
      </c>
      <c r="T51" s="121">
        <f>S51/L51</f>
        <v/>
      </c>
      <c r="U51" t="inlineStr">
        <is>
          <t>Average</t>
        </is>
      </c>
      <c r="V51" s="121" t="n"/>
      <c r="W51" s="121" t="n"/>
      <c r="X51" s="121" t="n"/>
      <c r="Y51" s="705" t="n">
        <v>2360000</v>
      </c>
      <c r="Z51" s="705" t="n"/>
      <c r="AA51" s="705" t="n">
        <v>2360000</v>
      </c>
      <c r="AB51" s="705" t="n"/>
      <c r="AC51" t="inlineStr">
        <is>
          <t>0157332401028</t>
        </is>
      </c>
      <c r="AD51" t="inlineStr">
        <is>
          <t>2022000065685</t>
        </is>
      </c>
      <c r="AE51" s="575" t="inlineStr">
        <is>
          <t>COUNTRY CLUB VILLAGE TWO LLC</t>
        </is>
      </c>
      <c r="AF51" s="575" t="inlineStr">
        <is>
          <t>OAKVIEW SHOPS LLC</t>
        </is>
      </c>
      <c r="AI51" s="59">
        <f>IF(AND($E51=Subj_OccCode,Subj_BldgSF&gt;0,ABS($L51-Subj_BldgSF)&lt;=Subj_BldgSF*Subj_SizeTol),ABS($L51-Subj_BldgSF),NA())</f>
        <v/>
      </c>
      <c r="AJ51">
        <f>IF(ISNA(AI51),NA(),AI51+ROW()/10000000)</f>
        <v/>
      </c>
      <c r="AK51">
        <f>IF(AND(ISNUMBER($N51),$N51&gt;0,ISNUMBER($Y51)),$Y51/$N51,"")</f>
        <v/>
      </c>
    </row>
    <row r="52" ht="15" customHeight="1" s="518">
      <c r="A52" s="62" t="n">
        <v>7</v>
      </c>
      <c r="B52" s="59" t="n">
        <v>44</v>
      </c>
      <c r="C52" t="inlineStr">
        <is>
          <t>R0190178</t>
        </is>
      </c>
      <c r="D52" t="inlineStr">
        <is>
          <t>1501 W 124TH AVE</t>
        </is>
      </c>
      <c r="E52" t="n">
        <v>425</v>
      </c>
      <c r="F52" t="inlineStr">
        <is>
          <t>WESTMINSTER</t>
        </is>
      </c>
      <c r="G52" t="inlineStr">
        <is>
          <t>3</t>
        </is>
      </c>
      <c r="H52" s="703">
        <f>Y52/J52</f>
        <v/>
      </c>
      <c r="I52" s="124" t="n">
        <v>45007</v>
      </c>
      <c r="J52" t="n">
        <v>15243</v>
      </c>
      <c r="K52" s="703" t="n"/>
      <c r="L52" t="n">
        <v>15243</v>
      </c>
      <c r="M52" t="n">
        <v>2016</v>
      </c>
      <c r="P52" t="inlineStr">
        <is>
          <t>PUD-Wes</t>
        </is>
      </c>
      <c r="R52" t="inlineStr">
        <is>
          <t>Good</t>
        </is>
      </c>
      <c r="S52" t="n">
        <v>5569</v>
      </c>
      <c r="T52" s="121">
        <f>S52/L52</f>
        <v/>
      </c>
      <c r="U52" t="inlineStr">
        <is>
          <t>Good</t>
        </is>
      </c>
      <c r="V52" s="121" t="n"/>
      <c r="W52" s="121" t="n"/>
      <c r="X52" s="121" t="n"/>
      <c r="Y52" s="705" t="n">
        <v>552000</v>
      </c>
      <c r="Z52" s="705" t="n"/>
      <c r="AA52" s="705" t="n">
        <v>552000</v>
      </c>
      <c r="AB52" s="705" t="n"/>
      <c r="AC52" t="inlineStr">
        <is>
          <t>0157333101008</t>
        </is>
      </c>
      <c r="AD52" t="inlineStr">
        <is>
          <t>2023000015116</t>
        </is>
      </c>
      <c r="AE52" s="575" t="inlineStr">
        <is>
          <t>SOCIAL INDUSTRIES 3 LLC</t>
        </is>
      </c>
      <c r="AF52" s="575" t="inlineStr">
        <is>
          <t>LITEBOX LLC</t>
        </is>
      </c>
      <c r="AI52" s="59">
        <f>IF(AND($E52=Subj_OccCode,Subj_BldgSF&gt;0,ABS($L52-Subj_BldgSF)&lt;=Subj_BldgSF*Subj_SizeTol),ABS($L52-Subj_BldgSF),NA())</f>
        <v/>
      </c>
      <c r="AJ52">
        <f>IF(ISNA(AI52),NA(),AI52+ROW()/10000000)</f>
        <v/>
      </c>
      <c r="AK52">
        <f>IF(AND(ISNUMBER($N52),$N52&gt;0,ISNUMBER($Y52)),$Y52/$N52,"")</f>
        <v/>
      </c>
    </row>
    <row r="53" ht="15" customHeight="1" s="518">
      <c r="A53" s="62" t="n">
        <v>7</v>
      </c>
      <c r="B53" s="59" t="n">
        <v>45</v>
      </c>
      <c r="C53" t="inlineStr">
        <is>
          <t>R0190179</t>
        </is>
      </c>
      <c r="D53" t="inlineStr">
        <is>
          <t>1501 W 124TH AVE</t>
        </is>
      </c>
      <c r="E53" t="n">
        <v>425</v>
      </c>
      <c r="F53" t="inlineStr">
        <is>
          <t>WESTMINSTER</t>
        </is>
      </c>
      <c r="G53" t="inlineStr">
        <is>
          <t>3</t>
        </is>
      </c>
      <c r="H53" s="703">
        <f>Y53/J53</f>
        <v/>
      </c>
      <c r="I53" s="124" t="n">
        <v>44931</v>
      </c>
      <c r="J53" t="n">
        <v>15818</v>
      </c>
      <c r="K53" s="703" t="n"/>
      <c r="L53" t="n">
        <v>15818</v>
      </c>
      <c r="M53" t="n">
        <v>2016</v>
      </c>
      <c r="P53" t="inlineStr">
        <is>
          <t>PUD-Wes</t>
        </is>
      </c>
      <c r="R53" t="inlineStr">
        <is>
          <t>Good</t>
        </is>
      </c>
      <c r="S53" t="n">
        <v>5569</v>
      </c>
      <c r="T53" s="121">
        <f>S53/L53</f>
        <v/>
      </c>
      <c r="U53" t="inlineStr">
        <is>
          <t>Good</t>
        </is>
      </c>
      <c r="V53" s="121" t="n"/>
      <c r="W53" s="121" t="n"/>
      <c r="X53" s="121" t="n"/>
      <c r="Y53" s="705" t="n">
        <v>565000</v>
      </c>
      <c r="Z53" s="705" t="n"/>
      <c r="AA53" s="705" t="n">
        <v>565000</v>
      </c>
      <c r="AB53" s="705" t="n"/>
      <c r="AC53" t="inlineStr">
        <is>
          <t>0157333101009</t>
        </is>
      </c>
      <c r="AD53" t="inlineStr">
        <is>
          <t>2023000000689</t>
        </is>
      </c>
      <c r="AE53" s="575" t="inlineStr">
        <is>
          <t>SOCIAL INDUSTRIES 2 LLC</t>
        </is>
      </c>
      <c r="AF53" s="575" t="inlineStr">
        <is>
          <t>CLUELESS COUPLE LLC</t>
        </is>
      </c>
      <c r="AI53" s="59">
        <f>IF(AND($E53=Subj_OccCode,Subj_BldgSF&gt;0,ABS($L53-Subj_BldgSF)&lt;=Subj_BldgSF*Subj_SizeTol),ABS($L53-Subj_BldgSF),NA())</f>
        <v/>
      </c>
      <c r="AJ53">
        <f>IF(ISNA(AI53),NA(),AI53+ROW()/10000000)</f>
        <v/>
      </c>
      <c r="AK53">
        <f>IF(AND(ISNUMBER($N53),$N53&gt;0,ISNUMBER($Y53)),$Y53/$N53,"")</f>
        <v/>
      </c>
    </row>
    <row r="54" ht="15" customHeight="1" s="518">
      <c r="A54" s="62" t="n">
        <v>7</v>
      </c>
      <c r="B54" s="59" t="n">
        <v>46</v>
      </c>
      <c r="C54" t="inlineStr">
        <is>
          <t>R0084269</t>
        </is>
      </c>
      <c r="D54" t="inlineStr">
        <is>
          <t>14603 E MONCRIEFF PL</t>
        </is>
      </c>
      <c r="E54" t="n">
        <v>407</v>
      </c>
      <c r="F54" t="inlineStr">
        <is>
          <t>AURORA</t>
        </is>
      </c>
      <c r="G54" t="inlineStr">
        <is>
          <t>6</t>
        </is>
      </c>
      <c r="H54" s="703">
        <f>Y54/J54</f>
        <v/>
      </c>
      <c r="I54" s="124" t="n">
        <v>45219</v>
      </c>
      <c r="J54" t="n">
        <v>99860</v>
      </c>
      <c r="K54" s="703" t="n"/>
      <c r="L54" t="n">
        <v>99860</v>
      </c>
      <c r="M54" t="n">
        <v>1984</v>
      </c>
      <c r="P54" t="inlineStr">
        <is>
          <t>M-1-Aur</t>
        </is>
      </c>
      <c r="R54" t="inlineStr">
        <is>
          <t>Average</t>
        </is>
      </c>
      <c r="S54" t="n">
        <v>184258</v>
      </c>
      <c r="T54" s="121">
        <f>S54/L54</f>
        <v/>
      </c>
      <c r="U54" t="inlineStr">
        <is>
          <t>Average</t>
        </is>
      </c>
      <c r="V54" s="121" t="n"/>
      <c r="W54" s="121" t="n"/>
      <c r="X54" s="121" t="n"/>
      <c r="Y54" s="705" t="n">
        <v>10900000</v>
      </c>
      <c r="Z54" s="705" t="n"/>
      <c r="AA54" s="705" t="n">
        <v>10900000</v>
      </c>
      <c r="AB54" s="705" t="n"/>
      <c r="AC54" t="inlineStr">
        <is>
          <t>0182130008017</t>
        </is>
      </c>
      <c r="AD54" t="inlineStr">
        <is>
          <t>2023000059517</t>
        </is>
      </c>
      <c r="AE54" s="575" t="inlineStr">
        <is>
          <t>DEN INDUSTRIAL 1 LLC, C/O ALTERNATIVE ASSET MANAGEMENT LLC</t>
        </is>
      </c>
      <c r="AF54" s="575" t="inlineStr">
        <is>
          <t>CROSSE-MONCRIEFF LLC</t>
        </is>
      </c>
      <c r="AI54" s="59">
        <f>IF(AND($E54=Subj_OccCode,Subj_BldgSF&gt;0,ABS($L54-Subj_BldgSF)&lt;=Subj_BldgSF*Subj_SizeTol),ABS($L54-Subj_BldgSF),NA())</f>
        <v/>
      </c>
      <c r="AJ54">
        <f>IF(ISNA(AI54),NA(),AI54+ROW()/10000000)</f>
        <v/>
      </c>
      <c r="AK54">
        <f>IF(AND(ISNUMBER($N54),$N54&gt;0,ISNUMBER($Y54)),$Y54/$N54,"")</f>
        <v/>
      </c>
    </row>
    <row r="55" ht="15" customHeight="1" s="518">
      <c r="A55" s="62" t="n">
        <v>7</v>
      </c>
      <c r="B55" s="59" t="n">
        <v>47</v>
      </c>
      <c r="C55" t="inlineStr">
        <is>
          <t>R0103426</t>
        </is>
      </c>
      <c r="D55" t="inlineStr">
        <is>
          <t>5650 PECOS ST</t>
        </is>
      </c>
      <c r="E55" t="n">
        <v>344</v>
      </c>
      <c r="G55" t="inlineStr">
        <is>
          <t>5</t>
        </is>
      </c>
      <c r="H55" s="703">
        <f>Y55/J55</f>
        <v/>
      </c>
      <c r="I55" s="124" t="n">
        <v>45317</v>
      </c>
      <c r="J55" t="n">
        <v>15684</v>
      </c>
      <c r="K55" s="703" t="n"/>
      <c r="L55" t="n">
        <v>15684</v>
      </c>
      <c r="M55" t="n">
        <v>1971</v>
      </c>
      <c r="P55" t="inlineStr">
        <is>
          <t>Industrial</t>
        </is>
      </c>
      <c r="R55" t="inlineStr">
        <is>
          <t>Average</t>
        </is>
      </c>
      <c r="S55" t="n">
        <v>35459</v>
      </c>
      <c r="T55" s="121">
        <f>S55/L55</f>
        <v/>
      </c>
      <c r="U55" t="inlineStr">
        <is>
          <t>Average</t>
        </is>
      </c>
      <c r="V55" s="121" t="n"/>
      <c r="W55" s="121" t="n"/>
      <c r="X55" s="121" t="n"/>
      <c r="Y55" s="705" t="n">
        <v>4500000</v>
      </c>
      <c r="Z55" s="705" t="n"/>
      <c r="AA55" s="705" t="n">
        <v>4500000</v>
      </c>
      <c r="AB55" s="705" t="n"/>
      <c r="AC55" t="inlineStr">
        <is>
          <t>0182509400033</t>
        </is>
      </c>
      <c r="AD55" t="inlineStr">
        <is>
          <t>2024000004873</t>
        </is>
      </c>
      <c r="AE55" s="575" t="inlineStr">
        <is>
          <t>WHITE DIANE E</t>
        </is>
      </c>
      <c r="AF55" s="575" t="inlineStr">
        <is>
          <t>PECOS REAL ESTATE LLC, C/O AUTO CHLOR SYSTEM</t>
        </is>
      </c>
      <c r="AI55" s="59">
        <f>IF(AND($E55=Subj_OccCode,Subj_BldgSF&gt;0,ABS($L55-Subj_BldgSF)&lt;=Subj_BldgSF*Subj_SizeTol),ABS($L55-Subj_BldgSF),NA())</f>
        <v/>
      </c>
      <c r="AJ55">
        <f>IF(ISNA(AI55),NA(),AI55+ROW()/10000000)</f>
        <v/>
      </c>
      <c r="AK55">
        <f>IF(AND(ISNUMBER($N55),$N55&gt;0,ISNUMBER($Y55)),$Y55/$N55,"")</f>
        <v/>
      </c>
    </row>
    <row r="56" ht="15" customHeight="1" s="518">
      <c r="A56" s="62" t="n">
        <v>7</v>
      </c>
      <c r="B56" s="59" t="n">
        <v>48</v>
      </c>
      <c r="C56" t="inlineStr">
        <is>
          <t>R0125400</t>
        </is>
      </c>
      <c r="D56" t="inlineStr">
        <is>
          <t>1630 E 66TH AVE</t>
        </is>
      </c>
      <c r="E56" t="n">
        <v>407</v>
      </c>
      <c r="G56" t="inlineStr">
        <is>
          <t>5</t>
        </is>
      </c>
      <c r="H56" s="703">
        <f>Y56/J56</f>
        <v/>
      </c>
      <c r="I56" s="124" t="n">
        <v>45078</v>
      </c>
      <c r="J56" t="n">
        <v>14600</v>
      </c>
      <c r="K56" s="703" t="n"/>
      <c r="L56" t="n">
        <v>14600</v>
      </c>
      <c r="M56" t="n">
        <v>2006</v>
      </c>
      <c r="P56" t="inlineStr">
        <is>
          <t>Planned Unit Development</t>
        </is>
      </c>
      <c r="R56" t="inlineStr">
        <is>
          <t>Average</t>
        </is>
      </c>
      <c r="S56" t="n">
        <v>59677.2</v>
      </c>
      <c r="T56" s="121">
        <f>S56/L56</f>
        <v/>
      </c>
      <c r="U56" t="inlineStr">
        <is>
          <t>Average</t>
        </is>
      </c>
      <c r="V56" s="121" t="n"/>
      <c r="W56" s="121" t="n"/>
      <c r="X56" s="121" t="n"/>
      <c r="Y56" s="705" t="n">
        <v>3400000</v>
      </c>
      <c r="Z56" s="705" t="n"/>
      <c r="AA56" s="705" t="n">
        <v>3400000</v>
      </c>
      <c r="AB56" s="705" t="n"/>
      <c r="AC56" t="inlineStr">
        <is>
          <t>0182502403041</t>
        </is>
      </c>
      <c r="AD56" t="inlineStr">
        <is>
          <t>2023000031003</t>
        </is>
      </c>
      <c r="AE56" s="575" t="inlineStr">
        <is>
          <t>1630 ENTERPRISES LLC</t>
        </is>
      </c>
      <c r="AF56" s="575" t="inlineStr">
        <is>
          <t>TRIPLE L 66 AVENUE LLC</t>
        </is>
      </c>
      <c r="AI56" s="59">
        <f>IF(AND($E56=Subj_OccCode,Subj_BldgSF&gt;0,ABS($L56-Subj_BldgSF)&lt;=Subj_BldgSF*Subj_SizeTol),ABS($L56-Subj_BldgSF),NA())</f>
        <v/>
      </c>
      <c r="AJ56">
        <f>IF(ISNA(AI56),NA(),AI56+ROW()/10000000)</f>
        <v/>
      </c>
      <c r="AK56">
        <f>IF(AND(ISNUMBER($N56),$N56&gt;0,ISNUMBER($Y56)),$Y56/$N56,"")</f>
        <v/>
      </c>
    </row>
    <row r="57" ht="15" customHeight="1" s="518">
      <c r="A57" s="62" t="n">
        <v>7</v>
      </c>
      <c r="B57" s="59" t="n">
        <v>49</v>
      </c>
      <c r="C57" t="inlineStr">
        <is>
          <t>R0179053</t>
        </is>
      </c>
      <c r="D57" t="inlineStr">
        <is>
          <t>3280 CHAMBERS RD</t>
        </is>
      </c>
      <c r="E57" t="n">
        <v>326</v>
      </c>
      <c r="F57" t="inlineStr">
        <is>
          <t>AURORA</t>
        </is>
      </c>
      <c r="G57" t="inlineStr">
        <is>
          <t>6</t>
        </is>
      </c>
      <c r="H57" s="703">
        <f>Y57/J57</f>
        <v/>
      </c>
      <c r="I57" s="124" t="n">
        <v>45169</v>
      </c>
      <c r="J57" t="n">
        <v>14400</v>
      </c>
      <c r="K57" s="703" t="n"/>
      <c r="L57" t="n">
        <v>14400</v>
      </c>
      <c r="M57" t="n">
        <v>2010</v>
      </c>
      <c r="P57" t="inlineStr">
        <is>
          <t>M-1-Aur</t>
        </is>
      </c>
      <c r="R57" t="inlineStr">
        <is>
          <t>Average</t>
        </is>
      </c>
      <c r="S57" t="n">
        <v>104566</v>
      </c>
      <c r="T57" s="121">
        <f>S57/L57</f>
        <v/>
      </c>
      <c r="U57" t="inlineStr">
        <is>
          <t>Average</t>
        </is>
      </c>
      <c r="V57" s="121" t="n"/>
      <c r="W57" s="121" t="n"/>
      <c r="X57" s="121" t="n"/>
      <c r="Y57" s="705" t="n">
        <v>4200000</v>
      </c>
      <c r="Z57" s="705" t="n"/>
      <c r="AA57" s="705" t="n">
        <v>4200000</v>
      </c>
      <c r="AB57" s="705" t="n"/>
      <c r="AC57" t="inlineStr">
        <is>
          <t>0182129213007</t>
        </is>
      </c>
      <c r="AD57" t="inlineStr">
        <is>
          <t>2023000050142</t>
        </is>
      </c>
      <c r="AE57" s="575" t="inlineStr">
        <is>
          <t>MAZZO ENTERPRISES LLLP</t>
        </is>
      </c>
      <c r="AF57" s="575" t="inlineStr">
        <is>
          <t>PACIFICO REAL ESTATE HOLDINDS II</t>
        </is>
      </c>
      <c r="AI57" s="59">
        <f>IF(AND($E57=Subj_OccCode,Subj_BldgSF&gt;0,ABS($L57-Subj_BldgSF)&lt;=Subj_BldgSF*Subj_SizeTol),ABS($L57-Subj_BldgSF),NA())</f>
        <v/>
      </c>
      <c r="AJ57">
        <f>IF(ISNA(AI57),NA(),AI57+ROW()/10000000)</f>
        <v/>
      </c>
      <c r="AK57">
        <f>IF(AND(ISNUMBER($N57),$N57&gt;0,ISNUMBER($Y57)),$Y57/$N57,"")</f>
        <v/>
      </c>
    </row>
    <row r="58" ht="15" customHeight="1" s="518">
      <c r="A58" s="62" t="n">
        <v>7</v>
      </c>
      <c r="B58" s="59" t="n">
        <v>50</v>
      </c>
      <c r="C58" t="inlineStr">
        <is>
          <t>R0002301</t>
        </is>
      </c>
      <c r="D58" t="inlineStr">
        <is>
          <t>1401 BRIDGE ST</t>
        </is>
      </c>
      <c r="E58" t="n">
        <v>344</v>
      </c>
      <c r="F58" t="inlineStr">
        <is>
          <t>BRIGHTON</t>
        </is>
      </c>
      <c r="G58" t="inlineStr">
        <is>
          <t>2</t>
        </is>
      </c>
      <c r="H58" s="703">
        <f>Y58/J58</f>
        <v/>
      </c>
      <c r="I58" s="124" t="n">
        <v>45043</v>
      </c>
      <c r="J58" t="n">
        <v>2500</v>
      </c>
      <c r="K58" s="703" t="n"/>
      <c r="L58" t="n">
        <v>2500</v>
      </c>
      <c r="M58" t="n">
        <v>1972</v>
      </c>
      <c r="P58" t="inlineStr">
        <is>
          <t>C-3-Bri</t>
        </is>
      </c>
      <c r="R58" t="inlineStr">
        <is>
          <t>Average</t>
        </is>
      </c>
      <c r="S58" t="n">
        <v>10454.4</v>
      </c>
      <c r="T58" s="121">
        <f>S58/L58</f>
        <v/>
      </c>
      <c r="U58" t="inlineStr">
        <is>
          <t>Average</t>
        </is>
      </c>
      <c r="V58" s="121" t="n"/>
      <c r="W58" s="121" t="n"/>
      <c r="X58" s="121" t="n"/>
      <c r="Y58" s="705" t="n">
        <v>1260000</v>
      </c>
      <c r="Z58" s="705" t="n"/>
      <c r="AA58" s="705" t="n">
        <v>1260000</v>
      </c>
      <c r="AB58" s="705" t="n"/>
      <c r="AC58" t="inlineStr">
        <is>
          <t>0156905330003</t>
        </is>
      </c>
      <c r="AD58" t="inlineStr">
        <is>
          <t>2023000035157</t>
        </is>
      </c>
      <c r="AE58" s="575" t="inlineStr">
        <is>
          <t>1401 BRIGHTON LLC</t>
        </is>
      </c>
      <c r="AF58" s="575" t="inlineStr">
        <is>
          <t>VIGIL JENIFER D</t>
        </is>
      </c>
      <c r="AI58" s="59">
        <f>IF(AND($E58=Subj_OccCode,Subj_BldgSF&gt;0,ABS($L58-Subj_BldgSF)&lt;=Subj_BldgSF*Subj_SizeTol),ABS($L58-Subj_BldgSF),NA())</f>
        <v/>
      </c>
      <c r="AJ58">
        <f>IF(ISNA(AI58),NA(),AI58+ROW()/10000000)</f>
        <v/>
      </c>
      <c r="AK58">
        <f>IF(AND(ISNUMBER($N58),$N58&gt;0,ISNUMBER($Y58)),$Y58/$N58,"")</f>
        <v/>
      </c>
    </row>
    <row r="59" ht="15" customHeight="1" s="518">
      <c r="A59" s="62" t="n">
        <v>7</v>
      </c>
      <c r="B59" s="59" t="n">
        <v>51</v>
      </c>
      <c r="C59" t="inlineStr">
        <is>
          <t>R0055143</t>
        </is>
      </c>
      <c r="D59" t="inlineStr">
        <is>
          <t>8700 DEVONSHIRE BLVD</t>
        </is>
      </c>
      <c r="E59" t="n">
        <v>386</v>
      </c>
      <c r="G59" t="inlineStr">
        <is>
          <t>4</t>
        </is>
      </c>
      <c r="H59" s="703">
        <f>Y59/J59</f>
        <v/>
      </c>
      <c r="I59" s="124" t="n">
        <v>45138</v>
      </c>
      <c r="J59" t="n">
        <v>30550</v>
      </c>
      <c r="K59" s="703" t="n"/>
      <c r="L59" t="n">
        <v>30550</v>
      </c>
      <c r="M59" t="n">
        <v>1985</v>
      </c>
      <c r="P59" t="inlineStr">
        <is>
          <t>Planned Unit Development</t>
        </is>
      </c>
      <c r="R59" t="inlineStr">
        <is>
          <t>Average</t>
        </is>
      </c>
      <c r="S59" t="n">
        <v>97138</v>
      </c>
      <c r="T59" s="121">
        <f>S59/L59</f>
        <v/>
      </c>
      <c r="U59" t="inlineStr">
        <is>
          <t>Average</t>
        </is>
      </c>
      <c r="V59" s="121" t="n"/>
      <c r="W59" s="121" t="n"/>
      <c r="X59" s="121" t="n"/>
      <c r="Y59" s="705" t="n">
        <v>3700000</v>
      </c>
      <c r="Z59" s="705" t="n"/>
      <c r="AA59" s="705" t="n">
        <v>3700000</v>
      </c>
      <c r="AB59" s="705" t="n"/>
      <c r="AC59" t="inlineStr">
        <is>
          <t>0171925204016</t>
        </is>
      </c>
      <c r="AD59" t="inlineStr">
        <is>
          <t>2023000043871</t>
        </is>
      </c>
      <c r="AE59" s="575" t="inlineStr">
        <is>
          <t>FRONT RANGE PORTFOLIO LLC</t>
        </is>
      </c>
      <c r="AF59" s="575" t="inlineStr">
        <is>
          <t>8700 DEVONSHIRE STORAGE LLC</t>
        </is>
      </c>
      <c r="AI59" s="59">
        <f>IF(AND($E59=Subj_OccCode,Subj_BldgSF&gt;0,ABS($L59-Subj_BldgSF)&lt;=Subj_BldgSF*Subj_SizeTol),ABS($L59-Subj_BldgSF),NA())</f>
        <v/>
      </c>
      <c r="AJ59">
        <f>IF(ISNA(AI59),NA(),AI59+ROW()/10000000)</f>
        <v/>
      </c>
      <c r="AK59">
        <f>IF(AND(ISNUMBER($N59),$N59&gt;0,ISNUMBER($Y59)),$Y59/$N59,"")</f>
        <v/>
      </c>
    </row>
    <row r="60" ht="15" customHeight="1" s="518">
      <c r="A60" s="62" t="n">
        <v>7</v>
      </c>
      <c r="B60" s="59" t="n">
        <v>52</v>
      </c>
      <c r="C60" t="inlineStr">
        <is>
          <t>R0084051</t>
        </is>
      </c>
      <c r="D60" t="inlineStr">
        <is>
          <t>2801 TOWER RD</t>
        </is>
      </c>
      <c r="E60" t="n">
        <v>407</v>
      </c>
      <c r="F60" t="inlineStr">
        <is>
          <t>AURORA</t>
        </is>
      </c>
      <c r="G60" t="inlineStr">
        <is>
          <t>6</t>
        </is>
      </c>
      <c r="H60" s="703">
        <f>Y60/J60</f>
        <v/>
      </c>
      <c r="I60" s="124" t="n">
        <v>45393</v>
      </c>
      <c r="J60" t="n">
        <v>29625</v>
      </c>
      <c r="K60" s="703" t="n"/>
      <c r="L60" t="n">
        <v>29625</v>
      </c>
      <c r="M60" t="n">
        <v>1977</v>
      </c>
      <c r="P60" t="inlineStr">
        <is>
          <t>M-1-Aur</t>
        </is>
      </c>
      <c r="R60" t="inlineStr">
        <is>
          <t>Average</t>
        </is>
      </c>
      <c r="S60" t="n">
        <v>218148</v>
      </c>
      <c r="T60" s="121">
        <f>S60/L60</f>
        <v/>
      </c>
      <c r="U60" t="inlineStr">
        <is>
          <t>Average</t>
        </is>
      </c>
      <c r="V60" s="121" t="n"/>
      <c r="W60" s="121" t="n"/>
      <c r="X60" s="121" t="n"/>
      <c r="Y60" s="705" t="n">
        <v>5300000</v>
      </c>
      <c r="Z60" s="705" t="n"/>
      <c r="AA60" s="705" t="n">
        <v>5300000</v>
      </c>
      <c r="AB60" s="705" t="n"/>
      <c r="AC60" t="inlineStr">
        <is>
          <t>0182128001001</t>
        </is>
      </c>
      <c r="AD60" t="inlineStr">
        <is>
          <t>2024000019081</t>
        </is>
      </c>
      <c r="AE60" s="575" t="inlineStr">
        <is>
          <t>SEVEN SEAS HOLDING COMPANY LLC</t>
        </is>
      </c>
      <c r="AF60" s="575" t="inlineStr">
        <is>
          <t>AMERICAN BUILDERS &amp; CONTRACTORS SUPPLY CO INC</t>
        </is>
      </c>
      <c r="AI60" s="59">
        <f>IF(AND($E60=Subj_OccCode,Subj_BldgSF&gt;0,ABS($L60-Subj_BldgSF)&lt;=Subj_BldgSF*Subj_SizeTol),ABS($L60-Subj_BldgSF),NA())</f>
        <v/>
      </c>
      <c r="AJ60">
        <f>IF(ISNA(AI60),NA(),AI60+ROW()/10000000)</f>
        <v/>
      </c>
      <c r="AK60">
        <f>IF(AND(ISNUMBER($N60),$N60&gt;0,ISNUMBER($Y60)),$Y60/$N60,"")</f>
        <v/>
      </c>
    </row>
    <row r="61" ht="15" customHeight="1" s="518">
      <c r="A61" s="62" t="n">
        <v>7</v>
      </c>
      <c r="B61" s="59" t="n">
        <v>53</v>
      </c>
      <c r="C61" t="inlineStr">
        <is>
          <t>R0085907</t>
        </is>
      </c>
      <c r="D61" t="inlineStr">
        <is>
          <t>1790 JASPER ST</t>
        </is>
      </c>
      <c r="E61" t="n">
        <v>210</v>
      </c>
      <c r="F61" t="inlineStr">
        <is>
          <t>AURORA</t>
        </is>
      </c>
      <c r="G61" t="inlineStr">
        <is>
          <t>6</t>
        </is>
      </c>
      <c r="H61" s="703">
        <f>Y61/J61</f>
        <v/>
      </c>
      <c r="I61" s="124" t="n">
        <v>44914</v>
      </c>
      <c r="J61" t="n">
        <v>22200</v>
      </c>
      <c r="K61" s="703" t="n"/>
      <c r="L61" t="n">
        <v>22200</v>
      </c>
      <c r="M61" t="n">
        <v>1979</v>
      </c>
      <c r="P61" t="inlineStr">
        <is>
          <t>M-1-Aur</t>
        </is>
      </c>
      <c r="R61" t="inlineStr">
        <is>
          <t>Average</t>
        </is>
      </c>
      <c r="S61" t="n">
        <v>67500</v>
      </c>
      <c r="T61" s="121">
        <f>S61/L61</f>
        <v/>
      </c>
      <c r="U61" t="inlineStr">
        <is>
          <t>Average</t>
        </is>
      </c>
      <c r="V61" s="121" t="n"/>
      <c r="W61" s="121" t="n"/>
      <c r="X61" s="121" t="n"/>
      <c r="Y61" s="705" t="n">
        <v>2450000</v>
      </c>
      <c r="Z61" s="705" t="n"/>
      <c r="AA61" s="705" t="n">
        <v>2450000</v>
      </c>
      <c r="AB61" s="705" t="n"/>
      <c r="AC61" t="inlineStr">
        <is>
          <t>0182132308004</t>
        </is>
      </c>
      <c r="AD61" t="inlineStr">
        <is>
          <t>2022000098412</t>
        </is>
      </c>
      <c r="AE61" s="575" t="inlineStr">
        <is>
          <t>1790 JASPER STREET LLC</t>
        </is>
      </c>
      <c r="AF61" s="575" t="inlineStr">
        <is>
          <t>COREDO LLC</t>
        </is>
      </c>
      <c r="AI61" s="59">
        <f>IF(AND($E61=Subj_OccCode,Subj_BldgSF&gt;0,ABS($L61-Subj_BldgSF)&lt;=Subj_BldgSF*Subj_SizeTol),ABS($L61-Subj_BldgSF),NA())</f>
        <v/>
      </c>
      <c r="AJ61">
        <f>IF(ISNA(AI61),NA(),AI61+ROW()/10000000)</f>
        <v/>
      </c>
      <c r="AK61">
        <f>IF(AND(ISNUMBER($N61),$N61&gt;0,ISNUMBER($Y61)),$Y61/$N61,"")</f>
        <v/>
      </c>
    </row>
    <row r="62" ht="15" customHeight="1" s="518">
      <c r="A62" s="62" t="n">
        <v>7</v>
      </c>
      <c r="B62" s="59" t="n">
        <v>54</v>
      </c>
      <c r="C62" t="inlineStr">
        <is>
          <t>R0092704</t>
        </is>
      </c>
      <c r="D62" t="inlineStr">
        <is>
          <t>6270 E 50TH AVE</t>
        </is>
      </c>
      <c r="E62" t="n">
        <v>406</v>
      </c>
      <c r="F62" t="inlineStr">
        <is>
          <t>COMMERCE CITY</t>
        </is>
      </c>
      <c r="G62" t="inlineStr">
        <is>
          <t>5</t>
        </is>
      </c>
      <c r="H62" s="703">
        <f>Y62/J62</f>
        <v/>
      </c>
      <c r="I62" s="124" t="n">
        <v>45236</v>
      </c>
      <c r="J62" t="n">
        <v>31900</v>
      </c>
      <c r="K62" s="703" t="n"/>
      <c r="L62" t="n">
        <v>31900</v>
      </c>
      <c r="M62" t="n">
        <v>1996</v>
      </c>
      <c r="P62" t="inlineStr">
        <is>
          <t>I-1S</t>
        </is>
      </c>
      <c r="R62" t="inlineStr">
        <is>
          <t>Average</t>
        </is>
      </c>
      <c r="S62" t="n">
        <v>88091</v>
      </c>
      <c r="T62" s="121">
        <f>S62/L62</f>
        <v/>
      </c>
      <c r="U62" t="inlineStr">
        <is>
          <t>Average</t>
        </is>
      </c>
      <c r="V62" s="121" t="n"/>
      <c r="W62" s="121" t="n"/>
      <c r="X62" s="121" t="n"/>
      <c r="Y62" s="705" t="n">
        <v>3775000</v>
      </c>
      <c r="Z62" s="705" t="n"/>
      <c r="AA62" s="705" t="n">
        <v>3775000</v>
      </c>
      <c r="AB62" s="705" t="n"/>
      <c r="AC62" t="inlineStr">
        <is>
          <t>0182317307008</t>
        </is>
      </c>
      <c r="AD62" t="inlineStr">
        <is>
          <t>2023000062389</t>
        </is>
      </c>
      <c r="AE62" s="575" t="inlineStr">
        <is>
          <t>C C E REAL ESTATE LLC, C/O FLYNN SOUTHWEST LP</t>
        </is>
      </c>
      <c r="AF62" s="575" t="inlineStr">
        <is>
          <t>ALBROOK PARTNERS LLC</t>
        </is>
      </c>
      <c r="AI62" s="59">
        <f>IF(AND($E62=Subj_OccCode,Subj_BldgSF&gt;0,ABS($L62-Subj_BldgSF)&lt;=Subj_BldgSF*Subj_SizeTol),ABS($L62-Subj_BldgSF),NA())</f>
        <v/>
      </c>
      <c r="AJ62">
        <f>IF(ISNA(AI62),NA(),AI62+ROW()/10000000)</f>
        <v/>
      </c>
      <c r="AK62">
        <f>IF(AND(ISNUMBER($N62),$N62&gt;0,ISNUMBER($Y62)),$Y62/$N62,"")</f>
        <v/>
      </c>
    </row>
    <row r="63" ht="15" customHeight="1" s="518">
      <c r="A63" s="62" t="n">
        <v>7</v>
      </c>
      <c r="B63" s="59" t="n">
        <v>55</v>
      </c>
      <c r="C63" t="inlineStr">
        <is>
          <t>R0092730</t>
        </is>
      </c>
      <c r="D63" t="inlineStr">
        <is>
          <t>4980 NIAGARA ST</t>
        </is>
      </c>
      <c r="E63" t="n">
        <v>406</v>
      </c>
      <c r="F63" t="inlineStr">
        <is>
          <t>COMMERCE CITY</t>
        </is>
      </c>
      <c r="G63" t="inlineStr">
        <is>
          <t>5</t>
        </is>
      </c>
      <c r="H63" s="703">
        <f>Y63/J63</f>
        <v/>
      </c>
      <c r="I63" s="124" t="n">
        <v>45405</v>
      </c>
      <c r="J63" t="n">
        <v>9090</v>
      </c>
      <c r="K63" s="703" t="n"/>
      <c r="L63" t="n">
        <v>9090</v>
      </c>
      <c r="M63" t="n">
        <v>1964</v>
      </c>
      <c r="P63" t="inlineStr">
        <is>
          <t>I-1S</t>
        </is>
      </c>
      <c r="R63" t="inlineStr">
        <is>
          <t>Average</t>
        </is>
      </c>
      <c r="S63" t="n">
        <v>18900</v>
      </c>
      <c r="T63" s="121">
        <f>S63/L63</f>
        <v/>
      </c>
      <c r="U63" t="inlineStr">
        <is>
          <t>Average</t>
        </is>
      </c>
      <c r="V63" s="121" t="n"/>
      <c r="W63" s="121" t="n"/>
      <c r="X63" s="121" t="n"/>
      <c r="Y63" s="705" t="n">
        <v>1190000</v>
      </c>
      <c r="Z63" s="705" t="n"/>
      <c r="AA63" s="705" t="n">
        <v>1190000</v>
      </c>
      <c r="AB63" s="705" t="n"/>
      <c r="AC63" t="inlineStr">
        <is>
          <t>0182317405002</t>
        </is>
      </c>
      <c r="AD63" t="inlineStr">
        <is>
          <t>2024000021545</t>
        </is>
      </c>
      <c r="AE63" s="575" t="inlineStr">
        <is>
          <t>DENNIS M MITCHELL REVOCABLE TRUST</t>
        </is>
      </c>
      <c r="AF63" s="575" t="inlineStr">
        <is>
          <t>4980 NIAGARA ST LLC</t>
        </is>
      </c>
      <c r="AI63" s="59">
        <f>IF(AND($E63=Subj_OccCode,Subj_BldgSF&gt;0,ABS($L63-Subj_BldgSF)&lt;=Subj_BldgSF*Subj_SizeTol),ABS($L63-Subj_BldgSF),NA())</f>
        <v/>
      </c>
      <c r="AJ63">
        <f>IF(ISNA(AI63),NA(),AI63+ROW()/10000000)</f>
        <v/>
      </c>
      <c r="AK63">
        <f>IF(AND(ISNUMBER($N63),$N63&gt;0,ISNUMBER($Y63)),$Y63/$N63,"")</f>
        <v/>
      </c>
    </row>
    <row r="64" ht="15" customHeight="1" s="518">
      <c r="A64" s="62" t="n">
        <v>7</v>
      </c>
      <c r="B64" s="59" t="n">
        <v>56</v>
      </c>
      <c r="C64" t="inlineStr">
        <is>
          <t>R0092758</t>
        </is>
      </c>
      <c r="D64" t="inlineStr">
        <is>
          <t>6590 E 49TH AVE</t>
        </is>
      </c>
      <c r="E64" t="n">
        <v>407</v>
      </c>
      <c r="F64" t="inlineStr">
        <is>
          <t>COMMERCE CITY</t>
        </is>
      </c>
      <c r="G64" t="inlineStr">
        <is>
          <t>5</t>
        </is>
      </c>
      <c r="H64" s="703">
        <f>Y64/J64</f>
        <v/>
      </c>
      <c r="I64" s="124" t="n">
        <v>44914</v>
      </c>
      <c r="J64" t="n">
        <v>10960</v>
      </c>
      <c r="K64" s="703" t="n"/>
      <c r="L64" t="n">
        <v>10960</v>
      </c>
      <c r="M64" t="n">
        <v>1974</v>
      </c>
      <c r="P64" t="inlineStr">
        <is>
          <t>I-1S</t>
        </is>
      </c>
      <c r="R64" t="inlineStr">
        <is>
          <t>Average</t>
        </is>
      </c>
      <c r="S64" t="n">
        <v>27226</v>
      </c>
      <c r="T64" s="121">
        <f>S64/L64</f>
        <v/>
      </c>
      <c r="U64" t="inlineStr">
        <is>
          <t>Average</t>
        </is>
      </c>
      <c r="V64" s="121" t="n"/>
      <c r="W64" s="121" t="n"/>
      <c r="X64" s="121" t="n"/>
      <c r="Y64" s="705" t="n">
        <v>1850000</v>
      </c>
      <c r="Z64" s="705" t="n"/>
      <c r="AA64" s="705" t="n">
        <v>1850000</v>
      </c>
      <c r="AB64" s="705" t="n"/>
      <c r="AC64" t="inlineStr">
        <is>
          <t>0182317407021</t>
        </is>
      </c>
      <c r="AD64" t="inlineStr">
        <is>
          <t>2022000098304</t>
        </is>
      </c>
      <c r="AE64" s="575" t="inlineStr">
        <is>
          <t>END-IRA INC ET AL</t>
        </is>
      </c>
      <c r="AF64" s="575" t="inlineStr">
        <is>
          <t>MASTER TECH RV AND APPLIANCE REPAIR LLC</t>
        </is>
      </c>
      <c r="AI64" s="59">
        <f>IF(AND($E64=Subj_OccCode,Subj_BldgSF&gt;0,ABS($L64-Subj_BldgSF)&lt;=Subj_BldgSF*Subj_SizeTol),ABS($L64-Subj_BldgSF),NA())</f>
        <v/>
      </c>
      <c r="AJ64">
        <f>IF(ISNA(AI64),NA(),AI64+ROW()/10000000)</f>
        <v/>
      </c>
      <c r="AK64">
        <f>IF(AND(ISNUMBER($N64),$N64&gt;0,ISNUMBER($Y64)),$Y64/$N64,"")</f>
        <v/>
      </c>
    </row>
    <row r="65" ht="15" customHeight="1" s="518">
      <c r="A65" s="62" t="n">
        <v>7</v>
      </c>
      <c r="B65" s="59" t="n">
        <v>57</v>
      </c>
      <c r="C65" t="inlineStr">
        <is>
          <t>R0098017</t>
        </is>
      </c>
      <c r="D65" t="inlineStr">
        <is>
          <t>1680 E 69TH AVE</t>
        </is>
      </c>
      <c r="E65" t="n">
        <v>334</v>
      </c>
      <c r="G65" t="inlineStr">
        <is>
          <t>5</t>
        </is>
      </c>
      <c r="H65" s="703">
        <f>Y65/J65</f>
        <v/>
      </c>
      <c r="I65" s="124" t="n">
        <v>44862</v>
      </c>
      <c r="J65" t="n">
        <v>13500</v>
      </c>
      <c r="K65" s="703" t="n"/>
      <c r="L65" t="n">
        <v>13500</v>
      </c>
      <c r="M65" t="n">
        <v>1989</v>
      </c>
      <c r="P65" t="inlineStr">
        <is>
          <t>Industrial</t>
        </is>
      </c>
      <c r="R65" t="inlineStr">
        <is>
          <t>Average</t>
        </is>
      </c>
      <c r="S65" t="n">
        <v>80781</v>
      </c>
      <c r="T65" s="121">
        <f>S65/L65</f>
        <v/>
      </c>
      <c r="U65" t="inlineStr">
        <is>
          <t>Average</t>
        </is>
      </c>
      <c r="V65" s="121" t="n"/>
      <c r="W65" s="121" t="n"/>
      <c r="X65" s="121" t="n"/>
      <c r="Y65" s="705" t="n">
        <v>2725000</v>
      </c>
      <c r="Z65" s="705" t="n"/>
      <c r="AA65" s="705" t="n">
        <v>2725000</v>
      </c>
      <c r="AB65" s="705" t="n"/>
      <c r="AC65" t="inlineStr">
        <is>
          <t>0182502105007</t>
        </is>
      </c>
      <c r="AD65" t="inlineStr">
        <is>
          <t>2022000088043</t>
        </is>
      </c>
      <c r="AE65" s="575" t="inlineStr">
        <is>
          <t>YTTC LLC</t>
        </is>
      </c>
      <c r="AF65" s="575" t="inlineStr">
        <is>
          <t>ARCANE INDUSTRIES LLC</t>
        </is>
      </c>
      <c r="AI65" s="59">
        <f>IF(AND($E65=Subj_OccCode,Subj_BldgSF&gt;0,ABS($L65-Subj_BldgSF)&lt;=Subj_BldgSF*Subj_SizeTol),ABS($L65-Subj_BldgSF),NA())</f>
        <v/>
      </c>
      <c r="AJ65">
        <f>IF(ISNA(AI65),NA(),AI65+ROW()/10000000)</f>
        <v/>
      </c>
      <c r="AK65">
        <f>IF(AND(ISNUMBER($N65),$N65&gt;0,ISNUMBER($Y65)),$Y65/$N65,"")</f>
        <v/>
      </c>
    </row>
    <row r="66" ht="15" customHeight="1" s="518">
      <c r="A66" s="62" t="n">
        <v>7</v>
      </c>
      <c r="B66" s="59" t="n">
        <v>58</v>
      </c>
      <c r="C66" t="inlineStr">
        <is>
          <t>R0100666</t>
        </is>
      </c>
      <c r="D66" t="inlineStr">
        <is>
          <t>6600 FEDERAL BLVD</t>
        </is>
      </c>
      <c r="E66" t="n">
        <v>353</v>
      </c>
      <c r="G66" t="inlineStr">
        <is>
          <t>5</t>
        </is>
      </c>
      <c r="H66" s="703">
        <f>Y66/J66</f>
        <v/>
      </c>
      <c r="I66" s="124" t="n">
        <v>44860</v>
      </c>
      <c r="J66" t="n">
        <v>2100</v>
      </c>
      <c r="K66" s="703" t="n"/>
      <c r="L66" t="n">
        <v>2100</v>
      </c>
      <c r="M66" t="n">
        <v>1955</v>
      </c>
      <c r="P66" t="inlineStr">
        <is>
          <t>Commercial</t>
        </is>
      </c>
      <c r="R66" t="inlineStr">
        <is>
          <t>Average</t>
        </is>
      </c>
      <c r="S66" t="n">
        <v>19950</v>
      </c>
      <c r="T66" s="121">
        <f>S66/L66</f>
        <v/>
      </c>
      <c r="U66" t="inlineStr">
        <is>
          <t>Average</t>
        </is>
      </c>
      <c r="V66" s="121" t="n"/>
      <c r="W66" s="121" t="n"/>
      <c r="X66" s="121" t="n"/>
      <c r="Y66" s="705" t="n">
        <v>425000</v>
      </c>
      <c r="Z66" s="705" t="n"/>
      <c r="AA66" s="705" t="n">
        <v>425000</v>
      </c>
      <c r="AB66" s="705" t="n"/>
      <c r="AC66" t="inlineStr">
        <is>
          <t>0182505404003</t>
        </is>
      </c>
      <c r="AD66" t="inlineStr">
        <is>
          <t>2022000087952</t>
        </is>
      </c>
      <c r="AE66" s="575" t="inlineStr">
        <is>
          <t>SHERWOOD FAMILY LIMITED PARTNERSHIP</t>
        </is>
      </c>
      <c r="AF66" s="575" t="inlineStr">
        <is>
          <t>VILLALOBOS ROSALIO</t>
        </is>
      </c>
      <c r="AI66" s="59">
        <f>IF(AND($E66=Subj_OccCode,Subj_BldgSF&gt;0,ABS($L66-Subj_BldgSF)&lt;=Subj_BldgSF*Subj_SizeTol),ABS($L66-Subj_BldgSF),NA())</f>
        <v/>
      </c>
      <c r="AJ66">
        <f>IF(ISNA(AI66),NA(),AI66+ROW()/10000000)</f>
        <v/>
      </c>
      <c r="AK66">
        <f>IF(AND(ISNUMBER($N66),$N66&gt;0,ISNUMBER($Y66)),$Y66/$N66,"")</f>
        <v/>
      </c>
    </row>
    <row r="67" ht="15" customHeight="1" s="518">
      <c r="A67" s="62" t="n">
        <v>7</v>
      </c>
      <c r="B67" s="59" t="n">
        <v>59</v>
      </c>
      <c r="C67" t="inlineStr">
        <is>
          <t>R0129033</t>
        </is>
      </c>
      <c r="D67" t="inlineStr">
        <is>
          <t>983 E 73RD AVE</t>
        </is>
      </c>
      <c r="E67" t="n">
        <v>406</v>
      </c>
      <c r="G67" t="inlineStr">
        <is>
          <t>5</t>
        </is>
      </c>
      <c r="H67" s="703">
        <f>Y67/J67</f>
        <v/>
      </c>
      <c r="I67" s="124" t="n">
        <v>45470</v>
      </c>
      <c r="J67" t="n">
        <v>5835</v>
      </c>
      <c r="K67" s="703" t="n"/>
      <c r="L67" t="n">
        <v>5835</v>
      </c>
      <c r="M67" t="n">
        <v>2002</v>
      </c>
      <c r="P67" t="inlineStr">
        <is>
          <t>Commercial</t>
        </is>
      </c>
      <c r="R67" t="inlineStr">
        <is>
          <t>Average</t>
        </is>
      </c>
      <c r="S67" t="n">
        <v>22084.92</v>
      </c>
      <c r="T67" s="121">
        <f>S67/L67</f>
        <v/>
      </c>
      <c r="U67" t="inlineStr">
        <is>
          <t>Average</t>
        </is>
      </c>
      <c r="V67" s="121" t="n"/>
      <c r="W67" s="121" t="n"/>
      <c r="X67" s="121" t="n"/>
      <c r="Y67" s="705" t="n">
        <v>1525000</v>
      </c>
      <c r="Z67" s="705" t="n"/>
      <c r="AA67" s="705" t="n">
        <v>1525000</v>
      </c>
      <c r="AB67" s="705" t="n"/>
      <c r="AC67" t="inlineStr">
        <is>
          <t>0171935302057</t>
        </is>
      </c>
      <c r="AD67" t="inlineStr">
        <is>
          <t>2024000035899</t>
        </is>
      </c>
      <c r="AE67" s="575" t="inlineStr">
        <is>
          <t>AEGIS COLORADO LLC</t>
        </is>
      </c>
      <c r="AF67" s="575" t="inlineStr">
        <is>
          <t>ASPEN LLC</t>
        </is>
      </c>
      <c r="AI67" s="59">
        <f>IF(AND($E67=Subj_OccCode,Subj_BldgSF&gt;0,ABS($L67-Subj_BldgSF)&lt;=Subj_BldgSF*Subj_SizeTol),ABS($L67-Subj_BldgSF),NA())</f>
        <v/>
      </c>
      <c r="AJ67">
        <f>IF(ISNA(AI67),NA(),AI67+ROW()/10000000)</f>
        <v/>
      </c>
      <c r="AK67">
        <f>IF(AND(ISNUMBER($N67),$N67&gt;0,ISNUMBER($Y67)),$Y67/$N67,"")</f>
        <v/>
      </c>
    </row>
    <row r="68" ht="15" customHeight="1" s="518">
      <c r="A68" s="62" t="n">
        <v>7</v>
      </c>
      <c r="B68" s="59" t="n">
        <v>60</v>
      </c>
      <c r="C68" t="inlineStr">
        <is>
          <t>R0173187</t>
        </is>
      </c>
      <c r="D68" t="inlineStr">
        <is>
          <t>5454 WASHINGTON ST #8</t>
        </is>
      </c>
      <c r="E68" t="n">
        <v>425</v>
      </c>
      <c r="G68" t="inlineStr">
        <is>
          <t>5</t>
        </is>
      </c>
      <c r="H68" s="703">
        <f>Y68/J68</f>
        <v/>
      </c>
      <c r="I68" s="124" t="n">
        <v>45152</v>
      </c>
      <c r="J68" t="n">
        <v>34740</v>
      </c>
      <c r="K68" s="703" t="n"/>
      <c r="L68" t="n">
        <v>34740</v>
      </c>
      <c r="M68" t="n">
        <v>1985</v>
      </c>
      <c r="P68" t="inlineStr">
        <is>
          <t>Industrial</t>
        </is>
      </c>
      <c r="R68" t="inlineStr">
        <is>
          <t>Average</t>
        </is>
      </c>
      <c r="S68" t="n">
        <v>7920</v>
      </c>
      <c r="T68" s="121">
        <f>S68/L68</f>
        <v/>
      </c>
      <c r="U68" t="inlineStr">
        <is>
          <t>Average</t>
        </is>
      </c>
      <c r="V68" s="121" t="n"/>
      <c r="W68" s="121" t="n"/>
      <c r="X68" s="121" t="n"/>
      <c r="Y68" s="705" t="n">
        <v>700000</v>
      </c>
      <c r="Z68" s="705" t="n"/>
      <c r="AA68" s="705" t="n">
        <v>700000</v>
      </c>
      <c r="AB68" s="705" t="n"/>
      <c r="AC68" t="inlineStr">
        <is>
          <t>0182514210019</t>
        </is>
      </c>
      <c r="AD68" t="inlineStr">
        <is>
          <t>2023000046862</t>
        </is>
      </c>
      <c r="AE68" s="575" t="inlineStr">
        <is>
          <t>VXSN LLC</t>
        </is>
      </c>
      <c r="AF68" s="575" t="inlineStr">
        <is>
          <t>BEE LINE LLC</t>
        </is>
      </c>
      <c r="AI68" s="59">
        <f>IF(AND($E68=Subj_OccCode,Subj_BldgSF&gt;0,ABS($L68-Subj_BldgSF)&lt;=Subj_BldgSF*Subj_SizeTol),ABS($L68-Subj_BldgSF),NA())</f>
        <v/>
      </c>
      <c r="AJ68">
        <f>IF(ISNA(AI68),NA(),AI68+ROW()/10000000)</f>
        <v/>
      </c>
      <c r="AK68">
        <f>IF(AND(ISNUMBER($N68),$N68&gt;0,ISNUMBER($Y68)),$Y68/$N68,"")</f>
        <v/>
      </c>
    </row>
    <row r="69" ht="15" customHeight="1" s="518">
      <c r="A69" s="62" t="n">
        <v>7</v>
      </c>
      <c r="B69" s="59" t="n">
        <v>61</v>
      </c>
      <c r="C69" t="inlineStr">
        <is>
          <t>R0173190</t>
        </is>
      </c>
      <c r="D69" t="inlineStr">
        <is>
          <t>5454 WASHINGTON ST #11</t>
        </is>
      </c>
      <c r="E69" t="n">
        <v>425</v>
      </c>
      <c r="G69" t="inlineStr">
        <is>
          <t>5</t>
        </is>
      </c>
      <c r="H69" s="703">
        <f>Y69/J69</f>
        <v/>
      </c>
      <c r="I69" s="124" t="n">
        <v>44760</v>
      </c>
      <c r="J69" t="n">
        <v>34740</v>
      </c>
      <c r="K69" s="703" t="n"/>
      <c r="L69" t="n">
        <v>34740</v>
      </c>
      <c r="M69" t="n">
        <v>1985</v>
      </c>
      <c r="P69" t="inlineStr">
        <is>
          <t>Industrial</t>
        </is>
      </c>
      <c r="R69" t="inlineStr">
        <is>
          <t>Average</t>
        </is>
      </c>
      <c r="S69" t="n">
        <v>7920</v>
      </c>
      <c r="T69" s="121">
        <f>S69/L69</f>
        <v/>
      </c>
      <c r="U69" t="inlineStr">
        <is>
          <t>Average</t>
        </is>
      </c>
      <c r="V69" s="121" t="n"/>
      <c r="W69" s="121" t="n"/>
      <c r="X69" s="121" t="n"/>
      <c r="Y69" s="705" t="n">
        <v>795000</v>
      </c>
      <c r="Z69" s="705" t="n"/>
      <c r="AA69" s="705" t="n">
        <v>795000</v>
      </c>
      <c r="AB69" s="705" t="n"/>
      <c r="AC69" t="inlineStr">
        <is>
          <t>0182514210022</t>
        </is>
      </c>
      <c r="AD69" t="inlineStr">
        <is>
          <t>2022000062166</t>
        </is>
      </c>
      <c r="AE69" s="575" t="inlineStr">
        <is>
          <t>MYKLEBUST HOLDINGS LLC</t>
        </is>
      </c>
      <c r="AF69" s="575" t="inlineStr">
        <is>
          <t>HAYCAT HOLDINGS LLC</t>
        </is>
      </c>
      <c r="AI69" s="59">
        <f>IF(AND($E69=Subj_OccCode,Subj_BldgSF&gt;0,ABS($L69-Subj_BldgSF)&lt;=Subj_BldgSF*Subj_SizeTol),ABS($L69-Subj_BldgSF),NA())</f>
        <v/>
      </c>
      <c r="AJ69">
        <f>IF(ISNA(AI69),NA(),AI69+ROW()/10000000)</f>
        <v/>
      </c>
      <c r="AK69">
        <f>IF(AND(ISNUMBER($N69),$N69&gt;0,ISNUMBER($Y69)),$Y69/$N69,"")</f>
        <v/>
      </c>
    </row>
    <row r="70" ht="15" customHeight="1" s="518">
      <c r="A70" s="62" t="n">
        <v>7</v>
      </c>
      <c r="B70" s="59" t="n">
        <v>62</v>
      </c>
      <c r="C70" t="inlineStr">
        <is>
          <t>R0178847</t>
        </is>
      </c>
      <c r="D70" t="inlineStr">
        <is>
          <t>2091 CORONADO PKWY N</t>
        </is>
      </c>
      <c r="E70" t="n">
        <v>442</v>
      </c>
      <c r="G70" t="inlineStr">
        <is>
          <t>4</t>
        </is>
      </c>
      <c r="H70" s="703">
        <f>Y70/J70</f>
        <v/>
      </c>
      <c r="I70" s="124" t="n">
        <v>45197</v>
      </c>
      <c r="J70" t="n">
        <v>2000</v>
      </c>
      <c r="K70" s="703" t="n"/>
      <c r="L70" t="n">
        <v>2000</v>
      </c>
      <c r="M70" t="n">
        <v>1974</v>
      </c>
      <c r="P70" t="inlineStr">
        <is>
          <t>Commercial</t>
        </is>
      </c>
      <c r="R70" t="inlineStr">
        <is>
          <t>Average</t>
        </is>
      </c>
      <c r="S70" t="n">
        <v>27934</v>
      </c>
      <c r="T70" s="121">
        <f>S70/L70</f>
        <v/>
      </c>
      <c r="U70" t="inlineStr">
        <is>
          <t>Average</t>
        </is>
      </c>
      <c r="V70" s="121" t="n"/>
      <c r="W70" s="121" t="n"/>
      <c r="X70" s="121" t="n"/>
      <c r="Y70" s="705" t="n">
        <v>495000</v>
      </c>
      <c r="Z70" s="705" t="n"/>
      <c r="AA70" s="705" t="n">
        <v>495000</v>
      </c>
      <c r="AB70" s="705" t="n"/>
      <c r="AC70" t="inlineStr">
        <is>
          <t>0171926416150</t>
        </is>
      </c>
      <c r="AD70" t="inlineStr">
        <is>
          <t>2023000055973</t>
        </is>
      </c>
      <c r="AE70" s="575" t="inlineStr">
        <is>
          <t>GG PROPERTY LLC</t>
        </is>
      </c>
      <c r="AF70" s="575" t="inlineStr">
        <is>
          <t>GMOTORS LLC</t>
        </is>
      </c>
      <c r="AI70" s="59">
        <f>IF(AND($E70=Subj_OccCode,Subj_BldgSF&gt;0,ABS($L70-Subj_BldgSF)&lt;=Subj_BldgSF*Subj_SizeTol),ABS($L70-Subj_BldgSF),NA())</f>
        <v/>
      </c>
      <c r="AJ70">
        <f>IF(ISNA(AI70),NA(),AI70+ROW()/10000000)</f>
        <v/>
      </c>
      <c r="AK70">
        <f>IF(AND(ISNUMBER($N70),$N70&gt;0,ISNUMBER($Y70)),$Y70/$N70,"")</f>
        <v/>
      </c>
    </row>
    <row r="71" ht="15" customHeight="1" s="518">
      <c r="A71" s="62" t="n">
        <v>7</v>
      </c>
      <c r="B71" s="59" t="n">
        <v>63</v>
      </c>
      <c r="C71" t="inlineStr">
        <is>
          <t>R0024473</t>
        </is>
      </c>
      <c r="D71" t="inlineStr">
        <is>
          <t>12421 WASHINGTON</t>
        </is>
      </c>
      <c r="E71" t="n">
        <v>334</v>
      </c>
      <c r="F71" t="inlineStr">
        <is>
          <t>THORNTON</t>
        </is>
      </c>
      <c r="G71" t="inlineStr">
        <is>
          <t>3</t>
        </is>
      </c>
      <c r="H71" s="703">
        <f>Y71/J71</f>
        <v/>
      </c>
      <c r="I71" s="124" t="n">
        <v>45376</v>
      </c>
      <c r="J71" t="n">
        <v>32961</v>
      </c>
      <c r="K71" s="703" t="n"/>
      <c r="L71" t="n">
        <v>32961</v>
      </c>
      <c r="M71" t="n">
        <v>1983</v>
      </c>
      <c r="P71" t="inlineStr">
        <is>
          <t>Business Park</t>
        </is>
      </c>
      <c r="R71" t="inlineStr">
        <is>
          <t>Good</t>
        </is>
      </c>
      <c r="S71" t="n">
        <v>112471</v>
      </c>
      <c r="T71" s="121">
        <f>S71/L71</f>
        <v/>
      </c>
      <c r="U71" t="inlineStr">
        <is>
          <t>Good</t>
        </is>
      </c>
      <c r="V71" s="121" t="n"/>
      <c r="W71" s="121" t="n"/>
      <c r="X71" s="121" t="n"/>
      <c r="Y71" s="705" t="n">
        <v>4550000</v>
      </c>
      <c r="Z71" s="705" t="n"/>
      <c r="AA71" s="705" t="n">
        <v>4550000</v>
      </c>
      <c r="AB71" s="705" t="n"/>
      <c r="AC71" t="inlineStr">
        <is>
          <t>0157334009022</t>
        </is>
      </c>
      <c r="AD71" t="inlineStr">
        <is>
          <t>2024000015296</t>
        </is>
      </c>
      <c r="AE71" s="575" t="inlineStr">
        <is>
          <t>BPAZ HOLDINGS 13 LLC</t>
        </is>
      </c>
      <c r="AF71" s="575" t="inlineStr">
        <is>
          <t>12421 WASH EAT LLC</t>
        </is>
      </c>
      <c r="AI71" s="59">
        <f>IF(AND($E71=Subj_OccCode,Subj_BldgSF&gt;0,ABS($L71-Subj_BldgSF)&lt;=Subj_BldgSF*Subj_SizeTol),ABS($L71-Subj_BldgSF),NA())</f>
        <v/>
      </c>
      <c r="AJ71">
        <f>IF(ISNA(AI71),NA(),AI71+ROW()/10000000)</f>
        <v/>
      </c>
      <c r="AK71">
        <f>IF(AND(ISNUMBER($N71),$N71&gt;0,ISNUMBER($Y71)),$Y71/$N71,"")</f>
        <v/>
      </c>
    </row>
    <row r="72" ht="15" customHeight="1" s="518">
      <c r="A72" s="62" t="n">
        <v>7</v>
      </c>
      <c r="B72" s="59" t="n">
        <v>64</v>
      </c>
      <c r="C72" t="inlineStr">
        <is>
          <t>R0039073</t>
        </is>
      </c>
      <c r="D72" t="inlineStr">
        <is>
          <t>10475 IRMA DR #15</t>
        </is>
      </c>
      <c r="E72" t="n">
        <v>425</v>
      </c>
      <c r="F72" t="inlineStr">
        <is>
          <t>NORTHGLENN</t>
        </is>
      </c>
      <c r="G72" t="inlineStr">
        <is>
          <t>4</t>
        </is>
      </c>
      <c r="H72" s="703">
        <f>Y72/J72</f>
        <v/>
      </c>
      <c r="I72" s="124" t="n">
        <v>45044</v>
      </c>
      <c r="J72" t="n">
        <v>25500</v>
      </c>
      <c r="K72" s="703" t="n"/>
      <c r="L72" t="n">
        <v>25500</v>
      </c>
      <c r="M72" t="n">
        <v>1984</v>
      </c>
      <c r="P72" t="inlineStr">
        <is>
          <t>I-2-Nor</t>
        </is>
      </c>
      <c r="R72" t="inlineStr">
        <is>
          <t>Average</t>
        </is>
      </c>
      <c r="S72" t="n">
        <v>4655</v>
      </c>
      <c r="T72" s="121">
        <f>S72/L72</f>
        <v/>
      </c>
      <c r="U72" t="inlineStr">
        <is>
          <t>Average</t>
        </is>
      </c>
      <c r="V72" s="121" t="n"/>
      <c r="W72" s="121" t="n"/>
      <c r="X72" s="121" t="n"/>
      <c r="Y72" s="705" t="n">
        <v>350000</v>
      </c>
      <c r="Z72" s="705" t="n"/>
      <c r="AA72" s="705" t="n">
        <v>350000</v>
      </c>
      <c r="AB72" s="705" t="n"/>
      <c r="AC72" t="inlineStr">
        <is>
          <t>0171911411034</t>
        </is>
      </c>
      <c r="AD72" t="inlineStr">
        <is>
          <t>2023000023737</t>
        </is>
      </c>
      <c r="AE72" s="575" t="inlineStr">
        <is>
          <t>MACK VENTURES LLC</t>
        </is>
      </c>
      <c r="AF72" s="575" t="inlineStr">
        <is>
          <t>BROOKCON INVESTMENTS LLC</t>
        </is>
      </c>
      <c r="AI72" s="59">
        <f>IF(AND($E72=Subj_OccCode,Subj_BldgSF&gt;0,ABS($L72-Subj_BldgSF)&lt;=Subj_BldgSF*Subj_SizeTol),ABS($L72-Subj_BldgSF),NA())</f>
        <v/>
      </c>
      <c r="AJ72">
        <f>IF(ISNA(AI72),NA(),AI72+ROW()/10000000)</f>
        <v/>
      </c>
      <c r="AK72">
        <f>IF(AND(ISNUMBER($N72),$N72&gt;0,ISNUMBER($Y72)),$Y72/$N72,"")</f>
        <v/>
      </c>
    </row>
    <row r="73" ht="15" customHeight="1" s="518">
      <c r="A73" s="62" t="n">
        <v>7</v>
      </c>
      <c r="B73" s="59" t="n">
        <v>65</v>
      </c>
      <c r="C73" t="inlineStr">
        <is>
          <t>R0061307</t>
        </is>
      </c>
      <c r="D73" t="inlineStr">
        <is>
          <t>8040 FEDERAL BLVD</t>
        </is>
      </c>
      <c r="E73" t="n">
        <v>406</v>
      </c>
      <c r="F73" t="inlineStr">
        <is>
          <t>WESTMINSTER</t>
        </is>
      </c>
      <c r="G73" t="inlineStr">
        <is>
          <t>4</t>
        </is>
      </c>
      <c r="H73" s="703">
        <f>Y73/J73</f>
        <v/>
      </c>
      <c r="I73" s="124" t="n">
        <v>45135</v>
      </c>
      <c r="J73" t="n">
        <v>5105</v>
      </c>
      <c r="K73" s="703" t="n"/>
      <c r="L73" t="n">
        <v>5105</v>
      </c>
      <c r="M73" t="n">
        <v>1972</v>
      </c>
      <c r="P73" t="inlineStr">
        <is>
          <t>B-1-Wes</t>
        </is>
      </c>
      <c r="R73" t="inlineStr">
        <is>
          <t>Average</t>
        </is>
      </c>
      <c r="S73" t="n">
        <v>25000</v>
      </c>
      <c r="T73" s="121">
        <f>S73/L73</f>
        <v/>
      </c>
      <c r="U73" t="inlineStr">
        <is>
          <t>Average</t>
        </is>
      </c>
      <c r="V73" s="121" t="n"/>
      <c r="W73" s="121" t="n"/>
      <c r="X73" s="121" t="n"/>
      <c r="Y73" s="705" t="n">
        <v>820000</v>
      </c>
      <c r="Z73" s="705" t="n"/>
      <c r="AA73" s="705" t="n">
        <v>820000</v>
      </c>
      <c r="AB73" s="705" t="n"/>
      <c r="AC73" t="inlineStr">
        <is>
          <t>0171929404011</t>
        </is>
      </c>
      <c r="AD73" t="inlineStr">
        <is>
          <t>2023000043895</t>
        </is>
      </c>
      <c r="AE73" s="575" t="inlineStr">
        <is>
          <t>RESEIGH KAREN L</t>
        </is>
      </c>
      <c r="AF73" s="575" t="inlineStr">
        <is>
          <t>YAABTAL INVESTMENTS CO LLC</t>
        </is>
      </c>
      <c r="AI73" s="59">
        <f>IF(AND($E73=Subj_OccCode,Subj_BldgSF&gt;0,ABS($L73-Subj_BldgSF)&lt;=Subj_BldgSF*Subj_SizeTol),ABS($L73-Subj_BldgSF),NA())</f>
        <v/>
      </c>
      <c r="AJ73">
        <f>IF(ISNA(AI73),NA(),AI73+ROW()/10000000)</f>
        <v/>
      </c>
      <c r="AK73">
        <f>IF(AND(ISNUMBER($N73),$N73&gt;0,ISNUMBER($Y73)),$Y73/$N73,"")</f>
        <v/>
      </c>
    </row>
    <row r="74" ht="15" customHeight="1" s="518">
      <c r="A74" s="62" t="n">
        <v>7</v>
      </c>
      <c r="B74" s="59" t="n">
        <v>66</v>
      </c>
      <c r="C74" t="inlineStr">
        <is>
          <t>R0065302</t>
        </is>
      </c>
      <c r="D74" t="inlineStr">
        <is>
          <t>3705 W 73RD AVE</t>
        </is>
      </c>
      <c r="E74" t="n">
        <v>353</v>
      </c>
      <c r="F74" t="inlineStr">
        <is>
          <t>WESTMINSTER</t>
        </is>
      </c>
      <c r="G74" t="inlineStr">
        <is>
          <t>4</t>
        </is>
      </c>
      <c r="H74" s="703">
        <f>Y74/J74</f>
        <v/>
      </c>
      <c r="I74" s="124" t="n">
        <v>45427</v>
      </c>
      <c r="J74" t="n">
        <v>1440</v>
      </c>
      <c r="K74" s="703" t="n"/>
      <c r="L74" t="n">
        <v>1440</v>
      </c>
      <c r="M74" t="n">
        <v>1950</v>
      </c>
      <c r="P74" t="inlineStr">
        <is>
          <t>B-1-Wes</t>
        </is>
      </c>
      <c r="R74" t="inlineStr">
        <is>
          <t>Average</t>
        </is>
      </c>
      <c r="S74" t="n">
        <v>9375</v>
      </c>
      <c r="T74" s="121">
        <f>S74/L74</f>
        <v/>
      </c>
      <c r="U74" t="inlineStr">
        <is>
          <t>Average</t>
        </is>
      </c>
      <c r="V74" s="121" t="n"/>
      <c r="W74" s="121" t="n"/>
      <c r="X74" s="121" t="n"/>
      <c r="Y74" s="705" t="n">
        <v>700000</v>
      </c>
      <c r="Z74" s="705" t="n"/>
      <c r="AA74" s="705" t="n">
        <v>700000</v>
      </c>
      <c r="AB74" s="705" t="n"/>
      <c r="AC74" t="inlineStr">
        <is>
          <t>0171931414022</t>
        </is>
      </c>
      <c r="AD74" t="inlineStr">
        <is>
          <t>2024000026482</t>
        </is>
      </c>
      <c r="AE74" s="575" t="inlineStr">
        <is>
          <t>AAE LLC</t>
        </is>
      </c>
      <c r="AF74" s="575" t="inlineStr">
        <is>
          <t>GTZ LLC</t>
        </is>
      </c>
      <c r="AI74" s="59">
        <f>IF(AND($E74=Subj_OccCode,Subj_BldgSF&gt;0,ABS($L74-Subj_BldgSF)&lt;=Subj_BldgSF*Subj_SizeTol),ABS($L74-Subj_BldgSF),NA())</f>
        <v/>
      </c>
      <c r="AJ74">
        <f>IF(ISNA(AI74),NA(),AI74+ROW()/10000000)</f>
        <v/>
      </c>
      <c r="AK74">
        <f>IF(AND(ISNUMBER($N74),$N74&gt;0,ISNUMBER($Y74)),$Y74/$N74,"")</f>
        <v/>
      </c>
    </row>
    <row r="75" ht="15" customHeight="1" s="518">
      <c r="A75" s="62" t="n">
        <v>7</v>
      </c>
      <c r="B75" s="59" t="n">
        <v>67</v>
      </c>
      <c r="C75" t="inlineStr">
        <is>
          <t>R0065303</t>
        </is>
      </c>
      <c r="D75" t="inlineStr">
        <is>
          <t>3699 W 73RD AVE</t>
        </is>
      </c>
      <c r="E75" t="n">
        <v>344</v>
      </c>
      <c r="F75" t="inlineStr">
        <is>
          <t>WESTMINSTER</t>
        </is>
      </c>
      <c r="G75" t="inlineStr">
        <is>
          <t>4</t>
        </is>
      </c>
      <c r="H75" s="703">
        <f>Y75/J75</f>
        <v/>
      </c>
      <c r="I75" s="124" t="n">
        <v>44755</v>
      </c>
      <c r="J75" t="n">
        <v>3300</v>
      </c>
      <c r="K75" s="703" t="n"/>
      <c r="L75" t="n">
        <v>3300</v>
      </c>
      <c r="M75" t="n">
        <v>1964</v>
      </c>
      <c r="P75" t="inlineStr">
        <is>
          <t>B-1-Wes</t>
        </is>
      </c>
      <c r="R75" t="inlineStr">
        <is>
          <t>Average</t>
        </is>
      </c>
      <c r="S75" t="n">
        <v>7500</v>
      </c>
      <c r="T75" s="121">
        <f>S75/L75</f>
        <v/>
      </c>
      <c r="U75" t="inlineStr">
        <is>
          <t>Average</t>
        </is>
      </c>
      <c r="V75" s="121" t="n"/>
      <c r="W75" s="121" t="n"/>
      <c r="X75" s="121" t="n"/>
      <c r="Y75" s="705" t="n">
        <v>800000</v>
      </c>
      <c r="Z75" s="705" t="n"/>
      <c r="AA75" s="705" t="n">
        <v>800000</v>
      </c>
      <c r="AB75" s="705" t="n"/>
      <c r="AC75" t="inlineStr">
        <is>
          <t>0171931414023</t>
        </is>
      </c>
      <c r="AD75" t="inlineStr">
        <is>
          <t>2022000067684</t>
        </is>
      </c>
      <c r="AE75" s="575" t="inlineStr">
        <is>
          <t>SEEP INVESTMENTS LLC</t>
        </is>
      </c>
      <c r="AF75" s="575" t="inlineStr">
        <is>
          <t>3699 W 73RD AVE LLC</t>
        </is>
      </c>
      <c r="AI75" s="59">
        <f>IF(AND($E75=Subj_OccCode,Subj_BldgSF&gt;0,ABS($L75-Subj_BldgSF)&lt;=Subj_BldgSF*Subj_SizeTol),ABS($L75-Subj_BldgSF),NA())</f>
        <v/>
      </c>
      <c r="AJ75">
        <f>IF(ISNA(AI75),NA(),AI75+ROW()/10000000)</f>
        <v/>
      </c>
      <c r="AK75">
        <f>IF(AND(ISNUMBER($N75),$N75&gt;0,ISNUMBER($Y75)),$Y75/$N75,"")</f>
        <v/>
      </c>
    </row>
    <row r="76" ht="15" customHeight="1" s="518">
      <c r="A76" s="62" t="n">
        <v>7</v>
      </c>
      <c r="B76" s="59" t="n">
        <v>68</v>
      </c>
      <c r="C76" t="inlineStr">
        <is>
          <t>R0077172</t>
        </is>
      </c>
      <c r="D76" t="inlineStr">
        <is>
          <t>8495 ROSLYN ST</t>
        </is>
      </c>
      <c r="E76" t="n">
        <v>406</v>
      </c>
      <c r="F76" t="inlineStr">
        <is>
          <t>COMMERCE CITY</t>
        </is>
      </c>
      <c r="G76" t="inlineStr">
        <is>
          <t>5</t>
        </is>
      </c>
      <c r="H76" s="703">
        <f>Y76/J76</f>
        <v/>
      </c>
      <c r="I76" s="124" t="n">
        <v>45468</v>
      </c>
      <c r="J76" t="n">
        <v>15040</v>
      </c>
      <c r="K76" s="703" t="n"/>
      <c r="L76" t="n">
        <v>15040</v>
      </c>
      <c r="M76" t="n">
        <v>1987</v>
      </c>
      <c r="P76" t="inlineStr">
        <is>
          <t>I-2-Com</t>
        </is>
      </c>
      <c r="R76" t="inlineStr">
        <is>
          <t>Average</t>
        </is>
      </c>
      <c r="S76" t="n">
        <v>33584.76</v>
      </c>
      <c r="T76" s="121">
        <f>S76/L76</f>
        <v/>
      </c>
      <c r="U76" t="inlineStr">
        <is>
          <t>Average</t>
        </is>
      </c>
      <c r="V76" s="121" t="n"/>
      <c r="W76" s="121" t="n"/>
      <c r="X76" s="121" t="n"/>
      <c r="Y76" s="705" t="n">
        <v>2500000</v>
      </c>
      <c r="Z76" s="705" t="n"/>
      <c r="AA76" s="705" t="n">
        <v>2500000</v>
      </c>
      <c r="AB76" s="705" t="n"/>
      <c r="AC76" t="inlineStr">
        <is>
          <t>0172128200023</t>
        </is>
      </c>
      <c r="AD76" t="inlineStr">
        <is>
          <t>2024000015116</t>
        </is>
      </c>
      <c r="AE76" s="575" t="inlineStr">
        <is>
          <t>ROSLYN STREET PROPERTIES LLC</t>
        </is>
      </c>
      <c r="AF76" s="575" t="inlineStr">
        <is>
          <t>CHARLES BREWER LLC</t>
        </is>
      </c>
      <c r="AI76" s="59">
        <f>IF(AND($E76=Subj_OccCode,Subj_BldgSF&gt;0,ABS($L76-Subj_BldgSF)&lt;=Subj_BldgSF*Subj_SizeTol),ABS($L76-Subj_BldgSF),NA())</f>
        <v/>
      </c>
      <c r="AJ76">
        <f>IF(ISNA(AI76),NA(),AI76+ROW()/10000000)</f>
        <v/>
      </c>
      <c r="AK76">
        <f>IF(AND(ISNUMBER($N76),$N76&gt;0,ISNUMBER($Y76)),$Y76/$N76,"")</f>
        <v/>
      </c>
    </row>
    <row r="77" ht="15" customHeight="1" s="518">
      <c r="A77" s="62" t="n">
        <v>7</v>
      </c>
      <c r="B77" s="59" t="n">
        <v>69</v>
      </c>
      <c r="C77" t="inlineStr">
        <is>
          <t>R0077751</t>
        </is>
      </c>
      <c r="D77" t="inlineStr">
        <is>
          <t>5195 E 77TH AVE</t>
        </is>
      </c>
      <c r="E77" t="n">
        <v>406</v>
      </c>
      <c r="F77" t="inlineStr">
        <is>
          <t>COMMERCE CITY</t>
        </is>
      </c>
      <c r="G77" t="inlineStr">
        <is>
          <t>5</t>
        </is>
      </c>
      <c r="H77" s="703">
        <f>Y77/J77</f>
        <v/>
      </c>
      <c r="I77" s="124" t="n">
        <v>45218</v>
      </c>
      <c r="J77" t="n">
        <v>1440</v>
      </c>
      <c r="K77" s="703" t="n"/>
      <c r="L77" t="n">
        <v>1440</v>
      </c>
      <c r="M77" t="n">
        <v>1940</v>
      </c>
      <c r="P77" t="inlineStr">
        <is>
          <t>Industrial</t>
        </is>
      </c>
      <c r="R77" t="inlineStr">
        <is>
          <t>Fair</t>
        </is>
      </c>
      <c r="S77" t="n">
        <v>12506</v>
      </c>
      <c r="T77" s="121">
        <f>S77/L77</f>
        <v/>
      </c>
      <c r="U77" t="inlineStr">
        <is>
          <t>Fair</t>
        </is>
      </c>
      <c r="V77" s="121" t="n"/>
      <c r="W77" s="121" t="n"/>
      <c r="X77" s="121" t="n"/>
      <c r="Y77" s="705" t="n">
        <v>185000</v>
      </c>
      <c r="Z77" s="705" t="n"/>
      <c r="AA77" s="705" t="n">
        <v>185000</v>
      </c>
      <c r="AB77" s="705" t="n"/>
      <c r="AC77" t="inlineStr">
        <is>
          <t>0172131104017</t>
        </is>
      </c>
      <c r="AD77" t="inlineStr">
        <is>
          <t>2023000059281</t>
        </is>
      </c>
      <c r="AE77" s="575" t="inlineStr">
        <is>
          <t>REID ROBERT F SR AKA ROBERT, AKA ROBERT FREDERICK SR</t>
        </is>
      </c>
      <c r="AF77" s="575" t="inlineStr">
        <is>
          <t>OFFEN 5195 LLC</t>
        </is>
      </c>
      <c r="AI77" s="59">
        <f>IF(AND($E77=Subj_OccCode,Subj_BldgSF&gt;0,ABS($L77-Subj_BldgSF)&lt;=Subj_BldgSF*Subj_SizeTol),ABS($L77-Subj_BldgSF),NA())</f>
        <v/>
      </c>
      <c r="AJ77">
        <f>IF(ISNA(AI77),NA(),AI77+ROW()/10000000)</f>
        <v/>
      </c>
      <c r="AK77">
        <f>IF(AND(ISNUMBER($N77),$N77&gt;0,ISNUMBER($Y77)),$Y77/$N77,"")</f>
        <v/>
      </c>
    </row>
    <row r="78" ht="15" customHeight="1" s="518">
      <c r="A78" s="62" t="n">
        <v>7</v>
      </c>
      <c r="B78" s="59" t="n">
        <v>70</v>
      </c>
      <c r="C78" t="inlineStr">
        <is>
          <t>R0089691</t>
        </is>
      </c>
      <c r="D78" t="inlineStr">
        <is>
          <t xml:space="preserve">7040 FAIRFAX DRIVE </t>
        </is>
      </c>
      <c r="E78" t="n">
        <v>406</v>
      </c>
      <c r="F78" t="inlineStr">
        <is>
          <t>COMMERCE CITY</t>
        </is>
      </c>
      <c r="G78" t="inlineStr">
        <is>
          <t>5</t>
        </is>
      </c>
      <c r="H78" s="703">
        <f>Y78/J78</f>
        <v/>
      </c>
      <c r="I78" s="124" t="n">
        <v>45128</v>
      </c>
      <c r="J78" t="n">
        <v>2232</v>
      </c>
      <c r="K78" s="703" t="n"/>
      <c r="L78" t="n">
        <v>2232</v>
      </c>
      <c r="M78" t="n">
        <v>1956</v>
      </c>
      <c r="P78" t="inlineStr">
        <is>
          <t>C-3-Com</t>
        </is>
      </c>
      <c r="R78" t="inlineStr">
        <is>
          <t>Low</t>
        </is>
      </c>
      <c r="S78" t="n">
        <v>7600</v>
      </c>
      <c r="T78" s="121">
        <f>S78/L78</f>
        <v/>
      </c>
      <c r="U78" t="inlineStr">
        <is>
          <t>Low</t>
        </is>
      </c>
      <c r="V78" s="121" t="n"/>
      <c r="W78" s="121" t="n"/>
      <c r="X78" s="121" t="n"/>
      <c r="Y78" s="705" t="n">
        <v>354780</v>
      </c>
      <c r="Z78" s="705" t="n"/>
      <c r="AA78" s="705" t="n">
        <v>354780</v>
      </c>
      <c r="AB78" s="705" t="n"/>
      <c r="AC78" t="inlineStr">
        <is>
          <t>0182306108001</t>
        </is>
      </c>
      <c r="AD78" t="inlineStr">
        <is>
          <t>2023000042403</t>
        </is>
      </c>
      <c r="AE78" s="575" t="inlineStr">
        <is>
          <t>7040 FAIRFAX DRIVE LLC</t>
        </is>
      </c>
      <c r="AF78" s="575" t="inlineStr">
        <is>
          <t>THE 7040 FAIRFAX DRIVE LLC</t>
        </is>
      </c>
      <c r="AI78" s="59">
        <f>IF(AND($E78=Subj_OccCode,Subj_BldgSF&gt;0,ABS($L78-Subj_BldgSF)&lt;=Subj_BldgSF*Subj_SizeTol),ABS($L78-Subj_BldgSF),NA())</f>
        <v/>
      </c>
      <c r="AJ78">
        <f>IF(ISNA(AI78),NA(),AI78+ROW()/10000000)</f>
        <v/>
      </c>
      <c r="AK78">
        <f>IF(AND(ISNUMBER($N78),$N78&gt;0,ISNUMBER($Y78)),$Y78/$N78,"")</f>
        <v/>
      </c>
    </row>
    <row r="79" ht="15" customHeight="1" s="518">
      <c r="A79" s="62" t="n">
        <v>7</v>
      </c>
      <c r="B79" s="59" t="n">
        <v>71</v>
      </c>
      <c r="C79" t="inlineStr">
        <is>
          <t>R0092265</t>
        </is>
      </c>
      <c r="D79" t="inlineStr">
        <is>
          <t>5470 NEWPORT ST</t>
        </is>
      </c>
      <c r="E79" t="n">
        <v>325</v>
      </c>
      <c r="F79" t="inlineStr">
        <is>
          <t>COMMERCE CITY</t>
        </is>
      </c>
      <c r="G79" t="inlineStr">
        <is>
          <t>5</t>
        </is>
      </c>
      <c r="H79" s="703">
        <f>Y79/J79</f>
        <v/>
      </c>
      <c r="I79" s="124" t="n">
        <v>45408</v>
      </c>
      <c r="J79" t="n">
        <v>1360</v>
      </c>
      <c r="K79" s="703" t="n"/>
      <c r="L79" t="n">
        <v>1360</v>
      </c>
      <c r="M79" t="n">
        <v>1970</v>
      </c>
      <c r="P79" t="inlineStr">
        <is>
          <t>I-2-Com</t>
        </is>
      </c>
      <c r="R79" t="inlineStr">
        <is>
          <t>Average</t>
        </is>
      </c>
      <c r="S79" t="n">
        <v>16885</v>
      </c>
      <c r="T79" s="121">
        <f>S79/L79</f>
        <v/>
      </c>
      <c r="U79" t="inlineStr">
        <is>
          <t>Average</t>
        </is>
      </c>
      <c r="V79" s="121" t="n"/>
      <c r="W79" s="121" t="n"/>
      <c r="X79" s="121" t="n"/>
      <c r="Y79" s="705" t="n">
        <v>795000</v>
      </c>
      <c r="Z79" s="705" t="n"/>
      <c r="AA79" s="705" t="n">
        <v>795000</v>
      </c>
      <c r="AB79" s="705" t="n"/>
      <c r="AC79" t="inlineStr">
        <is>
          <t>0182317101007</t>
        </is>
      </c>
      <c r="AD79" t="inlineStr">
        <is>
          <t>2024000021973</t>
        </is>
      </c>
      <c r="AE79" s="575" t="inlineStr">
        <is>
          <t>PROJECT53 LLC</t>
        </is>
      </c>
      <c r="AF79" s="575" t="inlineStr">
        <is>
          <t>FALCARRAGH INVESTMENTS LLC</t>
        </is>
      </c>
      <c r="AI79" s="59">
        <f>IF(AND($E79=Subj_OccCode,Subj_BldgSF&gt;0,ABS($L79-Subj_BldgSF)&lt;=Subj_BldgSF*Subj_SizeTol),ABS($L79-Subj_BldgSF),NA())</f>
        <v/>
      </c>
      <c r="AJ79">
        <f>IF(ISNA(AI79),NA(),AI79+ROW()/10000000)</f>
        <v/>
      </c>
      <c r="AK79">
        <f>IF(AND(ISNUMBER($N79),$N79&gt;0,ISNUMBER($Y79)),$Y79/$N79,"")</f>
        <v/>
      </c>
    </row>
    <row r="80" ht="15" customHeight="1" s="518">
      <c r="A80" s="62" t="n">
        <v>7</v>
      </c>
      <c r="B80" s="59" t="n">
        <v>72</v>
      </c>
      <c r="C80" t="inlineStr">
        <is>
          <t>R0092383</t>
        </is>
      </c>
      <c r="D80" t="inlineStr">
        <is>
          <t>7011 E 53RD PL</t>
        </is>
      </c>
      <c r="E80" t="n">
        <v>334</v>
      </c>
      <c r="F80" t="inlineStr">
        <is>
          <t>COMMERCE CITY</t>
        </is>
      </c>
      <c r="G80" t="inlineStr">
        <is>
          <t>5</t>
        </is>
      </c>
      <c r="H80" s="703">
        <f>Y80/J80</f>
        <v/>
      </c>
      <c r="I80" s="124" t="n">
        <v>44813</v>
      </c>
      <c r="J80" t="n">
        <v>25272</v>
      </c>
      <c r="K80" s="703" t="n"/>
      <c r="L80" t="n">
        <v>25272</v>
      </c>
      <c r="M80" t="n">
        <v>1973</v>
      </c>
      <c r="P80" t="inlineStr">
        <is>
          <t>I-2-Com</t>
        </is>
      </c>
      <c r="R80" t="inlineStr">
        <is>
          <t>Average</t>
        </is>
      </c>
      <c r="S80" t="n">
        <v>83000</v>
      </c>
      <c r="T80" s="121">
        <f>S80/L80</f>
        <v/>
      </c>
      <c r="U80" t="inlineStr">
        <is>
          <t>Average</t>
        </is>
      </c>
      <c r="V80" s="121" t="n"/>
      <c r="W80" s="121" t="n"/>
      <c r="X80" s="121" t="n"/>
      <c r="Y80" s="705" t="n">
        <v>3750000</v>
      </c>
      <c r="Z80" s="705" t="n"/>
      <c r="AA80" s="705" t="n">
        <v>3750000</v>
      </c>
      <c r="AB80" s="705" t="n"/>
      <c r="AC80" t="inlineStr">
        <is>
          <t>0182317106008</t>
        </is>
      </c>
      <c r="AD80" t="inlineStr">
        <is>
          <t>2022000076319</t>
        </is>
      </c>
      <c r="AE80" s="575" t="inlineStr">
        <is>
          <t>CBA GIAMBROCCO LLLP</t>
        </is>
      </c>
      <c r="AF80" s="575" t="inlineStr">
        <is>
          <t>DUO INDUSTRIAL LLC</t>
        </is>
      </c>
      <c r="AI80" s="59">
        <f>IF(AND($E80=Subj_OccCode,Subj_BldgSF&gt;0,ABS($L80-Subj_BldgSF)&lt;=Subj_BldgSF*Subj_SizeTol),ABS($L80-Subj_BldgSF),NA())</f>
        <v/>
      </c>
      <c r="AJ80">
        <f>IF(ISNA(AI80),NA(),AI80+ROW()/10000000)</f>
        <v/>
      </c>
      <c r="AK80">
        <f>IF(AND(ISNUMBER($N80),$N80&gt;0,ISNUMBER($Y80)),$Y80/$N80,"")</f>
        <v/>
      </c>
    </row>
    <row r="81" ht="15" customHeight="1" s="518">
      <c r="A81" s="62" t="n">
        <v>7</v>
      </c>
      <c r="B81" s="59" t="n">
        <v>73</v>
      </c>
      <c r="C81" t="inlineStr">
        <is>
          <t>R0098071</t>
        </is>
      </c>
      <c r="D81" t="inlineStr">
        <is>
          <t>851 HWY 225 # B-5</t>
        </is>
      </c>
      <c r="E81" t="n">
        <v>425</v>
      </c>
      <c r="G81" t="inlineStr">
        <is>
          <t>5</t>
        </is>
      </c>
      <c r="H81" s="703">
        <f>Y81/J81</f>
        <v/>
      </c>
      <c r="I81" s="124" t="n">
        <v>45288</v>
      </c>
      <c r="J81" t="n">
        <v>26500</v>
      </c>
      <c r="K81" s="703" t="n"/>
      <c r="L81" t="n">
        <v>26500</v>
      </c>
      <c r="M81" t="n">
        <v>1984</v>
      </c>
      <c r="P81" t="inlineStr">
        <is>
          <t>Industrial</t>
        </is>
      </c>
      <c r="R81" t="inlineStr">
        <is>
          <t>Average</t>
        </is>
      </c>
      <c r="S81" t="n">
        <v>2893</v>
      </c>
      <c r="T81" s="121">
        <f>S81/L81</f>
        <v/>
      </c>
      <c r="U81" t="inlineStr">
        <is>
          <t>Average</t>
        </is>
      </c>
      <c r="V81" s="121" t="n"/>
      <c r="W81" s="121" t="n"/>
      <c r="X81" s="121" t="n"/>
      <c r="Y81" s="705" t="n">
        <v>300000</v>
      </c>
      <c r="Z81" s="705" t="n"/>
      <c r="AA81" s="705" t="n">
        <v>300000</v>
      </c>
      <c r="AB81" s="705" t="n"/>
      <c r="AC81" t="inlineStr">
        <is>
          <t>0182502203035</t>
        </is>
      </c>
      <c r="AD81" t="inlineStr">
        <is>
          <t>2023000071498</t>
        </is>
      </c>
      <c r="AE81" s="575" t="inlineStr">
        <is>
          <t>MAURER SCOTT AND, MAURER KIMBERLEY W</t>
        </is>
      </c>
      <c r="AF81" s="575" t="inlineStr">
        <is>
          <t>COLORADO CHILLER SERVICES LLC</t>
        </is>
      </c>
      <c r="AI81" s="59">
        <f>IF(AND($E81=Subj_OccCode,Subj_BldgSF&gt;0,ABS($L81-Subj_BldgSF)&lt;=Subj_BldgSF*Subj_SizeTol),ABS($L81-Subj_BldgSF),NA())</f>
        <v/>
      </c>
      <c r="AJ81">
        <f>IF(ISNA(AI81),NA(),AI81+ROW()/10000000)</f>
        <v/>
      </c>
      <c r="AK81">
        <f>IF(AND(ISNUMBER($N81),$N81&gt;0,ISNUMBER($Y81)),$Y81/$N81,"")</f>
        <v/>
      </c>
    </row>
    <row r="82" ht="15" customHeight="1" s="518">
      <c r="A82" s="62" t="n">
        <v>7</v>
      </c>
      <c r="B82" s="59" t="n">
        <v>74</v>
      </c>
      <c r="C82" t="inlineStr">
        <is>
          <t>R0100113</t>
        </is>
      </c>
      <c r="D82" t="inlineStr">
        <is>
          <t>7095 FEDERAL BLVD</t>
        </is>
      </c>
      <c r="E82" t="n">
        <v>325</v>
      </c>
      <c r="F82" t="inlineStr">
        <is>
          <t>WESTMINSTER</t>
        </is>
      </c>
      <c r="G82" t="inlineStr">
        <is>
          <t>4</t>
        </is>
      </c>
      <c r="H82" s="703">
        <f>Y82/J82</f>
        <v/>
      </c>
      <c r="I82" s="124" t="n">
        <v>45275</v>
      </c>
      <c r="J82" t="n">
        <v>6402</v>
      </c>
      <c r="K82" s="703" t="n"/>
      <c r="L82" t="n">
        <v>6402</v>
      </c>
      <c r="M82" t="n">
        <v>1971</v>
      </c>
      <c r="P82" t="inlineStr">
        <is>
          <t>SPD</t>
        </is>
      </c>
      <c r="R82" t="inlineStr">
        <is>
          <t>Average</t>
        </is>
      </c>
      <c r="S82" t="n">
        <v>20250</v>
      </c>
      <c r="T82" s="121">
        <f>S82/L82</f>
        <v/>
      </c>
      <c r="U82" t="inlineStr">
        <is>
          <t>Average</t>
        </is>
      </c>
      <c r="V82" s="121" t="n"/>
      <c r="W82" s="121" t="n"/>
      <c r="X82" s="121" t="n"/>
      <c r="Y82" s="705" t="n">
        <v>1050000</v>
      </c>
      <c r="Z82" s="705" t="n"/>
      <c r="AA82" s="705" t="n">
        <v>1050000</v>
      </c>
      <c r="AB82" s="705" t="n"/>
      <c r="AC82" t="inlineStr">
        <is>
          <t>0182505221007</t>
        </is>
      </c>
      <c r="AD82" t="inlineStr">
        <is>
          <t>2023000069400</t>
        </is>
      </c>
      <c r="AE82" s="575" t="inlineStr">
        <is>
          <t>KRUPP GLASSMAN &amp; GLASSMAN LLC</t>
        </is>
      </c>
      <c r="AF82" s="575" t="inlineStr">
        <is>
          <t>7095FEDERAL LLC</t>
        </is>
      </c>
      <c r="AI82" s="59">
        <f>IF(AND($E82=Subj_OccCode,Subj_BldgSF&gt;0,ABS($L82-Subj_BldgSF)&lt;=Subj_BldgSF*Subj_SizeTol),ABS($L82-Subj_BldgSF),NA())</f>
        <v/>
      </c>
      <c r="AJ82">
        <f>IF(ISNA(AI82),NA(),AI82+ROW()/10000000)</f>
        <v/>
      </c>
      <c r="AK82">
        <f>IF(AND(ISNUMBER($N82),$N82&gt;0,ISNUMBER($Y82)),$Y82/$N82,"")</f>
        <v/>
      </c>
    </row>
    <row r="83" ht="15" customHeight="1" s="518">
      <c r="A83" s="62" t="n">
        <v>7</v>
      </c>
      <c r="B83" s="59" t="n">
        <v>75</v>
      </c>
      <c r="C83" t="inlineStr">
        <is>
          <t>R0103555</t>
        </is>
      </c>
      <c r="D83" t="inlineStr">
        <is>
          <t>5801 LOGAN ST</t>
        </is>
      </c>
      <c r="E83" t="n">
        <v>334</v>
      </c>
      <c r="G83" t="inlineStr">
        <is>
          <t>5</t>
        </is>
      </c>
      <c r="H83" s="703">
        <f>Y83/J83</f>
        <v/>
      </c>
      <c r="I83" s="124" t="n">
        <v>45317</v>
      </c>
      <c r="J83" t="n">
        <v>11200</v>
      </c>
      <c r="K83" s="703" t="n"/>
      <c r="L83" t="n">
        <v>11200</v>
      </c>
      <c r="M83" t="n">
        <v>1982</v>
      </c>
      <c r="P83" t="inlineStr">
        <is>
          <t>Industrial</t>
        </is>
      </c>
      <c r="R83" t="inlineStr">
        <is>
          <t>Average</t>
        </is>
      </c>
      <c r="S83" t="n">
        <v>26839</v>
      </c>
      <c r="T83" s="121">
        <f>S83/L83</f>
        <v/>
      </c>
      <c r="U83" t="inlineStr">
        <is>
          <t>Average</t>
        </is>
      </c>
      <c r="V83" s="121" t="n"/>
      <c r="W83" s="121" t="n"/>
      <c r="X83" s="121" t="n"/>
      <c r="Y83" s="705" t="n">
        <v>2650000</v>
      </c>
      <c r="Z83" s="705" t="n"/>
      <c r="AA83" s="705" t="n">
        <v>2650000</v>
      </c>
      <c r="AB83" s="705" t="n"/>
      <c r="AC83" t="inlineStr">
        <is>
          <t>0182510402006</t>
        </is>
      </c>
      <c r="AD83" t="inlineStr">
        <is>
          <t>2024000004228</t>
        </is>
      </c>
      <c r="AE83" s="575" t="inlineStr">
        <is>
          <t>5801 LOGAN STREET LLC</t>
        </is>
      </c>
      <c r="AF83" s="575" t="inlineStr">
        <is>
          <t>DENVER SURFACES LLC</t>
        </is>
      </c>
      <c r="AI83" s="59">
        <f>IF(AND($E83=Subj_OccCode,Subj_BldgSF&gt;0,ABS($L83-Subj_BldgSF)&lt;=Subj_BldgSF*Subj_SizeTol),ABS($L83-Subj_BldgSF),NA())</f>
        <v/>
      </c>
      <c r="AJ83">
        <f>IF(ISNA(AI83),NA(),AI83+ROW()/10000000)</f>
        <v/>
      </c>
      <c r="AK83">
        <f>IF(AND(ISNUMBER($N83),$N83&gt;0,ISNUMBER($Y83)),$Y83/$N83,"")</f>
        <v/>
      </c>
    </row>
    <row r="84" ht="15" customHeight="1" s="518">
      <c r="A84" s="62" t="n">
        <v>7</v>
      </c>
      <c r="B84" s="59" t="n">
        <v>76</v>
      </c>
      <c r="C84" t="inlineStr">
        <is>
          <t>R0117238</t>
        </is>
      </c>
      <c r="D84" t="inlineStr">
        <is>
          <t>1870 W 64TH LN</t>
        </is>
      </c>
      <c r="E84" t="n">
        <v>407</v>
      </c>
      <c r="G84" t="inlineStr">
        <is>
          <t>5</t>
        </is>
      </c>
      <c r="H84" s="703">
        <f>Y84/J84</f>
        <v/>
      </c>
      <c r="I84" s="124" t="n">
        <v>45174</v>
      </c>
      <c r="J84" t="n">
        <v>19660</v>
      </c>
      <c r="K84" s="703" t="n"/>
      <c r="L84" t="n">
        <v>19660</v>
      </c>
      <c r="M84" t="n">
        <v>2002</v>
      </c>
      <c r="P84" t="inlineStr">
        <is>
          <t>Industrial</t>
        </is>
      </c>
      <c r="R84" t="inlineStr">
        <is>
          <t>Average</t>
        </is>
      </c>
      <c r="S84" t="n">
        <v>47044.8</v>
      </c>
      <c r="T84" s="121">
        <f>S84/L84</f>
        <v/>
      </c>
      <c r="U84" t="inlineStr">
        <is>
          <t>Average</t>
        </is>
      </c>
      <c r="V84" s="121" t="n"/>
      <c r="W84" s="121" t="n"/>
      <c r="X84" s="121" t="n"/>
      <c r="Y84" s="705" t="n">
        <v>3450000</v>
      </c>
      <c r="Z84" s="705" t="n"/>
      <c r="AA84" s="705" t="n">
        <v>3450000</v>
      </c>
      <c r="AB84" s="705" t="n"/>
      <c r="AC84" t="inlineStr">
        <is>
          <t>0182504302011</t>
        </is>
      </c>
      <c r="AD84" t="inlineStr">
        <is>
          <t>2023000052276</t>
        </is>
      </c>
      <c r="AE84" s="575" t="inlineStr">
        <is>
          <t>MANHATTAN FUND XXI LLC</t>
        </is>
      </c>
      <c r="AF84" s="575" t="inlineStr">
        <is>
          <t>RED 64TH LLC</t>
        </is>
      </c>
      <c r="AI84" s="59">
        <f>IF(AND($E84=Subj_OccCode,Subj_BldgSF&gt;0,ABS($L84-Subj_BldgSF)&lt;=Subj_BldgSF*Subj_SizeTol),ABS($L84-Subj_BldgSF),NA())</f>
        <v/>
      </c>
      <c r="AJ84">
        <f>IF(ISNA(AI84),NA(),AI84+ROW()/10000000)</f>
        <v/>
      </c>
      <c r="AK84">
        <f>IF(AND(ISNUMBER($N84),$N84&gt;0,ISNUMBER($Y84)),$Y84/$N84,"")</f>
        <v/>
      </c>
    </row>
    <row r="85" ht="15" customHeight="1" s="518">
      <c r="A85" s="62" t="n">
        <v>7</v>
      </c>
      <c r="B85" s="59" t="n">
        <v>77</v>
      </c>
      <c r="C85" t="inlineStr">
        <is>
          <t>R0004257</t>
        </is>
      </c>
      <c r="D85" t="inlineStr">
        <is>
          <t>509 S 4TH AVE</t>
        </is>
      </c>
      <c r="E85" t="n">
        <v>344</v>
      </c>
      <c r="F85" t="inlineStr">
        <is>
          <t>BRIGHTON</t>
        </is>
      </c>
      <c r="G85" t="inlineStr">
        <is>
          <t>2</t>
        </is>
      </c>
      <c r="H85" s="703">
        <f>Y85/J85</f>
        <v/>
      </c>
      <c r="I85" s="124" t="n">
        <v>45257</v>
      </c>
      <c r="J85" t="n">
        <v>816</v>
      </c>
      <c r="K85" s="703" t="n"/>
      <c r="L85" t="n">
        <v>816</v>
      </c>
      <c r="M85" t="n">
        <v>1917</v>
      </c>
      <c r="P85" t="inlineStr">
        <is>
          <t>C-1-Bri</t>
        </is>
      </c>
      <c r="R85" t="inlineStr">
        <is>
          <t>Average</t>
        </is>
      </c>
      <c r="S85" t="n">
        <v>7500</v>
      </c>
      <c r="T85" s="121">
        <f>S85/L85</f>
        <v/>
      </c>
      <c r="U85" t="inlineStr">
        <is>
          <t>Average</t>
        </is>
      </c>
      <c r="V85" s="121" t="n"/>
      <c r="W85" s="121" t="n"/>
      <c r="X85" s="121" t="n"/>
      <c r="Y85" s="705" t="n">
        <v>310000</v>
      </c>
      <c r="Z85" s="705" t="n"/>
      <c r="AA85" s="705" t="n">
        <v>306000</v>
      </c>
      <c r="AB85" s="705" t="n"/>
      <c r="AC85" t="inlineStr">
        <is>
          <t>0156907303017</t>
        </is>
      </c>
      <c r="AD85" t="inlineStr">
        <is>
          <t>2023000065859</t>
        </is>
      </c>
      <c r="AE85" s="575" t="inlineStr">
        <is>
          <t>BROCAT LLC</t>
        </is>
      </c>
      <c r="AF85" s="575" t="inlineStr">
        <is>
          <t>TAMARIZ HOLDINGS LTD</t>
        </is>
      </c>
      <c r="AI85" s="59">
        <f>IF(AND($E85=Subj_OccCode,Subj_BldgSF&gt;0,ABS($L85-Subj_BldgSF)&lt;=Subj_BldgSF*Subj_SizeTol),ABS($L85-Subj_BldgSF),NA())</f>
        <v/>
      </c>
      <c r="AJ85">
        <f>IF(ISNA(AI85),NA(),AI85+ROW()/10000000)</f>
        <v/>
      </c>
      <c r="AK85">
        <f>IF(AND(ISNUMBER($N85),$N85&gt;0,ISNUMBER($Y85)),$Y85/$N85,"")</f>
        <v/>
      </c>
    </row>
    <row r="86" ht="15" customHeight="1" s="518">
      <c r="A86" s="62" t="n">
        <v>7</v>
      </c>
      <c r="B86" s="59" t="n">
        <v>78</v>
      </c>
      <c r="C86" t="inlineStr">
        <is>
          <t>R0038934</t>
        </is>
      </c>
      <c r="D86" t="inlineStr">
        <is>
          <t>10789 IRMA DR</t>
        </is>
      </c>
      <c r="E86" t="n">
        <v>406</v>
      </c>
      <c r="F86" t="inlineStr">
        <is>
          <t>NORTHGLENN</t>
        </is>
      </c>
      <c r="G86" t="inlineStr">
        <is>
          <t>4</t>
        </is>
      </c>
      <c r="H86" s="703">
        <f>Y86/J86</f>
        <v/>
      </c>
      <c r="I86" s="124" t="n">
        <v>45083</v>
      </c>
      <c r="J86" t="n">
        <v>4000</v>
      </c>
      <c r="K86" s="703" t="n"/>
      <c r="L86" t="n">
        <v>4000</v>
      </c>
      <c r="M86" t="n">
        <v>1973</v>
      </c>
      <c r="P86" t="inlineStr">
        <is>
          <t>I-2-Nor</t>
        </is>
      </c>
      <c r="R86" t="inlineStr">
        <is>
          <t>Average</t>
        </is>
      </c>
      <c r="S86" t="n">
        <v>22477</v>
      </c>
      <c r="T86" s="121">
        <f>S86/L86</f>
        <v/>
      </c>
      <c r="U86" t="inlineStr">
        <is>
          <t>Average</t>
        </is>
      </c>
      <c r="V86" s="121" t="n"/>
      <c r="W86" s="121" t="n"/>
      <c r="X86" s="121" t="n"/>
      <c r="Y86" s="705" t="n">
        <v>750000</v>
      </c>
      <c r="Z86" s="705" t="n"/>
      <c r="AA86" s="705" t="n">
        <v>750000</v>
      </c>
      <c r="AB86" s="705" t="n"/>
      <c r="AC86" t="inlineStr">
        <is>
          <t>0171911403018</t>
        </is>
      </c>
      <c r="AD86" t="inlineStr">
        <is>
          <t>2023000032069</t>
        </is>
      </c>
      <c r="AE86" s="575" t="inlineStr">
        <is>
          <t>NEUMANN DEBORAH J TRUST THE</t>
        </is>
      </c>
      <c r="AF86" s="575" t="inlineStr">
        <is>
          <t>PAUL TANNER HOLDINGS LLC</t>
        </is>
      </c>
      <c r="AI86" s="59">
        <f>IF(AND($E86=Subj_OccCode,Subj_BldgSF&gt;0,ABS($L86-Subj_BldgSF)&lt;=Subj_BldgSF*Subj_SizeTol),ABS($L86-Subj_BldgSF),NA())</f>
        <v/>
      </c>
      <c r="AJ86">
        <f>IF(ISNA(AI86),NA(),AI86+ROW()/10000000)</f>
        <v/>
      </c>
      <c r="AK86">
        <f>IF(AND(ISNUMBER($N86),$N86&gt;0,ISNUMBER($Y86)),$Y86/$N86,"")</f>
        <v/>
      </c>
    </row>
    <row r="87" ht="15" customHeight="1" s="518">
      <c r="A87" s="62" t="n">
        <v>7</v>
      </c>
      <c r="B87" s="59" t="n">
        <v>79</v>
      </c>
      <c r="C87" t="inlineStr">
        <is>
          <t>R0071002</t>
        </is>
      </c>
      <c r="D87" t="inlineStr">
        <is>
          <t>913 E 75TH AVE</t>
        </is>
      </c>
      <c r="E87" t="n">
        <v>406</v>
      </c>
      <c r="G87" t="inlineStr">
        <is>
          <t>5</t>
        </is>
      </c>
      <c r="H87" s="703">
        <f>Y87/J87</f>
        <v/>
      </c>
      <c r="I87" s="124" t="n">
        <v>45163</v>
      </c>
      <c r="J87" t="n">
        <v>26695</v>
      </c>
      <c r="K87" s="703" t="n"/>
      <c r="L87" t="n">
        <v>26695</v>
      </c>
      <c r="M87" t="n">
        <v>2000</v>
      </c>
      <c r="P87" t="inlineStr">
        <is>
          <t>Industrial</t>
        </is>
      </c>
      <c r="R87" t="inlineStr">
        <is>
          <t>Average</t>
        </is>
      </c>
      <c r="S87" t="n">
        <v>77615.21090000001</v>
      </c>
      <c r="T87" s="121">
        <f>S87/L87</f>
        <v/>
      </c>
      <c r="U87" t="inlineStr">
        <is>
          <t>Average</t>
        </is>
      </c>
      <c r="V87" s="121" t="n"/>
      <c r="W87" s="121" t="n"/>
      <c r="X87" s="121" t="n"/>
      <c r="Y87" s="705" t="n">
        <v>4300000</v>
      </c>
      <c r="Z87" s="705" t="n"/>
      <c r="AA87" s="705" t="n">
        <v>4300000</v>
      </c>
      <c r="AB87" s="705" t="n"/>
      <c r="AC87" t="inlineStr">
        <is>
          <t>0171935301030</t>
        </is>
      </c>
      <c r="AD87" t="inlineStr">
        <is>
          <t>2023000048787</t>
        </is>
      </c>
      <c r="AE87" s="575" t="inlineStr">
        <is>
          <t>INVESTORS PENCHANT ONE LLC</t>
        </is>
      </c>
      <c r="AF87" s="575" t="inlineStr">
        <is>
          <t>ES HOLDCO - 1100 WEST MISSISSIPPI AVENUE LLC 36.20% INT AND, ES HOLDCO -  et al.</t>
        </is>
      </c>
      <c r="AI87" s="59">
        <f>IF(AND($E87=Subj_OccCode,Subj_BldgSF&gt;0,ABS($L87-Subj_BldgSF)&lt;=Subj_BldgSF*Subj_SizeTol),ABS($L87-Subj_BldgSF),NA())</f>
        <v/>
      </c>
      <c r="AJ87">
        <f>IF(ISNA(AI87),NA(),AI87+ROW()/10000000)</f>
        <v/>
      </c>
      <c r="AK87">
        <f>IF(AND(ISNUMBER($N87),$N87&gt;0,ISNUMBER($Y87)),$Y87/$N87,"")</f>
        <v/>
      </c>
    </row>
    <row r="88" ht="15" customHeight="1" s="518">
      <c r="A88" s="62" t="n">
        <v>7</v>
      </c>
      <c r="B88" s="59" t="n">
        <v>80</v>
      </c>
      <c r="C88" t="inlineStr">
        <is>
          <t>R0002828</t>
        </is>
      </c>
      <c r="D88" t="inlineStr">
        <is>
          <t>108 WALNUT ST</t>
        </is>
      </c>
      <c r="E88" t="n">
        <v>406</v>
      </c>
      <c r="F88" t="inlineStr">
        <is>
          <t>BRIGHTON</t>
        </is>
      </c>
      <c r="G88" t="inlineStr">
        <is>
          <t>2</t>
        </is>
      </c>
      <c r="H88" s="703">
        <f>Y88/J88</f>
        <v/>
      </c>
      <c r="I88" s="124" t="n">
        <v>44887</v>
      </c>
      <c r="J88" t="n">
        <v>6540</v>
      </c>
      <c r="K88" s="703" t="n"/>
      <c r="L88" t="n">
        <v>6540</v>
      </c>
      <c r="M88" t="n">
        <v>1977</v>
      </c>
      <c r="P88" t="inlineStr">
        <is>
          <t>I-1-Bri</t>
        </is>
      </c>
      <c r="R88" t="inlineStr">
        <is>
          <t>Average</t>
        </is>
      </c>
      <c r="S88" t="n">
        <v>32975</v>
      </c>
      <c r="T88" s="121">
        <f>S88/L88</f>
        <v/>
      </c>
      <c r="U88" t="inlineStr">
        <is>
          <t>Average</t>
        </is>
      </c>
      <c r="V88" s="121" t="n"/>
      <c r="W88" s="121" t="n"/>
      <c r="X88" s="121" t="n"/>
      <c r="Y88" s="705" t="n">
        <v>1135900</v>
      </c>
      <c r="Z88" s="705" t="n"/>
      <c r="AA88" s="705" t="n">
        <v>1135900</v>
      </c>
      <c r="AB88" s="705" t="n"/>
      <c r="AC88" t="inlineStr">
        <is>
          <t>0156906313013</t>
        </is>
      </c>
      <c r="AD88" t="inlineStr">
        <is>
          <t>2022000092995</t>
        </is>
      </c>
      <c r="AE88" s="575" t="inlineStr">
        <is>
          <t>HARTIGAN PROPERTIES LLC</t>
        </is>
      </c>
      <c r="AF88" s="575" t="inlineStr">
        <is>
          <t>40 NORTH LLC</t>
        </is>
      </c>
      <c r="AI88" s="59">
        <f>IF(AND($E88=Subj_OccCode,Subj_BldgSF&gt;0,ABS($L88-Subj_BldgSF)&lt;=Subj_BldgSF*Subj_SizeTol),ABS($L88-Subj_BldgSF),NA())</f>
        <v/>
      </c>
      <c r="AJ88">
        <f>IF(ISNA(AI88),NA(),AI88+ROW()/10000000)</f>
        <v/>
      </c>
      <c r="AK88">
        <f>IF(AND(ISNUMBER($N88),$N88&gt;0,ISNUMBER($Y88)),$Y88/$N88,"")</f>
        <v/>
      </c>
    </row>
    <row r="89" ht="15" customHeight="1" s="518">
      <c r="A89" s="62" t="n">
        <v>7</v>
      </c>
      <c r="B89" s="59" t="n">
        <v>81</v>
      </c>
      <c r="C89" t="inlineStr">
        <is>
          <t>R0048498</t>
        </is>
      </c>
      <c r="D89" t="inlineStr">
        <is>
          <t>3821 W 88TH AVE</t>
        </is>
      </c>
      <c r="E89" t="n">
        <v>344</v>
      </c>
      <c r="G89" t="inlineStr">
        <is>
          <t>4</t>
        </is>
      </c>
      <c r="H89" s="703">
        <f>Y89/J89</f>
        <v/>
      </c>
      <c r="I89" s="124" t="n">
        <v>45394</v>
      </c>
      <c r="J89" t="n">
        <v>4590</v>
      </c>
      <c r="K89" s="703" t="n"/>
      <c r="L89" t="n">
        <v>4590</v>
      </c>
      <c r="M89" t="n">
        <v>1993</v>
      </c>
      <c r="P89" t="inlineStr">
        <is>
          <t>Commercial</t>
        </is>
      </c>
      <c r="R89" t="inlineStr">
        <is>
          <t>Average</t>
        </is>
      </c>
      <c r="S89" t="n">
        <v>15400</v>
      </c>
      <c r="T89" s="121">
        <f>S89/L89</f>
        <v/>
      </c>
      <c r="U89" t="inlineStr">
        <is>
          <t>Average</t>
        </is>
      </c>
      <c r="V89" s="121" t="n"/>
      <c r="W89" s="121" t="n"/>
      <c r="X89" s="121" t="n"/>
      <c r="Y89" s="705" t="n">
        <v>1600000</v>
      </c>
      <c r="Z89" s="705" t="n"/>
      <c r="AA89" s="705" t="n">
        <v>1600000</v>
      </c>
      <c r="AB89" s="705" t="n"/>
      <c r="AC89" t="inlineStr">
        <is>
          <t>0171919413057</t>
        </is>
      </c>
      <c r="AD89" t="inlineStr">
        <is>
          <t>2024000019155</t>
        </is>
      </c>
      <c r="AE89" s="575" t="inlineStr">
        <is>
          <t>JRM ESTATES LLC</t>
        </is>
      </c>
      <c r="AF89" s="575" t="inlineStr">
        <is>
          <t>LFE STATION LLC</t>
        </is>
      </c>
      <c r="AI89" s="59">
        <f>IF(AND($E89=Subj_OccCode,Subj_BldgSF&gt;0,ABS($L89-Subj_BldgSF)&lt;=Subj_BldgSF*Subj_SizeTol),ABS($L89-Subj_BldgSF),NA())</f>
        <v/>
      </c>
      <c r="AJ89">
        <f>IF(ISNA(AI89),NA(),AI89+ROW()/10000000)</f>
        <v/>
      </c>
      <c r="AK89">
        <f>IF(AND(ISNUMBER($N89),$N89&gt;0,ISNUMBER($Y89)),$Y89/$N89,"")</f>
        <v/>
      </c>
    </row>
    <row r="90" ht="15" customHeight="1" s="518">
      <c r="A90" s="62" t="n">
        <v>7</v>
      </c>
      <c r="B90" s="59" t="n">
        <v>82</v>
      </c>
      <c r="C90" t="inlineStr">
        <is>
          <t>R0084314</t>
        </is>
      </c>
      <c r="D90" t="inlineStr">
        <is>
          <t>13801 E SMITH DR</t>
        </is>
      </c>
      <c r="E90" t="n">
        <v>425</v>
      </c>
      <c r="F90" t="inlineStr">
        <is>
          <t>AURORA</t>
        </is>
      </c>
      <c r="G90" t="inlineStr">
        <is>
          <t>6</t>
        </is>
      </c>
      <c r="H90" s="703">
        <f>Y90/J90</f>
        <v/>
      </c>
      <c r="I90" s="124" t="n">
        <v>44953</v>
      </c>
      <c r="J90" t="n">
        <v>8943</v>
      </c>
      <c r="K90" s="703" t="n"/>
      <c r="L90" t="n">
        <v>8943</v>
      </c>
      <c r="M90" t="n">
        <v>1982</v>
      </c>
      <c r="P90" t="inlineStr">
        <is>
          <t>M-1-Aur</t>
        </is>
      </c>
      <c r="R90" t="inlineStr">
        <is>
          <t>Average</t>
        </is>
      </c>
      <c r="S90" t="n">
        <v>6313</v>
      </c>
      <c r="T90" s="121">
        <f>S90/L90</f>
        <v/>
      </c>
      <c r="U90" t="inlineStr">
        <is>
          <t>Average</t>
        </is>
      </c>
      <c r="V90" s="121" t="n"/>
      <c r="W90" s="121" t="n"/>
      <c r="X90" s="121" t="n"/>
      <c r="Y90" s="705" t="n">
        <v>300000</v>
      </c>
      <c r="Z90" s="705" t="n"/>
      <c r="AA90" s="705" t="n">
        <v>300000</v>
      </c>
      <c r="AB90" s="705" t="n"/>
      <c r="AC90" t="inlineStr">
        <is>
          <t>0182130013014</t>
        </is>
      </c>
      <c r="AD90" t="inlineStr">
        <is>
          <t>2023000004917</t>
        </is>
      </c>
      <c r="AE90" s="575" t="inlineStr">
        <is>
          <t>FAGGETT ROBERT L</t>
        </is>
      </c>
      <c r="AF90" s="575" t="inlineStr">
        <is>
          <t>A-PLUS TARGET LLC</t>
        </is>
      </c>
      <c r="AI90" s="59">
        <f>IF(AND($E90=Subj_OccCode,Subj_BldgSF&gt;0,ABS($L90-Subj_BldgSF)&lt;=Subj_BldgSF*Subj_SizeTol),ABS($L90-Subj_BldgSF),NA())</f>
        <v/>
      </c>
      <c r="AJ90">
        <f>IF(ISNA(AI90),NA(),AI90+ROW()/10000000)</f>
        <v/>
      </c>
      <c r="AK90">
        <f>IF(AND(ISNUMBER($N90),$N90&gt;0,ISNUMBER($Y90)),$Y90/$N90,"")</f>
        <v/>
      </c>
    </row>
    <row r="91" ht="15" customHeight="1" s="518">
      <c r="A91" s="62" t="n">
        <v>7</v>
      </c>
      <c r="B91" s="59" t="n">
        <v>83</v>
      </c>
      <c r="C91" t="inlineStr">
        <is>
          <t>R0092785</t>
        </is>
      </c>
      <c r="D91" t="inlineStr">
        <is>
          <t>4810 OLIVE ST</t>
        </is>
      </c>
      <c r="E91" t="n">
        <v>325</v>
      </c>
      <c r="F91" t="inlineStr">
        <is>
          <t>COMMERCE CITY</t>
        </is>
      </c>
      <c r="G91" t="inlineStr">
        <is>
          <t>5</t>
        </is>
      </c>
      <c r="H91" s="703">
        <f>Y91/J91</f>
        <v/>
      </c>
      <c r="I91" s="124" t="n">
        <v>44830</v>
      </c>
      <c r="J91" t="n">
        <v>4214</v>
      </c>
      <c r="K91" s="703" t="n"/>
      <c r="L91" t="n">
        <v>4214</v>
      </c>
      <c r="M91" t="n">
        <v>1972</v>
      </c>
      <c r="P91" t="inlineStr">
        <is>
          <t>I-1S</t>
        </is>
      </c>
      <c r="R91" t="inlineStr">
        <is>
          <t>Average</t>
        </is>
      </c>
      <c r="S91" t="n">
        <v>35896</v>
      </c>
      <c r="T91" s="121">
        <f>S91/L91</f>
        <v/>
      </c>
      <c r="U91" t="inlineStr">
        <is>
          <t>Average</t>
        </is>
      </c>
      <c r="V91" s="121" t="n"/>
      <c r="W91" s="121" t="n"/>
      <c r="X91" s="121" t="n"/>
      <c r="Y91" s="705" t="n">
        <v>1475000</v>
      </c>
      <c r="Z91" s="705" t="n"/>
      <c r="AA91" s="705" t="n">
        <v>1475000</v>
      </c>
      <c r="AB91" s="705" t="n"/>
      <c r="AC91" t="inlineStr">
        <is>
          <t>0182317409015</t>
        </is>
      </c>
      <c r="AD91" t="inlineStr">
        <is>
          <t>2022000080335</t>
        </is>
      </c>
      <c r="AE91" s="575" t="inlineStr">
        <is>
          <t xml:space="preserve">HAFER DONALD J, BROWN PATRICIA A, </t>
        </is>
      </c>
      <c r="AF91" s="575" t="inlineStr">
        <is>
          <t>COLORADO BUS PROPERTIES LLC</t>
        </is>
      </c>
      <c r="AI91" s="59">
        <f>IF(AND($E91=Subj_OccCode,Subj_BldgSF&gt;0,ABS($L91-Subj_BldgSF)&lt;=Subj_BldgSF*Subj_SizeTol),ABS($L91-Subj_BldgSF),NA())</f>
        <v/>
      </c>
      <c r="AJ91">
        <f>IF(ISNA(AI91),NA(),AI91+ROW()/10000000)</f>
        <v/>
      </c>
      <c r="AK91">
        <f>IF(AND(ISNUMBER($N91),$N91&gt;0,ISNUMBER($Y91)),$Y91/$N91,"")</f>
        <v/>
      </c>
    </row>
    <row r="92" ht="15" customHeight="1" s="518">
      <c r="A92" s="62" t="n">
        <v>7</v>
      </c>
      <c r="B92" s="59" t="n">
        <v>84</v>
      </c>
      <c r="C92" t="inlineStr">
        <is>
          <t>R0095688</t>
        </is>
      </c>
      <c r="D92" t="inlineStr">
        <is>
          <t>10455 E COLFAX AVE</t>
        </is>
      </c>
      <c r="E92" t="n">
        <v>353</v>
      </c>
      <c r="F92" t="inlineStr">
        <is>
          <t>AURORA</t>
        </is>
      </c>
      <c r="G92" t="inlineStr">
        <is>
          <t>6</t>
        </is>
      </c>
      <c r="H92" s="703">
        <f>Y92/J92</f>
        <v/>
      </c>
      <c r="I92" s="124" t="n">
        <v>45427</v>
      </c>
      <c r="J92" t="n">
        <v>4291</v>
      </c>
      <c r="K92" s="703" t="n"/>
      <c r="L92" t="n">
        <v>4291</v>
      </c>
      <c r="M92" t="n">
        <v>1964</v>
      </c>
      <c r="P92" t="inlineStr">
        <is>
          <t>OA-G</t>
        </is>
      </c>
      <c r="R92" t="inlineStr">
        <is>
          <t>Average</t>
        </is>
      </c>
      <c r="S92" t="n">
        <v>18766.2</v>
      </c>
      <c r="T92" s="121">
        <f>S92/L92</f>
        <v/>
      </c>
      <c r="U92" t="inlineStr">
        <is>
          <t>Average</t>
        </is>
      </c>
      <c r="V92" s="121" t="n"/>
      <c r="W92" s="121" t="n"/>
      <c r="X92" s="121" t="n"/>
      <c r="Y92" s="705" t="n">
        <v>2100000</v>
      </c>
      <c r="Z92" s="705" t="n"/>
      <c r="AA92" s="705" t="n">
        <v>2100000</v>
      </c>
      <c r="AB92" s="705" t="n"/>
      <c r="AC92" t="inlineStr">
        <is>
          <t>0182334430010</t>
        </is>
      </c>
      <c r="AD92" t="inlineStr">
        <is>
          <t>2024000025960</t>
        </is>
      </c>
      <c r="AE92" s="575" t="inlineStr">
        <is>
          <t>PARK WEST INVESTMENTS LLC</t>
        </is>
      </c>
      <c r="AF92" s="575" t="inlineStr">
        <is>
          <t>CO BEST PROP 1 LLC</t>
        </is>
      </c>
      <c r="AI92" s="59">
        <f>IF(AND($E92=Subj_OccCode,Subj_BldgSF&gt;0,ABS($L92-Subj_BldgSF)&lt;=Subj_BldgSF*Subj_SizeTol),ABS($L92-Subj_BldgSF),NA())</f>
        <v/>
      </c>
      <c r="AJ92">
        <f>IF(ISNA(AI92),NA(),AI92+ROW()/10000000)</f>
        <v/>
      </c>
      <c r="AK92">
        <f>IF(AND(ISNUMBER($N92),$N92&gt;0,ISNUMBER($Y92)),$Y92/$N92,"")</f>
        <v/>
      </c>
    </row>
    <row r="93" ht="15" customHeight="1" s="518">
      <c r="A93" s="62" t="n">
        <v>7</v>
      </c>
      <c r="B93" s="59" t="n">
        <v>85</v>
      </c>
      <c r="C93" t="inlineStr">
        <is>
          <t>R0098189</t>
        </is>
      </c>
      <c r="D93" t="inlineStr">
        <is>
          <t>6500 FRANKLIN ST</t>
        </is>
      </c>
      <c r="E93" t="n">
        <v>406</v>
      </c>
      <c r="G93" t="inlineStr">
        <is>
          <t>5</t>
        </is>
      </c>
      <c r="H93" s="703">
        <f>Y93/J93</f>
        <v/>
      </c>
      <c r="I93" s="124" t="n">
        <v>45142</v>
      </c>
      <c r="J93" t="n">
        <v>20040</v>
      </c>
      <c r="K93" s="703" t="n"/>
      <c r="L93" t="n">
        <v>20040</v>
      </c>
      <c r="M93" t="n">
        <v>2000</v>
      </c>
      <c r="P93" t="inlineStr">
        <is>
          <t>Industrial</t>
        </is>
      </c>
      <c r="R93" t="inlineStr">
        <is>
          <t>Average</t>
        </is>
      </c>
      <c r="S93" t="n">
        <v>94176.72</v>
      </c>
      <c r="T93" s="121">
        <f>S93/L93</f>
        <v/>
      </c>
      <c r="U93" t="inlineStr">
        <is>
          <t>Average</t>
        </is>
      </c>
      <c r="V93" s="121" t="n"/>
      <c r="W93" s="121" t="n"/>
      <c r="X93" s="121" t="n"/>
      <c r="Y93" s="705" t="n">
        <v>3100000</v>
      </c>
      <c r="Z93" s="705" t="n"/>
      <c r="AA93" s="705" t="n">
        <v>3100000</v>
      </c>
      <c r="AB93" s="705" t="n"/>
      <c r="AC93" t="inlineStr">
        <is>
          <t>0182502403002</t>
        </is>
      </c>
      <c r="AD93" t="inlineStr">
        <is>
          <t>2023000044907</t>
        </is>
      </c>
      <c r="AE93" s="575" t="inlineStr">
        <is>
          <t>RAYFIELD PROPERTIES LLC</t>
        </is>
      </c>
      <c r="AF93" s="575" t="inlineStr">
        <is>
          <t>FRANKLIN FLEX LLC</t>
        </is>
      </c>
      <c r="AI93" s="59">
        <f>IF(AND($E93=Subj_OccCode,Subj_BldgSF&gt;0,ABS($L93-Subj_BldgSF)&lt;=Subj_BldgSF*Subj_SizeTol),ABS($L93-Subj_BldgSF),NA())</f>
        <v/>
      </c>
      <c r="AJ93">
        <f>IF(ISNA(AI93),NA(),AI93+ROW()/10000000)</f>
        <v/>
      </c>
      <c r="AK93">
        <f>IF(AND(ISNUMBER($N93),$N93&gt;0,ISNUMBER($Y93)),$Y93/$N93,"")</f>
        <v/>
      </c>
    </row>
    <row r="94" ht="15" customHeight="1" s="518">
      <c r="A94" s="62" t="n">
        <v>7</v>
      </c>
      <c r="B94" s="59" t="n">
        <v>86</v>
      </c>
      <c r="C94" t="inlineStr">
        <is>
          <t>R0099614</t>
        </is>
      </c>
      <c r="D94" t="inlineStr">
        <is>
          <t>6899 PECOS ST</t>
        </is>
      </c>
      <c r="E94" t="n">
        <v>407</v>
      </c>
      <c r="G94" t="inlineStr">
        <is>
          <t>4</t>
        </is>
      </c>
      <c r="H94" s="703">
        <f>Y94/J94</f>
        <v/>
      </c>
      <c r="I94" s="124" t="n">
        <v>44792</v>
      </c>
      <c r="J94" t="n">
        <v>11040</v>
      </c>
      <c r="K94" s="703" t="n"/>
      <c r="L94" t="n">
        <v>11040</v>
      </c>
      <c r="M94" t="n">
        <v>2000</v>
      </c>
      <c r="P94" t="inlineStr">
        <is>
          <t>Planned Unit Development</t>
        </is>
      </c>
      <c r="R94" t="inlineStr">
        <is>
          <t>Average</t>
        </is>
      </c>
      <c r="S94" t="n">
        <v>36887</v>
      </c>
      <c r="T94" s="121">
        <f>S94/L94</f>
        <v/>
      </c>
      <c r="U94" t="inlineStr">
        <is>
          <t>Average</t>
        </is>
      </c>
      <c r="V94" s="121" t="n"/>
      <c r="W94" s="121" t="n"/>
      <c r="X94" s="121" t="n"/>
      <c r="Y94" s="705" t="n">
        <v>1975000</v>
      </c>
      <c r="Z94" s="705" t="n"/>
      <c r="AA94" s="705" t="n">
        <v>1975000</v>
      </c>
      <c r="AB94" s="705" t="n"/>
      <c r="AC94" t="inlineStr">
        <is>
          <t>0182504223003</t>
        </is>
      </c>
      <c r="AD94" t="inlineStr">
        <is>
          <t>2022000070784</t>
        </is>
      </c>
      <c r="AE94" s="575" t="inlineStr">
        <is>
          <t>L AND H LLC</t>
        </is>
      </c>
      <c r="AF94" s="575" t="inlineStr">
        <is>
          <t>PROMEETHEA LLC</t>
        </is>
      </c>
      <c r="AI94" s="59">
        <f>IF(AND($E94=Subj_OccCode,Subj_BldgSF&gt;0,ABS($L94-Subj_BldgSF)&lt;=Subj_BldgSF*Subj_SizeTol),ABS($L94-Subj_BldgSF),NA())</f>
        <v/>
      </c>
      <c r="AJ94">
        <f>IF(ISNA(AI94),NA(),AI94+ROW()/10000000)</f>
        <v/>
      </c>
      <c r="AK94">
        <f>IF(AND(ISNUMBER($N94),$N94&gt;0,ISNUMBER($Y94)),$Y94/$N94,"")</f>
        <v/>
      </c>
    </row>
    <row r="95" ht="15" customHeight="1" s="518">
      <c r="A95" s="62" t="n">
        <v>7</v>
      </c>
      <c r="B95" s="59" t="n">
        <v>87</v>
      </c>
      <c r="C95" t="inlineStr">
        <is>
          <t>R0103659</t>
        </is>
      </c>
      <c r="D95" t="inlineStr">
        <is>
          <t>6335 DOWNING ST</t>
        </is>
      </c>
      <c r="E95" t="n">
        <v>407</v>
      </c>
      <c r="G95" t="inlineStr">
        <is>
          <t>5</t>
        </is>
      </c>
      <c r="H95" s="703">
        <f>Y95/J95</f>
        <v/>
      </c>
      <c r="I95" s="124" t="n">
        <v>45468</v>
      </c>
      <c r="J95" t="n">
        <v>15000</v>
      </c>
      <c r="K95" s="703" t="n"/>
      <c r="L95" t="n">
        <v>15000</v>
      </c>
      <c r="M95" t="n">
        <v>1998</v>
      </c>
      <c r="P95" t="inlineStr">
        <is>
          <t>Industrial</t>
        </is>
      </c>
      <c r="R95" t="inlineStr">
        <is>
          <t>Average</t>
        </is>
      </c>
      <c r="S95" t="n">
        <v>93654</v>
      </c>
      <c r="T95" s="121">
        <f>S95/L95</f>
        <v/>
      </c>
      <c r="U95" t="inlineStr">
        <is>
          <t>Average</t>
        </is>
      </c>
      <c r="V95" s="121" t="n"/>
      <c r="W95" s="121" t="n"/>
      <c r="X95" s="121" t="n"/>
      <c r="Y95" s="705" t="n">
        <v>4650000</v>
      </c>
      <c r="Z95" s="705" t="n"/>
      <c r="AA95" s="705" t="n">
        <v>4650000</v>
      </c>
      <c r="AB95" s="705" t="n"/>
      <c r="AC95" t="inlineStr">
        <is>
          <t>0182511202020</t>
        </is>
      </c>
      <c r="AD95" t="inlineStr">
        <is>
          <t>2024000034448</t>
        </is>
      </c>
      <c r="AE95" s="575" t="inlineStr">
        <is>
          <t>MURPHY WILLIAM R JR</t>
        </is>
      </c>
      <c r="AF95" s="575" t="inlineStr">
        <is>
          <t>SCOTT ACKERMAN FAMILY LLC</t>
        </is>
      </c>
      <c r="AI95" s="59">
        <f>IF(AND($E95=Subj_OccCode,Subj_BldgSF&gt;0,ABS($L95-Subj_BldgSF)&lt;=Subj_BldgSF*Subj_SizeTol),ABS($L95-Subj_BldgSF),NA())</f>
        <v/>
      </c>
      <c r="AJ95">
        <f>IF(ISNA(AI95),NA(),AI95+ROW()/10000000)</f>
        <v/>
      </c>
      <c r="AK95">
        <f>IF(AND(ISNUMBER($N95),$N95&gt;0,ISNUMBER($Y95)),$Y95/$N95,"")</f>
        <v/>
      </c>
    </row>
    <row r="96" ht="15" customHeight="1" s="518">
      <c r="A96" s="62" t="n">
        <v>7</v>
      </c>
      <c r="B96" s="59" t="n">
        <v>88</v>
      </c>
      <c r="C96" t="inlineStr">
        <is>
          <t>R0103801</t>
        </is>
      </c>
      <c r="D96" t="inlineStr">
        <is>
          <t>5670 FRANKLIN ST</t>
        </is>
      </c>
      <c r="E96" t="n">
        <v>407</v>
      </c>
      <c r="G96" t="inlineStr">
        <is>
          <t>5</t>
        </is>
      </c>
      <c r="H96" s="703">
        <f>Y96/J96</f>
        <v/>
      </c>
      <c r="I96" s="124" t="n">
        <v>44914</v>
      </c>
      <c r="J96" t="n">
        <v>30065</v>
      </c>
      <c r="K96" s="703" t="n"/>
      <c r="L96" t="n">
        <v>30065</v>
      </c>
      <c r="M96" t="n">
        <v>1982</v>
      </c>
      <c r="P96" t="inlineStr">
        <is>
          <t>Industrial</t>
        </is>
      </c>
      <c r="R96" t="inlineStr">
        <is>
          <t>Average</t>
        </is>
      </c>
      <c r="S96" t="n">
        <v>237402</v>
      </c>
      <c r="T96" s="121">
        <f>S96/L96</f>
        <v/>
      </c>
      <c r="U96" t="inlineStr">
        <is>
          <t>Average</t>
        </is>
      </c>
      <c r="V96" s="121" t="n"/>
      <c r="W96" s="121" t="n"/>
      <c r="X96" s="121" t="n"/>
      <c r="Y96" s="705" t="n">
        <v>8400000</v>
      </c>
      <c r="Z96" s="705" t="n"/>
      <c r="AA96" s="705" t="n">
        <v>8400000</v>
      </c>
      <c r="AB96" s="705" t="n"/>
      <c r="AC96" t="inlineStr">
        <is>
          <t>0182511411007</t>
        </is>
      </c>
      <c r="AD96" t="inlineStr">
        <is>
          <t>2022000098088</t>
        </is>
      </c>
      <c r="AE96" s="575" t="inlineStr">
        <is>
          <t>HAMON LLC</t>
        </is>
      </c>
      <c r="AF96" s="575" t="inlineStr">
        <is>
          <t>VIA MOBILITY SERVICES</t>
        </is>
      </c>
      <c r="AI96" s="59">
        <f>IF(AND($E96=Subj_OccCode,Subj_BldgSF&gt;0,ABS($L96-Subj_BldgSF)&lt;=Subj_BldgSF*Subj_SizeTol),ABS($L96-Subj_BldgSF),NA())</f>
        <v/>
      </c>
      <c r="AJ96">
        <f>IF(ISNA(AI96),NA(),AI96+ROW()/10000000)</f>
        <v/>
      </c>
      <c r="AK96">
        <f>IF(AND(ISNUMBER($N96),$N96&gt;0,ISNUMBER($Y96)),$Y96/$N96,"")</f>
        <v/>
      </c>
    </row>
    <row r="97" ht="15" customHeight="1" s="518">
      <c r="A97" s="62" t="n">
        <v>7</v>
      </c>
      <c r="B97" s="59" t="n">
        <v>89</v>
      </c>
      <c r="C97" t="inlineStr">
        <is>
          <t>R0141272</t>
        </is>
      </c>
      <c r="D97" t="inlineStr">
        <is>
          <t xml:space="preserve">7880 WASHINGTON ST </t>
        </is>
      </c>
      <c r="E97" t="n">
        <v>325</v>
      </c>
      <c r="G97" t="inlineStr">
        <is>
          <t>4</t>
        </is>
      </c>
      <c r="H97" s="703">
        <f>Y97/J97</f>
        <v/>
      </c>
      <c r="I97" s="124" t="n">
        <v>45210</v>
      </c>
      <c r="J97" t="n">
        <v>16500</v>
      </c>
      <c r="K97" s="703" t="n"/>
      <c r="L97" t="n">
        <v>16500</v>
      </c>
      <c r="M97" t="n">
        <v>2003</v>
      </c>
      <c r="P97" t="inlineStr">
        <is>
          <t>Planned Unit Development</t>
        </is>
      </c>
      <c r="R97" t="inlineStr">
        <is>
          <t>Average</t>
        </is>
      </c>
      <c r="S97" t="n">
        <v>68986</v>
      </c>
      <c r="T97" s="121">
        <f>S97/L97</f>
        <v/>
      </c>
      <c r="U97" t="inlineStr">
        <is>
          <t>Average</t>
        </is>
      </c>
      <c r="V97" s="121" t="n"/>
      <c r="W97" s="121" t="n"/>
      <c r="X97" s="121" t="n"/>
      <c r="Y97" s="705" t="n">
        <v>2765000</v>
      </c>
      <c r="Z97" s="705" t="n"/>
      <c r="AA97" s="705" t="n">
        <v>2765000</v>
      </c>
      <c r="AB97" s="705" t="n"/>
      <c r="AC97" t="inlineStr">
        <is>
          <t>0171935225028</t>
        </is>
      </c>
      <c r="AD97" t="inlineStr">
        <is>
          <t>2023000057902</t>
        </is>
      </c>
      <c r="AE97" s="575" t="inlineStr">
        <is>
          <t>CHAI INVESTMENTS LLC</t>
        </is>
      </c>
      <c r="AF97" s="575" t="inlineStr">
        <is>
          <t>DENVER WASHINGTON ST LLC</t>
        </is>
      </c>
      <c r="AI97" s="59">
        <f>IF(AND($E97=Subj_OccCode,Subj_BldgSF&gt;0,ABS($L97-Subj_BldgSF)&lt;=Subj_BldgSF*Subj_SizeTol),ABS($L97-Subj_BldgSF),NA())</f>
        <v/>
      </c>
      <c r="AJ97">
        <f>IF(ISNA(AI97),NA(),AI97+ROW()/10000000)</f>
        <v/>
      </c>
      <c r="AK97">
        <f>IF(AND(ISNUMBER($N97),$N97&gt;0,ISNUMBER($Y97)),$Y97/$N97,"")</f>
        <v/>
      </c>
    </row>
    <row r="98" ht="15" customHeight="1" s="518">
      <c r="A98" s="62" t="n">
        <v>7</v>
      </c>
      <c r="B98" s="59" t="n">
        <v>90</v>
      </c>
      <c r="C98" t="inlineStr">
        <is>
          <t>R0147285</t>
        </is>
      </c>
      <c r="D98" t="inlineStr">
        <is>
          <t>6351 BEACH ST</t>
        </is>
      </c>
      <c r="E98" t="n">
        <v>407</v>
      </c>
      <c r="G98" t="inlineStr">
        <is>
          <t>5</t>
        </is>
      </c>
      <c r="H98" s="703">
        <f>Y98/J98</f>
        <v/>
      </c>
      <c r="I98" s="124" t="n">
        <v>44865</v>
      </c>
      <c r="J98" t="n">
        <v>12461</v>
      </c>
      <c r="K98" s="703" t="n"/>
      <c r="L98" t="n">
        <v>12461</v>
      </c>
      <c r="M98" t="n">
        <v>2001</v>
      </c>
      <c r="P98" t="inlineStr">
        <is>
          <t>Planned Unit Development</t>
        </is>
      </c>
      <c r="R98" t="inlineStr">
        <is>
          <t>Very Good</t>
        </is>
      </c>
      <c r="S98" t="n">
        <v>43560</v>
      </c>
      <c r="T98" s="121">
        <f>S98/L98</f>
        <v/>
      </c>
      <c r="U98" t="inlineStr">
        <is>
          <t>Very Good</t>
        </is>
      </c>
      <c r="V98" s="121" t="n"/>
      <c r="W98" s="121" t="n"/>
      <c r="X98" s="121" t="n"/>
      <c r="Y98" s="705" t="n">
        <v>3100000</v>
      </c>
      <c r="Z98" s="705" t="n"/>
      <c r="AA98" s="705" t="n">
        <v>3100000</v>
      </c>
      <c r="AB98" s="705" t="n"/>
      <c r="AC98" t="inlineStr">
        <is>
          <t>0182508105003</t>
        </is>
      </c>
      <c r="AD98" t="inlineStr">
        <is>
          <t>2022000097630</t>
        </is>
      </c>
      <c r="AE98" s="575" t="inlineStr">
        <is>
          <t>67TH STREET ACQUISITIONS LLC</t>
        </is>
      </c>
      <c r="AF98" s="575" t="inlineStr">
        <is>
          <t>J AND R SERVICES LLC</t>
        </is>
      </c>
      <c r="AI98" s="59">
        <f>IF(AND($E98=Subj_OccCode,Subj_BldgSF&gt;0,ABS($L98-Subj_BldgSF)&lt;=Subj_BldgSF*Subj_SizeTol),ABS($L98-Subj_BldgSF),NA())</f>
        <v/>
      </c>
      <c r="AJ98">
        <f>IF(ISNA(AI98),NA(),AI98+ROW()/10000000)</f>
        <v/>
      </c>
      <c r="AK98">
        <f>IF(AND(ISNUMBER($N98),$N98&gt;0,ISNUMBER($Y98)),$Y98/$N98,"")</f>
        <v/>
      </c>
    </row>
    <row r="99" ht="15" customHeight="1" s="518">
      <c r="A99" s="62" t="n">
        <v>7</v>
      </c>
      <c r="B99" s="59" t="n">
        <v>91</v>
      </c>
      <c r="C99" t="inlineStr">
        <is>
          <t>R0167019</t>
        </is>
      </c>
      <c r="D99" t="inlineStr">
        <is>
          <t>6271 BEACH ST #E</t>
        </is>
      </c>
      <c r="E99" t="n">
        <v>425</v>
      </c>
      <c r="G99" t="inlineStr">
        <is>
          <t>5</t>
        </is>
      </c>
      <c r="H99" s="703">
        <f>Y99/J99</f>
        <v/>
      </c>
      <c r="I99" s="124" t="n">
        <v>45184</v>
      </c>
      <c r="J99" t="n">
        <v>22138</v>
      </c>
      <c r="K99" s="703" t="n"/>
      <c r="L99" t="n">
        <v>22138</v>
      </c>
      <c r="M99" t="n">
        <v>2005</v>
      </c>
      <c r="P99" t="inlineStr">
        <is>
          <t>Planned Unit Development</t>
        </is>
      </c>
      <c r="R99" t="inlineStr">
        <is>
          <t>Average</t>
        </is>
      </c>
      <c r="S99" t="n">
        <v>13402</v>
      </c>
      <c r="T99" s="121">
        <f>S99/L99</f>
        <v/>
      </c>
      <c r="U99" t="inlineStr">
        <is>
          <t>Average</t>
        </is>
      </c>
      <c r="V99" s="121" t="n"/>
      <c r="W99" s="121" t="n"/>
      <c r="X99" s="121" t="n"/>
      <c r="Y99" s="705" t="n">
        <v>795000</v>
      </c>
      <c r="Z99" s="705" t="n"/>
      <c r="AA99" s="705" t="n">
        <v>795000</v>
      </c>
      <c r="AB99" s="705" t="n"/>
      <c r="AC99" t="inlineStr">
        <is>
          <t>0182508105015</t>
        </is>
      </c>
      <c r="AD99" t="inlineStr">
        <is>
          <t>2023000053031</t>
        </is>
      </c>
      <c r="AE99" s="575" t="inlineStr">
        <is>
          <t>GRAEME JOHNSTON LLC</t>
        </is>
      </c>
      <c r="AF99" s="575" t="inlineStr">
        <is>
          <t>DMG MARBLE &amp; GRANITE DESIGNER INC</t>
        </is>
      </c>
      <c r="AI99" s="59">
        <f>IF(AND($E99=Subj_OccCode,Subj_BldgSF&gt;0,ABS($L99-Subj_BldgSF)&lt;=Subj_BldgSF*Subj_SizeTol),ABS($L99-Subj_BldgSF),NA())</f>
        <v/>
      </c>
      <c r="AJ99">
        <f>IF(ISNA(AI99),NA(),AI99+ROW()/10000000)</f>
        <v/>
      </c>
      <c r="AK99">
        <f>IF(AND(ISNUMBER($N99),$N99&gt;0,ISNUMBER($Y99)),$Y99/$N99,"")</f>
        <v/>
      </c>
    </row>
    <row r="100" ht="15" customHeight="1" s="518">
      <c r="A100" s="62" t="n">
        <v>7</v>
      </c>
      <c r="B100" s="59" t="n">
        <v>92</v>
      </c>
      <c r="C100" t="inlineStr">
        <is>
          <t>R0168920</t>
        </is>
      </c>
      <c r="D100" t="inlineStr">
        <is>
          <t>12045 MOLINE ST</t>
        </is>
      </c>
      <c r="E100" t="n">
        <v>386</v>
      </c>
      <c r="F100" t="inlineStr">
        <is>
          <t>BRIGHTON</t>
        </is>
      </c>
      <c r="G100" t="inlineStr">
        <is>
          <t>3</t>
        </is>
      </c>
      <c r="H100" s="703">
        <f>Y100/J100</f>
        <v/>
      </c>
      <c r="I100" s="124" t="n">
        <v>45398</v>
      </c>
      <c r="J100" t="n">
        <v>32145</v>
      </c>
      <c r="K100" s="703" t="n"/>
      <c r="L100" t="n">
        <v>32145</v>
      </c>
      <c r="M100" t="n">
        <v>2006</v>
      </c>
      <c r="P100" t="inlineStr">
        <is>
          <t>I-1-Bri</t>
        </is>
      </c>
      <c r="R100" t="inlineStr">
        <is>
          <t>Average</t>
        </is>
      </c>
      <c r="S100" t="n">
        <v>93249</v>
      </c>
      <c r="T100" s="121">
        <f>S100/L100</f>
        <v/>
      </c>
      <c r="U100" t="inlineStr">
        <is>
          <t>Average</t>
        </is>
      </c>
      <c r="V100" s="121" t="n"/>
      <c r="W100" s="121" t="n"/>
      <c r="X100" s="121" t="n"/>
      <c r="Y100" s="705" t="n">
        <v>3500000</v>
      </c>
      <c r="Z100" s="705" t="n"/>
      <c r="AA100" s="705" t="n">
        <v>3500000</v>
      </c>
      <c r="AB100" s="705" t="n"/>
      <c r="AC100" t="inlineStr">
        <is>
          <t>0157135401006</t>
        </is>
      </c>
      <c r="AD100" t="inlineStr">
        <is>
          <t>2024000020443</t>
        </is>
      </c>
      <c r="AE100" s="575" t="inlineStr">
        <is>
          <t>ALL SECURE SELF STORAGE LLC</t>
        </is>
      </c>
      <c r="AF100" s="575" t="inlineStr">
        <is>
          <t>MHC 282 (HENDERSON CO) LLC</t>
        </is>
      </c>
      <c r="AI100" s="59">
        <f>IF(AND($E100=Subj_OccCode,Subj_BldgSF&gt;0,ABS($L100-Subj_BldgSF)&lt;=Subj_BldgSF*Subj_SizeTol),ABS($L100-Subj_BldgSF),NA())</f>
        <v/>
      </c>
      <c r="AJ100">
        <f>IF(ISNA(AI100),NA(),AI100+ROW()/10000000)</f>
        <v/>
      </c>
      <c r="AK100">
        <f>IF(AND(ISNUMBER($N100),$N100&gt;0,ISNUMBER($Y100)),$Y100/$N100,"")</f>
        <v/>
      </c>
    </row>
    <row r="101" ht="15" customHeight="1" s="518">
      <c r="A101" s="62" t="n">
        <v>7</v>
      </c>
      <c r="B101" s="59" t="n">
        <v>93</v>
      </c>
      <c r="C101" t="inlineStr">
        <is>
          <t>R0173183</t>
        </is>
      </c>
      <c r="D101" t="inlineStr">
        <is>
          <t>5454 WASHINGTON ST #4</t>
        </is>
      </c>
      <c r="E101" t="n">
        <v>425</v>
      </c>
      <c r="G101" t="inlineStr">
        <is>
          <t>5</t>
        </is>
      </c>
      <c r="H101" s="703">
        <f>Y101/J101</f>
        <v/>
      </c>
      <c r="I101" s="124" t="n">
        <v>44747</v>
      </c>
      <c r="J101" t="n">
        <v>34740</v>
      </c>
      <c r="K101" s="703" t="n"/>
      <c r="L101" t="n">
        <v>34740</v>
      </c>
      <c r="M101" t="n">
        <v>1985</v>
      </c>
      <c r="P101" t="inlineStr">
        <is>
          <t>Industrial</t>
        </is>
      </c>
      <c r="R101" t="inlineStr">
        <is>
          <t>Average</t>
        </is>
      </c>
      <c r="S101" t="n">
        <v>7920</v>
      </c>
      <c r="T101" s="121">
        <f>S101/L101</f>
        <v/>
      </c>
      <c r="U101" t="inlineStr">
        <is>
          <t>Average</t>
        </is>
      </c>
      <c r="V101" s="121" t="n"/>
      <c r="W101" s="121" t="n"/>
      <c r="X101" s="121" t="n"/>
      <c r="Y101" s="705" t="n">
        <v>755000</v>
      </c>
      <c r="Z101" s="705" t="n"/>
      <c r="AA101" s="705" t="n">
        <v>755000</v>
      </c>
      <c r="AB101" s="705" t="n"/>
      <c r="AC101" t="inlineStr">
        <is>
          <t>0182514210015</t>
        </is>
      </c>
      <c r="AD101" t="inlineStr">
        <is>
          <t>2022000058427</t>
        </is>
      </c>
      <c r="AE101" s="575" t="inlineStr">
        <is>
          <t>PRIMA CARE CARE LLC</t>
        </is>
      </c>
      <c r="AF101" s="575" t="inlineStr">
        <is>
          <t>TIMA TX LLC</t>
        </is>
      </c>
      <c r="AI101" s="59">
        <f>IF(AND($E101=Subj_OccCode,Subj_BldgSF&gt;0,ABS($L101-Subj_BldgSF)&lt;=Subj_BldgSF*Subj_SizeTol),ABS($L101-Subj_BldgSF),NA())</f>
        <v/>
      </c>
      <c r="AJ101">
        <f>IF(ISNA(AI101),NA(),AI101+ROW()/10000000)</f>
        <v/>
      </c>
      <c r="AK101">
        <f>IF(AND(ISNUMBER($N101),$N101&gt;0,ISNUMBER($Y101)),$Y101/$N101,"")</f>
        <v/>
      </c>
    </row>
    <row r="102" ht="15" customHeight="1" s="518">
      <c r="A102" s="62" t="n">
        <v>7</v>
      </c>
      <c r="B102" s="59" t="n">
        <v>94</v>
      </c>
      <c r="C102" t="inlineStr">
        <is>
          <t>R0223486</t>
        </is>
      </c>
      <c r="D102" t="inlineStr">
        <is>
          <t>9658 HAVAN ST #B07</t>
        </is>
      </c>
      <c r="E102" t="n">
        <v>425</v>
      </c>
      <c r="F102" t="inlineStr">
        <is>
          <t>COMMERCE CITY</t>
        </is>
      </c>
      <c r="G102" t="inlineStr">
        <is>
          <t>5</t>
        </is>
      </c>
      <c r="H102" s="703">
        <f>Y102/J102</f>
        <v/>
      </c>
      <c r="I102" s="124" t="n">
        <v>45400</v>
      </c>
      <c r="J102" t="n">
        <v>16800</v>
      </c>
      <c r="K102" s="703" t="n"/>
      <c r="L102" t="n">
        <v>16800</v>
      </c>
      <c r="M102" t="n">
        <v>2023</v>
      </c>
      <c r="P102" t="inlineStr">
        <is>
          <t>Industrial</t>
        </is>
      </c>
      <c r="R102" t="inlineStr">
        <is>
          <t>Average</t>
        </is>
      </c>
      <c r="S102" t="n">
        <v>1783</v>
      </c>
      <c r="T102" s="121">
        <f>S102/L102</f>
        <v/>
      </c>
      <c r="U102" t="inlineStr">
        <is>
          <t>Average</t>
        </is>
      </c>
      <c r="V102" s="121" t="n"/>
      <c r="W102" s="121" t="n"/>
      <c r="X102" s="121" t="n"/>
      <c r="Y102" s="705" t="n">
        <v>188000</v>
      </c>
      <c r="Z102" s="705" t="n"/>
      <c r="AA102" s="705" t="n">
        <v>188000</v>
      </c>
      <c r="AB102" s="705" t="n"/>
      <c r="AC102" t="inlineStr">
        <is>
          <t>0172115405047</t>
        </is>
      </c>
      <c r="AD102" t="inlineStr">
        <is>
          <t>2024000020484</t>
        </is>
      </c>
      <c r="AE102" s="575" t="inlineStr">
        <is>
          <t>THE GARAGE SOCIETY HOLDINGS LLC</t>
        </is>
      </c>
      <c r="AF102" s="575" t="inlineStr">
        <is>
          <t>RASHER JEFFRY W AND, RASHER SUZI L</t>
        </is>
      </c>
      <c r="AI102" s="59">
        <f>IF(AND($E102=Subj_OccCode,Subj_BldgSF&gt;0,ABS($L102-Subj_BldgSF)&lt;=Subj_BldgSF*Subj_SizeTol),ABS($L102-Subj_BldgSF),NA())</f>
        <v/>
      </c>
      <c r="AJ102">
        <f>IF(ISNA(AI102),NA(),AI102+ROW()/10000000)</f>
        <v/>
      </c>
      <c r="AK102">
        <f>IF(AND(ISNUMBER($N102),$N102&gt;0,ISNUMBER($Y102)),$Y102/$N102,"")</f>
        <v/>
      </c>
    </row>
    <row r="103" ht="15" customHeight="1" s="518">
      <c r="A103" s="62" t="n">
        <v>7</v>
      </c>
      <c r="B103" s="59" t="n">
        <v>95</v>
      </c>
      <c r="C103" t="inlineStr">
        <is>
          <t>R0077966</t>
        </is>
      </c>
      <c r="D103" t="inlineStr">
        <is>
          <t>7270 DAHLI ST</t>
        </is>
      </c>
      <c r="E103" t="n">
        <v>407</v>
      </c>
      <c r="F103" t="inlineStr">
        <is>
          <t>COMMERCE CITY</t>
        </is>
      </c>
      <c r="G103" t="inlineStr">
        <is>
          <t>5</t>
        </is>
      </c>
      <c r="H103" s="703">
        <f>Y103/J103</f>
        <v/>
      </c>
      <c r="I103" s="124" t="n">
        <v>45338</v>
      </c>
      <c r="J103" t="n">
        <v>16200</v>
      </c>
      <c r="K103" s="703" t="n"/>
      <c r="L103" t="n">
        <v>16200</v>
      </c>
      <c r="M103" t="n">
        <v>1988</v>
      </c>
      <c r="P103" t="inlineStr">
        <is>
          <t>I-2-Com</t>
        </is>
      </c>
      <c r="R103" t="inlineStr">
        <is>
          <t>Average</t>
        </is>
      </c>
      <c r="S103" t="n">
        <v>108900</v>
      </c>
      <c r="T103" s="121">
        <f>S103/L103</f>
        <v/>
      </c>
      <c r="U103" t="inlineStr">
        <is>
          <t>Average</t>
        </is>
      </c>
      <c r="V103" s="121" t="n"/>
      <c r="W103" s="121" t="n"/>
      <c r="X103" s="121" t="n"/>
      <c r="Y103" s="705" t="n">
        <v>4200000</v>
      </c>
      <c r="Z103" s="705" t="n"/>
      <c r="AA103" s="705" t="n">
        <v>4200000</v>
      </c>
      <c r="AB103" s="705" t="n"/>
      <c r="AC103" t="inlineStr">
        <is>
          <t>0172131402024</t>
        </is>
      </c>
      <c r="AD103" t="inlineStr">
        <is>
          <t>2024000008761</t>
        </is>
      </c>
      <c r="AE103" s="575" t="inlineStr">
        <is>
          <t>HONNEN PARTNERS L L C</t>
        </is>
      </c>
      <c r="AF103" s="575" t="inlineStr">
        <is>
          <t>4 RIVERS PROPERTIES COMMERCE CITY II LLC</t>
        </is>
      </c>
      <c r="AI103" s="59">
        <f>IF(AND($E103=Subj_OccCode,Subj_BldgSF&gt;0,ABS($L103-Subj_BldgSF)&lt;=Subj_BldgSF*Subj_SizeTol),ABS($L103-Subj_BldgSF),NA())</f>
        <v/>
      </c>
      <c r="AJ103">
        <f>IF(ISNA(AI103),NA(),AI103+ROW()/10000000)</f>
        <v/>
      </c>
      <c r="AK103">
        <f>IF(AND(ISNUMBER($N103),$N103&gt;0,ISNUMBER($Y103)),$Y103/$N103,"")</f>
        <v/>
      </c>
    </row>
    <row r="104" ht="15" customHeight="1" s="518">
      <c r="A104" s="62" t="n">
        <v>7</v>
      </c>
      <c r="B104" s="59" t="n">
        <v>96</v>
      </c>
      <c r="C104" t="inlineStr">
        <is>
          <t>R0090940</t>
        </is>
      </c>
      <c r="D104" t="inlineStr">
        <is>
          <t>4701 E 60TH AVE</t>
        </is>
      </c>
      <c r="E104" t="n">
        <v>100</v>
      </c>
      <c r="F104" t="inlineStr">
        <is>
          <t>COMMERCE CITY</t>
        </is>
      </c>
      <c r="G104" t="inlineStr">
        <is>
          <t>5</t>
        </is>
      </c>
      <c r="H104" s="703">
        <f>Y104/J104</f>
        <v/>
      </c>
      <c r="I104" s="124" t="n">
        <v>44771</v>
      </c>
      <c r="J104" t="n">
        <v>28069</v>
      </c>
      <c r="K104" s="703" t="n"/>
      <c r="L104" t="n">
        <v>28069</v>
      </c>
      <c r="M104" t="n">
        <v>1939</v>
      </c>
      <c r="P104" t="inlineStr">
        <is>
          <t>I-3-Com</t>
        </is>
      </c>
      <c r="R104" t="inlineStr">
        <is>
          <t>Fair</t>
        </is>
      </c>
      <c r="S104" t="n">
        <v>226512</v>
      </c>
      <c r="T104" s="121">
        <f>S104/L104</f>
        <v/>
      </c>
      <c r="U104" t="inlineStr">
        <is>
          <t>Fair</t>
        </is>
      </c>
      <c r="V104" s="121" t="n"/>
      <c r="W104" s="121" t="n"/>
      <c r="X104" s="121" t="n"/>
      <c r="Y104" s="705" t="n">
        <v>5000000</v>
      </c>
      <c r="Z104" s="705" t="n"/>
      <c r="AA104" s="705" t="n">
        <v>5000000</v>
      </c>
      <c r="AB104" s="705" t="n"/>
      <c r="AC104" t="inlineStr">
        <is>
          <t>0182307200041</t>
        </is>
      </c>
      <c r="AD104" t="inlineStr">
        <is>
          <t>2022000065667</t>
        </is>
      </c>
      <c r="AE104" s="575" t="inlineStr">
        <is>
          <t>BUBB LLC</t>
        </is>
      </c>
      <c r="AF104" s="575" t="inlineStr">
        <is>
          <t>SDF3 4701 E 60TH AVE LLC</t>
        </is>
      </c>
      <c r="AI104" s="59">
        <f>IF(AND($E104=Subj_OccCode,Subj_BldgSF&gt;0,ABS($L104-Subj_BldgSF)&lt;=Subj_BldgSF*Subj_SizeTol),ABS($L104-Subj_BldgSF),NA())</f>
        <v/>
      </c>
      <c r="AJ104">
        <f>IF(ISNA(AI104),NA(),AI104+ROW()/10000000)</f>
        <v/>
      </c>
      <c r="AK104">
        <f>IF(AND(ISNUMBER($N104),$N104&gt;0,ISNUMBER($Y104)),$Y104/$N104,"")</f>
        <v/>
      </c>
    </row>
    <row r="105" ht="15" customHeight="1" s="518">
      <c r="A105" s="62" t="n">
        <v>7</v>
      </c>
      <c r="B105" s="59" t="n">
        <v>97</v>
      </c>
      <c r="C105" t="inlineStr">
        <is>
          <t>R0098080</t>
        </is>
      </c>
      <c r="D105" t="inlineStr">
        <is>
          <t>851 HWY 224 #A4</t>
        </is>
      </c>
      <c r="E105" t="n">
        <v>425</v>
      </c>
      <c r="G105" t="inlineStr">
        <is>
          <t>5</t>
        </is>
      </c>
      <c r="H105" s="703">
        <f>Y105/J105</f>
        <v/>
      </c>
      <c r="I105" s="124" t="n">
        <v>45197</v>
      </c>
      <c r="J105" t="n">
        <v>26500</v>
      </c>
      <c r="K105" s="703" t="n"/>
      <c r="L105" t="n">
        <v>26500</v>
      </c>
      <c r="M105" t="n">
        <v>1984</v>
      </c>
      <c r="P105" t="inlineStr">
        <is>
          <t>Industrial</t>
        </is>
      </c>
      <c r="R105" t="inlineStr">
        <is>
          <t>Average</t>
        </is>
      </c>
      <c r="S105" t="n">
        <v>4340</v>
      </c>
      <c r="T105" s="121">
        <f>S105/L105</f>
        <v/>
      </c>
      <c r="U105" t="inlineStr">
        <is>
          <t>Average</t>
        </is>
      </c>
      <c r="V105" s="121" t="n"/>
      <c r="W105" s="121" t="n"/>
      <c r="X105" s="121" t="n"/>
      <c r="Y105" s="705" t="n">
        <v>385000</v>
      </c>
      <c r="Z105" s="705" t="n"/>
      <c r="AA105" s="705" t="n">
        <v>385000</v>
      </c>
      <c r="AB105" s="705" t="n"/>
      <c r="AC105" t="inlineStr">
        <is>
          <t>0182502203044</t>
        </is>
      </c>
      <c r="AD105" t="inlineStr">
        <is>
          <t>2023000055425</t>
        </is>
      </c>
      <c r="AE105" s="575" t="inlineStr">
        <is>
          <t>PRIMA CAR CARE LLC</t>
        </is>
      </c>
      <c r="AF105" s="575" t="inlineStr">
        <is>
          <t>SEARLES INVESTMENTS LLC</t>
        </is>
      </c>
      <c r="AI105" s="59">
        <f>IF(AND($E105=Subj_OccCode,Subj_BldgSF&gt;0,ABS($L105-Subj_BldgSF)&lt;=Subj_BldgSF*Subj_SizeTol),ABS($L105-Subj_BldgSF),NA())</f>
        <v/>
      </c>
      <c r="AJ105">
        <f>IF(ISNA(AI105),NA(),AI105+ROW()/10000000)</f>
        <v/>
      </c>
      <c r="AK105">
        <f>IF(AND(ISNUMBER($N105),$N105&gt;0,ISNUMBER($Y105)),$Y105/$N105,"")</f>
        <v/>
      </c>
    </row>
    <row r="106" ht="15" customHeight="1" s="518">
      <c r="A106" s="62" t="n">
        <v>7</v>
      </c>
      <c r="B106" s="59" t="n">
        <v>98</v>
      </c>
      <c r="C106" t="inlineStr">
        <is>
          <t>R0100089</t>
        </is>
      </c>
      <c r="D106" t="inlineStr">
        <is>
          <t>3250 W 72ND AVE</t>
        </is>
      </c>
      <c r="E106" t="n">
        <v>407</v>
      </c>
      <c r="F106" t="inlineStr">
        <is>
          <t>WESTMINSTER</t>
        </is>
      </c>
      <c r="G106" t="inlineStr">
        <is>
          <t>4</t>
        </is>
      </c>
      <c r="H106" s="703">
        <f>Y106/J106</f>
        <v/>
      </c>
      <c r="I106" s="124" t="n">
        <v>45072</v>
      </c>
      <c r="J106" t="n">
        <v>10512</v>
      </c>
      <c r="K106" s="703" t="n"/>
      <c r="L106" t="n">
        <v>10512</v>
      </c>
      <c r="M106" t="n">
        <v>1977</v>
      </c>
      <c r="P106" t="inlineStr">
        <is>
          <t>SPD</t>
        </is>
      </c>
      <c r="R106" t="inlineStr">
        <is>
          <t>Average</t>
        </is>
      </c>
      <c r="S106" t="n">
        <v>29041</v>
      </c>
      <c r="T106" s="121">
        <f>S106/L106</f>
        <v/>
      </c>
      <c r="U106" t="inlineStr">
        <is>
          <t>Average</t>
        </is>
      </c>
      <c r="V106" s="121" t="n"/>
      <c r="W106" s="121" t="n"/>
      <c r="X106" s="121" t="n"/>
      <c r="Y106" s="705" t="n">
        <v>1813000</v>
      </c>
      <c r="Z106" s="705" t="n"/>
      <c r="AA106" s="705" t="n">
        <v>1813000</v>
      </c>
      <c r="AB106" s="705" t="n"/>
      <c r="AC106" t="inlineStr">
        <is>
          <t>0182505216015</t>
        </is>
      </c>
      <c r="AD106" t="inlineStr">
        <is>
          <t>2023000029584</t>
        </is>
      </c>
      <c r="AE106" s="575" t="inlineStr">
        <is>
          <t>7160 IRVING STREET LLC</t>
        </is>
      </c>
      <c r="AF106" s="575" t="inlineStr">
        <is>
          <t>BLUELINE 3250 W 72ND AVE LLC</t>
        </is>
      </c>
      <c r="AI106" s="59">
        <f>IF(AND($E106=Subj_OccCode,Subj_BldgSF&gt;0,ABS($L106-Subj_BldgSF)&lt;=Subj_BldgSF*Subj_SizeTol),ABS($L106-Subj_BldgSF),NA())</f>
        <v/>
      </c>
      <c r="AJ106">
        <f>IF(ISNA(AI106),NA(),AI106+ROW()/10000000)</f>
        <v/>
      </c>
      <c r="AK106">
        <f>IF(AND(ISNUMBER($N106),$N106&gt;0,ISNUMBER($Y106)),$Y106/$N106,"")</f>
        <v/>
      </c>
    </row>
    <row r="107" ht="15" customHeight="1" s="518">
      <c r="A107" s="62" t="n">
        <v>7</v>
      </c>
      <c r="B107" s="59" t="n">
        <v>99</v>
      </c>
      <c r="C107" t="inlineStr">
        <is>
          <t>R0110916</t>
        </is>
      </c>
      <c r="D107" t="inlineStr">
        <is>
          <t>8999 E 96TH AVE</t>
        </is>
      </c>
      <c r="E107" t="n">
        <v>407</v>
      </c>
      <c r="F107" t="inlineStr">
        <is>
          <t>COMMERCE CITY</t>
        </is>
      </c>
      <c r="G107" t="inlineStr">
        <is>
          <t>5</t>
        </is>
      </c>
      <c r="H107" s="703">
        <f>Y107/J107</f>
        <v/>
      </c>
      <c r="I107" s="124" t="n">
        <v>45230</v>
      </c>
      <c r="J107" t="n">
        <v>27300</v>
      </c>
      <c r="K107" s="703" t="n"/>
      <c r="L107" t="n">
        <v>27300</v>
      </c>
      <c r="M107" t="n">
        <v>1996</v>
      </c>
      <c r="P107" t="inlineStr">
        <is>
          <t>I-3-Com</t>
        </is>
      </c>
      <c r="R107" t="inlineStr">
        <is>
          <t>Average</t>
        </is>
      </c>
      <c r="S107" t="n">
        <v>425973.3</v>
      </c>
      <c r="T107" s="121">
        <f>S107/L107</f>
        <v/>
      </c>
      <c r="U107" t="inlineStr">
        <is>
          <t>Average</t>
        </is>
      </c>
      <c r="V107" s="121" t="n"/>
      <c r="W107" s="121" t="n"/>
      <c r="X107" s="121" t="n"/>
      <c r="Y107" s="705" t="n">
        <v>6000000</v>
      </c>
      <c r="Z107" s="705" t="n"/>
      <c r="AA107" s="705" t="n">
        <v>6000000</v>
      </c>
      <c r="AB107" s="705" t="n"/>
      <c r="AC107" t="inlineStr">
        <is>
          <t>0172115006006</t>
        </is>
      </c>
      <c r="AD107" t="inlineStr">
        <is>
          <t>2023000061419</t>
        </is>
      </c>
      <c r="AE107" s="575" t="inlineStr">
        <is>
          <t>H.N.K. INVESTMENT LLC</t>
        </is>
      </c>
      <c r="AF107" s="575" t="inlineStr">
        <is>
          <t>BOSSELMAN TANK &amp; TRAILER INC</t>
        </is>
      </c>
      <c r="AI107" s="59">
        <f>IF(AND($E107=Subj_OccCode,Subj_BldgSF&gt;0,ABS($L107-Subj_BldgSF)&lt;=Subj_BldgSF*Subj_SizeTol),ABS($L107-Subj_BldgSF),NA())</f>
        <v/>
      </c>
      <c r="AJ107">
        <f>IF(ISNA(AI107),NA(),AI107+ROW()/10000000)</f>
        <v/>
      </c>
      <c r="AK107">
        <f>IF(AND(ISNUMBER($N107),$N107&gt;0,ISNUMBER($Y107)),$Y107/$N107,"")</f>
        <v/>
      </c>
    </row>
    <row r="108" ht="15" customHeight="1" s="518">
      <c r="A108" s="62" t="n">
        <v>7</v>
      </c>
      <c r="B108" s="59" t="n">
        <v>100</v>
      </c>
      <c r="C108" t="inlineStr">
        <is>
          <t>R0150417</t>
        </is>
      </c>
      <c r="D108" t="inlineStr">
        <is>
          <t>4114 E BROMLEY LN</t>
        </is>
      </c>
      <c r="E108" t="n">
        <v>423</v>
      </c>
      <c r="F108" t="inlineStr">
        <is>
          <t>BRIGHTON</t>
        </is>
      </c>
      <c r="G108" t="inlineStr">
        <is>
          <t>2</t>
        </is>
      </c>
      <c r="H108" s="703">
        <f>Y108/J108</f>
        <v/>
      </c>
      <c r="I108" s="124" t="n">
        <v>45201</v>
      </c>
      <c r="J108" t="n">
        <v>2500</v>
      </c>
      <c r="K108" s="703" t="n"/>
      <c r="L108" t="n">
        <v>2500</v>
      </c>
      <c r="M108" t="n">
        <v>2003</v>
      </c>
      <c r="P108" t="inlineStr">
        <is>
          <t>PUD-Bri</t>
        </is>
      </c>
      <c r="R108" t="inlineStr">
        <is>
          <t>Average</t>
        </is>
      </c>
      <c r="S108" t="n">
        <v>33846.12</v>
      </c>
      <c r="T108" s="121">
        <f>S108/L108</f>
        <v/>
      </c>
      <c r="U108" t="inlineStr">
        <is>
          <t>Average</t>
        </is>
      </c>
      <c r="V108" s="121" t="n"/>
      <c r="W108" s="121" t="n"/>
      <c r="X108" s="121" t="n"/>
      <c r="Y108" s="705" t="n">
        <v>1650000</v>
      </c>
      <c r="Z108" s="705" t="n"/>
      <c r="AA108" s="705" t="n">
        <v>1644000</v>
      </c>
      <c r="AB108" s="705" t="n"/>
      <c r="AC108" t="inlineStr">
        <is>
          <t>0156915201003</t>
        </is>
      </c>
      <c r="AD108" t="inlineStr">
        <is>
          <t>2023000056494</t>
        </is>
      </c>
      <c r="AE108" s="575" t="inlineStr">
        <is>
          <t>OGDEN MCHENRY FAMILY TRUST</t>
        </is>
      </c>
      <c r="AF108" s="575" t="inlineStr">
        <is>
          <t>DWV PROPERTIES LLC</t>
        </is>
      </c>
      <c r="AI108" s="59">
        <f>IF(AND($E108=Subj_OccCode,Subj_BldgSF&gt;0,ABS($L108-Subj_BldgSF)&lt;=Subj_BldgSF*Subj_SizeTol),ABS($L108-Subj_BldgSF),NA())</f>
        <v/>
      </c>
      <c r="AJ108">
        <f>IF(ISNA(AI108),NA(),AI108+ROW()/10000000)</f>
        <v/>
      </c>
      <c r="AK108">
        <f>IF(AND(ISNUMBER($N108),$N108&gt;0,ISNUMBER($Y108)),$Y108/$N108,"")</f>
        <v/>
      </c>
    </row>
    <row r="109" ht="15" customHeight="1" s="518">
      <c r="A109" s="62" t="n">
        <v>7</v>
      </c>
      <c r="B109" s="59" t="n">
        <v>101</v>
      </c>
      <c r="C109" t="inlineStr">
        <is>
          <t>R0164391</t>
        </is>
      </c>
      <c r="D109" t="inlineStr">
        <is>
          <t>2611 W 64TH AVE #B</t>
        </is>
      </c>
      <c r="E109" t="n">
        <v>425</v>
      </c>
      <c r="G109" t="inlineStr">
        <is>
          <t>5</t>
        </is>
      </c>
      <c r="H109" s="703">
        <f>Y109/J109</f>
        <v/>
      </c>
      <c r="I109" s="124" t="n">
        <v>45042</v>
      </c>
      <c r="J109" t="n">
        <v>15125</v>
      </c>
      <c r="K109" s="703" t="n"/>
      <c r="L109" t="n">
        <v>15125</v>
      </c>
      <c r="M109" t="n">
        <v>2005</v>
      </c>
      <c r="P109" t="inlineStr">
        <is>
          <t>Industrial</t>
        </is>
      </c>
      <c r="R109" t="inlineStr">
        <is>
          <t>Average</t>
        </is>
      </c>
      <c r="S109" t="n">
        <v>10924</v>
      </c>
      <c r="T109" s="121">
        <f>S109/L109</f>
        <v/>
      </c>
      <c r="U109" t="inlineStr">
        <is>
          <t>Average</t>
        </is>
      </c>
      <c r="V109" s="121" t="n"/>
      <c r="W109" s="121" t="n"/>
      <c r="X109" s="121" t="n"/>
      <c r="Y109" s="705" t="n">
        <v>515000</v>
      </c>
      <c r="Z109" s="705" t="n"/>
      <c r="AA109" s="705" t="n">
        <v>515000</v>
      </c>
      <c r="AB109" s="705" t="n"/>
      <c r="AC109" t="inlineStr">
        <is>
          <t>0182505407029</t>
        </is>
      </c>
      <c r="AD109" t="inlineStr">
        <is>
          <t>2023000023115</t>
        </is>
      </c>
      <c r="AE109" s="575" t="inlineStr">
        <is>
          <t>FREEDMAN ROBERT ANDREW AND , FREEDMAN LORI ELAINE</t>
        </is>
      </c>
      <c r="AF109" s="575" t="inlineStr">
        <is>
          <t>NOVE COMMERCIAL LLC</t>
        </is>
      </c>
      <c r="AI109" s="59">
        <f>IF(AND($E109=Subj_OccCode,Subj_BldgSF&gt;0,ABS($L109-Subj_BldgSF)&lt;=Subj_BldgSF*Subj_SizeTol),ABS($L109-Subj_BldgSF),NA())</f>
        <v/>
      </c>
      <c r="AJ109">
        <f>IF(ISNA(AI109),NA(),AI109+ROW()/10000000)</f>
        <v/>
      </c>
      <c r="AK109">
        <f>IF(AND(ISNUMBER($N109),$N109&gt;0,ISNUMBER($Y109)),$Y109/$N109,"")</f>
        <v/>
      </c>
    </row>
    <row r="110" ht="15" customHeight="1" s="518">
      <c r="A110" s="62" t="n">
        <v>7</v>
      </c>
      <c r="B110" s="59" t="n">
        <v>102</v>
      </c>
      <c r="C110" t="inlineStr">
        <is>
          <t>R0164395</t>
        </is>
      </c>
      <c r="D110" t="inlineStr">
        <is>
          <t>2611 W 64TH AVE #F</t>
        </is>
      </c>
      <c r="E110" t="n">
        <v>425</v>
      </c>
      <c r="G110" t="inlineStr">
        <is>
          <t>5</t>
        </is>
      </c>
      <c r="H110" s="703">
        <f>Y110/J110</f>
        <v/>
      </c>
      <c r="I110" s="124" t="n">
        <v>45152</v>
      </c>
      <c r="J110" t="n">
        <v>15125</v>
      </c>
      <c r="K110" s="703" t="n"/>
      <c r="L110" t="n">
        <v>15125</v>
      </c>
      <c r="M110" t="n">
        <v>2005</v>
      </c>
      <c r="P110" t="inlineStr">
        <is>
          <t>Industrial</t>
        </is>
      </c>
      <c r="R110" t="inlineStr">
        <is>
          <t>Average</t>
        </is>
      </c>
      <c r="S110" t="n">
        <v>10924</v>
      </c>
      <c r="T110" s="121">
        <f>S110/L110</f>
        <v/>
      </c>
      <c r="U110" t="inlineStr">
        <is>
          <t>Average</t>
        </is>
      </c>
      <c r="V110" s="121" t="n"/>
      <c r="W110" s="121" t="n"/>
      <c r="X110" s="121" t="n"/>
      <c r="Y110" s="705" t="n">
        <v>699000</v>
      </c>
      <c r="Z110" s="705" t="n"/>
      <c r="AA110" s="705" t="n">
        <v>699000</v>
      </c>
      <c r="AB110" s="705" t="n"/>
      <c r="AC110" t="inlineStr">
        <is>
          <t>0182505407033</t>
        </is>
      </c>
      <c r="AD110" t="inlineStr">
        <is>
          <t>2023000046606</t>
        </is>
      </c>
      <c r="AE110" s="575" t="inlineStr">
        <is>
          <t>2611 WEST 64TH AVENUE UNIT F LLC</t>
        </is>
      </c>
      <c r="AF110" s="575" t="inlineStr">
        <is>
          <t>DE LA CRUZ PROPERTY LLC</t>
        </is>
      </c>
      <c r="AI110" s="59">
        <f>IF(AND($E110=Subj_OccCode,Subj_BldgSF&gt;0,ABS($L110-Subj_BldgSF)&lt;=Subj_BldgSF*Subj_SizeTol),ABS($L110-Subj_BldgSF),NA())</f>
        <v/>
      </c>
      <c r="AJ110">
        <f>IF(ISNA(AI110),NA(),AI110+ROW()/10000000)</f>
        <v/>
      </c>
      <c r="AK110">
        <f>IF(AND(ISNUMBER($N110),$N110&gt;0,ISNUMBER($Y110)),$Y110/$N110,"")</f>
        <v/>
      </c>
    </row>
    <row r="111" ht="15" customHeight="1" s="518">
      <c r="A111" s="62" t="n">
        <v>7</v>
      </c>
      <c r="B111" s="59" t="n">
        <v>103</v>
      </c>
      <c r="C111" t="inlineStr">
        <is>
          <t>R0185575</t>
        </is>
      </c>
      <c r="D111" t="inlineStr">
        <is>
          <t>2149 BRIDGE ST</t>
        </is>
      </c>
      <c r="E111" t="n">
        <v>344</v>
      </c>
      <c r="F111" t="inlineStr">
        <is>
          <t>BRIGHTON</t>
        </is>
      </c>
      <c r="G111" t="inlineStr">
        <is>
          <t>2</t>
        </is>
      </c>
      <c r="H111" s="703">
        <f>Y111/J111</f>
        <v/>
      </c>
      <c r="I111" s="124" t="n">
        <v>44985</v>
      </c>
      <c r="J111" t="n">
        <v>2880</v>
      </c>
      <c r="K111" s="703" t="n"/>
      <c r="L111" t="n">
        <v>2880</v>
      </c>
      <c r="M111" t="n">
        <v>1984</v>
      </c>
      <c r="P111" t="inlineStr">
        <is>
          <t>PUD-Bri</t>
        </is>
      </c>
      <c r="R111" t="inlineStr">
        <is>
          <t>Average</t>
        </is>
      </c>
      <c r="S111" t="n">
        <v>11805</v>
      </c>
      <c r="T111" s="121">
        <f>S111/L111</f>
        <v/>
      </c>
      <c r="U111" t="inlineStr">
        <is>
          <t>Average</t>
        </is>
      </c>
      <c r="V111" s="121" t="n"/>
      <c r="W111" s="121" t="n"/>
      <c r="X111" s="121" t="n"/>
      <c r="Y111" s="705" t="n">
        <v>740000</v>
      </c>
      <c r="Z111" s="705" t="n"/>
      <c r="AA111" s="705" t="n">
        <v>740000</v>
      </c>
      <c r="AB111" s="705" t="n"/>
      <c r="AC111" t="inlineStr">
        <is>
          <t>0156905402099</t>
        </is>
      </c>
      <c r="AD111" t="inlineStr">
        <is>
          <t>2023000010526</t>
        </is>
      </c>
      <c r="AE111" s="575" t="inlineStr">
        <is>
          <t>POOR BOY PROPERTIES LLC</t>
        </is>
      </c>
      <c r="AF111" s="575" t="inlineStr">
        <is>
          <t>JAIMBE LLC</t>
        </is>
      </c>
      <c r="AI111" s="59">
        <f>IF(AND($E111=Subj_OccCode,Subj_BldgSF&gt;0,ABS($L111-Subj_BldgSF)&lt;=Subj_BldgSF*Subj_SizeTol),ABS($L111-Subj_BldgSF),NA())</f>
        <v/>
      </c>
      <c r="AJ111">
        <f>IF(ISNA(AI111),NA(),AI111+ROW()/10000000)</f>
        <v/>
      </c>
      <c r="AK111">
        <f>IF(AND(ISNUMBER($N111),$N111&gt;0,ISNUMBER($Y111)),$Y111/$N111,"")</f>
        <v/>
      </c>
    </row>
    <row r="112" ht="15" customHeight="1" s="518">
      <c r="A112" s="62" t="n">
        <v>7</v>
      </c>
      <c r="B112" s="59" t="n">
        <v>104</v>
      </c>
      <c r="C112" t="inlineStr">
        <is>
          <t>R0003324</t>
        </is>
      </c>
      <c r="D112" t="inlineStr">
        <is>
          <t>429 BRIDGE ST</t>
        </is>
      </c>
      <c r="E112" t="n">
        <v>3441</v>
      </c>
      <c r="F112" t="inlineStr">
        <is>
          <t>BRIGHTON</t>
        </is>
      </c>
      <c r="G112" t="inlineStr">
        <is>
          <t>2</t>
        </is>
      </c>
      <c r="H112" s="703">
        <f>Y112/J112</f>
        <v/>
      </c>
      <c r="I112" s="124" t="n">
        <v>44848</v>
      </c>
      <c r="J112" t="n">
        <v>1619</v>
      </c>
      <c r="K112" s="703" t="n"/>
      <c r="L112" t="n">
        <v>1619</v>
      </c>
      <c r="M112" t="n">
        <v>1951</v>
      </c>
      <c r="P112" t="inlineStr">
        <is>
          <t>C-1-Bri</t>
        </is>
      </c>
      <c r="R112" t="inlineStr">
        <is>
          <t>Low</t>
        </is>
      </c>
      <c r="S112" t="n">
        <v>6500</v>
      </c>
      <c r="T112" s="121">
        <f>S112/L112</f>
        <v/>
      </c>
      <c r="U112" t="inlineStr">
        <is>
          <t>Low</t>
        </is>
      </c>
      <c r="V112" s="121" t="n"/>
      <c r="W112" s="121" t="n"/>
      <c r="X112" s="121" t="n"/>
      <c r="Y112" s="705" t="n">
        <v>474000</v>
      </c>
      <c r="Z112" s="705" t="n"/>
      <c r="AA112" s="705" t="n">
        <v>474000</v>
      </c>
      <c r="AB112" s="705" t="n"/>
      <c r="AC112" t="inlineStr">
        <is>
          <t>0156906423006</t>
        </is>
      </c>
      <c r="AD112" t="inlineStr">
        <is>
          <t>2022000084809</t>
        </is>
      </c>
      <c r="AE112" s="575" t="inlineStr">
        <is>
          <t>429 BRIDGE STREET LLC</t>
        </is>
      </c>
      <c r="AF112" s="575" t="inlineStr">
        <is>
          <t>VIGIL JENIFER D.</t>
        </is>
      </c>
      <c r="AI112" s="59">
        <f>IF(AND($E112=Subj_OccCode,Subj_BldgSF&gt;0,ABS($L112-Subj_BldgSF)&lt;=Subj_BldgSF*Subj_SizeTol),ABS($L112-Subj_BldgSF),NA())</f>
        <v/>
      </c>
      <c r="AJ112">
        <f>IF(ISNA(AI112),NA(),AI112+ROW()/10000000)</f>
        <v/>
      </c>
      <c r="AK112">
        <f>IF(AND(ISNUMBER($N112),$N112&gt;0,ISNUMBER($Y112)),$Y112/$N112,"")</f>
        <v/>
      </c>
    </row>
    <row r="113" ht="15" customHeight="1" s="518">
      <c r="A113" s="62" t="n">
        <v>7</v>
      </c>
      <c r="B113" s="59" t="n">
        <v>105</v>
      </c>
      <c r="C113" t="inlineStr">
        <is>
          <t>R0003859</t>
        </is>
      </c>
      <c r="D113" t="inlineStr">
        <is>
          <t>75 S 3RD AVE</t>
        </is>
      </c>
      <c r="E113" t="n">
        <v>100</v>
      </c>
      <c r="F113" t="inlineStr">
        <is>
          <t>BRIGHTON</t>
        </is>
      </c>
      <c r="G113" t="inlineStr">
        <is>
          <t>2</t>
        </is>
      </c>
      <c r="H113" s="703">
        <f>Y113/J113</f>
        <v/>
      </c>
      <c r="I113" s="124" t="n">
        <v>44959</v>
      </c>
      <c r="J113" t="n">
        <v>1820</v>
      </c>
      <c r="K113" s="703" t="n"/>
      <c r="L113" t="n">
        <v>1820</v>
      </c>
      <c r="M113" t="n">
        <v>1916</v>
      </c>
      <c r="P113" t="inlineStr">
        <is>
          <t>C-1-Bri</t>
        </is>
      </c>
      <c r="R113" t="inlineStr">
        <is>
          <t>Average</t>
        </is>
      </c>
      <c r="S113" t="n">
        <v>7500</v>
      </c>
      <c r="T113" s="121">
        <f>S113/L113</f>
        <v/>
      </c>
      <c r="U113" t="inlineStr">
        <is>
          <t>Average</t>
        </is>
      </c>
      <c r="V113" s="121" t="n"/>
      <c r="W113" s="121" t="n"/>
      <c r="X113" s="121" t="n"/>
      <c r="Y113" s="705" t="n">
        <v>575000</v>
      </c>
      <c r="Z113" s="705" t="n"/>
      <c r="AA113" s="705" t="n">
        <v>575000</v>
      </c>
      <c r="AB113" s="705" t="n"/>
      <c r="AC113" t="inlineStr">
        <is>
          <t>0156907202009</t>
        </is>
      </c>
      <c r="AD113" t="inlineStr">
        <is>
          <t>2023000006812</t>
        </is>
      </c>
      <c r="AE113" s="575" t="inlineStr">
        <is>
          <t>75 PARTNERSHIP LLC</t>
        </is>
      </c>
      <c r="AF113" s="575" t="inlineStr">
        <is>
          <t>VIGIL JENIFER D</t>
        </is>
      </c>
      <c r="AI113" s="59">
        <f>IF(AND($E113=Subj_OccCode,Subj_BldgSF&gt;0,ABS($L113-Subj_BldgSF)&lt;=Subj_BldgSF*Subj_SizeTol),ABS($L113-Subj_BldgSF),NA())</f>
        <v/>
      </c>
      <c r="AJ113">
        <f>IF(ISNA(AI113),NA(),AI113+ROW()/10000000)</f>
        <v/>
      </c>
      <c r="AK113">
        <f>IF(AND(ISNUMBER($N113),$N113&gt;0,ISNUMBER($Y113)),$Y113/$N113,"")</f>
        <v/>
      </c>
    </row>
    <row r="114" ht="15" customHeight="1" s="518">
      <c r="A114" s="62" t="n">
        <v>7</v>
      </c>
      <c r="B114" s="59" t="n">
        <v>106</v>
      </c>
      <c r="C114" t="inlineStr">
        <is>
          <t>R0037731</t>
        </is>
      </c>
      <c r="D114" t="inlineStr">
        <is>
          <t>1907 LEROY DR</t>
        </is>
      </c>
      <c r="E114" t="n">
        <v>210</v>
      </c>
      <c r="F114" t="inlineStr">
        <is>
          <t>NORTHGLENN</t>
        </is>
      </c>
      <c r="G114" t="inlineStr">
        <is>
          <t>4</t>
        </is>
      </c>
      <c r="H114" s="703">
        <f>Y114/J114</f>
        <v/>
      </c>
      <c r="I114" s="124" t="n">
        <v>44756</v>
      </c>
      <c r="J114" t="n">
        <v>27000</v>
      </c>
      <c r="K114" s="703" t="n"/>
      <c r="L114" t="n">
        <v>27000</v>
      </c>
      <c r="M114" t="n">
        <v>1986</v>
      </c>
      <c r="P114" t="inlineStr">
        <is>
          <t>I-2-Nor</t>
        </is>
      </c>
      <c r="R114" t="inlineStr">
        <is>
          <t>Good</t>
        </is>
      </c>
      <c r="S114" t="n">
        <v>87120</v>
      </c>
      <c r="T114" s="121">
        <f>S114/L114</f>
        <v/>
      </c>
      <c r="U114" t="inlineStr">
        <is>
          <t>Good</t>
        </is>
      </c>
      <c r="V114" s="121" t="n"/>
      <c r="W114" s="121" t="n"/>
      <c r="X114" s="121" t="n"/>
      <c r="Y114" s="705" t="n">
        <v>4100000</v>
      </c>
      <c r="Z114" s="705" t="n"/>
      <c r="AA114" s="705" t="n">
        <v>4100000</v>
      </c>
      <c r="AB114" s="705" t="n"/>
      <c r="AC114" t="inlineStr">
        <is>
          <t>0171911102048</t>
        </is>
      </c>
      <c r="AD114" t="inlineStr">
        <is>
          <t>2022000061150</t>
        </is>
      </c>
      <c r="AE114" s="575" t="inlineStr">
        <is>
          <t>133# RAIL LLC 90% INT AND, E AND K INVESTING LLC 10% INT</t>
        </is>
      </c>
      <c r="AF114" s="575" t="inlineStr">
        <is>
          <t>CALHOUN STREET INDUSTRIAL LLC</t>
        </is>
      </c>
      <c r="AI114" s="59">
        <f>IF(AND($E114=Subj_OccCode,Subj_BldgSF&gt;0,ABS($L114-Subj_BldgSF)&lt;=Subj_BldgSF*Subj_SizeTol),ABS($L114-Subj_BldgSF),NA())</f>
        <v/>
      </c>
      <c r="AJ114">
        <f>IF(ISNA(AI114),NA(),AI114+ROW()/10000000)</f>
        <v/>
      </c>
      <c r="AK114">
        <f>IF(AND(ISNUMBER($N114),$N114&gt;0,ISNUMBER($Y114)),$Y114/$N114,"")</f>
        <v/>
      </c>
    </row>
    <row r="115" ht="15" customHeight="1" s="518">
      <c r="A115" s="62" t="n">
        <v>7</v>
      </c>
      <c r="B115" s="59" t="n">
        <v>107</v>
      </c>
      <c r="C115" t="inlineStr">
        <is>
          <t>R0037823</t>
        </is>
      </c>
      <c r="D115" t="inlineStr">
        <is>
          <t>10795 IRMA DR</t>
        </is>
      </c>
      <c r="E115" t="n">
        <v>406</v>
      </c>
      <c r="F115" t="inlineStr">
        <is>
          <t>NORTHGLENN</t>
        </is>
      </c>
      <c r="G115" t="inlineStr">
        <is>
          <t>4</t>
        </is>
      </c>
      <c r="H115" s="703">
        <f>Y115/J115</f>
        <v/>
      </c>
      <c r="I115" s="124" t="n">
        <v>44763</v>
      </c>
      <c r="J115" t="n">
        <v>4000</v>
      </c>
      <c r="K115" s="703" t="n"/>
      <c r="L115" t="n">
        <v>4000</v>
      </c>
      <c r="M115" t="n">
        <v>1974</v>
      </c>
      <c r="P115" t="inlineStr">
        <is>
          <t>I-2-Nor</t>
        </is>
      </c>
      <c r="R115" t="inlineStr">
        <is>
          <t>Average</t>
        </is>
      </c>
      <c r="S115" t="n">
        <v>35086</v>
      </c>
      <c r="T115" s="121">
        <f>S115/L115</f>
        <v/>
      </c>
      <c r="U115" t="inlineStr">
        <is>
          <t>Average</t>
        </is>
      </c>
      <c r="V115" s="121" t="n"/>
      <c r="W115" s="121" t="n"/>
      <c r="X115" s="121" t="n"/>
      <c r="Y115" s="705" t="n">
        <v>1050000</v>
      </c>
      <c r="Z115" s="705" t="n"/>
      <c r="AA115" s="705" t="n">
        <v>1050000</v>
      </c>
      <c r="AB115" s="705" t="n"/>
      <c r="AC115" t="inlineStr">
        <is>
          <t>0171911110002</t>
        </is>
      </c>
      <c r="AD115" t="inlineStr">
        <is>
          <t>2022000062987</t>
        </is>
      </c>
      <c r="AE115" s="575" t="inlineStr">
        <is>
          <t>JAMES RUSSELL PROPERTIES LLC</t>
        </is>
      </c>
      <c r="AF115" s="575" t="inlineStr">
        <is>
          <t>VITAL RE LLC</t>
        </is>
      </c>
      <c r="AI115" s="59">
        <f>IF(AND($E115=Subj_OccCode,Subj_BldgSF&gt;0,ABS($L115-Subj_BldgSF)&lt;=Subj_BldgSF*Subj_SizeTol),ABS($L115-Subj_BldgSF),NA())</f>
        <v/>
      </c>
      <c r="AJ115">
        <f>IF(ISNA(AI115),NA(),AI115+ROW()/10000000)</f>
        <v/>
      </c>
      <c r="AK115">
        <f>IF(AND(ISNUMBER($N115),$N115&gt;0,ISNUMBER($Y115)),$Y115/$N115,"")</f>
        <v/>
      </c>
    </row>
    <row r="116" ht="15" customHeight="1" s="518">
      <c r="A116" s="62" t="n">
        <v>7</v>
      </c>
      <c r="B116" s="59" t="n">
        <v>108</v>
      </c>
      <c r="C116" t="inlineStr">
        <is>
          <t>R0038935</t>
        </is>
      </c>
      <c r="D116" t="inlineStr">
        <is>
          <t>10783 IRMA DR</t>
        </is>
      </c>
      <c r="E116" t="n">
        <v>406</v>
      </c>
      <c r="F116" t="inlineStr">
        <is>
          <t>NORTHGLENN</t>
        </is>
      </c>
      <c r="G116" t="inlineStr">
        <is>
          <t>4</t>
        </is>
      </c>
      <c r="H116" s="703">
        <f>Y116/J116</f>
        <v/>
      </c>
      <c r="I116" s="124" t="n">
        <v>45226</v>
      </c>
      <c r="J116" t="n">
        <v>4320</v>
      </c>
      <c r="K116" s="703" t="n"/>
      <c r="L116" t="n">
        <v>4320</v>
      </c>
      <c r="M116" t="n">
        <v>1998</v>
      </c>
      <c r="P116" t="inlineStr">
        <is>
          <t>I-2-Nor</t>
        </is>
      </c>
      <c r="R116" t="inlineStr">
        <is>
          <t>Average</t>
        </is>
      </c>
      <c r="S116" t="n">
        <v>14965</v>
      </c>
      <c r="T116" s="121">
        <f>S116/L116</f>
        <v/>
      </c>
      <c r="U116" t="inlineStr">
        <is>
          <t>Average</t>
        </is>
      </c>
      <c r="V116" s="121" t="n"/>
      <c r="W116" s="121" t="n"/>
      <c r="X116" s="121" t="n"/>
      <c r="Y116" s="705" t="n">
        <v>1300000</v>
      </c>
      <c r="Z116" s="705" t="n"/>
      <c r="AA116" s="705" t="n">
        <v>1300000</v>
      </c>
      <c r="AB116" s="705" t="n"/>
      <c r="AC116" t="inlineStr">
        <is>
          <t>0171911403019</t>
        </is>
      </c>
      <c r="AD116" t="inlineStr">
        <is>
          <t>2023000061132</t>
        </is>
      </c>
      <c r="AE116" s="575" t="inlineStr">
        <is>
          <t>10783 IRMA DRIVE LLC</t>
        </is>
      </c>
      <c r="AF116" s="575" t="inlineStr">
        <is>
          <t>UNIQUE PROPERTY LLC</t>
        </is>
      </c>
      <c r="AI116" s="59">
        <f>IF(AND($E116=Subj_OccCode,Subj_BldgSF&gt;0,ABS($L116-Subj_BldgSF)&lt;=Subj_BldgSF*Subj_SizeTol),ABS($L116-Subj_BldgSF),NA())</f>
        <v/>
      </c>
      <c r="AJ116">
        <f>IF(ISNA(AI116),NA(),AI116+ROW()/10000000)</f>
        <v/>
      </c>
      <c r="AK116">
        <f>IF(AND(ISNUMBER($N116),$N116&gt;0,ISNUMBER($Y116)),$Y116/$N116,"")</f>
        <v/>
      </c>
    </row>
    <row r="117" ht="15" customHeight="1" s="518">
      <c r="A117" s="62" t="n">
        <v>7</v>
      </c>
      <c r="B117" s="59" t="n">
        <v>109</v>
      </c>
      <c r="C117" t="inlineStr">
        <is>
          <t>R0048461</t>
        </is>
      </c>
      <c r="D117" t="inlineStr">
        <is>
          <t>8801 LOWELL BLVD</t>
        </is>
      </c>
      <c r="E117" t="n">
        <v>419</v>
      </c>
      <c r="F117" t="inlineStr">
        <is>
          <t>WESTMINSTER</t>
        </is>
      </c>
      <c r="G117" t="inlineStr">
        <is>
          <t>4</t>
        </is>
      </c>
      <c r="H117" s="703">
        <f>Y117/J117</f>
        <v/>
      </c>
      <c r="I117" s="124" t="n">
        <v>45443</v>
      </c>
      <c r="J117" t="n">
        <v>1288</v>
      </c>
      <c r="K117" s="703" t="n"/>
      <c r="L117" t="n">
        <v>1288</v>
      </c>
      <c r="M117" t="n">
        <v>1961</v>
      </c>
      <c r="P117" t="inlineStr">
        <is>
          <t>B-1-Wes</t>
        </is>
      </c>
      <c r="R117" t="inlineStr">
        <is>
          <t>Average</t>
        </is>
      </c>
      <c r="S117" t="n">
        <v>16250</v>
      </c>
      <c r="T117" s="121">
        <f>S117/L117</f>
        <v/>
      </c>
      <c r="U117" t="inlineStr">
        <is>
          <t>Average</t>
        </is>
      </c>
      <c r="V117" s="121" t="n"/>
      <c r="W117" s="121" t="n"/>
      <c r="X117" s="121" t="n"/>
      <c r="Y117" s="705" t="n">
        <v>860000</v>
      </c>
      <c r="Z117" s="705" t="n"/>
      <c r="AA117" s="705" t="n">
        <v>860000</v>
      </c>
      <c r="AB117" s="705" t="n"/>
      <c r="AC117" t="inlineStr">
        <is>
          <t>0171919413006</t>
        </is>
      </c>
      <c r="AD117" t="inlineStr">
        <is>
          <t>2024000029553</t>
        </is>
      </c>
      <c r="AE117" s="575" t="inlineStr">
        <is>
          <t>THE HILLS STORE INC</t>
        </is>
      </c>
      <c r="AF117" s="575" t="inlineStr">
        <is>
          <t>8801 LOWELL BLVD LLC</t>
        </is>
      </c>
      <c r="AI117" s="59">
        <f>IF(AND($E117=Subj_OccCode,Subj_BldgSF&gt;0,ABS($L117-Subj_BldgSF)&lt;=Subj_BldgSF*Subj_SizeTol),ABS($L117-Subj_BldgSF),NA())</f>
        <v/>
      </c>
      <c r="AJ117">
        <f>IF(ISNA(AI117),NA(),AI117+ROW()/10000000)</f>
        <v/>
      </c>
      <c r="AK117">
        <f>IF(AND(ISNUMBER($N117),$N117&gt;0,ISNUMBER($Y117)),$Y117/$N117,"")</f>
        <v/>
      </c>
    </row>
    <row r="118" ht="15" customHeight="1" s="518">
      <c r="A118" s="62" t="n">
        <v>7</v>
      </c>
      <c r="B118" s="59" t="n">
        <v>110</v>
      </c>
      <c r="C118" t="inlineStr">
        <is>
          <t>R0004004</t>
        </is>
      </c>
      <c r="D118" t="inlineStr">
        <is>
          <t>281 S MAIN ST</t>
        </is>
      </c>
      <c r="E118" t="n">
        <v>325</v>
      </c>
      <c r="F118" t="inlineStr">
        <is>
          <t>BRIGHTON</t>
        </is>
      </c>
      <c r="G118" t="inlineStr">
        <is>
          <t>2</t>
        </is>
      </c>
      <c r="H118" s="703">
        <f>Y118/J118</f>
        <v/>
      </c>
      <c r="I118" s="124" t="n">
        <v>45050</v>
      </c>
      <c r="J118" t="n">
        <v>3977</v>
      </c>
      <c r="K118" s="703" t="n"/>
      <c r="L118" t="n">
        <v>3977</v>
      </c>
      <c r="M118" t="n">
        <v>1939</v>
      </c>
      <c r="P118" t="inlineStr">
        <is>
          <t>DT</t>
        </is>
      </c>
      <c r="R118" t="inlineStr">
        <is>
          <t>Average</t>
        </is>
      </c>
      <c r="S118" t="n">
        <v>13500</v>
      </c>
      <c r="T118" s="121">
        <f>S118/L118</f>
        <v/>
      </c>
      <c r="U118" t="inlineStr">
        <is>
          <t>Average</t>
        </is>
      </c>
      <c r="V118" s="121" t="n"/>
      <c r="W118" s="121" t="n"/>
      <c r="X118" s="121" t="n"/>
      <c r="Y118" s="705" t="n">
        <v>615000</v>
      </c>
      <c r="Z118" s="705" t="n"/>
      <c r="AA118" s="705" t="n">
        <v>615000</v>
      </c>
      <c r="AB118" s="705" t="n"/>
      <c r="AC118" t="inlineStr">
        <is>
          <t>0156907215009</t>
        </is>
      </c>
      <c r="AD118" t="inlineStr">
        <is>
          <t>2023000025001</t>
        </is>
      </c>
      <c r="AE118" s="575" t="inlineStr">
        <is>
          <t>PAVILIONS PL LLC</t>
        </is>
      </c>
      <c r="AF118" s="575" t="inlineStr">
        <is>
          <t>ORNELAS MANUEL AND, ORNELAS DEBORAH A</t>
        </is>
      </c>
      <c r="AI118" s="59">
        <f>IF(AND($E118=Subj_OccCode,Subj_BldgSF&gt;0,ABS($L118-Subj_BldgSF)&lt;=Subj_BldgSF*Subj_SizeTol),ABS($L118-Subj_BldgSF),NA())</f>
        <v/>
      </c>
      <c r="AJ118">
        <f>IF(ISNA(AI118),NA(),AI118+ROW()/10000000)</f>
        <v/>
      </c>
      <c r="AK118">
        <f>IF(AND(ISNUMBER($N118),$N118&gt;0,ISNUMBER($Y118)),$Y118/$N118,"")</f>
        <v/>
      </c>
    </row>
    <row r="119" ht="15" customHeight="1" s="518">
      <c r="A119" s="62" t="n">
        <v>7</v>
      </c>
      <c r="B119" s="59" t="n">
        <v>111</v>
      </c>
      <c r="C119" t="inlineStr">
        <is>
          <t>R0050046</t>
        </is>
      </c>
      <c r="D119" t="inlineStr">
        <is>
          <t>2890 W 92ND PL</t>
        </is>
      </c>
      <c r="E119" t="n">
        <v>100</v>
      </c>
      <c r="F119" t="inlineStr">
        <is>
          <t>FEDERAL HEIGHTS</t>
        </is>
      </c>
      <c r="G119" t="inlineStr">
        <is>
          <t>4</t>
        </is>
      </c>
      <c r="H119" s="703">
        <f>Y119/J119</f>
        <v/>
      </c>
      <c r="I119" s="124" t="n">
        <v>45078</v>
      </c>
      <c r="J119" t="n">
        <v>792</v>
      </c>
      <c r="K119" s="703" t="n"/>
      <c r="L119" t="n">
        <v>792</v>
      </c>
      <c r="M119" t="n">
        <v>1947</v>
      </c>
      <c r="P119" t="inlineStr">
        <is>
          <t>C-1-Fed</t>
        </is>
      </c>
      <c r="R119" t="inlineStr">
        <is>
          <t>Fair</t>
        </is>
      </c>
      <c r="S119" t="n">
        <v>16512</v>
      </c>
      <c r="T119" s="121">
        <f>S119/L119</f>
        <v/>
      </c>
      <c r="U119" t="inlineStr">
        <is>
          <t>Fair</t>
        </is>
      </c>
      <c r="V119" s="121" t="n"/>
      <c r="W119" s="121" t="n"/>
      <c r="X119" s="121" t="n"/>
      <c r="Y119" s="705" t="n">
        <v>605000</v>
      </c>
      <c r="Z119" s="705" t="n"/>
      <c r="AA119" s="705" t="n">
        <v>605000</v>
      </c>
      <c r="AB119" s="705" t="n"/>
      <c r="AC119" t="inlineStr">
        <is>
          <t>0171920401007</t>
        </is>
      </c>
      <c r="AD119" t="inlineStr">
        <is>
          <t>2023000031803</t>
        </is>
      </c>
      <c r="AE119" s="575" t="inlineStr">
        <is>
          <t>VILLANUEVA-MACIAS IGNACIO</t>
        </is>
      </c>
      <c r="AF119" s="575" t="inlineStr">
        <is>
          <t>2890 W 92ND AVENUE LLC</t>
        </is>
      </c>
      <c r="AI119" s="59">
        <f>IF(AND($E119=Subj_OccCode,Subj_BldgSF&gt;0,ABS($L119-Subj_BldgSF)&lt;=Subj_BldgSF*Subj_SizeTol),ABS($L119-Subj_BldgSF),NA())</f>
        <v/>
      </c>
      <c r="AJ119">
        <f>IF(ISNA(AI119),NA(),AI119+ROW()/10000000)</f>
        <v/>
      </c>
      <c r="AK119">
        <f>IF(AND(ISNUMBER($N119),$N119&gt;0,ISNUMBER($Y119)),$Y119/$N119,"")</f>
        <v/>
      </c>
    </row>
    <row r="120" ht="15" customHeight="1" s="518">
      <c r="A120" s="62" t="n">
        <v>7</v>
      </c>
      <c r="B120" s="59" t="n">
        <v>112</v>
      </c>
      <c r="C120" t="inlineStr">
        <is>
          <t>R0079916</t>
        </is>
      </c>
      <c r="D120" t="inlineStr">
        <is>
          <t>6755 E 72ND AVE</t>
        </is>
      </c>
      <c r="E120" t="n">
        <v>344</v>
      </c>
      <c r="F120" t="inlineStr">
        <is>
          <t>COMMERCE CITY</t>
        </is>
      </c>
      <c r="G120" t="inlineStr">
        <is>
          <t>5</t>
        </is>
      </c>
      <c r="H120" s="703">
        <f>Y120/J120</f>
        <v/>
      </c>
      <c r="I120" s="124" t="n">
        <v>44958</v>
      </c>
      <c r="J120" t="n">
        <v>2400</v>
      </c>
      <c r="K120" s="703" t="n"/>
      <c r="L120" t="n">
        <v>2400</v>
      </c>
      <c r="M120" t="n">
        <v>1974</v>
      </c>
      <c r="P120" t="inlineStr">
        <is>
          <t>C-1-Com</t>
        </is>
      </c>
      <c r="R120" t="inlineStr">
        <is>
          <t>Average</t>
        </is>
      </c>
      <c r="S120" t="n">
        <v>22725</v>
      </c>
      <c r="T120" s="121">
        <f>S120/L120</f>
        <v/>
      </c>
      <c r="U120" t="inlineStr">
        <is>
          <t>Average</t>
        </is>
      </c>
      <c r="V120" s="121" t="n"/>
      <c r="W120" s="121" t="n"/>
      <c r="X120" s="121" t="n"/>
      <c r="Y120" s="705" t="n">
        <v>700000</v>
      </c>
      <c r="Z120" s="705" t="n"/>
      <c r="AA120" s="705" t="n">
        <v>700000</v>
      </c>
      <c r="AB120" s="705" t="n"/>
      <c r="AC120" t="inlineStr">
        <is>
          <t>0172132426006</t>
        </is>
      </c>
      <c r="AD120" t="inlineStr">
        <is>
          <t>2023000007360</t>
        </is>
      </c>
      <c r="AE120" s="575" t="inlineStr">
        <is>
          <t>MEDINA ART L AND, MEDINA URSULA</t>
        </is>
      </c>
      <c r="AF120" s="575" t="inlineStr">
        <is>
          <t>LUEVANO INVESTMENTS LLC</t>
        </is>
      </c>
      <c r="AI120" s="59">
        <f>IF(AND($E120=Subj_OccCode,Subj_BldgSF&gt;0,ABS($L120-Subj_BldgSF)&lt;=Subj_BldgSF*Subj_SizeTol),ABS($L120-Subj_BldgSF),NA())</f>
        <v/>
      </c>
      <c r="AJ120">
        <f>IF(ISNA(AI120),NA(),AI120+ROW()/10000000)</f>
        <v/>
      </c>
      <c r="AK120">
        <f>IF(AND(ISNUMBER($N120),$N120&gt;0,ISNUMBER($Y120)),$Y120/$N120,"")</f>
        <v/>
      </c>
    </row>
    <row r="121" ht="15" customHeight="1" s="518">
      <c r="A121" s="62" t="n">
        <v>7</v>
      </c>
      <c r="B121" s="59" t="n">
        <v>113</v>
      </c>
      <c r="C121" t="inlineStr">
        <is>
          <t>R0091804</t>
        </is>
      </c>
      <c r="D121" t="inlineStr">
        <is>
          <t>6075 E 60TH AVE</t>
        </is>
      </c>
      <c r="E121" t="n">
        <v>344</v>
      </c>
      <c r="F121" t="inlineStr">
        <is>
          <t>COMMERCE CITY</t>
        </is>
      </c>
      <c r="G121" t="inlineStr">
        <is>
          <t>5</t>
        </is>
      </c>
      <c r="H121" s="703">
        <f>Y121/J121</f>
        <v/>
      </c>
      <c r="I121" s="124" t="n">
        <v>45230</v>
      </c>
      <c r="J121" t="n">
        <v>2080</v>
      </c>
      <c r="K121" s="703" t="n"/>
      <c r="L121" t="n">
        <v>2080</v>
      </c>
      <c r="M121" t="n">
        <v>1974</v>
      </c>
      <c r="P121" t="inlineStr">
        <is>
          <t>C-1-Com</t>
        </is>
      </c>
      <c r="R121" t="inlineStr">
        <is>
          <t>Average</t>
        </is>
      </c>
      <c r="S121" t="n">
        <v>19375</v>
      </c>
      <c r="T121" s="121">
        <f>S121/L121</f>
        <v/>
      </c>
      <c r="U121" t="inlineStr">
        <is>
          <t>Average</t>
        </is>
      </c>
      <c r="V121" s="121" t="n"/>
      <c r="W121" s="121" t="n"/>
      <c r="X121" s="121" t="n"/>
      <c r="Y121" s="705" t="n">
        <v>805000</v>
      </c>
      <c r="Z121" s="705" t="n"/>
      <c r="AA121" s="705" t="n">
        <v>805000</v>
      </c>
      <c r="AB121" s="705" t="n"/>
      <c r="AC121" t="inlineStr">
        <is>
          <t>0182308217013</t>
        </is>
      </c>
      <c r="AD121" t="inlineStr">
        <is>
          <t>2023000061807</t>
        </is>
      </c>
      <c r="AE121" s="575" t="inlineStr">
        <is>
          <t>ANYHOME INVESTMENT GROUP LLC</t>
        </is>
      </c>
      <c r="AF121" s="575" t="inlineStr">
        <is>
          <t>PROFESSIONAL FINANCIAL SERVICES CORP</t>
        </is>
      </c>
      <c r="AI121" s="59">
        <f>IF(AND($E121=Subj_OccCode,Subj_BldgSF&gt;0,ABS($L121-Subj_BldgSF)&lt;=Subj_BldgSF*Subj_SizeTol),ABS($L121-Subj_BldgSF),NA())</f>
        <v/>
      </c>
      <c r="AJ121">
        <f>IF(ISNA(AI121),NA(),AI121+ROW()/10000000)</f>
        <v/>
      </c>
      <c r="AK121">
        <f>IF(AND(ISNUMBER($N121),$N121&gt;0,ISNUMBER($Y121)),$Y121/$N121,"")</f>
        <v/>
      </c>
    </row>
    <row r="122" ht="15" customHeight="1" s="518">
      <c r="A122" s="62" t="n">
        <v>7</v>
      </c>
      <c r="B122" s="59" t="n">
        <v>114</v>
      </c>
      <c r="C122" t="inlineStr">
        <is>
          <t>R0092166</t>
        </is>
      </c>
      <c r="D122" t="inlineStr">
        <is>
          <t>7001 E 57TH PL</t>
        </is>
      </c>
      <c r="E122" t="n">
        <v>407</v>
      </c>
      <c r="F122" t="inlineStr">
        <is>
          <t>COMMERCE CITY</t>
        </is>
      </c>
      <c r="G122" t="inlineStr">
        <is>
          <t>5</t>
        </is>
      </c>
      <c r="H122" s="703">
        <f>Y122/J122</f>
        <v/>
      </c>
      <c r="I122" s="124" t="n">
        <v>44823</v>
      </c>
      <c r="J122" t="n">
        <v>24020</v>
      </c>
      <c r="K122" s="703" t="n"/>
      <c r="L122" t="n">
        <v>24020</v>
      </c>
      <c r="M122" t="n">
        <v>1982</v>
      </c>
      <c r="P122" t="inlineStr">
        <is>
          <t>I-1-Com</t>
        </is>
      </c>
      <c r="R122" t="inlineStr">
        <is>
          <t>Average</t>
        </is>
      </c>
      <c r="S122" t="n">
        <v>80000</v>
      </c>
      <c r="T122" s="121">
        <f>S122/L122</f>
        <v/>
      </c>
      <c r="U122" t="inlineStr">
        <is>
          <t>Average</t>
        </is>
      </c>
      <c r="V122" s="121" t="n"/>
      <c r="W122" s="121" t="n"/>
      <c r="X122" s="121" t="n"/>
      <c r="Y122" s="705" t="n">
        <v>3685000</v>
      </c>
      <c r="Z122" s="705" t="n"/>
      <c r="AA122" s="705" t="n">
        <v>3685000</v>
      </c>
      <c r="AB122" s="705" t="n"/>
      <c r="AC122" t="inlineStr">
        <is>
          <t>0182308413013</t>
        </is>
      </c>
      <c r="AD122" t="inlineStr">
        <is>
          <t>2022000078168</t>
        </is>
      </c>
      <c r="AE122" s="575" t="inlineStr">
        <is>
          <t>SPEC WHEELS OF AMERICA INC</t>
        </is>
      </c>
      <c r="AF122" s="575" t="inlineStr">
        <is>
          <t>4990 PARIS STREET LLC</t>
        </is>
      </c>
      <c r="AI122" s="59">
        <f>IF(AND($E122=Subj_OccCode,Subj_BldgSF&gt;0,ABS($L122-Subj_BldgSF)&lt;=Subj_BldgSF*Subj_SizeTol),ABS($L122-Subj_BldgSF),NA())</f>
        <v/>
      </c>
      <c r="AJ122">
        <f>IF(ISNA(AI122),NA(),AI122+ROW()/10000000)</f>
        <v/>
      </c>
      <c r="AK122">
        <f>IF(AND(ISNUMBER($N122),$N122&gt;0,ISNUMBER($Y122)),$Y122/$N122,"")</f>
        <v/>
      </c>
    </row>
    <row r="123" ht="15" customHeight="1" s="518">
      <c r="A123" s="62" t="n">
        <v>7</v>
      </c>
      <c r="B123" s="59" t="n">
        <v>115</v>
      </c>
      <c r="C123" t="inlineStr">
        <is>
          <t>R0139037</t>
        </is>
      </c>
      <c r="D123" t="inlineStr">
        <is>
          <t>920 E 120TH AVE</t>
        </is>
      </c>
      <c r="E123" t="n">
        <v>325</v>
      </c>
      <c r="F123" t="inlineStr">
        <is>
          <t>NORTHGLENN</t>
        </is>
      </c>
      <c r="G123" t="inlineStr">
        <is>
          <t>4</t>
        </is>
      </c>
      <c r="H123" s="703">
        <f>Y123/J123</f>
        <v/>
      </c>
      <c r="I123" s="124" t="n">
        <v>45392</v>
      </c>
      <c r="J123" t="n">
        <v>9197</v>
      </c>
      <c r="K123" s="703" t="n"/>
      <c r="L123" t="n">
        <v>9197</v>
      </c>
      <c r="M123" t="n">
        <v>2001</v>
      </c>
      <c r="P123" t="inlineStr">
        <is>
          <t>C-4-Nor</t>
        </is>
      </c>
      <c r="R123" t="inlineStr">
        <is>
          <t>Good</t>
        </is>
      </c>
      <c r="S123" t="n">
        <v>38839</v>
      </c>
      <c r="T123" s="121">
        <f>S123/L123</f>
        <v/>
      </c>
      <c r="U123" t="inlineStr">
        <is>
          <t>Good</t>
        </is>
      </c>
      <c r="V123" s="121" t="n"/>
      <c r="W123" s="121" t="n"/>
      <c r="X123" s="121" t="n"/>
      <c r="Y123" s="705" t="n">
        <v>2400000</v>
      </c>
      <c r="Z123" s="705" t="n"/>
      <c r="AA123" s="705" t="n">
        <v>2400000</v>
      </c>
      <c r="AB123" s="705" t="n"/>
      <c r="AC123" t="inlineStr">
        <is>
          <t>0171902209034</t>
        </is>
      </c>
      <c r="AD123" t="inlineStr">
        <is>
          <t>2024000022603</t>
        </is>
      </c>
      <c r="AE123" s="575" t="inlineStr">
        <is>
          <t>STOPA LEOPOLD ADAM FAMILY TRUST 48/68%, STOPA LEOPOLD ADAM MARITAN TRUST  et al.</t>
        </is>
      </c>
      <c r="AF123" s="575" t="inlineStr">
        <is>
          <t>MHC 920 LLC</t>
        </is>
      </c>
      <c r="AI123" s="59">
        <f>IF(AND($E123=Subj_OccCode,Subj_BldgSF&gt;0,ABS($L123-Subj_BldgSF)&lt;=Subj_BldgSF*Subj_SizeTol),ABS($L123-Subj_BldgSF),NA())</f>
        <v/>
      </c>
      <c r="AJ123">
        <f>IF(ISNA(AI123),NA(),AI123+ROW()/10000000)</f>
        <v/>
      </c>
      <c r="AK123">
        <f>IF(AND(ISNUMBER($N123),$N123&gt;0,ISNUMBER($Y123)),$Y123/$N123,"")</f>
        <v/>
      </c>
    </row>
    <row r="124" ht="15" customHeight="1" s="518">
      <c r="A124" s="62" t="n">
        <v>7</v>
      </c>
      <c r="B124" s="59" t="n">
        <v>116</v>
      </c>
      <c r="C124" t="inlineStr">
        <is>
          <t>R0141069</t>
        </is>
      </c>
      <c r="D124" t="inlineStr">
        <is>
          <t>8400 PEARL ST</t>
        </is>
      </c>
      <c r="E124" t="n">
        <v>353</v>
      </c>
      <c r="F124" t="inlineStr">
        <is>
          <t>THORNTON</t>
        </is>
      </c>
      <c r="G124" t="inlineStr">
        <is>
          <t>4</t>
        </is>
      </c>
      <c r="H124" s="703">
        <f>Y124/J124</f>
        <v/>
      </c>
      <c r="I124" s="124" t="n">
        <v>45288</v>
      </c>
      <c r="J124" t="n">
        <v>5710</v>
      </c>
      <c r="K124" s="703" t="n"/>
      <c r="L124" t="n">
        <v>5710</v>
      </c>
      <c r="M124" t="n">
        <v>2005</v>
      </c>
      <c r="P124" t="inlineStr">
        <is>
          <t>Community Retail</t>
        </is>
      </c>
      <c r="R124" t="inlineStr">
        <is>
          <t>Average</t>
        </is>
      </c>
      <c r="S124" t="n">
        <v>34421</v>
      </c>
      <c r="T124" s="121">
        <f>S124/L124</f>
        <v/>
      </c>
      <c r="U124" t="inlineStr">
        <is>
          <t>Average</t>
        </is>
      </c>
      <c r="V124" s="121" t="n"/>
      <c r="W124" s="121" t="n"/>
      <c r="X124" s="121" t="n"/>
      <c r="Y124" s="705" t="n">
        <v>2025000</v>
      </c>
      <c r="Z124" s="705" t="n"/>
      <c r="AA124" s="705" t="n">
        <v>2025000</v>
      </c>
      <c r="AB124" s="705" t="n"/>
      <c r="AC124" t="inlineStr">
        <is>
          <t>0171927119003</t>
        </is>
      </c>
      <c r="AD124" t="inlineStr">
        <is>
          <t>2023000071728</t>
        </is>
      </c>
      <c r="AE124" s="575" t="inlineStr">
        <is>
          <t>ROZA KAYKOVA LLC</t>
        </is>
      </c>
      <c r="AF124" s="575" t="inlineStr">
        <is>
          <t>TAPIA INC</t>
        </is>
      </c>
      <c r="AI124" s="59">
        <f>IF(AND($E124=Subj_OccCode,Subj_BldgSF&gt;0,ABS($L124-Subj_BldgSF)&lt;=Subj_BldgSF*Subj_SizeTol),ABS($L124-Subj_BldgSF),NA())</f>
        <v/>
      </c>
      <c r="AJ124">
        <f>IF(ISNA(AI124),NA(),AI124+ROW()/10000000)</f>
        <v/>
      </c>
      <c r="AK124">
        <f>IF(AND(ISNUMBER($N124),$N124&gt;0,ISNUMBER($Y124)),$Y124/$N124,"")</f>
        <v/>
      </c>
    </row>
    <row r="125" ht="15" customHeight="1" s="518">
      <c r="A125" s="62" t="n">
        <v>7</v>
      </c>
      <c r="B125" s="59" t="n">
        <v>117</v>
      </c>
      <c r="C125" t="inlineStr">
        <is>
          <t>R0178831</t>
        </is>
      </c>
      <c r="D125" t="inlineStr">
        <is>
          <t>5190 VIOLET HILL ST #D</t>
        </is>
      </c>
      <c r="E125" t="n">
        <v>328</v>
      </c>
      <c r="G125" t="inlineStr">
        <is>
          <t>1</t>
        </is>
      </c>
      <c r="H125" s="703">
        <f>Y125/J125</f>
        <v/>
      </c>
      <c r="I125" s="124" t="n">
        <v>45273</v>
      </c>
      <c r="J125" t="n">
        <v>27000</v>
      </c>
      <c r="K125" s="703" t="n"/>
      <c r="L125" t="n">
        <v>27000</v>
      </c>
      <c r="M125" t="n">
        <v>2006</v>
      </c>
      <c r="R125" t="inlineStr">
        <is>
          <t>Average</t>
        </is>
      </c>
      <c r="T125" s="121">
        <f>S125/L125</f>
        <v/>
      </c>
      <c r="U125" t="inlineStr">
        <is>
          <t>Average</t>
        </is>
      </c>
      <c r="V125" s="121" t="n"/>
      <c r="W125" s="121" t="n"/>
      <c r="X125" s="121" t="n"/>
      <c r="Y125" s="705" t="n">
        <v>600000</v>
      </c>
      <c r="Z125" s="705" t="n"/>
      <c r="AA125" s="705" t="n">
        <v>600000</v>
      </c>
      <c r="AB125" s="705" t="n"/>
      <c r="AC125" t="inlineStr">
        <is>
          <t>0181716411002</t>
        </is>
      </c>
      <c r="AD125" t="inlineStr">
        <is>
          <t>2023000069330</t>
        </is>
      </c>
      <c r="AE125" s="575" t="inlineStr">
        <is>
          <t>KLV INVESTMENTS LLC</t>
        </is>
      </c>
      <c r="AF125" s="575" t="inlineStr">
        <is>
          <t>ENZO FLYING MACHINE LLC</t>
        </is>
      </c>
      <c r="AI125" s="59">
        <f>IF(AND($E125=Subj_OccCode,Subj_BldgSF&gt;0,ABS($L125-Subj_BldgSF)&lt;=Subj_BldgSF*Subj_SizeTol),ABS($L125-Subj_BldgSF),NA())</f>
        <v/>
      </c>
      <c r="AJ125">
        <f>IF(ISNA(AI125),NA(),AI125+ROW()/10000000)</f>
        <v/>
      </c>
      <c r="AK125">
        <f>IF(AND(ISNUMBER($N125),$N125&gt;0,ISNUMBER($Y125)),$Y125/$N125,"")</f>
        <v/>
      </c>
    </row>
    <row r="126" ht="15" customHeight="1" s="518">
      <c r="A126" s="62" t="n">
        <v>7</v>
      </c>
      <c r="B126" s="59" t="n">
        <v>118</v>
      </c>
      <c r="C126" t="inlineStr">
        <is>
          <t>R0200738</t>
        </is>
      </c>
      <c r="D126" t="inlineStr">
        <is>
          <t>1036 S 1ST ST</t>
        </is>
      </c>
      <c r="E126" t="n">
        <v>325</v>
      </c>
      <c r="F126" t="inlineStr">
        <is>
          <t>BENNETT</t>
        </is>
      </c>
      <c r="G126" t="inlineStr">
        <is>
          <t>1</t>
        </is>
      </c>
      <c r="H126" s="703">
        <f>Y126/J126</f>
        <v/>
      </c>
      <c r="I126" s="124" t="n">
        <v>45226</v>
      </c>
      <c r="J126" t="n">
        <v>9567</v>
      </c>
      <c r="K126" s="703" t="n"/>
      <c r="L126" t="n">
        <v>9567</v>
      </c>
      <c r="M126" t="n">
        <v>2023</v>
      </c>
      <c r="R126" t="inlineStr">
        <is>
          <t>Average</t>
        </is>
      </c>
      <c r="S126" t="n">
        <v>58678</v>
      </c>
      <c r="T126" s="121">
        <f>S126/L126</f>
        <v/>
      </c>
      <c r="U126" t="inlineStr">
        <is>
          <t>Average</t>
        </is>
      </c>
      <c r="V126" s="121" t="n"/>
      <c r="W126" s="121" t="n"/>
      <c r="X126" s="121" t="n"/>
      <c r="Y126" s="705" t="n">
        <v>5622000</v>
      </c>
      <c r="Z126" s="705" t="n"/>
      <c r="AA126" s="705" t="n">
        <v>5622000</v>
      </c>
      <c r="AB126" s="705" t="n"/>
      <c r="AC126" t="inlineStr">
        <is>
          <t>0181534303001</t>
        </is>
      </c>
      <c r="AD126" t="inlineStr">
        <is>
          <t>2023000061744</t>
        </is>
      </c>
      <c r="AE126" s="575" t="inlineStr">
        <is>
          <t>MMCG TNET COLORADO LLC</t>
        </is>
      </c>
      <c r="AF126" s="575" t="inlineStr">
        <is>
          <t>THE CRONIN FAMILY TRUST</t>
        </is>
      </c>
      <c r="AI126" s="59">
        <f>IF(AND($E126=Subj_OccCode,Subj_BldgSF&gt;0,ABS($L126-Subj_BldgSF)&lt;=Subj_BldgSF*Subj_SizeTol),ABS($L126-Subj_BldgSF),NA())</f>
        <v/>
      </c>
      <c r="AJ126">
        <f>IF(ISNA(AI126),NA(),AI126+ROW()/10000000)</f>
        <v/>
      </c>
      <c r="AK126">
        <f>IF(AND(ISNUMBER($N126),$N126&gt;0,ISNUMBER($Y126)),$Y126/$N126,"")</f>
        <v/>
      </c>
    </row>
    <row r="127" ht="15" customHeight="1" s="518">
      <c r="A127" s="62" t="n">
        <v>7</v>
      </c>
      <c r="B127" s="59" t="n">
        <v>119</v>
      </c>
      <c r="C127" t="inlineStr">
        <is>
          <t>R0202864</t>
        </is>
      </c>
      <c r="D127" t="inlineStr">
        <is>
          <t>8531 ROSEMARY ST</t>
        </is>
      </c>
      <c r="E127" t="n">
        <v>406</v>
      </c>
      <c r="F127" t="inlineStr">
        <is>
          <t>COMMERCE CITY</t>
        </is>
      </c>
      <c r="G127" t="inlineStr">
        <is>
          <t>5</t>
        </is>
      </c>
      <c r="H127" s="703">
        <f>Y127/J127</f>
        <v/>
      </c>
      <c r="I127" s="124" t="n">
        <v>45097</v>
      </c>
      <c r="J127" t="n">
        <v>13172</v>
      </c>
      <c r="K127" s="703" t="n"/>
      <c r="L127" t="n">
        <v>13172</v>
      </c>
      <c r="M127" t="n">
        <v>2021</v>
      </c>
      <c r="R127" t="inlineStr">
        <is>
          <t>Good</t>
        </is>
      </c>
      <c r="S127" t="n">
        <v>33790</v>
      </c>
      <c r="T127" s="121">
        <f>S127/L127</f>
        <v/>
      </c>
      <c r="U127" t="inlineStr">
        <is>
          <t>Good</t>
        </is>
      </c>
      <c r="V127" s="121" t="n"/>
      <c r="W127" s="121" t="n"/>
      <c r="X127" s="121" t="n"/>
      <c r="Y127" s="705" t="n">
        <v>2995000</v>
      </c>
      <c r="Z127" s="705" t="n"/>
      <c r="AA127" s="705" t="n">
        <v>2995000</v>
      </c>
      <c r="AB127" s="705" t="n"/>
      <c r="AC127" t="inlineStr">
        <is>
          <t>0172128209007</t>
        </is>
      </c>
      <c r="AD127" t="inlineStr">
        <is>
          <t>2023000034883</t>
        </is>
      </c>
      <c r="AE127" s="575" t="inlineStr">
        <is>
          <t>XM HOLDINGS LLC AND, K&amp;V HOLDINGS LLC</t>
        </is>
      </c>
      <c r="AF127" s="575" t="inlineStr">
        <is>
          <t>II LAWS REAL ESTATE LLC</t>
        </is>
      </c>
      <c r="AI127" s="59">
        <f>IF(AND($E127=Subj_OccCode,Subj_BldgSF&gt;0,ABS($L127-Subj_BldgSF)&lt;=Subj_BldgSF*Subj_SizeTol),ABS($L127-Subj_BldgSF),NA())</f>
        <v/>
      </c>
      <c r="AJ127">
        <f>IF(ISNA(AI127),NA(),AI127+ROW()/10000000)</f>
        <v/>
      </c>
      <c r="AK127">
        <f>IF(AND(ISNUMBER($N127),$N127&gt;0,ISNUMBER($Y127)),$Y127/$N127,"")</f>
        <v/>
      </c>
    </row>
    <row r="128" ht="15" customHeight="1" s="518">
      <c r="A128" s="62" t="n">
        <v>7</v>
      </c>
      <c r="B128" s="59" t="n">
        <v>120</v>
      </c>
      <c r="C128" t="inlineStr">
        <is>
          <t>R0202865</t>
        </is>
      </c>
      <c r="D128" t="inlineStr">
        <is>
          <t>8511 ROSEMARY ST</t>
        </is>
      </c>
      <c r="E128" t="n">
        <v>406</v>
      </c>
      <c r="F128" t="inlineStr">
        <is>
          <t>COMMERCE CITY</t>
        </is>
      </c>
      <c r="G128" t="inlineStr">
        <is>
          <t>5</t>
        </is>
      </c>
      <c r="H128" s="703">
        <f>Y128/J128</f>
        <v/>
      </c>
      <c r="I128" s="124" t="n">
        <v>44915</v>
      </c>
      <c r="J128" t="n">
        <v>11700</v>
      </c>
      <c r="K128" s="703" t="n"/>
      <c r="L128" t="n">
        <v>11700</v>
      </c>
      <c r="M128" t="n">
        <v>2021</v>
      </c>
      <c r="R128" t="inlineStr">
        <is>
          <t>Good</t>
        </is>
      </c>
      <c r="S128" t="n">
        <v>37615</v>
      </c>
      <c r="T128" s="121">
        <f>S128/L128</f>
        <v/>
      </c>
      <c r="U128" t="inlineStr">
        <is>
          <t>Good</t>
        </is>
      </c>
      <c r="V128" s="121" t="n"/>
      <c r="W128" s="121" t="n"/>
      <c r="X128" s="121" t="n"/>
      <c r="Y128" s="705" t="n">
        <v>2995000</v>
      </c>
      <c r="Z128" s="705" t="n"/>
      <c r="AA128" s="705" t="n">
        <v>2995000</v>
      </c>
      <c r="AB128" s="705" t="n"/>
      <c r="AC128" t="inlineStr">
        <is>
          <t>0172128209008</t>
        </is>
      </c>
      <c r="AD128" t="inlineStr">
        <is>
          <t>2022000098390</t>
        </is>
      </c>
      <c r="AE128" s="575" t="inlineStr">
        <is>
          <t>LONE STAR HOLDINGS LLC</t>
        </is>
      </c>
      <c r="AF128" s="575" t="inlineStr">
        <is>
          <t>STEEL CITY HOLDINGS LLC</t>
        </is>
      </c>
      <c r="AI128" s="59">
        <f>IF(AND($E128=Subj_OccCode,Subj_BldgSF&gt;0,ABS($L128-Subj_BldgSF)&lt;=Subj_BldgSF*Subj_SizeTol),ABS($L128-Subj_BldgSF),NA())</f>
        <v/>
      </c>
      <c r="AJ128">
        <f>IF(ISNA(AI128),NA(),AI128+ROW()/10000000)</f>
        <v/>
      </c>
      <c r="AK128">
        <f>IF(AND(ISNUMBER($N128),$N128&gt;0,ISNUMBER($Y128)),$Y128/$N128,"")</f>
        <v/>
      </c>
    </row>
    <row r="129" ht="15" customHeight="1" s="518">
      <c r="A129" s="62" t="n">
        <v>7</v>
      </c>
      <c r="B129" s="59" t="n">
        <v>121</v>
      </c>
      <c r="C129" t="inlineStr">
        <is>
          <t>R0213027</t>
        </is>
      </c>
      <c r="D129" t="inlineStr">
        <is>
          <t>12975 QUEBEC ST</t>
        </is>
      </c>
      <c r="E129" t="n">
        <v>353</v>
      </c>
      <c r="F129" t="inlineStr">
        <is>
          <t>THORNTON</t>
        </is>
      </c>
      <c r="G129" t="inlineStr">
        <is>
          <t>3</t>
        </is>
      </c>
      <c r="H129" s="703">
        <f>Y129/J129</f>
        <v/>
      </c>
      <c r="I129" s="124" t="n">
        <v>45105</v>
      </c>
      <c r="J129" t="n">
        <v>6912</v>
      </c>
      <c r="K129" s="703" t="n"/>
      <c r="L129" t="n">
        <v>6912</v>
      </c>
      <c r="M129" t="n">
        <v>2022</v>
      </c>
      <c r="R129" t="inlineStr">
        <is>
          <t>Average</t>
        </is>
      </c>
      <c r="S129" t="n">
        <v>34869</v>
      </c>
      <c r="T129" s="121">
        <f>S129/L129</f>
        <v/>
      </c>
      <c r="U129" t="inlineStr">
        <is>
          <t>Average</t>
        </is>
      </c>
      <c r="V129" s="121" t="n"/>
      <c r="W129" s="121" t="n"/>
      <c r="X129" s="121" t="n"/>
      <c r="Y129" s="705" t="n">
        <v>3035000</v>
      </c>
      <c r="Z129" s="705" t="n"/>
      <c r="AA129" s="705" t="n">
        <v>3035000</v>
      </c>
      <c r="AB129" s="705" t="n"/>
      <c r="AC129" t="inlineStr">
        <is>
          <t>0157129417014</t>
        </is>
      </c>
      <c r="AD129" t="inlineStr">
        <is>
          <t>2023000037049</t>
        </is>
      </c>
      <c r="AE129" s="575" t="inlineStr">
        <is>
          <t>NNN 128 QUEBEC LLC</t>
        </is>
      </c>
      <c r="AF129" s="575" t="inlineStr">
        <is>
          <t>KMR REAL ESTATE LLC</t>
        </is>
      </c>
      <c r="AI129" s="59">
        <f>IF(AND($E129=Subj_OccCode,Subj_BldgSF&gt;0,ABS($L129-Subj_BldgSF)&lt;=Subj_BldgSF*Subj_SizeTol),ABS($L129-Subj_BldgSF),NA())</f>
        <v/>
      </c>
      <c r="AJ129">
        <f>IF(ISNA(AI129),NA(),AI129+ROW()/10000000)</f>
        <v/>
      </c>
      <c r="AK129">
        <f>IF(AND(ISNUMBER($N129),$N129&gt;0,ISNUMBER($Y129)),$Y129/$N129,"")</f>
        <v/>
      </c>
    </row>
    <row r="130" ht="15" customHeight="1" s="518">
      <c r="A130" s="62" t="n">
        <v>7</v>
      </c>
      <c r="B130" s="59" t="n">
        <v>122</v>
      </c>
      <c r="C130" t="inlineStr">
        <is>
          <t>R0215747</t>
        </is>
      </c>
      <c r="D130" t="inlineStr">
        <is>
          <t>10550 CHAMBERS RD</t>
        </is>
      </c>
      <c r="E130" t="n">
        <v>426</v>
      </c>
      <c r="F130" t="inlineStr">
        <is>
          <t>COMMERCE CITY</t>
        </is>
      </c>
      <c r="G130" t="inlineStr">
        <is>
          <t>2</t>
        </is>
      </c>
      <c r="H130" s="703">
        <f>Y130/J130</f>
        <v/>
      </c>
      <c r="I130" s="124" t="n">
        <v>45267</v>
      </c>
      <c r="J130" t="n">
        <v>12842</v>
      </c>
      <c r="K130" s="703" t="n"/>
      <c r="L130" t="n">
        <v>12842</v>
      </c>
      <c r="M130" t="n">
        <v>2023</v>
      </c>
      <c r="R130" t="inlineStr">
        <is>
          <t>Average</t>
        </is>
      </c>
      <c r="S130" t="n">
        <v>94652</v>
      </c>
      <c r="T130" s="121">
        <f>S130/L130</f>
        <v/>
      </c>
      <c r="U130" t="inlineStr">
        <is>
          <t>Average</t>
        </is>
      </c>
      <c r="V130" s="121" t="n"/>
      <c r="W130" s="121" t="n"/>
      <c r="X130" s="121" t="n"/>
      <c r="Y130" s="705" t="n">
        <v>7203333</v>
      </c>
      <c r="Z130" s="705" t="n"/>
      <c r="AA130" s="705" t="n">
        <v>7203333</v>
      </c>
      <c r="AB130" s="705" t="n"/>
      <c r="AC130" t="inlineStr">
        <is>
          <t>0172308306086</t>
        </is>
      </c>
      <c r="AD130" t="inlineStr">
        <is>
          <t>2023000068152</t>
        </is>
      </c>
      <c r="AE130" s="575" t="inlineStr">
        <is>
          <t>RK EVBK COMMERCE CITY LLC, C/O READ KING, INC</t>
        </is>
      </c>
      <c r="AF130" s="575" t="inlineStr">
        <is>
          <t>REALTY INCOME PROPERTIES 26 LLC</t>
        </is>
      </c>
      <c r="AI130" s="59">
        <f>IF(AND($E130=Subj_OccCode,Subj_BldgSF&gt;0,ABS($L130-Subj_BldgSF)&lt;=Subj_BldgSF*Subj_SizeTol),ABS($L130-Subj_BldgSF),NA())</f>
        <v/>
      </c>
      <c r="AJ130">
        <f>IF(ISNA(AI130),NA(),AI130+ROW()/10000000)</f>
        <v/>
      </c>
      <c r="AK130">
        <f>IF(AND(ISNUMBER($N130),$N130&gt;0,ISNUMBER($Y130)),$Y130/$N130,"")</f>
        <v/>
      </c>
    </row>
    <row r="131" ht="15" customHeight="1" s="518">
      <c r="A131" s="62" t="n">
        <v>7</v>
      </c>
      <c r="B131" s="59" t="n">
        <v>123</v>
      </c>
      <c r="C131" t="inlineStr">
        <is>
          <t>R0222676</t>
        </is>
      </c>
      <c r="D131" t="inlineStr">
        <is>
          <t>37851 E 51ST AVE #E10</t>
        </is>
      </c>
      <c r="E131" t="n">
        <v>328</v>
      </c>
      <c r="G131" t="inlineStr">
        <is>
          <t>1</t>
        </is>
      </c>
      <c r="H131" s="703">
        <f>Y131/J131</f>
        <v/>
      </c>
      <c r="I131" s="124" t="n">
        <v>45390</v>
      </c>
      <c r="J131" t="n">
        <v>2930</v>
      </c>
      <c r="K131" s="703" t="n"/>
      <c r="L131" t="n">
        <v>2930</v>
      </c>
      <c r="M131" t="n">
        <v>2024</v>
      </c>
      <c r="R131" t="inlineStr">
        <is>
          <t>Average</t>
        </is>
      </c>
      <c r="T131" s="121">
        <f>S131/L131</f>
        <v/>
      </c>
      <c r="U131" t="inlineStr">
        <is>
          <t>Average</t>
        </is>
      </c>
      <c r="V131" s="121" t="n"/>
      <c r="W131" s="121" t="n"/>
      <c r="X131" s="121" t="n"/>
      <c r="Y131" s="705" t="n">
        <v>296725</v>
      </c>
      <c r="Z131" s="705" t="n"/>
      <c r="AA131" s="705" t="n">
        <v>296725</v>
      </c>
      <c r="AB131" s="705" t="n"/>
      <c r="AC131" t="inlineStr">
        <is>
          <t>0181715300034</t>
        </is>
      </c>
      <c r="AD131" t="inlineStr">
        <is>
          <t>2024000024059</t>
        </is>
      </c>
      <c r="AE131" s="575" t="inlineStr">
        <is>
          <t>37851 51ST AVE HANGAR OWNERS ASSOCIATION INC</t>
        </is>
      </c>
      <c r="AF131" s="575" t="inlineStr">
        <is>
          <t>CD SYDNEY AVIATION LLC</t>
        </is>
      </c>
      <c r="AI131" s="59">
        <f>IF(AND($E131=Subj_OccCode,Subj_BldgSF&gt;0,ABS($L131-Subj_BldgSF)&lt;=Subj_BldgSF*Subj_SizeTol),ABS($L131-Subj_BldgSF),NA())</f>
        <v/>
      </c>
      <c r="AJ131">
        <f>IF(ISNA(AI131),NA(),AI131+ROW()/10000000)</f>
        <v/>
      </c>
      <c r="AK131">
        <f>IF(AND(ISNUMBER($N131),$N131&gt;0,ISNUMBER($Y131)),$Y131/$N131,"")</f>
        <v/>
      </c>
    </row>
    <row r="132" ht="15" customHeight="1" s="518">
      <c r="A132" s="62" t="n">
        <v>7</v>
      </c>
      <c r="B132" s="59" t="n">
        <v>124</v>
      </c>
      <c r="C132" t="inlineStr">
        <is>
          <t>R0003875</t>
        </is>
      </c>
      <c r="D132" t="inlineStr">
        <is>
          <t>66 S MAIN ST</t>
        </is>
      </c>
      <c r="E132" t="n">
        <v>353</v>
      </c>
      <c r="F132" t="inlineStr">
        <is>
          <t>BRIGHTON</t>
        </is>
      </c>
      <c r="G132" t="inlineStr">
        <is>
          <t>2</t>
        </is>
      </c>
      <c r="H132" s="703">
        <f>Y132/J132</f>
        <v/>
      </c>
      <c r="I132" s="124" t="n">
        <v>45419</v>
      </c>
      <c r="J132" t="n">
        <v>1525</v>
      </c>
      <c r="K132" s="703" t="n"/>
      <c r="L132" t="n">
        <v>1525</v>
      </c>
      <c r="M132" t="n">
        <v>1957</v>
      </c>
      <c r="P132" t="inlineStr">
        <is>
          <t>DT</t>
        </is>
      </c>
      <c r="R132" t="inlineStr">
        <is>
          <t>Average</t>
        </is>
      </c>
      <c r="S132" t="n">
        <v>1775</v>
      </c>
      <c r="T132" s="121">
        <f>S132/L132</f>
        <v/>
      </c>
      <c r="U132" t="inlineStr">
        <is>
          <t>Average</t>
        </is>
      </c>
      <c r="V132" s="121" t="n"/>
      <c r="W132" s="121" t="n"/>
      <c r="X132" s="121" t="n"/>
      <c r="Y132" s="705" t="n">
        <v>319900</v>
      </c>
      <c r="Z132" s="705" t="n"/>
      <c r="AA132" s="705" t="n">
        <v>319900</v>
      </c>
      <c r="AB132" s="705" t="n"/>
      <c r="AC132" t="inlineStr">
        <is>
          <t>0156907203013</t>
        </is>
      </c>
      <c r="AD132" t="inlineStr">
        <is>
          <t>2024000024483</t>
        </is>
      </c>
      <c r="AE132" s="575" t="inlineStr">
        <is>
          <t>66 S MAIN LLC</t>
        </is>
      </c>
      <c r="AF132" s="575" t="inlineStr">
        <is>
          <t>BRENNER ERIC</t>
        </is>
      </c>
      <c r="AI132" s="59">
        <f>IF(AND($E132=Subj_OccCode,Subj_BldgSF&gt;0,ABS($L132-Subj_BldgSF)&lt;=Subj_BldgSF*Subj_SizeTol),ABS($L132-Subj_BldgSF),NA())</f>
        <v/>
      </c>
      <c r="AJ132">
        <f>IF(ISNA(AI132),NA(),AI132+ROW()/10000000)</f>
        <v/>
      </c>
      <c r="AK132">
        <f>IF(AND(ISNUMBER($N132),$N132&gt;0,ISNUMBER($Y132)),$Y132/$N132,"")</f>
        <v/>
      </c>
    </row>
    <row r="133" ht="15" customHeight="1" s="518">
      <c r="A133" s="62" t="n">
        <v>7</v>
      </c>
      <c r="B133" s="59" t="n">
        <v>125</v>
      </c>
      <c r="C133" t="inlineStr">
        <is>
          <t>R0040581</t>
        </is>
      </c>
      <c r="D133" t="inlineStr">
        <is>
          <t>2090 E 104TH AVE</t>
        </is>
      </c>
      <c r="E133" t="n">
        <v>344</v>
      </c>
      <c r="F133" t="inlineStr">
        <is>
          <t>THORNTON</t>
        </is>
      </c>
      <c r="G133" t="inlineStr">
        <is>
          <t>4</t>
        </is>
      </c>
      <c r="H133" s="703">
        <f>Y133/J133</f>
        <v/>
      </c>
      <c r="I133" s="124" t="n">
        <v>44762</v>
      </c>
      <c r="J133" t="n">
        <v>20673</v>
      </c>
      <c r="K133" s="703" t="n"/>
      <c r="L133" t="n">
        <v>20673</v>
      </c>
      <c r="M133" t="n">
        <v>1975</v>
      </c>
      <c r="P133" t="inlineStr">
        <is>
          <t>Community Retail</t>
        </is>
      </c>
      <c r="R133" t="inlineStr">
        <is>
          <t>Average</t>
        </is>
      </c>
      <c r="S133" t="n">
        <v>90169</v>
      </c>
      <c r="T133" s="121">
        <f>S133/L133</f>
        <v/>
      </c>
      <c r="U133" t="inlineStr">
        <is>
          <t>Average</t>
        </is>
      </c>
      <c r="V133" s="121" t="n"/>
      <c r="W133" s="121" t="n"/>
      <c r="X133" s="121" t="n"/>
      <c r="Y133" s="705" t="n">
        <v>1400000</v>
      </c>
      <c r="Z133" s="705" t="n"/>
      <c r="AA133" s="705" t="n">
        <v>1400000</v>
      </c>
      <c r="AB133" s="705" t="n"/>
      <c r="AC133" t="inlineStr">
        <is>
          <t>0171914100005</t>
        </is>
      </c>
      <c r="AD133" t="inlineStr">
        <is>
          <t>2022000063474</t>
        </is>
      </c>
      <c r="AE133" s="575" t="inlineStr">
        <is>
          <t>2090 E 104TH LLC</t>
        </is>
      </c>
      <c r="AF133" s="575" t="inlineStr">
        <is>
          <t>PAUL M COHEN AND JANET A COHEN 1993 TRUST AND, WAALE LLC</t>
        </is>
      </c>
      <c r="AI133" s="59">
        <f>IF(AND($E133=Subj_OccCode,Subj_BldgSF&gt;0,ABS($L133-Subj_BldgSF)&lt;=Subj_BldgSF*Subj_SizeTol),ABS($L133-Subj_BldgSF),NA())</f>
        <v/>
      </c>
      <c r="AJ133">
        <f>IF(ISNA(AI133),NA(),AI133+ROW()/10000000)</f>
        <v/>
      </c>
      <c r="AK133">
        <f>IF(AND(ISNUMBER($N133),$N133&gt;0,ISNUMBER($Y133)),$Y133/$N133,"")</f>
        <v/>
      </c>
    </row>
    <row r="134" ht="15" customHeight="1" s="518">
      <c r="A134" s="62" t="n">
        <v>7</v>
      </c>
      <c r="B134" s="59" t="n">
        <v>126</v>
      </c>
      <c r="C134" t="inlineStr">
        <is>
          <t>R0040815</t>
        </is>
      </c>
      <c r="D134" t="inlineStr">
        <is>
          <t>2100 E 104TH AVE</t>
        </is>
      </c>
      <c r="E134" t="n">
        <v>350</v>
      </c>
      <c r="F134" t="inlineStr">
        <is>
          <t>THORNTON</t>
        </is>
      </c>
      <c r="G134" t="inlineStr">
        <is>
          <t>4</t>
        </is>
      </c>
      <c r="H134" s="703">
        <f>Y134/J134</f>
        <v/>
      </c>
      <c r="I134" s="124" t="n">
        <v>45070</v>
      </c>
      <c r="J134" t="n">
        <v>4438</v>
      </c>
      <c r="K134" s="703" t="n"/>
      <c r="L134" t="n">
        <v>4438</v>
      </c>
      <c r="M134" t="n">
        <v>1973</v>
      </c>
      <c r="P134" t="inlineStr">
        <is>
          <t>Community Retail</t>
        </is>
      </c>
      <c r="R134" t="inlineStr">
        <is>
          <t>Average</t>
        </is>
      </c>
      <c r="S134" t="n">
        <v>34473</v>
      </c>
      <c r="T134" s="121">
        <f>S134/L134</f>
        <v/>
      </c>
      <c r="U134" t="inlineStr">
        <is>
          <t>Average</t>
        </is>
      </c>
      <c r="V134" s="121" t="n"/>
      <c r="W134" s="121" t="n"/>
      <c r="X134" s="121" t="n"/>
      <c r="Y134" s="705" t="n">
        <v>1525000</v>
      </c>
      <c r="Z134" s="705" t="n"/>
      <c r="AA134" s="705" t="n">
        <v>1525000</v>
      </c>
      <c r="AB134" s="705" t="n"/>
      <c r="AC134" t="inlineStr">
        <is>
          <t>0171914119001</t>
        </is>
      </c>
      <c r="AD134" t="inlineStr">
        <is>
          <t>2023000030020</t>
        </is>
      </c>
      <c r="AE134" s="575" t="inlineStr">
        <is>
          <t>HOLTS LLC</t>
        </is>
      </c>
      <c r="AF134" s="575" t="inlineStr">
        <is>
          <t>S&amp;P CORP</t>
        </is>
      </c>
      <c r="AI134" s="59">
        <f>IF(AND($E134=Subj_OccCode,Subj_BldgSF&gt;0,ABS($L134-Subj_BldgSF)&lt;=Subj_BldgSF*Subj_SizeTol),ABS($L134-Subj_BldgSF),NA())</f>
        <v/>
      </c>
      <c r="AJ134">
        <f>IF(ISNA(AI134),NA(),AI134+ROW()/10000000)</f>
        <v/>
      </c>
      <c r="AK134">
        <f>IF(AND(ISNUMBER($N134),$N134&gt;0,ISNUMBER($Y134)),$Y134/$N134,"")</f>
        <v/>
      </c>
    </row>
    <row r="135" ht="15" customHeight="1" s="518">
      <c r="A135" s="62" t="n">
        <v>7</v>
      </c>
      <c r="B135" s="59" t="n">
        <v>127</v>
      </c>
      <c r="C135" t="inlineStr">
        <is>
          <t>R0077173</t>
        </is>
      </c>
      <c r="D135" t="inlineStr">
        <is>
          <t>8485 ROSLYN ST</t>
        </is>
      </c>
      <c r="E135" t="n">
        <v>406</v>
      </c>
      <c r="F135" t="inlineStr">
        <is>
          <t>COMMERCE CITY</t>
        </is>
      </c>
      <c r="G135" t="inlineStr">
        <is>
          <t>5</t>
        </is>
      </c>
      <c r="H135" s="703">
        <f>Y135/J135</f>
        <v/>
      </c>
      <c r="I135" s="124" t="n">
        <v>45085</v>
      </c>
      <c r="J135" t="n">
        <v>7500</v>
      </c>
      <c r="K135" s="703" t="n"/>
      <c r="L135" t="n">
        <v>7500</v>
      </c>
      <c r="M135" t="n">
        <v>1987</v>
      </c>
      <c r="P135" t="inlineStr">
        <is>
          <t>I-2-Com</t>
        </is>
      </c>
      <c r="R135" t="inlineStr">
        <is>
          <t>Average</t>
        </is>
      </c>
      <c r="S135" t="n">
        <v>49295</v>
      </c>
      <c r="T135" s="121">
        <f>S135/L135</f>
        <v/>
      </c>
      <c r="U135" t="inlineStr">
        <is>
          <t>Average</t>
        </is>
      </c>
      <c r="V135" s="121" t="n"/>
      <c r="W135" s="121" t="n"/>
      <c r="X135" s="121" t="n"/>
      <c r="Y135" s="705" t="n">
        <v>2025000</v>
      </c>
      <c r="Z135" s="705" t="n"/>
      <c r="AA135" s="705" t="n">
        <v>2025000</v>
      </c>
      <c r="AB135" s="705" t="n"/>
      <c r="AC135" t="inlineStr">
        <is>
          <t>0172128200024</t>
        </is>
      </c>
      <c r="AD135" t="inlineStr">
        <is>
          <t>2023000032617</t>
        </is>
      </c>
      <c r="AE135" s="575" t="inlineStr">
        <is>
          <t>BRAZZELL DAVID R AND, BRAZZELL BRIAN J</t>
        </is>
      </c>
      <c r="AF135" s="575" t="inlineStr">
        <is>
          <t>IMPRESSION CARPET CLEANING LLC</t>
        </is>
      </c>
      <c r="AI135" s="59">
        <f>IF(AND($E135=Subj_OccCode,Subj_BldgSF&gt;0,ABS($L135-Subj_BldgSF)&lt;=Subj_BldgSF*Subj_SizeTol),ABS($L135-Subj_BldgSF),NA())</f>
        <v/>
      </c>
      <c r="AJ135">
        <f>IF(ISNA(AI135),NA(),AI135+ROW()/10000000)</f>
        <v/>
      </c>
      <c r="AK135">
        <f>IF(AND(ISNUMBER($N135),$N135&gt;0,ISNUMBER($Y135)),$Y135/$N135,"")</f>
        <v/>
      </c>
    </row>
    <row r="136" ht="15" customHeight="1" s="518">
      <c r="A136" s="62" t="n">
        <v>7</v>
      </c>
      <c r="B136" s="59" t="n">
        <v>128</v>
      </c>
      <c r="C136" t="inlineStr">
        <is>
          <t>R0085963</t>
        </is>
      </c>
      <c r="D136" t="inlineStr">
        <is>
          <t>1563 JASPER ST</t>
        </is>
      </c>
      <c r="E136" t="n">
        <v>386</v>
      </c>
      <c r="F136" t="inlineStr">
        <is>
          <t>AURORA</t>
        </is>
      </c>
      <c r="G136" t="inlineStr">
        <is>
          <t>6</t>
        </is>
      </c>
      <c r="H136" s="703">
        <f>Y136/J136</f>
        <v/>
      </c>
      <c r="I136" s="124" t="n">
        <v>45062</v>
      </c>
      <c r="J136" t="n">
        <v>29650</v>
      </c>
      <c r="K136" s="703" t="n"/>
      <c r="L136" t="n">
        <v>29650</v>
      </c>
      <c r="M136" t="n">
        <v>1985</v>
      </c>
      <c r="P136" t="inlineStr">
        <is>
          <t>B-4-Aur</t>
        </is>
      </c>
      <c r="R136" t="inlineStr">
        <is>
          <t>Average</t>
        </is>
      </c>
      <c r="S136" t="n">
        <v>62929</v>
      </c>
      <c r="T136" s="121">
        <f>S136/L136</f>
        <v/>
      </c>
      <c r="U136" t="inlineStr">
        <is>
          <t>Average</t>
        </is>
      </c>
      <c r="V136" s="121" t="n"/>
      <c r="W136" s="121" t="n"/>
      <c r="X136" s="121" t="n"/>
      <c r="Y136" s="705" t="n">
        <v>2712500</v>
      </c>
      <c r="Z136" s="705" t="n"/>
      <c r="AA136" s="705" t="n">
        <v>2712500</v>
      </c>
      <c r="AB136" s="705" t="n"/>
      <c r="AC136" t="inlineStr">
        <is>
          <t>0182132315052</t>
        </is>
      </c>
      <c r="AD136" t="inlineStr">
        <is>
          <t>2023000027674</t>
        </is>
      </c>
      <c r="AE136" s="575" t="inlineStr">
        <is>
          <t>CTTW HOLDINGS LLC AND MARSCH NICHOLAS AND, MARSCH &amp; BAKOUCHE RENTALS LLC ET AL</t>
        </is>
      </c>
      <c r="AF136" s="575" t="inlineStr">
        <is>
          <t>LOCK AWAY COLORADO LLC</t>
        </is>
      </c>
      <c r="AI136" s="59">
        <f>IF(AND($E136=Subj_OccCode,Subj_BldgSF&gt;0,ABS($L136-Subj_BldgSF)&lt;=Subj_BldgSF*Subj_SizeTol),ABS($L136-Subj_BldgSF),NA())</f>
        <v/>
      </c>
      <c r="AJ136">
        <f>IF(ISNA(AI136),NA(),AI136+ROW()/10000000)</f>
        <v/>
      </c>
      <c r="AK136">
        <f>IF(AND(ISNUMBER($N136),$N136&gt;0,ISNUMBER($Y136)),$Y136/$N136,"")</f>
        <v/>
      </c>
    </row>
    <row r="137" ht="15" customHeight="1" s="518">
      <c r="A137" s="62" t="n">
        <v>7</v>
      </c>
      <c r="B137" s="59" t="n">
        <v>129</v>
      </c>
      <c r="C137" t="inlineStr">
        <is>
          <t>R0090660</t>
        </is>
      </c>
      <c r="D137" t="inlineStr">
        <is>
          <t>4981 E 64TH AVE</t>
        </is>
      </c>
      <c r="E137" t="n">
        <v>419</v>
      </c>
      <c r="F137" t="inlineStr">
        <is>
          <t>COMMERCE CITY</t>
        </is>
      </c>
      <c r="G137" t="inlineStr">
        <is>
          <t>5</t>
        </is>
      </c>
      <c r="H137" s="703">
        <f>Y137/J137</f>
        <v/>
      </c>
      <c r="I137" s="124" t="n">
        <v>44858</v>
      </c>
      <c r="J137" t="n">
        <v>2709</v>
      </c>
      <c r="K137" s="703" t="n"/>
      <c r="L137" t="n">
        <v>2709</v>
      </c>
      <c r="M137" t="n">
        <v>1995</v>
      </c>
      <c r="P137" t="inlineStr">
        <is>
          <t>C-2-Com</t>
        </is>
      </c>
      <c r="R137" t="inlineStr">
        <is>
          <t>Average</t>
        </is>
      </c>
      <c r="S137" t="n">
        <v>50268</v>
      </c>
      <c r="T137" s="121">
        <f>S137/L137</f>
        <v/>
      </c>
      <c r="U137" t="inlineStr">
        <is>
          <t>Average</t>
        </is>
      </c>
      <c r="V137" s="121" t="n"/>
      <c r="W137" s="121" t="n"/>
      <c r="X137" s="121" t="n"/>
      <c r="Y137" s="705" t="n">
        <v>2341930</v>
      </c>
      <c r="Z137" s="705" t="n"/>
      <c r="AA137" s="705" t="n">
        <v>2341930</v>
      </c>
      <c r="AB137" s="705" t="n"/>
      <c r="AC137" t="inlineStr">
        <is>
          <t>0182306407031</t>
        </is>
      </c>
      <c r="AD137" t="inlineStr">
        <is>
          <t>2022000086638</t>
        </is>
      </c>
      <c r="AE137" s="575" t="inlineStr">
        <is>
          <t>DCW FAMILY HOLDINGS LLC</t>
        </is>
      </c>
      <c r="AF137" s="575" t="inlineStr">
        <is>
          <t>SKYLINE PRINCIPAL INVESTORS II LLC</t>
        </is>
      </c>
      <c r="AI137" s="59">
        <f>IF(AND($E137=Subj_OccCode,Subj_BldgSF&gt;0,ABS($L137-Subj_BldgSF)&lt;=Subj_BldgSF*Subj_SizeTol),ABS($L137-Subj_BldgSF),NA())</f>
        <v/>
      </c>
      <c r="AJ137">
        <f>IF(ISNA(AI137),NA(),AI137+ROW()/10000000)</f>
        <v/>
      </c>
      <c r="AK137">
        <f>IF(AND(ISNUMBER($N137),$N137&gt;0,ISNUMBER($Y137)),$Y137/$N137,"")</f>
        <v/>
      </c>
    </row>
    <row r="138" ht="15" customHeight="1" s="518">
      <c r="A138" s="62" t="n">
        <v>7</v>
      </c>
      <c r="B138" s="59" t="n">
        <v>130</v>
      </c>
      <c r="C138" t="inlineStr">
        <is>
          <t>R0092838</t>
        </is>
      </c>
      <c r="D138" t="inlineStr">
        <is>
          <t>5565 E 52ND AVE</t>
        </is>
      </c>
      <c r="E138" t="n">
        <v>334</v>
      </c>
      <c r="F138" t="inlineStr">
        <is>
          <t>COMMERCE CITY</t>
        </is>
      </c>
      <c r="G138" t="inlineStr">
        <is>
          <t>5</t>
        </is>
      </c>
      <c r="H138" s="703">
        <f>Y138/J138</f>
        <v/>
      </c>
      <c r="I138" s="124" t="n">
        <v>45275</v>
      </c>
      <c r="J138" t="n">
        <v>11200</v>
      </c>
      <c r="K138" s="703" t="n"/>
      <c r="L138" t="n">
        <v>11200</v>
      </c>
      <c r="M138" t="n">
        <v>1974</v>
      </c>
      <c r="P138" t="inlineStr">
        <is>
          <t>I-2-Com</t>
        </is>
      </c>
      <c r="R138" t="inlineStr">
        <is>
          <t>Average</t>
        </is>
      </c>
      <c r="S138" t="n">
        <v>145011</v>
      </c>
      <c r="T138" s="121">
        <f>S138/L138</f>
        <v/>
      </c>
      <c r="U138" t="inlineStr">
        <is>
          <t>Average</t>
        </is>
      </c>
      <c r="V138" s="121" t="n"/>
      <c r="W138" s="121" t="n"/>
      <c r="X138" s="121" t="n"/>
      <c r="Y138" s="705" t="n">
        <v>5192000</v>
      </c>
      <c r="Z138" s="705" t="n"/>
      <c r="AA138" s="705" t="n">
        <v>5192000</v>
      </c>
      <c r="AB138" s="705" t="n"/>
      <c r="AC138" t="inlineStr">
        <is>
          <t>0182318107003</t>
        </is>
      </c>
      <c r="AD138" t="inlineStr">
        <is>
          <t>2023000069418</t>
        </is>
      </c>
      <c r="AE138" s="575" t="inlineStr">
        <is>
          <t>FIVEKC LLC</t>
        </is>
      </c>
      <c r="AF138" s="575" t="inlineStr">
        <is>
          <t>CAH CO COMMERCE CITY LLC</t>
        </is>
      </c>
      <c r="AI138" s="59">
        <f>IF(AND($E138=Subj_OccCode,Subj_BldgSF&gt;0,ABS($L138-Subj_BldgSF)&lt;=Subj_BldgSF*Subj_SizeTol),ABS($L138-Subj_BldgSF),NA())</f>
        <v/>
      </c>
      <c r="AJ138">
        <f>IF(ISNA(AI138),NA(),AI138+ROW()/10000000)</f>
        <v/>
      </c>
      <c r="AK138">
        <f>IF(AND(ISNUMBER($N138),$N138&gt;0,ISNUMBER($Y138)),$Y138/$N138,"")</f>
        <v/>
      </c>
    </row>
    <row r="139" ht="15" customHeight="1" s="518">
      <c r="A139" s="62" t="n">
        <v>7</v>
      </c>
      <c r="B139" s="59" t="n">
        <v>131</v>
      </c>
      <c r="C139" t="inlineStr">
        <is>
          <t>R0099963</t>
        </is>
      </c>
      <c r="D139" t="inlineStr">
        <is>
          <t>3190 W 72ND AVE</t>
        </is>
      </c>
      <c r="E139" t="n">
        <v>350</v>
      </c>
      <c r="F139" t="inlineStr">
        <is>
          <t>WESTMINSTER</t>
        </is>
      </c>
      <c r="G139" t="inlineStr">
        <is>
          <t>4</t>
        </is>
      </c>
      <c r="H139" s="703">
        <f>Y139/J139</f>
        <v/>
      </c>
      <c r="I139" s="124" t="n">
        <v>45166</v>
      </c>
      <c r="J139" t="n">
        <v>1163</v>
      </c>
      <c r="K139" s="703" t="n"/>
      <c r="L139" t="n">
        <v>1163</v>
      </c>
      <c r="M139" t="n">
        <v>1964</v>
      </c>
      <c r="P139" t="inlineStr">
        <is>
          <t>SPD</t>
        </is>
      </c>
      <c r="R139" t="inlineStr">
        <is>
          <t>Average</t>
        </is>
      </c>
      <c r="S139" t="n">
        <v>14556</v>
      </c>
      <c r="T139" s="121">
        <f>S139/L139</f>
        <v/>
      </c>
      <c r="U139" t="inlineStr">
        <is>
          <t>Average</t>
        </is>
      </c>
      <c r="V139" s="121" t="n"/>
      <c r="W139" s="121" t="n"/>
      <c r="X139" s="121" t="n"/>
      <c r="Y139" s="705" t="n">
        <v>600000</v>
      </c>
      <c r="Z139" s="705" t="n"/>
      <c r="AA139" s="705" t="n">
        <v>600000</v>
      </c>
      <c r="AB139" s="705" t="n"/>
      <c r="AC139" t="inlineStr">
        <is>
          <t>0182505201001</t>
        </is>
      </c>
      <c r="AD139" t="inlineStr">
        <is>
          <t>2023000051057</t>
        </is>
      </c>
      <c r="AE139" s="575" t="inlineStr">
        <is>
          <t>NORMAN GAUGER INC</t>
        </is>
      </c>
      <c r="AF139" s="575" t="inlineStr">
        <is>
          <t>72 AVE LLC, C/O SHI BING KE</t>
        </is>
      </c>
      <c r="AI139" s="59">
        <f>IF(AND($E139=Subj_OccCode,Subj_BldgSF&gt;0,ABS($L139-Subj_BldgSF)&lt;=Subj_BldgSF*Subj_SizeTol),ABS($L139-Subj_BldgSF),NA())</f>
        <v/>
      </c>
      <c r="AJ139">
        <f>IF(ISNA(AI139),NA(),AI139+ROW()/10000000)</f>
        <v/>
      </c>
      <c r="AK139">
        <f>IF(AND(ISNUMBER($N139),$N139&gt;0,ISNUMBER($Y139)),$Y139/$N139,"")</f>
        <v/>
      </c>
    </row>
    <row r="140" ht="15" customHeight="1" s="518">
      <c r="A140" s="62" t="n">
        <v>7</v>
      </c>
      <c r="B140" s="59" t="n">
        <v>132</v>
      </c>
      <c r="C140" t="inlineStr">
        <is>
          <t>R0103017</t>
        </is>
      </c>
      <c r="D140" t="inlineStr">
        <is>
          <t>2896 W 64TH AVE</t>
        </is>
      </c>
      <c r="E140" t="n">
        <v>407</v>
      </c>
      <c r="G140" t="inlineStr">
        <is>
          <t>5</t>
        </is>
      </c>
      <c r="H140" s="703">
        <f>Y140/J140</f>
        <v/>
      </c>
      <c r="I140" s="124" t="n">
        <v>45117</v>
      </c>
      <c r="J140" t="n">
        <v>13613</v>
      </c>
      <c r="K140" s="703" t="n"/>
      <c r="L140" t="n">
        <v>13613</v>
      </c>
      <c r="M140" t="n">
        <v>1973</v>
      </c>
      <c r="P140" t="inlineStr">
        <is>
          <t>Industrial</t>
        </is>
      </c>
      <c r="R140" t="inlineStr">
        <is>
          <t>Average</t>
        </is>
      </c>
      <c r="S140" t="n">
        <v>41382</v>
      </c>
      <c r="T140" s="121">
        <f>S140/L140</f>
        <v/>
      </c>
      <c r="U140" t="inlineStr">
        <is>
          <t>Average</t>
        </is>
      </c>
      <c r="V140" s="121" t="n"/>
      <c r="W140" s="121" t="n"/>
      <c r="X140" s="121" t="n"/>
      <c r="Y140" s="705" t="n">
        <v>2225000</v>
      </c>
      <c r="Z140" s="705" t="n"/>
      <c r="AA140" s="705" t="n">
        <v>2225000</v>
      </c>
      <c r="AB140" s="705" t="n"/>
      <c r="AC140" t="inlineStr">
        <is>
          <t>0182508100004</t>
        </is>
      </c>
      <c r="AD140" t="inlineStr">
        <is>
          <t>2023000038899</t>
        </is>
      </c>
      <c r="AE140" s="575" t="inlineStr">
        <is>
          <t>2896 W 64TH AVE LLC</t>
        </is>
      </c>
      <c r="AF140" s="575" t="inlineStr">
        <is>
          <t>THE MCC AMIGOS LLC</t>
        </is>
      </c>
      <c r="AI140" s="59">
        <f>IF(AND($E140=Subj_OccCode,Subj_BldgSF&gt;0,ABS($L140-Subj_BldgSF)&lt;=Subj_BldgSF*Subj_SizeTol),ABS($L140-Subj_BldgSF),NA())</f>
        <v/>
      </c>
      <c r="AJ140">
        <f>IF(ISNA(AI140),NA(),AI140+ROW()/10000000)</f>
        <v/>
      </c>
      <c r="AK140">
        <f>IF(AND(ISNUMBER($N140),$N140&gt;0,ISNUMBER($Y140)),$Y140/$N140,"")</f>
        <v/>
      </c>
    </row>
    <row r="141" ht="15" customHeight="1" s="518">
      <c r="A141" s="62" t="n">
        <v>7</v>
      </c>
      <c r="B141" s="59" t="n">
        <v>133</v>
      </c>
      <c r="C141" t="inlineStr">
        <is>
          <t>R0142646</t>
        </is>
      </c>
      <c r="D141" t="inlineStr">
        <is>
          <t>10160 GRANT ST</t>
        </is>
      </c>
      <c r="E141" t="n">
        <v>325</v>
      </c>
      <c r="F141" t="inlineStr">
        <is>
          <t>THORNTON</t>
        </is>
      </c>
      <c r="G141" t="inlineStr">
        <is>
          <t>4</t>
        </is>
      </c>
      <c r="H141" s="703">
        <f>Y141/J141</f>
        <v/>
      </c>
      <c r="I141" s="124" t="n">
        <v>45442</v>
      </c>
      <c r="J141" t="n">
        <v>6440</v>
      </c>
      <c r="K141" s="703" t="n"/>
      <c r="L141" t="n">
        <v>6440</v>
      </c>
      <c r="M141" t="n">
        <v>2002</v>
      </c>
      <c r="P141" t="inlineStr">
        <is>
          <t>Planned Development</t>
        </is>
      </c>
      <c r="R141" t="inlineStr">
        <is>
          <t>Average</t>
        </is>
      </c>
      <c r="S141" t="n">
        <v>52276</v>
      </c>
      <c r="T141" s="121">
        <f>S141/L141</f>
        <v/>
      </c>
      <c r="U141" t="inlineStr">
        <is>
          <t>Average</t>
        </is>
      </c>
      <c r="V141" s="121" t="n"/>
      <c r="W141" s="121" t="n"/>
      <c r="X141" s="121" t="n"/>
      <c r="Y141" s="705" t="n">
        <v>2500000</v>
      </c>
      <c r="Z141" s="705" t="n"/>
      <c r="AA141" s="705" t="n">
        <v>2500000</v>
      </c>
      <c r="AB141" s="705" t="n"/>
      <c r="AC141" t="inlineStr">
        <is>
          <t>0171915102026</t>
        </is>
      </c>
      <c r="AD141" t="inlineStr">
        <is>
          <t>2024000031475</t>
        </is>
      </c>
      <c r="AE141" s="575" t="inlineStr">
        <is>
          <t>NG21 LP</t>
        </is>
      </c>
      <c r="AF141" s="575" t="inlineStr">
        <is>
          <t>BRAKES PLUS LLC</t>
        </is>
      </c>
      <c r="AI141" s="59">
        <f>IF(AND($E141=Subj_OccCode,Subj_BldgSF&gt;0,ABS($L141-Subj_BldgSF)&lt;=Subj_BldgSF*Subj_SizeTol),ABS($L141-Subj_BldgSF),NA())</f>
        <v/>
      </c>
      <c r="AJ141">
        <f>IF(ISNA(AI141),NA(),AI141+ROW()/10000000)</f>
        <v/>
      </c>
      <c r="AK141">
        <f>IF(AND(ISNUMBER($N141),$N141&gt;0,ISNUMBER($Y141)),$Y141/$N141,"")</f>
        <v/>
      </c>
    </row>
    <row r="142" ht="15" customHeight="1" s="518">
      <c r="A142" s="62" t="n">
        <v>7</v>
      </c>
      <c r="B142" s="59" t="n">
        <v>134</v>
      </c>
      <c r="C142" t="inlineStr">
        <is>
          <t>R0037692</t>
        </is>
      </c>
      <c r="D142" t="inlineStr">
        <is>
          <t>10880 LEROY DR</t>
        </is>
      </c>
      <c r="E142" t="n">
        <v>407</v>
      </c>
      <c r="F142" t="inlineStr">
        <is>
          <t>NORTHGLENN</t>
        </is>
      </c>
      <c r="G142" t="inlineStr">
        <is>
          <t>4</t>
        </is>
      </c>
      <c r="H142" s="703">
        <f>Y142/J142</f>
        <v/>
      </c>
      <c r="I142" s="124" t="n">
        <v>45362</v>
      </c>
      <c r="J142" t="n">
        <v>29000</v>
      </c>
      <c r="K142" s="703" t="n"/>
      <c r="L142" t="n">
        <v>29000</v>
      </c>
      <c r="M142" t="n">
        <v>1977</v>
      </c>
      <c r="P142" t="inlineStr">
        <is>
          <t>I-2-Nor</t>
        </is>
      </c>
      <c r="R142" t="inlineStr">
        <is>
          <t>Average</t>
        </is>
      </c>
      <c r="S142" t="n">
        <v>92434</v>
      </c>
      <c r="T142" s="121">
        <f>S142/L142</f>
        <v/>
      </c>
      <c r="U142" t="inlineStr">
        <is>
          <t>Average</t>
        </is>
      </c>
      <c r="V142" s="121" t="n"/>
      <c r="W142" s="121" t="n"/>
      <c r="X142" s="121" t="n"/>
      <c r="Y142" s="705" t="n">
        <v>4850000</v>
      </c>
      <c r="Z142" s="705" t="n"/>
      <c r="AA142" s="705" t="n">
        <v>4850000</v>
      </c>
      <c r="AB142" s="705" t="n"/>
      <c r="AC142" t="inlineStr">
        <is>
          <t>0171911101018</t>
        </is>
      </c>
      <c r="AD142" t="inlineStr">
        <is>
          <t>2024000012846</t>
        </is>
      </c>
      <c r="AE142" s="575" t="inlineStr">
        <is>
          <t>KICKBUSH DOM AND, KICKBUSH ANA</t>
        </is>
      </c>
      <c r="AF142" s="575" t="inlineStr">
        <is>
          <t>SLLI PROPERTIES LLC</t>
        </is>
      </c>
      <c r="AI142" s="59">
        <f>IF(AND($E142=Subj_OccCode,Subj_BldgSF&gt;0,ABS($L142-Subj_BldgSF)&lt;=Subj_BldgSF*Subj_SizeTol),ABS($L142-Subj_BldgSF),NA())</f>
        <v/>
      </c>
      <c r="AJ142">
        <f>IF(ISNA(AI142),NA(),AI142+ROW()/10000000)</f>
        <v/>
      </c>
      <c r="AK142">
        <f>IF(AND(ISNUMBER($N142),$N142&gt;0,ISNUMBER($Y142)),$Y142/$N142,"")</f>
        <v/>
      </c>
    </row>
    <row r="143" ht="15" customHeight="1" s="518">
      <c r="A143" s="62" t="n">
        <v>7</v>
      </c>
      <c r="B143" s="59" t="n">
        <v>135</v>
      </c>
      <c r="C143" t="inlineStr">
        <is>
          <t>R0037816</t>
        </is>
      </c>
      <c r="D143" t="inlineStr">
        <is>
          <t>10911 IRMA DR</t>
        </is>
      </c>
      <c r="E143" t="n">
        <v>325</v>
      </c>
      <c r="F143" t="inlineStr">
        <is>
          <t>NORTHGLENN</t>
        </is>
      </c>
      <c r="G143" t="inlineStr">
        <is>
          <t>4</t>
        </is>
      </c>
      <c r="H143" s="703">
        <f>Y143/J143</f>
        <v/>
      </c>
      <c r="I143" s="124" t="n">
        <v>45051</v>
      </c>
      <c r="J143" t="n">
        <v>2592</v>
      </c>
      <c r="K143" s="703" t="n"/>
      <c r="L143" t="n">
        <v>2592</v>
      </c>
      <c r="M143" t="n">
        <v>1975</v>
      </c>
      <c r="P143" t="inlineStr">
        <is>
          <t>I-2-Nor</t>
        </is>
      </c>
      <c r="R143" t="inlineStr">
        <is>
          <t>Average</t>
        </is>
      </c>
      <c r="S143" t="n">
        <v>22500</v>
      </c>
      <c r="T143" s="121">
        <f>S143/L143</f>
        <v/>
      </c>
      <c r="U143" t="inlineStr">
        <is>
          <t>Average</t>
        </is>
      </c>
      <c r="V143" s="121" t="n"/>
      <c r="W143" s="121" t="n"/>
      <c r="X143" s="121" t="n"/>
      <c r="Y143" s="705" t="n">
        <v>850000</v>
      </c>
      <c r="Z143" s="705" t="n"/>
      <c r="AA143" s="705" t="n">
        <v>850000</v>
      </c>
      <c r="AB143" s="705" t="n"/>
      <c r="AC143" t="inlineStr">
        <is>
          <t>0171911109017</t>
        </is>
      </c>
      <c r="AD143" t="inlineStr">
        <is>
          <t>2023000031537</t>
        </is>
      </c>
      <c r="AE143" s="575" t="inlineStr">
        <is>
          <t>JACKSON LARRY DEAN</t>
        </is>
      </c>
      <c r="AF143" s="575" t="inlineStr">
        <is>
          <t>RBF ENTERPRISES LLC</t>
        </is>
      </c>
      <c r="AI143" s="59">
        <f>IF(AND($E143=Subj_OccCode,Subj_BldgSF&gt;0,ABS($L143-Subj_BldgSF)&lt;=Subj_BldgSF*Subj_SizeTol),ABS($L143-Subj_BldgSF),NA())</f>
        <v/>
      </c>
      <c r="AJ143">
        <f>IF(ISNA(AI143),NA(),AI143+ROW()/10000000)</f>
        <v/>
      </c>
      <c r="AK143">
        <f>IF(AND(ISNUMBER($N143),$N143&gt;0,ISNUMBER($Y143)),$Y143/$N143,"")</f>
        <v/>
      </c>
    </row>
    <row r="144" ht="15" customHeight="1" s="518">
      <c r="A144" s="62" t="n">
        <v>7</v>
      </c>
      <c r="B144" s="59" t="n">
        <v>136</v>
      </c>
      <c r="C144" t="inlineStr">
        <is>
          <t>R0064415</t>
        </is>
      </c>
      <c r="D144" t="inlineStr">
        <is>
          <t>7901 ZENOBIA ST</t>
        </is>
      </c>
      <c r="E144" t="n">
        <v>1344</v>
      </c>
      <c r="F144" t="inlineStr">
        <is>
          <t>WESTMINSTER</t>
        </is>
      </c>
      <c r="G144" t="inlineStr">
        <is>
          <t>4</t>
        </is>
      </c>
      <c r="H144" s="703">
        <f>Y144/J144</f>
        <v/>
      </c>
      <c r="I144" s="124" t="n">
        <v>45436</v>
      </c>
      <c r="J144" t="n">
        <v>5700</v>
      </c>
      <c r="K144" s="703" t="n"/>
      <c r="L144" t="n">
        <v>5700</v>
      </c>
      <c r="M144" t="n">
        <v>1981</v>
      </c>
      <c r="P144" t="inlineStr">
        <is>
          <t>B-1-Wes</t>
        </is>
      </c>
      <c r="R144" t="inlineStr">
        <is>
          <t>Average</t>
        </is>
      </c>
      <c r="S144" t="n">
        <v>720</v>
      </c>
      <c r="T144" s="121">
        <f>S144/L144</f>
        <v/>
      </c>
      <c r="U144" t="inlineStr">
        <is>
          <t>Average</t>
        </is>
      </c>
      <c r="V144" s="121" t="n"/>
      <c r="W144" s="121" t="n"/>
      <c r="X144" s="121" t="n"/>
      <c r="Y144" s="705" t="n">
        <v>325000</v>
      </c>
      <c r="Z144" s="705" t="n"/>
      <c r="AA144" s="705" t="n">
        <v>325000</v>
      </c>
      <c r="AB144" s="705" t="n"/>
      <c r="AC144" t="inlineStr">
        <is>
          <t>0171931213021</t>
        </is>
      </c>
      <c r="AD144" t="inlineStr">
        <is>
          <t>2024000029819</t>
        </is>
      </c>
      <c r="AE144" s="575" t="inlineStr">
        <is>
          <t>CMS HOLDINGS LLC</t>
        </is>
      </c>
      <c r="AF144" s="575" t="inlineStr">
        <is>
          <t>REINVENTION J HOLDINGS LLC</t>
        </is>
      </c>
      <c r="AI144" s="59">
        <f>IF(AND($E144=Subj_OccCode,Subj_BldgSF&gt;0,ABS($L144-Subj_BldgSF)&lt;=Subj_BldgSF*Subj_SizeTol),ABS($L144-Subj_BldgSF),NA())</f>
        <v/>
      </c>
      <c r="AJ144">
        <f>IF(ISNA(AI144),NA(),AI144+ROW()/10000000)</f>
        <v/>
      </c>
      <c r="AK144">
        <f>IF(AND(ISNUMBER($N144),$N144&gt;0,ISNUMBER($Y144)),$Y144/$N144,"")</f>
        <v/>
      </c>
    </row>
    <row r="145" ht="15" customHeight="1" s="518">
      <c r="A145" s="62" t="n">
        <v>7</v>
      </c>
      <c r="B145" s="59" t="n">
        <v>137</v>
      </c>
      <c r="C145" t="inlineStr">
        <is>
          <t>R0065356</t>
        </is>
      </c>
      <c r="D145" t="inlineStr">
        <is>
          <t>7205 MEADE ST</t>
        </is>
      </c>
      <c r="E145" t="n">
        <v>344</v>
      </c>
      <c r="F145" t="inlineStr">
        <is>
          <t>WESTMINSTER</t>
        </is>
      </c>
      <c r="G145" t="inlineStr">
        <is>
          <t>4</t>
        </is>
      </c>
      <c r="H145" s="703">
        <f>Y145/J145</f>
        <v/>
      </c>
      <c r="I145" s="124" t="n">
        <v>45457</v>
      </c>
      <c r="J145" t="n">
        <v>1880</v>
      </c>
      <c r="K145" s="703" t="n"/>
      <c r="L145" t="n">
        <v>1880</v>
      </c>
      <c r="M145" t="n">
        <v>1952</v>
      </c>
      <c r="P145" t="inlineStr">
        <is>
          <t>B-1-Wes</t>
        </is>
      </c>
      <c r="R145" t="inlineStr">
        <is>
          <t>Average</t>
        </is>
      </c>
      <c r="S145" t="n">
        <v>4800</v>
      </c>
      <c r="T145" s="121">
        <f>S145/L145</f>
        <v/>
      </c>
      <c r="U145" t="inlineStr">
        <is>
          <t>Average</t>
        </is>
      </c>
      <c r="V145" s="121" t="n"/>
      <c r="W145" s="121" t="n"/>
      <c r="X145" s="121" t="n"/>
      <c r="Y145" s="705" t="n">
        <v>300000</v>
      </c>
      <c r="Z145" s="705" t="n"/>
      <c r="AA145" s="705" t="n">
        <v>300000</v>
      </c>
      <c r="AB145" s="705" t="n"/>
      <c r="AC145" t="inlineStr">
        <is>
          <t>0171931417024</t>
        </is>
      </c>
      <c r="AD145" t="inlineStr">
        <is>
          <t>2024000032236</t>
        </is>
      </c>
      <c r="AE145" s="575" t="inlineStr">
        <is>
          <t>7205 MEADE LLC</t>
        </is>
      </c>
      <c r="AF145" s="575" t="inlineStr">
        <is>
          <t>COLLECTIVE CULTURE LLC</t>
        </is>
      </c>
      <c r="AI145" s="59">
        <f>IF(AND($E145=Subj_OccCode,Subj_BldgSF&gt;0,ABS($L145-Subj_BldgSF)&lt;=Subj_BldgSF*Subj_SizeTol),ABS($L145-Subj_BldgSF),NA())</f>
        <v/>
      </c>
      <c r="AJ145">
        <f>IF(ISNA(AI145),NA(),AI145+ROW()/10000000)</f>
        <v/>
      </c>
      <c r="AK145">
        <f>IF(AND(ISNUMBER($N145),$N145&gt;0,ISNUMBER($Y145)),$Y145/$N145,"")</f>
        <v/>
      </c>
    </row>
    <row r="146" ht="15" customHeight="1" s="518">
      <c r="A146" s="62" t="n">
        <v>7</v>
      </c>
      <c r="B146" s="59" t="n">
        <v>138</v>
      </c>
      <c r="C146" t="inlineStr">
        <is>
          <t>R0077024</t>
        </is>
      </c>
      <c r="D146" t="inlineStr">
        <is>
          <t>9152 YOSEMITE ST</t>
        </is>
      </c>
      <c r="E146" t="n">
        <v>407</v>
      </c>
      <c r="F146" t="inlineStr">
        <is>
          <t>COMMERCE CITY</t>
        </is>
      </c>
      <c r="G146" t="inlineStr">
        <is>
          <t>5</t>
        </is>
      </c>
      <c r="H146" s="703">
        <f>Y146/J146</f>
        <v/>
      </c>
      <c r="I146" s="124" t="n">
        <v>45231</v>
      </c>
      <c r="J146" t="n">
        <v>60209</v>
      </c>
      <c r="K146" s="703" t="n"/>
      <c r="L146" t="n">
        <v>60209</v>
      </c>
      <c r="M146" t="n">
        <v>1992</v>
      </c>
      <c r="P146" t="inlineStr">
        <is>
          <t>I-3-Com</t>
        </is>
      </c>
      <c r="R146" t="inlineStr">
        <is>
          <t>Average</t>
        </is>
      </c>
      <c r="S146" t="n">
        <v>491008</v>
      </c>
      <c r="T146" s="121">
        <f>S146/L146</f>
        <v/>
      </c>
      <c r="U146" t="inlineStr">
        <is>
          <t>Average</t>
        </is>
      </c>
      <c r="V146" s="121" t="n"/>
      <c r="W146" s="121" t="n"/>
      <c r="X146" s="121" t="n"/>
      <c r="Y146" s="705" t="n">
        <v>8300000</v>
      </c>
      <c r="Z146" s="705" t="n"/>
      <c r="AA146" s="705" t="n">
        <v>8300000</v>
      </c>
      <c r="AB146" s="705" t="n"/>
      <c r="AC146" t="inlineStr">
        <is>
          <t>0172122006007</t>
        </is>
      </c>
      <c r="AD146" t="inlineStr">
        <is>
          <t>2023000061749</t>
        </is>
      </c>
      <c r="AE146" s="575" t="inlineStr">
        <is>
          <t>WARD REALTY CORPORATION</t>
        </is>
      </c>
      <c r="AF146" s="575" t="inlineStr">
        <is>
          <t>GVII-ZS YOSEMITE OWNER LLC</t>
        </is>
      </c>
      <c r="AI146" s="59">
        <f>IF(AND($E146=Subj_OccCode,Subj_BldgSF&gt;0,ABS($L146-Subj_BldgSF)&lt;=Subj_BldgSF*Subj_SizeTol),ABS($L146-Subj_BldgSF),NA())</f>
        <v/>
      </c>
      <c r="AJ146">
        <f>IF(ISNA(AI146),NA(),AI146+ROW()/10000000)</f>
        <v/>
      </c>
      <c r="AK146">
        <f>IF(AND(ISNUMBER($N146),$N146&gt;0,ISNUMBER($Y146)),$Y146/$N146,"")</f>
        <v/>
      </c>
    </row>
    <row r="147" ht="15" customHeight="1" s="518">
      <c r="A147" s="62" t="n">
        <v>7</v>
      </c>
      <c r="B147" s="59" t="n">
        <v>139</v>
      </c>
      <c r="C147" t="inlineStr">
        <is>
          <t>R0077223</t>
        </is>
      </c>
      <c r="D147" t="inlineStr">
        <is>
          <t>7920 E 88TH AVE</t>
        </is>
      </c>
      <c r="E147" t="n">
        <v>325</v>
      </c>
      <c r="F147" t="inlineStr">
        <is>
          <t>COMMERCE CITY</t>
        </is>
      </c>
      <c r="G147" t="inlineStr">
        <is>
          <t>5</t>
        </is>
      </c>
      <c r="H147" s="703">
        <f>Y147/J147</f>
        <v/>
      </c>
      <c r="I147" s="124" t="n">
        <v>44770</v>
      </c>
      <c r="J147" t="n">
        <v>6500</v>
      </c>
      <c r="K147" s="703" t="n"/>
      <c r="L147" t="n">
        <v>6500</v>
      </c>
      <c r="M147" t="n">
        <v>1984</v>
      </c>
      <c r="P147" t="inlineStr">
        <is>
          <t>I-2-Com</t>
        </is>
      </c>
      <c r="R147" t="inlineStr">
        <is>
          <t>Average</t>
        </is>
      </c>
      <c r="S147" t="n">
        <v>50060</v>
      </c>
      <c r="T147" s="121">
        <f>S147/L147</f>
        <v/>
      </c>
      <c r="U147" t="inlineStr">
        <is>
          <t>Average</t>
        </is>
      </c>
      <c r="V147" s="121" t="n"/>
      <c r="W147" s="121" t="n"/>
      <c r="X147" s="121" t="n"/>
      <c r="Y147" s="705" t="n">
        <v>2550000</v>
      </c>
      <c r="Z147" s="705" t="n"/>
      <c r="AA147" s="705" t="n">
        <v>2550000</v>
      </c>
      <c r="AB147" s="705" t="n"/>
      <c r="AC147" t="inlineStr">
        <is>
          <t>0172128213001</t>
        </is>
      </c>
      <c r="AD147" t="inlineStr">
        <is>
          <t>2022000065029</t>
        </is>
      </c>
      <c r="AE147" s="575" t="inlineStr">
        <is>
          <t xml:space="preserve">BEGLEY OTHEL BAXTER AND , KOZA JEFFREY P </t>
        </is>
      </c>
      <c r="AF147" s="575" t="inlineStr">
        <is>
          <t>NCW GROUP LLC</t>
        </is>
      </c>
      <c r="AI147" s="59">
        <f>IF(AND($E147=Subj_OccCode,Subj_BldgSF&gt;0,ABS($L147-Subj_BldgSF)&lt;=Subj_BldgSF*Subj_SizeTol),ABS($L147-Subj_BldgSF),NA())</f>
        <v/>
      </c>
      <c r="AJ147">
        <f>IF(ISNA(AI147),NA(),AI147+ROW()/10000000)</f>
        <v/>
      </c>
      <c r="AK147">
        <f>IF(AND(ISNUMBER($N147),$N147&gt;0,ISNUMBER($Y147)),$Y147/$N147,"")</f>
        <v/>
      </c>
    </row>
    <row r="148" ht="15" customHeight="1" s="518">
      <c r="A148" s="62" t="n">
        <v>7</v>
      </c>
      <c r="B148" s="59" t="n">
        <v>140</v>
      </c>
      <c r="C148" t="inlineStr">
        <is>
          <t>R0077393</t>
        </is>
      </c>
      <c r="D148" t="inlineStr">
        <is>
          <t>8451 BRIGHTON DR</t>
        </is>
      </c>
      <c r="E148" t="n">
        <v>344</v>
      </c>
      <c r="G148" t="inlineStr">
        <is>
          <t>5</t>
        </is>
      </c>
      <c r="H148" s="703">
        <f>Y148/J148</f>
        <v/>
      </c>
      <c r="I148" s="124" t="n">
        <v>45149</v>
      </c>
      <c r="J148" t="n">
        <v>13600</v>
      </c>
      <c r="K148" s="703" t="n"/>
      <c r="L148" t="n">
        <v>13600</v>
      </c>
      <c r="M148" t="n">
        <v>1968</v>
      </c>
      <c r="P148" t="inlineStr">
        <is>
          <t>Industrial</t>
        </is>
      </c>
      <c r="R148" t="inlineStr">
        <is>
          <t>Average</t>
        </is>
      </c>
      <c r="S148" t="n">
        <v>39334</v>
      </c>
      <c r="T148" s="121">
        <f>S148/L148</f>
        <v/>
      </c>
      <c r="U148" t="inlineStr">
        <is>
          <t>Average</t>
        </is>
      </c>
      <c r="V148" s="121" t="n"/>
      <c r="W148" s="121" t="n"/>
      <c r="X148" s="121" t="n"/>
      <c r="Y148" s="705" t="n">
        <v>2789000</v>
      </c>
      <c r="Z148" s="705" t="n"/>
      <c r="AA148" s="705" t="n">
        <v>2789000</v>
      </c>
      <c r="AB148" s="705" t="n"/>
      <c r="AC148" t="inlineStr">
        <is>
          <t>0172129200027</t>
        </is>
      </c>
      <c r="AD148" t="inlineStr">
        <is>
          <t>2023000046196</t>
        </is>
      </c>
      <c r="AE148" s="575" t="inlineStr">
        <is>
          <t>BDM HOLDINGS LLC</t>
        </is>
      </c>
      <c r="AF148" s="575" t="inlineStr">
        <is>
          <t>8451 BRIGHTON ROAD INC</t>
        </is>
      </c>
      <c r="AI148" s="59">
        <f>IF(AND($E148=Subj_OccCode,Subj_BldgSF&gt;0,ABS($L148-Subj_BldgSF)&lt;=Subj_BldgSF*Subj_SizeTol),ABS($L148-Subj_BldgSF),NA())</f>
        <v/>
      </c>
      <c r="AJ148">
        <f>IF(ISNA(AI148),NA(),AI148+ROW()/10000000)</f>
        <v/>
      </c>
      <c r="AK148">
        <f>IF(AND(ISNUMBER($N148),$N148&gt;0,ISNUMBER($Y148)),$Y148/$N148,"")</f>
        <v/>
      </c>
    </row>
    <row r="149" ht="15" customHeight="1" s="518">
      <c r="A149" s="62" t="n">
        <v>7</v>
      </c>
      <c r="B149" s="59" t="n">
        <v>141</v>
      </c>
      <c r="C149" t="inlineStr">
        <is>
          <t>R0098079</t>
        </is>
      </c>
      <c r="D149" t="inlineStr">
        <is>
          <t>851 HWY 224 #A3</t>
        </is>
      </c>
      <c r="E149" t="n">
        <v>425</v>
      </c>
      <c r="G149" t="inlineStr">
        <is>
          <t>5</t>
        </is>
      </c>
      <c r="H149" s="703">
        <f>Y149/J149</f>
        <v/>
      </c>
      <c r="I149" s="124" t="n">
        <v>44817</v>
      </c>
      <c r="J149" t="n">
        <v>26500</v>
      </c>
      <c r="K149" s="703" t="n"/>
      <c r="L149" t="n">
        <v>26500</v>
      </c>
      <c r="M149" t="n">
        <v>1984</v>
      </c>
      <c r="P149" t="inlineStr">
        <is>
          <t>Industrial</t>
        </is>
      </c>
      <c r="R149" t="inlineStr">
        <is>
          <t>Average</t>
        </is>
      </c>
      <c r="S149" t="n">
        <v>4340</v>
      </c>
      <c r="T149" s="121">
        <f>S149/L149</f>
        <v/>
      </c>
      <c r="U149" t="inlineStr">
        <is>
          <t>Average</t>
        </is>
      </c>
      <c r="V149" s="121" t="n"/>
      <c r="W149" s="121" t="n"/>
      <c r="X149" s="121" t="n"/>
      <c r="Y149" s="705" t="n">
        <v>410000</v>
      </c>
      <c r="Z149" s="705" t="n"/>
      <c r="AA149" s="705" t="n">
        <v>410000</v>
      </c>
      <c r="AB149" s="705" t="n"/>
      <c r="AC149" t="inlineStr">
        <is>
          <t>0182502203043</t>
        </is>
      </c>
      <c r="AD149" t="inlineStr">
        <is>
          <t>2022000076798</t>
        </is>
      </c>
      <c r="AE149" s="575" t="inlineStr">
        <is>
          <t>BLUE ROOF RENTALS LLC</t>
        </is>
      </c>
      <c r="AF149" s="575" t="inlineStr">
        <is>
          <t>RALEIGH LUCAS</t>
        </is>
      </c>
      <c r="AI149" s="59">
        <f>IF(AND($E149=Subj_OccCode,Subj_BldgSF&gt;0,ABS($L149-Subj_BldgSF)&lt;=Subj_BldgSF*Subj_SizeTol),ABS($L149-Subj_BldgSF),NA())</f>
        <v/>
      </c>
      <c r="AJ149">
        <f>IF(ISNA(AI149),NA(),AI149+ROW()/10000000)</f>
        <v/>
      </c>
      <c r="AK149">
        <f>IF(AND(ISNUMBER($N149),$N149&gt;0,ISNUMBER($Y149)),$Y149/$N149,"")</f>
        <v/>
      </c>
    </row>
    <row r="150" ht="15" customHeight="1" s="518">
      <c r="A150" s="62" t="n">
        <v>7</v>
      </c>
      <c r="B150" s="59" t="n">
        <v>142</v>
      </c>
      <c r="C150" t="inlineStr">
        <is>
          <t>R0114828</t>
        </is>
      </c>
      <c r="D150" t="inlineStr">
        <is>
          <t>8700 GRANT ST</t>
        </is>
      </c>
      <c r="E150" t="n">
        <v>344</v>
      </c>
      <c r="F150" t="inlineStr">
        <is>
          <t>THORNTON</t>
        </is>
      </c>
      <c r="G150" t="inlineStr">
        <is>
          <t>4</t>
        </is>
      </c>
      <c r="H150" s="703">
        <f>Y150/J150</f>
        <v/>
      </c>
      <c r="I150" s="124" t="n">
        <v>44838</v>
      </c>
      <c r="J150" t="n">
        <v>20636</v>
      </c>
      <c r="K150" s="703" t="n"/>
      <c r="L150" t="n">
        <v>20636</v>
      </c>
      <c r="M150" t="n">
        <v>1985</v>
      </c>
      <c r="P150" t="inlineStr">
        <is>
          <t>Business Park</t>
        </is>
      </c>
      <c r="R150" t="inlineStr">
        <is>
          <t>Average</t>
        </is>
      </c>
      <c r="S150" t="n">
        <v>54189</v>
      </c>
      <c r="T150" s="121">
        <f>S150/L150</f>
        <v/>
      </c>
      <c r="U150" t="inlineStr">
        <is>
          <t>Average</t>
        </is>
      </c>
      <c r="V150" s="121" t="n"/>
      <c r="W150" s="121" t="n"/>
      <c r="X150" s="121" t="n"/>
      <c r="Y150" s="705" t="n">
        <v>2500000</v>
      </c>
      <c r="Z150" s="705" t="n"/>
      <c r="AA150" s="705" t="n">
        <v>2500000</v>
      </c>
      <c r="AB150" s="705" t="n"/>
      <c r="AC150" t="inlineStr">
        <is>
          <t>0171927114006</t>
        </is>
      </c>
      <c r="AD150" t="inlineStr">
        <is>
          <t>2022000082393</t>
        </is>
      </c>
      <c r="AE150" s="575" t="inlineStr">
        <is>
          <t>MLS PROPERTIES LLC</t>
        </is>
      </c>
      <c r="AF150" s="575" t="inlineStr">
        <is>
          <t>GRANT PROPERTY LLC</t>
        </is>
      </c>
      <c r="AI150" s="59">
        <f>IF(AND($E150=Subj_OccCode,Subj_BldgSF&gt;0,ABS($L150-Subj_BldgSF)&lt;=Subj_BldgSF*Subj_SizeTol),ABS($L150-Subj_BldgSF),NA())</f>
        <v/>
      </c>
      <c r="AJ150">
        <f>IF(ISNA(AI150),NA(),AI150+ROW()/10000000)</f>
        <v/>
      </c>
      <c r="AK150">
        <f>IF(AND(ISNUMBER($N150),$N150&gt;0,ISNUMBER($Y150)),$Y150/$N150,"")</f>
        <v/>
      </c>
    </row>
    <row r="151" ht="15" customHeight="1" s="518">
      <c r="A151" s="62" t="n">
        <v>7</v>
      </c>
      <c r="B151" s="59" t="n">
        <v>143</v>
      </c>
      <c r="C151" t="inlineStr">
        <is>
          <t>R0133774</t>
        </is>
      </c>
      <c r="D151" t="inlineStr">
        <is>
          <t>6301 BROADWAY ST</t>
        </is>
      </c>
      <c r="E151" t="n">
        <v>407</v>
      </c>
      <c r="G151" t="inlineStr">
        <is>
          <t>5</t>
        </is>
      </c>
      <c r="H151" s="703">
        <f>Y151/J151</f>
        <v/>
      </c>
      <c r="I151" s="124" t="n">
        <v>44909</v>
      </c>
      <c r="J151" t="n">
        <v>38808</v>
      </c>
      <c r="K151" s="703" t="n"/>
      <c r="L151" t="n">
        <v>38808</v>
      </c>
      <c r="M151" t="n">
        <v>1972</v>
      </c>
      <c r="P151" t="inlineStr">
        <is>
          <t>Industrial</t>
        </is>
      </c>
      <c r="R151" t="inlineStr">
        <is>
          <t>Average</t>
        </is>
      </c>
      <c r="S151" t="n">
        <v>139566.24</v>
      </c>
      <c r="T151" s="121">
        <f>S151/L151</f>
        <v/>
      </c>
      <c r="U151" t="inlineStr">
        <is>
          <t>Average</t>
        </is>
      </c>
      <c r="V151" s="121" t="n"/>
      <c r="W151" s="121" t="n"/>
      <c r="X151" s="121" t="n"/>
      <c r="Y151" s="705" t="n">
        <v>6500000</v>
      </c>
      <c r="Z151" s="705" t="n"/>
      <c r="AA151" s="705" t="n">
        <v>6500000</v>
      </c>
      <c r="AB151" s="705" t="n"/>
      <c r="AC151" t="inlineStr">
        <is>
          <t>0182510204003</t>
        </is>
      </c>
      <c r="AD151" t="inlineStr">
        <is>
          <t>2022000097182</t>
        </is>
      </c>
      <c r="AE151" s="575" t="inlineStr">
        <is>
          <t>DIESEL FORWARD INC</t>
        </is>
      </c>
      <c r="AF151" s="575" t="inlineStr">
        <is>
          <t>6301 BROADWAY INVESTMENT LLC</t>
        </is>
      </c>
      <c r="AI151" s="59">
        <f>IF(AND($E151=Subj_OccCode,Subj_BldgSF&gt;0,ABS($L151-Subj_BldgSF)&lt;=Subj_BldgSF*Subj_SizeTol),ABS($L151-Subj_BldgSF),NA())</f>
        <v/>
      </c>
      <c r="AJ151">
        <f>IF(ISNA(AI151),NA(),AI151+ROW()/10000000)</f>
        <v/>
      </c>
      <c r="AK151">
        <f>IF(AND(ISNUMBER($N151),$N151&gt;0,ISNUMBER($Y151)),$Y151/$N151,"")</f>
        <v/>
      </c>
    </row>
    <row r="152" ht="15" customHeight="1" s="518">
      <c r="A152" s="62" t="n">
        <v>7</v>
      </c>
      <c r="B152" s="59" t="n">
        <v>144</v>
      </c>
      <c r="C152" t="inlineStr">
        <is>
          <t>R0051129</t>
        </is>
      </c>
      <c r="D152" t="inlineStr">
        <is>
          <t>9150 HURON ST</t>
        </is>
      </c>
      <c r="E152" t="n">
        <v>442</v>
      </c>
      <c r="F152" t="inlineStr">
        <is>
          <t>THORNTON</t>
        </is>
      </c>
      <c r="G152" t="inlineStr">
        <is>
          <t>4</t>
        </is>
      </c>
      <c r="H152" s="703">
        <f>Y152/J152</f>
        <v/>
      </c>
      <c r="I152" s="124" t="n">
        <v>44974</v>
      </c>
      <c r="J152" t="n">
        <v>3050</v>
      </c>
      <c r="K152" s="703" t="n"/>
      <c r="L152" t="n">
        <v>3050</v>
      </c>
      <c r="M152" t="n">
        <v>1970</v>
      </c>
      <c r="P152" t="inlineStr">
        <is>
          <t>Community Retail</t>
        </is>
      </c>
      <c r="R152" t="inlineStr">
        <is>
          <t>Average</t>
        </is>
      </c>
      <c r="S152" t="n">
        <v>33000</v>
      </c>
      <c r="T152" s="121">
        <f>S152/L152</f>
        <v/>
      </c>
      <c r="U152" t="inlineStr">
        <is>
          <t>Average</t>
        </is>
      </c>
      <c r="V152" s="121" t="n"/>
      <c r="W152" s="121" t="n"/>
      <c r="X152" s="121" t="n"/>
      <c r="Y152" s="705" t="n">
        <v>1350000</v>
      </c>
      <c r="Z152" s="705" t="n"/>
      <c r="AA152" s="705" t="n">
        <v>1350000</v>
      </c>
      <c r="AB152" s="705" t="n"/>
      <c r="AC152" t="inlineStr">
        <is>
          <t>0171922302004</t>
        </is>
      </c>
      <c r="AD152" t="inlineStr">
        <is>
          <t>2023000009052</t>
        </is>
      </c>
      <c r="AE152" s="575" t="inlineStr">
        <is>
          <t>RUBY AMOR INVESTMENTS LLC</t>
        </is>
      </c>
      <c r="AF152" s="575" t="inlineStr">
        <is>
          <t>GOMEZ PRICSILIANO</t>
        </is>
      </c>
      <c r="AI152" s="59">
        <f>IF(AND($E152=Subj_OccCode,Subj_BldgSF&gt;0,ABS($L152-Subj_BldgSF)&lt;=Subj_BldgSF*Subj_SizeTol),ABS($L152-Subj_BldgSF),NA())</f>
        <v/>
      </c>
      <c r="AJ152">
        <f>IF(ISNA(AI152),NA(),AI152+ROW()/10000000)</f>
        <v/>
      </c>
      <c r="AK152">
        <f>IF(AND(ISNUMBER($N152),$N152&gt;0,ISNUMBER($Y152)),$Y152/$N152,"")</f>
        <v/>
      </c>
    </row>
    <row r="153" ht="15" customHeight="1" s="518">
      <c r="A153" s="62" t="n">
        <v>7</v>
      </c>
      <c r="B153" s="59" t="n">
        <v>145</v>
      </c>
      <c r="C153" t="inlineStr">
        <is>
          <t>R0063286</t>
        </is>
      </c>
      <c r="D153" t="inlineStr">
        <is>
          <t>8020 SHERIDAN BLVD</t>
        </is>
      </c>
      <c r="E153" t="n">
        <v>381</v>
      </c>
      <c r="F153" t="inlineStr">
        <is>
          <t>WESTMINSTER</t>
        </is>
      </c>
      <c r="G153" t="inlineStr">
        <is>
          <t>4</t>
        </is>
      </c>
      <c r="H153" s="703">
        <f>Y153/J153</f>
        <v/>
      </c>
      <c r="I153" s="124" t="n">
        <v>45033</v>
      </c>
      <c r="J153" t="n">
        <v>2000</v>
      </c>
      <c r="K153" s="703" t="n"/>
      <c r="L153" t="n">
        <v>2000</v>
      </c>
      <c r="M153" t="n">
        <v>1979</v>
      </c>
      <c r="P153" t="inlineStr">
        <is>
          <t>C-1-Wes</t>
        </is>
      </c>
      <c r="R153" t="inlineStr">
        <is>
          <t>Average</t>
        </is>
      </c>
      <c r="S153" t="n">
        <v>7195</v>
      </c>
      <c r="T153" s="121">
        <f>S153/L153</f>
        <v/>
      </c>
      <c r="U153" t="inlineStr">
        <is>
          <t>Average</t>
        </is>
      </c>
      <c r="V153" s="121" t="n"/>
      <c r="W153" s="121" t="n"/>
      <c r="X153" s="121" t="n"/>
      <c r="Y153" s="705" t="n">
        <v>850000</v>
      </c>
      <c r="Z153" s="705" t="n"/>
      <c r="AA153" s="705" t="n">
        <v>850000</v>
      </c>
      <c r="AB153" s="705" t="n"/>
      <c r="AC153" t="inlineStr">
        <is>
          <t>0171930320007</t>
        </is>
      </c>
      <c r="AD153" t="inlineStr">
        <is>
          <t>2023000021042</t>
        </is>
      </c>
      <c r="AE153" s="575" t="inlineStr">
        <is>
          <t>BERMAN ANDREW P</t>
        </is>
      </c>
      <c r="AF153" s="575" t="inlineStr">
        <is>
          <t>WF-CA SHERIDAN &amp; 80TH LLC</t>
        </is>
      </c>
      <c r="AI153" s="59">
        <f>IF(AND($E153=Subj_OccCode,Subj_BldgSF&gt;0,ABS($L153-Subj_BldgSF)&lt;=Subj_BldgSF*Subj_SizeTol),ABS($L153-Subj_BldgSF),NA())</f>
        <v/>
      </c>
      <c r="AJ153">
        <f>IF(ISNA(AI153),NA(),AI153+ROW()/10000000)</f>
        <v/>
      </c>
      <c r="AK153">
        <f>IF(AND(ISNUMBER($N153),$N153&gt;0,ISNUMBER($Y153)),$Y153/$N153,"")</f>
        <v/>
      </c>
    </row>
    <row r="154" ht="15" customHeight="1" s="518">
      <c r="A154" s="62" t="n">
        <v>7</v>
      </c>
      <c r="B154" s="59" t="n">
        <v>146</v>
      </c>
      <c r="C154" t="inlineStr">
        <is>
          <t>R0095571</t>
        </is>
      </c>
      <c r="D154" t="inlineStr">
        <is>
          <t>9848 E 17TH AVE</t>
        </is>
      </c>
      <c r="E154" t="n">
        <v>309</v>
      </c>
      <c r="F154" t="inlineStr">
        <is>
          <t>AURORA</t>
        </is>
      </c>
      <c r="G154" t="inlineStr">
        <is>
          <t>6</t>
        </is>
      </c>
      <c r="H154" s="703">
        <f>Y154/J154</f>
        <v/>
      </c>
      <c r="I154" s="124" t="n">
        <v>45184</v>
      </c>
      <c r="J154" t="n">
        <v>1352</v>
      </c>
      <c r="K154" s="703" t="n"/>
      <c r="L154" t="n">
        <v>1352</v>
      </c>
      <c r="M154" t="n">
        <v>1930</v>
      </c>
      <c r="P154" t="inlineStr">
        <is>
          <t>OA-MS</t>
        </is>
      </c>
      <c r="R154" t="inlineStr">
        <is>
          <t>Good</t>
        </is>
      </c>
      <c r="S154" t="n">
        <v>10357</v>
      </c>
      <c r="T154" s="121">
        <f>S154/L154</f>
        <v/>
      </c>
      <c r="U154" t="inlineStr">
        <is>
          <t>Good</t>
        </is>
      </c>
      <c r="V154" s="121" t="n"/>
      <c r="W154" s="121" t="n"/>
      <c r="X154" s="121" t="n"/>
      <c r="Y154" s="705" t="n">
        <v>599000</v>
      </c>
      <c r="Z154" s="705" t="n"/>
      <c r="AA154" s="705" t="n">
        <v>599000</v>
      </c>
      <c r="AB154" s="705" t="n"/>
      <c r="AC154" t="inlineStr">
        <is>
          <t>0182334422006</t>
        </is>
      </c>
      <c r="AD154" t="inlineStr">
        <is>
          <t>2023000053044</t>
        </is>
      </c>
      <c r="AE154" s="575" t="inlineStr">
        <is>
          <t>IGLESIA DE DIOS PENTECOSTAL M. I.</t>
        </is>
      </c>
      <c r="AF154" s="575" t="inlineStr">
        <is>
          <t>ELLA AURORA LLC</t>
        </is>
      </c>
      <c r="AI154" s="59">
        <f>IF(AND($E154=Subj_OccCode,Subj_BldgSF&gt;0,ABS($L154-Subj_BldgSF)&lt;=Subj_BldgSF*Subj_SizeTol),ABS($L154-Subj_BldgSF),NA())</f>
        <v/>
      </c>
      <c r="AJ154">
        <f>IF(ISNA(AI154),NA(),AI154+ROW()/10000000)</f>
        <v/>
      </c>
      <c r="AK154">
        <f>IF(AND(ISNUMBER($N154),$N154&gt;0,ISNUMBER($Y154)),$Y154/$N154,"")</f>
        <v/>
      </c>
    </row>
    <row r="155" ht="15" customHeight="1" s="518">
      <c r="A155" s="62" t="n">
        <v>7</v>
      </c>
      <c r="B155" s="59" t="n">
        <v>147</v>
      </c>
      <c r="C155" t="inlineStr">
        <is>
          <t>R0113805</t>
        </is>
      </c>
      <c r="D155" t="inlineStr">
        <is>
          <t>17 N 12TH AVE</t>
        </is>
      </c>
      <c r="E155" t="n">
        <v>353</v>
      </c>
      <c r="F155" t="inlineStr">
        <is>
          <t>BRIGHTON</t>
        </is>
      </c>
      <c r="G155" t="inlineStr">
        <is>
          <t>2</t>
        </is>
      </c>
      <c r="H155" s="703">
        <f>Y155/J155</f>
        <v/>
      </c>
      <c r="I155" s="124" t="n">
        <v>45174</v>
      </c>
      <c r="J155" t="n">
        <v>4612</v>
      </c>
      <c r="K155" s="703" t="n"/>
      <c r="L155" t="n">
        <v>4612</v>
      </c>
      <c r="M155" t="n">
        <v>1944</v>
      </c>
      <c r="P155" t="inlineStr">
        <is>
          <t>C-2-Bri</t>
        </is>
      </c>
      <c r="R155" t="inlineStr">
        <is>
          <t>Average</t>
        </is>
      </c>
      <c r="S155" t="n">
        <v>12624</v>
      </c>
      <c r="T155" s="121">
        <f>S155/L155</f>
        <v/>
      </c>
      <c r="U155" t="inlineStr">
        <is>
          <t>Average</t>
        </is>
      </c>
      <c r="V155" s="121" t="n"/>
      <c r="W155" s="121" t="n"/>
      <c r="X155" s="121" t="n"/>
      <c r="Y155" s="705" t="n">
        <v>900000</v>
      </c>
      <c r="Z155" s="705" t="n"/>
      <c r="AA155" s="705" t="n">
        <v>900000</v>
      </c>
      <c r="AB155" s="705" t="n"/>
      <c r="AC155" t="inlineStr">
        <is>
          <t>0156905300036</t>
        </is>
      </c>
      <c r="AD155" t="inlineStr">
        <is>
          <t>2023000050942</t>
        </is>
      </c>
      <c r="AE155" s="575" t="inlineStr">
        <is>
          <t>17 N 12 LLC</t>
        </is>
      </c>
      <c r="AF155" s="575" t="inlineStr">
        <is>
          <t>CBCB HOLDINDS LLC</t>
        </is>
      </c>
      <c r="AI155" s="59">
        <f>IF(AND($E155=Subj_OccCode,Subj_BldgSF&gt;0,ABS($L155-Subj_BldgSF)&lt;=Subj_BldgSF*Subj_SizeTol),ABS($L155-Subj_BldgSF),NA())</f>
        <v/>
      </c>
      <c r="AJ155">
        <f>IF(ISNA(AI155),NA(),AI155+ROW()/10000000)</f>
        <v/>
      </c>
      <c r="AK155">
        <f>IF(AND(ISNUMBER($N155),$N155&gt;0,ISNUMBER($Y155)),$Y155/$N155,"")</f>
        <v/>
      </c>
    </row>
    <row r="156" ht="15" customHeight="1" s="518">
      <c r="A156" s="62" t="n">
        <v>7</v>
      </c>
      <c r="B156" s="59" t="n">
        <v>148</v>
      </c>
      <c r="C156" t="inlineStr">
        <is>
          <t>R0147985</t>
        </is>
      </c>
      <c r="D156" t="inlineStr">
        <is>
          <t>15800 E 40TH AVE</t>
        </is>
      </c>
      <c r="E156" t="n">
        <v>407</v>
      </c>
      <c r="F156" t="inlineStr">
        <is>
          <t>AURORA</t>
        </is>
      </c>
      <c r="G156" t="inlineStr">
        <is>
          <t>6</t>
        </is>
      </c>
      <c r="H156" s="703">
        <f>Y156/J156</f>
        <v/>
      </c>
      <c r="I156" s="124" t="n">
        <v>45412</v>
      </c>
      <c r="J156" t="n">
        <v>75000</v>
      </c>
      <c r="K156" s="703" t="n"/>
      <c r="L156" t="n">
        <v>75000</v>
      </c>
      <c r="M156" t="n">
        <v>2003</v>
      </c>
      <c r="P156" t="inlineStr">
        <is>
          <t>PD</t>
        </is>
      </c>
      <c r="R156" t="inlineStr">
        <is>
          <t>Average</t>
        </is>
      </c>
      <c r="S156" t="n">
        <v>415287.97</v>
      </c>
      <c r="T156" s="121">
        <f>S156/L156</f>
        <v/>
      </c>
      <c r="U156" t="inlineStr">
        <is>
          <t>Average</t>
        </is>
      </c>
      <c r="V156" s="121" t="n"/>
      <c r="W156" s="121" t="n"/>
      <c r="X156" s="121" t="n"/>
      <c r="Y156" s="705" t="n">
        <v>11625000</v>
      </c>
      <c r="Z156" s="705" t="n"/>
      <c r="AA156" s="705" t="n">
        <v>11625000</v>
      </c>
      <c r="AB156" s="705" t="n"/>
      <c r="AC156" t="inlineStr">
        <is>
          <t>0182120301001</t>
        </is>
      </c>
      <c r="AD156" t="inlineStr">
        <is>
          <t>2024000022608</t>
        </is>
      </c>
      <c r="AE156" s="575" t="inlineStr">
        <is>
          <t>SHALOM REALTY  (AURORA CENTER I AT GATEWAY COLORADO), C/O DALFEN INDUSTRIAL LLC</t>
        </is>
      </c>
      <c r="AF156" s="575" t="inlineStr">
        <is>
          <t>JAMM PROPERTIES LIMITED LLC</t>
        </is>
      </c>
      <c r="AI156" s="59">
        <f>IF(AND($E156=Subj_OccCode,Subj_BldgSF&gt;0,ABS($L156-Subj_BldgSF)&lt;=Subj_BldgSF*Subj_SizeTol),ABS($L156-Subj_BldgSF),NA())</f>
        <v/>
      </c>
      <c r="AJ156">
        <f>IF(ISNA(AI156),NA(),AI156+ROW()/10000000)</f>
        <v/>
      </c>
      <c r="AK156">
        <f>IF(AND(ISNUMBER($N156),$N156&gt;0,ISNUMBER($Y156)),$Y156/$N156,"")</f>
        <v/>
      </c>
    </row>
    <row r="157" ht="15" customHeight="1" s="518">
      <c r="A157" s="62" t="n">
        <v>7</v>
      </c>
      <c r="B157" s="59" t="n">
        <v>149</v>
      </c>
      <c r="C157" t="inlineStr">
        <is>
          <t>R0191667</t>
        </is>
      </c>
      <c r="D157" t="inlineStr">
        <is>
          <t>8799 BRIGHTON BLVD</t>
        </is>
      </c>
      <c r="E157" t="n">
        <v>531</v>
      </c>
      <c r="F157" t="inlineStr">
        <is>
          <t>COMMERCE CITY</t>
        </is>
      </c>
      <c r="G157" t="inlineStr">
        <is>
          <t>5</t>
        </is>
      </c>
      <c r="H157" s="703">
        <f>Y157/J157</f>
        <v/>
      </c>
      <c r="I157" s="124" t="n">
        <v>44750</v>
      </c>
      <c r="J157" t="n">
        <v>1242</v>
      </c>
      <c r="K157" s="703" t="n"/>
      <c r="L157" t="n">
        <v>1242</v>
      </c>
      <c r="M157" t="n">
        <v>2017</v>
      </c>
      <c r="R157" t="inlineStr">
        <is>
          <t>Average</t>
        </is>
      </c>
      <c r="S157" t="n">
        <v>70867</v>
      </c>
      <c r="T157" s="121">
        <f>S157/L157</f>
        <v/>
      </c>
      <c r="U157" t="inlineStr">
        <is>
          <t>Average</t>
        </is>
      </c>
      <c r="V157" s="121" t="n"/>
      <c r="W157" s="121" t="n"/>
      <c r="X157" s="121" t="n"/>
      <c r="Y157" s="705" t="n">
        <v>1925000</v>
      </c>
      <c r="Z157" s="705" t="n"/>
      <c r="AA157" s="705" t="n">
        <v>1925000</v>
      </c>
      <c r="AB157" s="705" t="n"/>
      <c r="AC157" t="inlineStr">
        <is>
          <t>0172120403001</t>
        </is>
      </c>
      <c r="AD157" t="inlineStr">
        <is>
          <t>2022000059892</t>
        </is>
      </c>
      <c r="AE157" s="575" t="inlineStr">
        <is>
          <t>ACA 88 LLC</t>
        </is>
      </c>
      <c r="AF157" s="575" t="inlineStr">
        <is>
          <t>JEREMY FEIN INC</t>
        </is>
      </c>
      <c r="AI157" s="59">
        <f>IF(AND($E157=Subj_OccCode,Subj_BldgSF&gt;0,ABS($L157-Subj_BldgSF)&lt;=Subj_BldgSF*Subj_SizeTol),ABS($L157-Subj_BldgSF),NA())</f>
        <v/>
      </c>
      <c r="AJ157">
        <f>IF(ISNA(AI157),NA(),AI157+ROW()/10000000)</f>
        <v/>
      </c>
      <c r="AK157">
        <f>IF(AND(ISNUMBER($N157),$N157&gt;0,ISNUMBER($Y157)),$Y157/$N157,"")</f>
        <v/>
      </c>
    </row>
    <row r="158" ht="15" customHeight="1" s="518">
      <c r="A158" s="62" t="n">
        <v>7</v>
      </c>
      <c r="B158" s="59" t="n">
        <v>150</v>
      </c>
      <c r="C158" t="inlineStr">
        <is>
          <t>R0208790</t>
        </is>
      </c>
      <c r="D158" t="inlineStr">
        <is>
          <t>5120 VIOLET HILL #N1-3</t>
        </is>
      </c>
      <c r="E158" t="n">
        <v>328</v>
      </c>
      <c r="G158" t="inlineStr">
        <is>
          <t>1</t>
        </is>
      </c>
      <c r="H158" s="703">
        <f>Y158/J158</f>
        <v/>
      </c>
      <c r="I158" s="124" t="n">
        <v>45106</v>
      </c>
      <c r="J158" t="n">
        <v>2270</v>
      </c>
      <c r="K158" s="703" t="n"/>
      <c r="L158" t="n">
        <v>2270</v>
      </c>
      <c r="R158" t="inlineStr">
        <is>
          <t>Average</t>
        </is>
      </c>
      <c r="T158" s="121">
        <f>S158/L158</f>
        <v/>
      </c>
      <c r="U158" t="inlineStr">
        <is>
          <t>Average</t>
        </is>
      </c>
      <c r="V158" s="121" t="n"/>
      <c r="W158" s="121" t="n"/>
      <c r="X158" s="121" t="n"/>
      <c r="Y158" s="705" t="n">
        <v>240000</v>
      </c>
      <c r="Z158" s="705" t="n"/>
      <c r="AA158" s="705" t="n">
        <v>240000</v>
      </c>
      <c r="AB158" s="705" t="n"/>
      <c r="AC158" t="inlineStr">
        <is>
          <t>0181716411020</t>
        </is>
      </c>
      <c r="AD158" t="inlineStr">
        <is>
          <t>2023000036702</t>
        </is>
      </c>
      <c r="AE158" s="575" t="inlineStr">
        <is>
          <t>GEE KYLE</t>
        </is>
      </c>
      <c r="AF158" s="575" t="inlineStr">
        <is>
          <t>AMUNDSON JEFFREY AND, AMUNDSON RICHELLE</t>
        </is>
      </c>
      <c r="AI158" s="59">
        <f>IF(AND($E158=Subj_OccCode,Subj_BldgSF&gt;0,ABS($L158-Subj_BldgSF)&lt;=Subj_BldgSF*Subj_SizeTol),ABS($L158-Subj_BldgSF),NA())</f>
        <v/>
      </c>
      <c r="AJ158">
        <f>IF(ISNA(AI158),NA(),AI158+ROW()/10000000)</f>
        <v/>
      </c>
      <c r="AK158">
        <f>IF(AND(ISNUMBER($N158),$N158&gt;0,ISNUMBER($Y158)),$Y158/$N158,"")</f>
        <v/>
      </c>
    </row>
    <row r="159" ht="15" customHeight="1" s="518">
      <c r="A159" s="62" t="n">
        <v>7</v>
      </c>
      <c r="B159" s="59" t="n">
        <v>151</v>
      </c>
      <c r="C159" t="inlineStr">
        <is>
          <t>R0213028</t>
        </is>
      </c>
      <c r="D159" t="inlineStr">
        <is>
          <t>903 S 8TH AVE</t>
        </is>
      </c>
      <c r="E159" t="n">
        <v>446</v>
      </c>
      <c r="F159" t="inlineStr">
        <is>
          <t>BRIGHTON</t>
        </is>
      </c>
      <c r="G159" t="inlineStr">
        <is>
          <t>2</t>
        </is>
      </c>
      <c r="H159" s="703">
        <f>Y159/J159</f>
        <v/>
      </c>
      <c r="I159" s="124" t="n">
        <v>44854</v>
      </c>
      <c r="J159" t="n">
        <v>13108</v>
      </c>
      <c r="K159" s="703" t="n"/>
      <c r="L159" t="n">
        <v>13108</v>
      </c>
      <c r="M159" t="n">
        <v>2022</v>
      </c>
      <c r="R159" t="inlineStr">
        <is>
          <t>Average</t>
        </is>
      </c>
      <c r="S159" t="n">
        <v>57805</v>
      </c>
      <c r="T159" s="121">
        <f>S159/L159</f>
        <v/>
      </c>
      <c r="U159" t="inlineStr">
        <is>
          <t>Average</t>
        </is>
      </c>
      <c r="V159" s="121" t="n"/>
      <c r="W159" s="121" t="n"/>
      <c r="X159" s="121" t="n"/>
      <c r="Y159" s="705" t="n">
        <v>7200000</v>
      </c>
      <c r="Z159" s="705" t="n"/>
      <c r="AA159" s="705" t="n">
        <v>7200000</v>
      </c>
      <c r="AB159" s="705" t="n"/>
      <c r="AC159" t="inlineStr">
        <is>
          <t>0156918102011</t>
        </is>
      </c>
      <c r="AD159" t="inlineStr">
        <is>
          <t>2022000086189</t>
        </is>
      </c>
      <c r="AE159" s="575" t="inlineStr">
        <is>
          <t>EVC BRIGHTON LLC</t>
        </is>
      </c>
      <c r="AF159" s="575" t="inlineStr">
        <is>
          <t>NG BRIGHTON HOLDINGS LLC</t>
        </is>
      </c>
      <c r="AI159" s="59">
        <f>IF(AND($E159=Subj_OccCode,Subj_BldgSF&gt;0,ABS($L159-Subj_BldgSF)&lt;=Subj_BldgSF*Subj_SizeTol),ABS($L159-Subj_BldgSF),NA())</f>
        <v/>
      </c>
      <c r="AJ159">
        <f>IF(ISNA(AI159),NA(),AI159+ROW()/10000000)</f>
        <v/>
      </c>
      <c r="AK159">
        <f>IF(AND(ISNUMBER($N159),$N159&gt;0,ISNUMBER($Y159)),$Y159/$N159,"")</f>
        <v/>
      </c>
    </row>
    <row r="160" ht="15" customHeight="1" s="518">
      <c r="A160" s="62" t="n">
        <v>7</v>
      </c>
      <c r="B160" s="59" t="n">
        <v>152</v>
      </c>
      <c r="C160" t="inlineStr">
        <is>
          <t>R0217175</t>
        </is>
      </c>
      <c r="D160" t="inlineStr">
        <is>
          <t>13551 QUEBEC ST</t>
        </is>
      </c>
      <c r="E160" t="n">
        <v>353</v>
      </c>
      <c r="F160" t="inlineStr">
        <is>
          <t>THORNTON</t>
        </is>
      </c>
      <c r="G160" t="inlineStr">
        <is>
          <t>3</t>
        </is>
      </c>
      <c r="H160" s="703">
        <f>Y160/J160</f>
        <v/>
      </c>
      <c r="I160" s="124" t="n">
        <v>45470</v>
      </c>
      <c r="J160" t="n">
        <v>4183</v>
      </c>
      <c r="K160" s="703" t="n"/>
      <c r="L160" t="n">
        <v>4183</v>
      </c>
      <c r="M160" t="n">
        <v>2023</v>
      </c>
      <c r="R160" t="inlineStr">
        <is>
          <t>Average</t>
        </is>
      </c>
      <c r="S160" t="n">
        <v>25512</v>
      </c>
      <c r="T160" s="121">
        <f>S160/L160</f>
        <v/>
      </c>
      <c r="U160" t="inlineStr">
        <is>
          <t>Average</t>
        </is>
      </c>
      <c r="V160" s="121" t="n"/>
      <c r="W160" s="121" t="n"/>
      <c r="X160" s="121" t="n"/>
      <c r="Y160" s="705" t="n">
        <v>3175000</v>
      </c>
      <c r="Z160" s="705" t="n"/>
      <c r="AA160" s="705" t="n">
        <v>3175000</v>
      </c>
      <c r="AB160" s="705" t="n"/>
      <c r="AC160" t="inlineStr">
        <is>
          <t>0157129113126</t>
        </is>
      </c>
      <c r="AD160" t="inlineStr">
        <is>
          <t>2024000035541</t>
        </is>
      </c>
      <c r="AE160" s="575" t="inlineStr">
        <is>
          <t>WDG AMBER CREEK LLC</t>
        </is>
      </c>
      <c r="AF160" s="575" t="inlineStr">
        <is>
          <t>BOERE JOHN AND, BOERE DENISE</t>
        </is>
      </c>
      <c r="AI160" s="59">
        <f>IF(AND($E160=Subj_OccCode,Subj_BldgSF&gt;0,ABS($L160-Subj_BldgSF)&lt;=Subj_BldgSF*Subj_SizeTol),ABS($L160-Subj_BldgSF),NA())</f>
        <v/>
      </c>
      <c r="AJ160">
        <f>IF(ISNA(AI160),NA(),AI160+ROW()/10000000)</f>
        <v/>
      </c>
      <c r="AK160">
        <f>IF(AND(ISNUMBER($N160),$N160&gt;0,ISNUMBER($Y160)),$Y160/$N160,"")</f>
        <v/>
      </c>
    </row>
    <row r="161" ht="15" customHeight="1" s="518">
      <c r="A161" s="62" t="n">
        <v>7</v>
      </c>
      <c r="B161" s="59" t="n">
        <v>153</v>
      </c>
      <c r="C161" t="inlineStr">
        <is>
          <t>R0222670</t>
        </is>
      </c>
      <c r="D161" t="inlineStr">
        <is>
          <t>37851 E 51ST AVE #W3</t>
        </is>
      </c>
      <c r="E161" t="n">
        <v>328</v>
      </c>
      <c r="G161" t="inlineStr">
        <is>
          <t>1</t>
        </is>
      </c>
      <c r="H161" s="703">
        <f>Y161/J161</f>
        <v/>
      </c>
      <c r="I161" s="124" t="n">
        <v>45390</v>
      </c>
      <c r="J161" t="n">
        <v>2930</v>
      </c>
      <c r="K161" s="703" t="n"/>
      <c r="L161" t="n">
        <v>2930</v>
      </c>
      <c r="M161" t="n">
        <v>2024</v>
      </c>
      <c r="R161" t="inlineStr">
        <is>
          <t>Average</t>
        </is>
      </c>
      <c r="T161" s="121">
        <f>S161/L161</f>
        <v/>
      </c>
      <c r="U161" t="inlineStr">
        <is>
          <t>Average</t>
        </is>
      </c>
      <c r="V161" s="121" t="n"/>
      <c r="W161" s="121" t="n"/>
      <c r="X161" s="121" t="n"/>
      <c r="Y161" s="705" t="n">
        <v>318611</v>
      </c>
      <c r="Z161" s="705" t="n"/>
      <c r="AA161" s="705" t="n">
        <v>318611</v>
      </c>
      <c r="AB161" s="705" t="n"/>
      <c r="AC161" t="inlineStr">
        <is>
          <t>0181715300028</t>
        </is>
      </c>
      <c r="AD161" t="inlineStr">
        <is>
          <t>2024000024056</t>
        </is>
      </c>
      <c r="AE161" s="575" t="inlineStr">
        <is>
          <t>37851 51ST AVE HANGAR OWNERS ASSOCIATION INC</t>
        </is>
      </c>
      <c r="AF161" s="575" t="inlineStr">
        <is>
          <t>ROMEO HANGAR ASSOCIATION LLC</t>
        </is>
      </c>
      <c r="AI161" s="59">
        <f>IF(AND($E161=Subj_OccCode,Subj_BldgSF&gt;0,ABS($L161-Subj_BldgSF)&lt;=Subj_BldgSF*Subj_SizeTol),ABS($L161-Subj_BldgSF),NA())</f>
        <v/>
      </c>
      <c r="AJ161">
        <f>IF(ISNA(AI161),NA(),AI161+ROW()/10000000)</f>
        <v/>
      </c>
      <c r="AK161">
        <f>IF(AND(ISNUMBER($N161),$N161&gt;0,ISNUMBER($Y161)),$Y161/$N161,"")</f>
        <v/>
      </c>
    </row>
    <row r="162" ht="15" customHeight="1" s="518">
      <c r="A162" s="62" t="n">
        <v>7</v>
      </c>
      <c r="B162" s="59" t="n">
        <v>154</v>
      </c>
      <c r="C162" t="inlineStr">
        <is>
          <t>R0222677</t>
        </is>
      </c>
      <c r="D162" t="inlineStr">
        <is>
          <t>37851 E 51ST AVE #E8</t>
        </is>
      </c>
      <c r="E162" t="n">
        <v>328</v>
      </c>
      <c r="G162" t="inlineStr">
        <is>
          <t>1</t>
        </is>
      </c>
      <c r="H162" s="703">
        <f>Y162/J162</f>
        <v/>
      </c>
      <c r="I162" s="124" t="n">
        <v>45390</v>
      </c>
      <c r="J162" t="n">
        <v>2930</v>
      </c>
      <c r="K162" s="703" t="n"/>
      <c r="L162" t="n">
        <v>2930</v>
      </c>
      <c r="M162" t="n">
        <v>2024</v>
      </c>
      <c r="R162" t="inlineStr">
        <is>
          <t>Average</t>
        </is>
      </c>
      <c r="T162" s="121">
        <f>S162/L162</f>
        <v/>
      </c>
      <c r="U162" t="inlineStr">
        <is>
          <t>Average</t>
        </is>
      </c>
      <c r="V162" s="121" t="n"/>
      <c r="W162" s="121" t="n"/>
      <c r="X162" s="121" t="n"/>
      <c r="Y162" s="705" t="n">
        <v>305259</v>
      </c>
      <c r="Z162" s="705" t="n"/>
      <c r="AA162" s="705" t="n">
        <v>305259</v>
      </c>
      <c r="AB162" s="705" t="n"/>
      <c r="AC162" t="inlineStr">
        <is>
          <t>0181715300035</t>
        </is>
      </c>
      <c r="AD162" t="inlineStr">
        <is>
          <t>2024000022635</t>
        </is>
      </c>
      <c r="AE162" s="575" t="inlineStr">
        <is>
          <t>37851 51ST AVE HANGAR OWNERS ASSOCIATION INC</t>
        </is>
      </c>
      <c r="AF162" s="575" t="inlineStr">
        <is>
          <t>HASH WILLARD G</t>
        </is>
      </c>
      <c r="AI162" s="59">
        <f>IF(AND($E162=Subj_OccCode,Subj_BldgSF&gt;0,ABS($L162-Subj_BldgSF)&lt;=Subj_BldgSF*Subj_SizeTol),ABS($L162-Subj_BldgSF),NA())</f>
        <v/>
      </c>
      <c r="AJ162">
        <f>IF(ISNA(AI162),NA(),AI162+ROW()/10000000)</f>
        <v/>
      </c>
      <c r="AK162">
        <f>IF(AND(ISNUMBER($N162),$N162&gt;0,ISNUMBER($Y162)),$Y162/$N162,"")</f>
        <v/>
      </c>
    </row>
    <row r="163" ht="15" customHeight="1" s="518">
      <c r="A163" s="62" t="n">
        <v>7</v>
      </c>
      <c r="B163" s="59" t="n">
        <v>155</v>
      </c>
      <c r="C163" t="inlineStr">
        <is>
          <t>R0222679</t>
        </is>
      </c>
      <c r="D163" t="inlineStr">
        <is>
          <t>37851 E 51ST AVE #E4</t>
        </is>
      </c>
      <c r="E163" t="n">
        <v>328</v>
      </c>
      <c r="G163" t="inlineStr">
        <is>
          <t>1</t>
        </is>
      </c>
      <c r="H163" s="703">
        <f>Y163/J163</f>
        <v/>
      </c>
      <c r="I163" s="124" t="n">
        <v>45390</v>
      </c>
      <c r="J163" t="n">
        <v>2930</v>
      </c>
      <c r="K163" s="703" t="n"/>
      <c r="L163" t="n">
        <v>2930</v>
      </c>
      <c r="M163" t="n">
        <v>2024</v>
      </c>
      <c r="R163" t="inlineStr">
        <is>
          <t>Average</t>
        </is>
      </c>
      <c r="T163" s="121">
        <f>S163/L163</f>
        <v/>
      </c>
      <c r="U163" t="inlineStr">
        <is>
          <t>Average</t>
        </is>
      </c>
      <c r="V163" s="121" t="n"/>
      <c r="W163" s="121" t="n"/>
      <c r="X163" s="121" t="n"/>
      <c r="Y163" s="705" t="n">
        <v>336119</v>
      </c>
      <c r="Z163" s="705" t="n"/>
      <c r="AA163" s="705" t="n">
        <v>336119</v>
      </c>
      <c r="AB163" s="705" t="n"/>
      <c r="AC163" t="inlineStr">
        <is>
          <t>0181715300037</t>
        </is>
      </c>
      <c r="AD163" t="inlineStr">
        <is>
          <t>2024000024080</t>
        </is>
      </c>
      <c r="AE163" s="575" t="inlineStr">
        <is>
          <t>37851 51ST AVE HANGAR OWNERS ASSOCIATION INC</t>
        </is>
      </c>
      <c r="AF163" s="575" t="inlineStr">
        <is>
          <t>THE FISH AND MARYC LIVING TRUST</t>
        </is>
      </c>
      <c r="AI163" s="59">
        <f>IF(AND($E163=Subj_OccCode,Subj_BldgSF&gt;0,ABS($L163-Subj_BldgSF)&lt;=Subj_BldgSF*Subj_SizeTol),ABS($L163-Subj_BldgSF),NA())</f>
        <v/>
      </c>
      <c r="AJ163">
        <f>IF(ISNA(AI163),NA(),AI163+ROW()/10000000)</f>
        <v/>
      </c>
      <c r="AK163">
        <f>IF(AND(ISNUMBER($N163),$N163&gt;0,ISNUMBER($Y163)),$Y163/$N163,"")</f>
        <v/>
      </c>
    </row>
    <row r="164" ht="15" customHeight="1" s="518">
      <c r="A164" s="62" t="n">
        <v>7</v>
      </c>
      <c r="B164" s="59" t="n">
        <v>156</v>
      </c>
      <c r="C164" t="inlineStr">
        <is>
          <t>R0222680</t>
        </is>
      </c>
      <c r="D164" t="inlineStr">
        <is>
          <t>37851 E 51ST AVE #E2</t>
        </is>
      </c>
      <c r="E164" t="n">
        <v>328</v>
      </c>
      <c r="G164" t="inlineStr">
        <is>
          <t>1</t>
        </is>
      </c>
      <c r="H164" s="703">
        <f>Y164/J164</f>
        <v/>
      </c>
      <c r="I164" s="124" t="n">
        <v>45390</v>
      </c>
      <c r="J164" t="n">
        <v>2930</v>
      </c>
      <c r="K164" s="703" t="n"/>
      <c r="L164" t="n">
        <v>2930</v>
      </c>
      <c r="M164" t="n">
        <v>2024</v>
      </c>
      <c r="R164" t="inlineStr">
        <is>
          <t>Average</t>
        </is>
      </c>
      <c r="T164" s="121">
        <f>S164/L164</f>
        <v/>
      </c>
      <c r="U164" t="inlineStr">
        <is>
          <t>Average</t>
        </is>
      </c>
      <c r="V164" s="121" t="n"/>
      <c r="W164" s="121" t="n"/>
      <c r="X164" s="121" t="n"/>
      <c r="Y164" s="705" t="n">
        <v>294174</v>
      </c>
      <c r="Z164" s="705" t="n"/>
      <c r="AA164" s="705" t="n">
        <v>294174</v>
      </c>
      <c r="AB164" s="705" t="n"/>
      <c r="AC164" t="inlineStr">
        <is>
          <t>0181715300038</t>
        </is>
      </c>
      <c r="AD164" t="inlineStr">
        <is>
          <t>2024000022536</t>
        </is>
      </c>
      <c r="AE164" s="575" t="inlineStr">
        <is>
          <t>37851 51ST AVE HANGAR OWNERS ASSOCIATION INC</t>
        </is>
      </c>
      <c r="AF164" s="575" t="inlineStr">
        <is>
          <t>HORIZON AVIATION LLC</t>
        </is>
      </c>
      <c r="AI164" s="59">
        <f>IF(AND($E164=Subj_OccCode,Subj_BldgSF&gt;0,ABS($L164-Subj_BldgSF)&lt;=Subj_BldgSF*Subj_SizeTol),ABS($L164-Subj_BldgSF),NA())</f>
        <v/>
      </c>
      <c r="AJ164">
        <f>IF(ISNA(AI164),NA(),AI164+ROW()/10000000)</f>
        <v/>
      </c>
      <c r="AK164">
        <f>IF(AND(ISNUMBER($N164),$N164&gt;0,ISNUMBER($Y164)),$Y164/$N164,"")</f>
        <v/>
      </c>
    </row>
    <row r="165" ht="15" customHeight="1" s="518">
      <c r="A165" s="62" t="n">
        <v>7</v>
      </c>
      <c r="B165" s="59" t="n">
        <v>157</v>
      </c>
      <c r="C165" t="inlineStr">
        <is>
          <t>R0223485</t>
        </is>
      </c>
      <c r="D165" t="inlineStr">
        <is>
          <t>9658 HAVANA ST #B06</t>
        </is>
      </c>
      <c r="E165" t="n">
        <v>425</v>
      </c>
      <c r="F165" t="inlineStr">
        <is>
          <t>COMMERCE CITY</t>
        </is>
      </c>
      <c r="G165" t="inlineStr">
        <is>
          <t>5</t>
        </is>
      </c>
      <c r="H165" s="703">
        <f>Y165/J165</f>
        <v/>
      </c>
      <c r="I165" s="124" t="n">
        <v>45377</v>
      </c>
      <c r="J165" t="n">
        <v>16800</v>
      </c>
      <c r="K165" s="703" t="n"/>
      <c r="L165" t="n">
        <v>16800</v>
      </c>
      <c r="M165" t="n">
        <v>2023</v>
      </c>
      <c r="R165" t="inlineStr">
        <is>
          <t>Average</t>
        </is>
      </c>
      <c r="S165" t="n">
        <v>2674</v>
      </c>
      <c r="T165" s="121">
        <f>S165/L165</f>
        <v/>
      </c>
      <c r="U165" t="inlineStr">
        <is>
          <t>Average</t>
        </is>
      </c>
      <c r="V165" s="121" t="n"/>
      <c r="W165" s="121" t="n"/>
      <c r="X165" s="121" t="n"/>
      <c r="Y165" s="705" t="n">
        <v>282000</v>
      </c>
      <c r="Z165" s="705" t="n"/>
      <c r="AA165" s="705" t="n">
        <v>282000</v>
      </c>
      <c r="AB165" s="705" t="n"/>
      <c r="AC165" t="inlineStr">
        <is>
          <t>0172115405046</t>
        </is>
      </c>
      <c r="AD165" t="inlineStr">
        <is>
          <t>2024000015534</t>
        </is>
      </c>
      <c r="AE165" s="575" t="inlineStr">
        <is>
          <t>THE GARAGE SOCIETY HOLDINGS LLC</t>
        </is>
      </c>
      <c r="AF165" s="575" t="inlineStr">
        <is>
          <t xml:space="preserve">ZHANG ZI SHAO AND, CHEUNG JENNY WEI </t>
        </is>
      </c>
      <c r="AI165" s="59">
        <f>IF(AND($E165=Subj_OccCode,Subj_BldgSF&gt;0,ABS($L165-Subj_BldgSF)&lt;=Subj_BldgSF*Subj_SizeTol),ABS($L165-Subj_BldgSF),NA())</f>
        <v/>
      </c>
      <c r="AJ165">
        <f>IF(ISNA(AI165),NA(),AI165+ROW()/10000000)</f>
        <v/>
      </c>
      <c r="AK165">
        <f>IF(AND(ISNUMBER($N165),$N165&gt;0,ISNUMBER($Y165)),$Y165/$N165,"")</f>
        <v/>
      </c>
    </row>
    <row r="166" ht="15" customHeight="1" s="518">
      <c r="A166" s="62" t="n">
        <v>7</v>
      </c>
      <c r="B166" s="59" t="n">
        <v>158</v>
      </c>
      <c r="C166" t="inlineStr">
        <is>
          <t>R0001910</t>
        </is>
      </c>
      <c r="D166" t="inlineStr">
        <is>
          <t>1181 BRIDGE ST</t>
        </is>
      </c>
      <c r="E166" t="n">
        <v>3441</v>
      </c>
      <c r="F166" t="inlineStr">
        <is>
          <t>BRIGHTON</t>
        </is>
      </c>
      <c r="G166" t="inlineStr">
        <is>
          <t>2</t>
        </is>
      </c>
      <c r="H166" s="703">
        <f>Y166/J166</f>
        <v/>
      </c>
      <c r="I166" s="124" t="n">
        <v>45078</v>
      </c>
      <c r="J166" t="n">
        <v>890</v>
      </c>
      <c r="K166" s="703" t="n"/>
      <c r="L166" t="n">
        <v>890</v>
      </c>
      <c r="M166" t="n">
        <v>1949</v>
      </c>
      <c r="P166" t="inlineStr">
        <is>
          <t>C-2-Bri</t>
        </is>
      </c>
      <c r="R166" t="inlineStr">
        <is>
          <t>Average</t>
        </is>
      </c>
      <c r="S166" t="n">
        <v>6098</v>
      </c>
      <c r="T166" s="121">
        <f>S166/L166</f>
        <v/>
      </c>
      <c r="U166" t="inlineStr">
        <is>
          <t>Average</t>
        </is>
      </c>
      <c r="V166" s="121" t="n"/>
      <c r="W166" s="121" t="n"/>
      <c r="X166" s="121" t="n"/>
      <c r="Y166" s="705" t="n">
        <v>345000</v>
      </c>
      <c r="Z166" s="705" t="n"/>
      <c r="AA166" s="705" t="n">
        <v>344000</v>
      </c>
      <c r="AB166" s="705" t="n"/>
      <c r="AC166" t="inlineStr">
        <is>
          <t>0156905300011</t>
        </is>
      </c>
      <c r="AD166" t="inlineStr">
        <is>
          <t>2023000031295</t>
        </is>
      </c>
      <c r="AE166" s="575" t="inlineStr">
        <is>
          <t>GREYSON HOLDINGS LLC</t>
        </is>
      </c>
      <c r="AF166" s="575" t="inlineStr">
        <is>
          <t>PEAK RE HOLDINGS LLC</t>
        </is>
      </c>
      <c r="AI166" s="59">
        <f>IF(AND($E166=Subj_OccCode,Subj_BldgSF&gt;0,ABS($L166-Subj_BldgSF)&lt;=Subj_BldgSF*Subj_SizeTol),ABS($L166-Subj_BldgSF),NA())</f>
        <v/>
      </c>
      <c r="AJ166">
        <f>IF(ISNA(AI166),NA(),AI166+ROW()/10000000)</f>
        <v/>
      </c>
      <c r="AK166">
        <f>IF(AND(ISNUMBER($N166),$N166&gt;0,ISNUMBER($Y166)),$Y166/$N166,"")</f>
        <v/>
      </c>
    </row>
    <row r="167" ht="15" customHeight="1" s="518">
      <c r="A167" s="62" t="n">
        <v>7</v>
      </c>
      <c r="B167" s="59" t="n">
        <v>159</v>
      </c>
      <c r="C167" t="inlineStr">
        <is>
          <t>R0037116</t>
        </is>
      </c>
      <c r="D167" t="inlineStr">
        <is>
          <t>11184 HURON ST #16</t>
        </is>
      </c>
      <c r="E167" t="n">
        <v>1344</v>
      </c>
      <c r="F167" t="inlineStr">
        <is>
          <t>NORTHGLENN</t>
        </is>
      </c>
      <c r="G167" t="inlineStr">
        <is>
          <t>4</t>
        </is>
      </c>
      <c r="H167" s="703">
        <f>Y167/J167</f>
        <v/>
      </c>
      <c r="I167" s="124" t="n">
        <v>44816</v>
      </c>
      <c r="J167" t="n">
        <v>84375</v>
      </c>
      <c r="K167" s="703" t="n"/>
      <c r="L167" t="n">
        <v>84375</v>
      </c>
      <c r="M167" t="n">
        <v>1984</v>
      </c>
      <c r="P167" t="inlineStr">
        <is>
          <t>C-3-Nor</t>
        </is>
      </c>
      <c r="R167" t="inlineStr">
        <is>
          <t>Average</t>
        </is>
      </c>
      <c r="S167" t="n">
        <v>1108</v>
      </c>
      <c r="T167" s="121">
        <f>S167/L167</f>
        <v/>
      </c>
      <c r="U167" t="inlineStr">
        <is>
          <t>Average</t>
        </is>
      </c>
      <c r="V167" s="121" t="n"/>
      <c r="W167" s="121" t="n"/>
      <c r="X167" s="121" t="n"/>
      <c r="Y167" s="705" t="n">
        <v>285000</v>
      </c>
      <c r="Z167" s="705" t="n"/>
      <c r="AA167" s="705" t="n">
        <v>285000</v>
      </c>
      <c r="AB167" s="705" t="n"/>
      <c r="AC167" t="inlineStr">
        <is>
          <t>0171910217016</t>
        </is>
      </c>
      <c r="AD167" t="inlineStr">
        <is>
          <t>2022000076569</t>
        </is>
      </c>
      <c r="AE167" s="575" t="inlineStr">
        <is>
          <t>CONNER PAUL S</t>
        </is>
      </c>
      <c r="AF167" s="575" t="inlineStr">
        <is>
          <t>BELK DENISE L</t>
        </is>
      </c>
      <c r="AI167" s="59">
        <f>IF(AND($E167=Subj_OccCode,Subj_BldgSF&gt;0,ABS($L167-Subj_BldgSF)&lt;=Subj_BldgSF*Subj_SizeTol),ABS($L167-Subj_BldgSF),NA())</f>
        <v/>
      </c>
      <c r="AJ167">
        <f>IF(ISNA(AI167),NA(),AI167+ROW()/10000000)</f>
        <v/>
      </c>
      <c r="AK167">
        <f>IF(AND(ISNUMBER($N167),$N167&gt;0,ISNUMBER($Y167)),$Y167/$N167,"")</f>
        <v/>
      </c>
    </row>
    <row r="168" ht="15" customHeight="1" s="518">
      <c r="A168" s="62" t="n">
        <v>7</v>
      </c>
      <c r="B168" s="59" t="n">
        <v>160</v>
      </c>
      <c r="C168" t="inlineStr">
        <is>
          <t>R0058375</t>
        </is>
      </c>
      <c r="D168" t="inlineStr">
        <is>
          <t>8451 DELAWARE ST</t>
        </is>
      </c>
      <c r="E168" t="n">
        <v>344</v>
      </c>
      <c r="F168" t="inlineStr">
        <is>
          <t>THORNTON</t>
        </is>
      </c>
      <c r="G168" t="inlineStr">
        <is>
          <t>4</t>
        </is>
      </c>
      <c r="H168" s="703">
        <f>Y168/J168</f>
        <v/>
      </c>
      <c r="I168" s="124" t="n">
        <v>45415</v>
      </c>
      <c r="J168" t="n">
        <v>2250</v>
      </c>
      <c r="K168" s="703" t="n"/>
      <c r="L168" t="n">
        <v>2250</v>
      </c>
      <c r="M168" t="n">
        <v>1964</v>
      </c>
      <c r="P168" t="inlineStr">
        <is>
          <t>Community Retail</t>
        </is>
      </c>
      <c r="R168" t="inlineStr">
        <is>
          <t>Average</t>
        </is>
      </c>
      <c r="S168" t="n">
        <v>16335</v>
      </c>
      <c r="T168" s="121">
        <f>S168/L168</f>
        <v/>
      </c>
      <c r="U168" t="inlineStr">
        <is>
          <t>Average</t>
        </is>
      </c>
      <c r="V168" s="121" t="n"/>
      <c r="W168" s="121" t="n"/>
      <c r="X168" s="121" t="n"/>
      <c r="Y168" s="705" t="n">
        <v>465000</v>
      </c>
      <c r="Z168" s="705" t="n"/>
      <c r="AA168" s="705" t="n">
        <v>465000</v>
      </c>
      <c r="AB168" s="705" t="n"/>
      <c r="AC168" t="inlineStr">
        <is>
          <t>0171927211001</t>
        </is>
      </c>
      <c r="AD168" t="inlineStr">
        <is>
          <t>2024000024013</t>
        </is>
      </c>
      <c r="AE168" s="575" t="inlineStr">
        <is>
          <t>8451 DELAWARE STREET LLC</t>
        </is>
      </c>
      <c r="AF168" s="575" t="inlineStr">
        <is>
          <t>SAELEE THORNTON LLC</t>
        </is>
      </c>
      <c r="AI168" s="59">
        <f>IF(AND($E168=Subj_OccCode,Subj_BldgSF&gt;0,ABS($L168-Subj_BldgSF)&lt;=Subj_BldgSF*Subj_SizeTol),ABS($L168-Subj_BldgSF),NA())</f>
        <v/>
      </c>
      <c r="AJ168">
        <f>IF(ISNA(AI168),NA(),AI168+ROW()/10000000)</f>
        <v/>
      </c>
      <c r="AK168">
        <f>IF(AND(ISNUMBER($N168),$N168&gt;0,ISNUMBER($Y168)),$Y168/$N168,"")</f>
        <v/>
      </c>
    </row>
    <row r="169" ht="15" customHeight="1" s="518">
      <c r="A169" s="62" t="n">
        <v>7</v>
      </c>
      <c r="B169" s="59" t="n">
        <v>161</v>
      </c>
      <c r="C169" t="inlineStr">
        <is>
          <t>R0141094</t>
        </is>
      </c>
      <c r="D169" t="inlineStr">
        <is>
          <t>37700 CESNA WAY #6W</t>
        </is>
      </c>
      <c r="E169" t="n">
        <v>328</v>
      </c>
      <c r="G169" t="inlineStr">
        <is>
          <t>1</t>
        </is>
      </c>
      <c r="H169" s="703">
        <f>Y169/J169</f>
        <v/>
      </c>
      <c r="I169" s="124" t="n">
        <v>45065</v>
      </c>
      <c r="J169" t="n">
        <v>2900</v>
      </c>
      <c r="K169" s="703" t="n"/>
      <c r="L169" t="n">
        <v>2900</v>
      </c>
      <c r="M169" t="n">
        <v>2001</v>
      </c>
      <c r="R169" t="inlineStr">
        <is>
          <t>Average</t>
        </is>
      </c>
      <c r="T169" s="121">
        <f>S169/L169</f>
        <v/>
      </c>
      <c r="U169" t="inlineStr">
        <is>
          <t>Average</t>
        </is>
      </c>
      <c r="V169" s="121" t="n"/>
      <c r="W169" s="121" t="n"/>
      <c r="X169" s="121" t="n"/>
      <c r="Y169" s="705" t="n">
        <v>362500</v>
      </c>
      <c r="Z169" s="705" t="n"/>
      <c r="AA169" s="705" t="n">
        <v>362500</v>
      </c>
      <c r="AB169" s="705" t="n"/>
      <c r="AC169" t="inlineStr">
        <is>
          <t>0181715201010</t>
        </is>
      </c>
      <c r="AD169" t="inlineStr">
        <is>
          <t>2023000030516</t>
        </is>
      </c>
      <c r="AE169" s="575" t="inlineStr">
        <is>
          <t>MUTZIG STEVEN M</t>
        </is>
      </c>
      <c r="AF169" s="575" t="inlineStr">
        <is>
          <t>KODIAK BRANDS INC</t>
        </is>
      </c>
      <c r="AI169" s="59">
        <f>IF(AND($E169=Subj_OccCode,Subj_BldgSF&gt;0,ABS($L169-Subj_BldgSF)&lt;=Subj_BldgSF*Subj_SizeTol),ABS($L169-Subj_BldgSF),NA())</f>
        <v/>
      </c>
      <c r="AJ169">
        <f>IF(ISNA(AI169),NA(),AI169+ROW()/10000000)</f>
        <v/>
      </c>
      <c r="AK169">
        <f>IF(AND(ISNUMBER($N169),$N169&gt;0,ISNUMBER($Y169)),$Y169/$N169,"")</f>
        <v/>
      </c>
    </row>
    <row r="170" ht="15" customHeight="1" s="518">
      <c r="A170" s="62" t="n">
        <v>7</v>
      </c>
      <c r="B170" s="59" t="n">
        <v>162</v>
      </c>
      <c r="C170" t="inlineStr">
        <is>
          <t>R0161867</t>
        </is>
      </c>
      <c r="D170" t="inlineStr">
        <is>
          <t>37701 E 51ST AVE #3E</t>
        </is>
      </c>
      <c r="E170" t="n">
        <v>328</v>
      </c>
      <c r="G170" t="inlineStr">
        <is>
          <t>1</t>
        </is>
      </c>
      <c r="H170" s="703">
        <f>Y170/J170</f>
        <v/>
      </c>
      <c r="I170" s="124" t="n">
        <v>45176</v>
      </c>
      <c r="J170" t="n">
        <v>2875</v>
      </c>
      <c r="K170" s="703" t="n"/>
      <c r="L170" t="n">
        <v>2875</v>
      </c>
      <c r="M170" t="n">
        <v>2004</v>
      </c>
      <c r="R170" t="inlineStr">
        <is>
          <t>Average</t>
        </is>
      </c>
      <c r="T170" s="121">
        <f>S170/L170</f>
        <v/>
      </c>
      <c r="U170" t="inlineStr">
        <is>
          <t>Average</t>
        </is>
      </c>
      <c r="V170" s="121" t="n"/>
      <c r="W170" s="121" t="n"/>
      <c r="X170" s="121" t="n"/>
      <c r="Y170" s="705" t="n">
        <v>310000</v>
      </c>
      <c r="Z170" s="705" t="n"/>
      <c r="AA170" s="705" t="n">
        <v>310000</v>
      </c>
      <c r="AB170" s="705" t="n"/>
      <c r="AC170" t="inlineStr">
        <is>
          <t>0181715307006</t>
        </is>
      </c>
      <c r="AD170" t="inlineStr">
        <is>
          <t>2023000051510</t>
        </is>
      </c>
      <c r="AE170" s="575" t="inlineStr">
        <is>
          <t>E AND E INVESTMENTS INC, C/O DAVID ENGBRECHT</t>
        </is>
      </c>
      <c r="AF170" s="575" t="inlineStr">
        <is>
          <t>SPACEPORT 3 EAST LLC</t>
        </is>
      </c>
      <c r="AI170" s="59">
        <f>IF(AND($E170=Subj_OccCode,Subj_BldgSF&gt;0,ABS($L170-Subj_BldgSF)&lt;=Subj_BldgSF*Subj_SizeTol),ABS($L170-Subj_BldgSF),NA())</f>
        <v/>
      </c>
      <c r="AJ170">
        <f>IF(ISNA(AI170),NA(),AI170+ROW()/10000000)</f>
        <v/>
      </c>
      <c r="AK170">
        <f>IF(AND(ISNUMBER($N170),$N170&gt;0,ISNUMBER($Y170)),$Y170/$N170,"")</f>
        <v/>
      </c>
    </row>
    <row r="171" ht="15" customHeight="1" s="518">
      <c r="A171" s="62" t="n">
        <v>7</v>
      </c>
      <c r="B171" s="59" t="n">
        <v>163</v>
      </c>
      <c r="C171" t="inlineStr">
        <is>
          <t>R0178320</t>
        </is>
      </c>
      <c r="D171" t="inlineStr">
        <is>
          <t>2551 E 120TH AVE</t>
        </is>
      </c>
      <c r="E171" t="n">
        <v>353</v>
      </c>
      <c r="F171" t="inlineStr">
        <is>
          <t>THORNTON</t>
        </is>
      </c>
      <c r="G171" t="inlineStr">
        <is>
          <t>3</t>
        </is>
      </c>
      <c r="H171" s="703">
        <f>Y171/J171</f>
        <v/>
      </c>
      <c r="I171" s="124" t="n">
        <v>45033</v>
      </c>
      <c r="J171" t="n">
        <v>4050</v>
      </c>
      <c r="K171" s="703" t="n"/>
      <c r="L171" t="n">
        <v>4050</v>
      </c>
      <c r="M171" t="n">
        <v>2000</v>
      </c>
      <c r="P171" t="inlineStr">
        <is>
          <t>Community Retail</t>
        </is>
      </c>
      <c r="R171" t="inlineStr">
        <is>
          <t>Average</t>
        </is>
      </c>
      <c r="S171" t="n">
        <v>19306</v>
      </c>
      <c r="T171" s="121">
        <f>S171/L171</f>
        <v/>
      </c>
      <c r="U171" t="inlineStr">
        <is>
          <t>Average</t>
        </is>
      </c>
      <c r="V171" s="121" t="n"/>
      <c r="W171" s="121" t="n"/>
      <c r="X171" s="121" t="n"/>
      <c r="Y171" s="705" t="n">
        <v>1125000</v>
      </c>
      <c r="Z171" s="705" t="n"/>
      <c r="AA171" s="705" t="n">
        <v>1125000</v>
      </c>
      <c r="AB171" s="705" t="n"/>
      <c r="AC171" t="inlineStr">
        <is>
          <t>0157336309073</t>
        </is>
      </c>
      <c r="AD171" t="inlineStr">
        <is>
          <t>2023000022215</t>
        </is>
      </c>
      <c r="AE171" s="575" t="inlineStr">
        <is>
          <t>PAC PROPERTIES LLC</t>
        </is>
      </c>
      <c r="AF171" s="575" t="inlineStr">
        <is>
          <t>DADDY DANKZ INC</t>
        </is>
      </c>
      <c r="AI171" s="59">
        <f>IF(AND($E171=Subj_OccCode,Subj_BldgSF&gt;0,ABS($L171-Subj_BldgSF)&lt;=Subj_BldgSF*Subj_SizeTol),ABS($L171-Subj_BldgSF),NA())</f>
        <v/>
      </c>
      <c r="AJ171">
        <f>IF(ISNA(AI171),NA(),AI171+ROW()/10000000)</f>
        <v/>
      </c>
      <c r="AK171">
        <f>IF(AND(ISNUMBER($N171),$N171&gt;0,ISNUMBER($Y171)),$Y171/$N171,"")</f>
        <v/>
      </c>
    </row>
    <row r="172" ht="15" customHeight="1" s="518">
      <c r="A172" s="62" t="n">
        <v>7</v>
      </c>
      <c r="B172" s="59" t="n">
        <v>164</v>
      </c>
      <c r="C172" t="inlineStr">
        <is>
          <t>R0181762</t>
        </is>
      </c>
      <c r="D172" t="inlineStr">
        <is>
          <t>100 E 120TH AVE</t>
        </is>
      </c>
      <c r="E172" t="n">
        <v>350</v>
      </c>
      <c r="F172" t="inlineStr">
        <is>
          <t>NORTHGLENN</t>
        </is>
      </c>
      <c r="G172" t="inlineStr">
        <is>
          <t>4</t>
        </is>
      </c>
      <c r="H172" s="703">
        <f>Y172/J172</f>
        <v/>
      </c>
      <c r="I172" s="124" t="n">
        <v>44797</v>
      </c>
      <c r="J172" t="n">
        <v>5246</v>
      </c>
      <c r="K172" s="703" t="n"/>
      <c r="L172" t="n">
        <v>5246</v>
      </c>
      <c r="M172" t="n">
        <v>2014</v>
      </c>
      <c r="P172" t="inlineStr">
        <is>
          <t>PUD-Nor</t>
        </is>
      </c>
      <c r="R172" t="inlineStr">
        <is>
          <t>Good</t>
        </is>
      </c>
      <c r="S172" t="n">
        <v>61903</v>
      </c>
      <c r="T172" s="121">
        <f>S172/L172</f>
        <v/>
      </c>
      <c r="U172" t="inlineStr">
        <is>
          <t>Good</t>
        </is>
      </c>
      <c r="V172" s="121" t="n"/>
      <c r="W172" s="121" t="n"/>
      <c r="X172" s="121" t="n"/>
      <c r="Y172" s="705" t="n">
        <v>1650000</v>
      </c>
      <c r="Z172" s="705" t="n"/>
      <c r="AA172" s="705" t="n">
        <v>1650000</v>
      </c>
      <c r="AB172" s="705" t="n"/>
      <c r="AC172" t="inlineStr">
        <is>
          <t>0171903109009</t>
        </is>
      </c>
      <c r="AD172" t="inlineStr">
        <is>
          <t>2022000071951</t>
        </is>
      </c>
      <c r="AE172" s="575" t="inlineStr">
        <is>
          <t>J AND N DENVER IV LLC</t>
        </is>
      </c>
      <c r="AF172" s="575" t="inlineStr">
        <is>
          <t>LOS DOS POTRILLOS COCINA Y CANTINA-NORTHGLENN LLC</t>
        </is>
      </c>
      <c r="AI172" s="59">
        <f>IF(AND($E172=Subj_OccCode,Subj_BldgSF&gt;0,ABS($L172-Subj_BldgSF)&lt;=Subj_BldgSF*Subj_SizeTol),ABS($L172-Subj_BldgSF),NA())</f>
        <v/>
      </c>
      <c r="AJ172">
        <f>IF(ISNA(AI172),NA(),AI172+ROW()/10000000)</f>
        <v/>
      </c>
      <c r="AK172">
        <f>IF(AND(ISNUMBER($N172),$N172&gt;0,ISNUMBER($Y172)),$Y172/$N172,"")</f>
        <v/>
      </c>
    </row>
    <row r="173" ht="15" customHeight="1" s="518">
      <c r="A173" s="62" t="n">
        <v>7</v>
      </c>
      <c r="B173" s="59" t="n">
        <v>165</v>
      </c>
      <c r="C173" t="inlineStr">
        <is>
          <t>R0207368</t>
        </is>
      </c>
      <c r="D173" t="inlineStr">
        <is>
          <t>9551 WILLOW ST</t>
        </is>
      </c>
      <c r="E173" t="n">
        <v>325</v>
      </c>
      <c r="F173" t="inlineStr">
        <is>
          <t>COMMERCE CITY</t>
        </is>
      </c>
      <c r="G173" t="inlineStr">
        <is>
          <t>5</t>
        </is>
      </c>
      <c r="H173" s="703">
        <f>Y173/J173</f>
        <v/>
      </c>
      <c r="I173" s="124" t="n">
        <v>45107</v>
      </c>
      <c r="J173" t="n">
        <v>47558</v>
      </c>
      <c r="K173" s="703" t="n"/>
      <c r="L173" t="n">
        <v>47558</v>
      </c>
      <c r="M173" t="n">
        <v>2019</v>
      </c>
      <c r="R173" t="inlineStr">
        <is>
          <t>Average</t>
        </is>
      </c>
      <c r="S173" t="n">
        <v>454723</v>
      </c>
      <c r="T173" s="121">
        <f>S173/L173</f>
        <v/>
      </c>
      <c r="U173" t="inlineStr">
        <is>
          <t>Average</t>
        </is>
      </c>
      <c r="V173" s="121" t="n"/>
      <c r="W173" s="121" t="n"/>
      <c r="X173" s="121" t="n"/>
      <c r="Y173" s="705" t="n">
        <v>10500000</v>
      </c>
      <c r="Z173" s="705" t="n"/>
      <c r="AA173" s="705" t="n">
        <v>10500000</v>
      </c>
      <c r="AB173" s="705" t="n"/>
      <c r="AC173" t="inlineStr">
        <is>
          <t>0172121102015</t>
        </is>
      </c>
      <c r="AD173" t="inlineStr">
        <is>
          <t>2023000037358</t>
        </is>
      </c>
      <c r="AE173" s="575" t="inlineStr">
        <is>
          <t>SDW FAMILY PROEPRTIES LLC</t>
        </is>
      </c>
      <c r="AF173" s="575" t="inlineStr">
        <is>
          <t>DIVERSIFIED RE HOLDINGS LLC</t>
        </is>
      </c>
      <c r="AI173" s="59">
        <f>IF(AND($E173=Subj_OccCode,Subj_BldgSF&gt;0,ABS($L173-Subj_BldgSF)&lt;=Subj_BldgSF*Subj_SizeTol),ABS($L173-Subj_BldgSF),NA())</f>
        <v/>
      </c>
      <c r="AJ173">
        <f>IF(ISNA(AI173),NA(),AI173+ROW()/10000000)</f>
        <v/>
      </c>
      <c r="AK173">
        <f>IF(AND(ISNUMBER($N173),$N173&gt;0,ISNUMBER($Y173)),$Y173/$N173,"")</f>
        <v/>
      </c>
    </row>
    <row r="174" ht="15" customHeight="1" s="518">
      <c r="A174" s="62" t="n">
        <v>7</v>
      </c>
      <c r="B174" s="59" t="n">
        <v>166</v>
      </c>
      <c r="C174" t="inlineStr">
        <is>
          <t>R0213043</t>
        </is>
      </c>
      <c r="D174" t="inlineStr">
        <is>
          <t>9658 HAVANA ST #1B</t>
        </is>
      </c>
      <c r="E174" t="n">
        <v>425</v>
      </c>
      <c r="F174" t="inlineStr">
        <is>
          <t>COMMERCE CITY</t>
        </is>
      </c>
      <c r="G174" t="inlineStr">
        <is>
          <t>5</t>
        </is>
      </c>
      <c r="H174" s="703">
        <f>Y174/J174</f>
        <v/>
      </c>
      <c r="I174" s="124" t="n">
        <v>45029</v>
      </c>
      <c r="J174" t="n">
        <v>7560</v>
      </c>
      <c r="K174" s="703" t="n"/>
      <c r="L174" t="n">
        <v>7560</v>
      </c>
      <c r="M174" t="n">
        <v>2022</v>
      </c>
      <c r="R174" t="inlineStr">
        <is>
          <t>Average</t>
        </is>
      </c>
      <c r="S174" t="n">
        <v>5076</v>
      </c>
      <c r="T174" s="121">
        <f>S174/L174</f>
        <v/>
      </c>
      <c r="U174" t="inlineStr">
        <is>
          <t>Average</t>
        </is>
      </c>
      <c r="V174" s="121" t="n"/>
      <c r="W174" s="121" t="n"/>
      <c r="X174" s="121" t="n"/>
      <c r="Y174" s="705" t="n">
        <v>245000</v>
      </c>
      <c r="Z174" s="705" t="n"/>
      <c r="AA174" s="705" t="n">
        <v>245000</v>
      </c>
      <c r="AB174" s="705" t="n"/>
      <c r="AC174" t="inlineStr">
        <is>
          <t>0172115405001</t>
        </is>
      </c>
      <c r="AD174" t="inlineStr">
        <is>
          <t>2023000020171</t>
        </is>
      </c>
      <c r="AE174" s="575" t="inlineStr">
        <is>
          <t>MCAVIN ENTERPRISES LLC</t>
        </is>
      </c>
      <c r="AF174" s="575" t="inlineStr">
        <is>
          <t>FISHER DESIGNWORKS LLC DBA, SAWHORSE DEVELOPMENT LLC</t>
        </is>
      </c>
      <c r="AI174" s="59">
        <f>IF(AND($E174=Subj_OccCode,Subj_BldgSF&gt;0,ABS($L174-Subj_BldgSF)&lt;=Subj_BldgSF*Subj_SizeTol),ABS($L174-Subj_BldgSF),NA())</f>
        <v/>
      </c>
      <c r="AJ174">
        <f>IF(ISNA(AI174),NA(),AI174+ROW()/10000000)</f>
        <v/>
      </c>
      <c r="AK174">
        <f>IF(AND(ISNUMBER($N174),$N174&gt;0,ISNUMBER($Y174)),$Y174/$N174,"")</f>
        <v/>
      </c>
    </row>
    <row r="175" ht="15" customHeight="1" s="518">
      <c r="A175" s="62" t="n">
        <v>7</v>
      </c>
      <c r="B175" s="59" t="n">
        <v>167</v>
      </c>
      <c r="C175" t="inlineStr">
        <is>
          <t>R0213044</t>
        </is>
      </c>
      <c r="D175" t="inlineStr">
        <is>
          <t>9658 HAVAN ST #1C</t>
        </is>
      </c>
      <c r="E175" t="n">
        <v>425</v>
      </c>
      <c r="F175" t="inlineStr">
        <is>
          <t>COMMERCE CITY</t>
        </is>
      </c>
      <c r="G175" t="inlineStr">
        <is>
          <t>5</t>
        </is>
      </c>
      <c r="H175" s="703">
        <f>Y175/J175</f>
        <v/>
      </c>
      <c r="I175" s="124" t="n">
        <v>44760</v>
      </c>
      <c r="J175" t="n">
        <v>7560</v>
      </c>
      <c r="K175" s="703" t="n"/>
      <c r="L175" t="n">
        <v>7560</v>
      </c>
      <c r="M175" t="n">
        <v>2022</v>
      </c>
      <c r="R175" t="inlineStr">
        <is>
          <t>Average</t>
        </is>
      </c>
      <c r="S175" t="n">
        <v>0</v>
      </c>
      <c r="T175" s="121">
        <f>S175/L175</f>
        <v/>
      </c>
      <c r="U175" t="inlineStr">
        <is>
          <t>Average</t>
        </is>
      </c>
      <c r="V175" s="121" t="n"/>
      <c r="W175" s="121" t="n"/>
      <c r="X175" s="121" t="n"/>
      <c r="Y175" s="705" t="n">
        <v>270000</v>
      </c>
      <c r="Z175" s="705" t="n"/>
      <c r="AA175" s="705" t="n">
        <v>270000</v>
      </c>
      <c r="AB175" s="705" t="n"/>
      <c r="AC175" t="inlineStr">
        <is>
          <t>0172115405002</t>
        </is>
      </c>
      <c r="AD175" t="inlineStr">
        <is>
          <t>2022000062002</t>
        </is>
      </c>
      <c r="AE175" s="575" t="inlineStr">
        <is>
          <t>THE GARAGE SOCIETY HOLDINGS LLC</t>
        </is>
      </c>
      <c r="AF175" s="575" t="inlineStr">
        <is>
          <t>SLAVIC CHRISTIAN CHURCH</t>
        </is>
      </c>
      <c r="AI175" s="59">
        <f>IF(AND($E175=Subj_OccCode,Subj_BldgSF&gt;0,ABS($L175-Subj_BldgSF)&lt;=Subj_BldgSF*Subj_SizeTol),ABS($L175-Subj_BldgSF),NA())</f>
        <v/>
      </c>
      <c r="AJ175">
        <f>IF(ISNA(AI175),NA(),AI175+ROW()/10000000)</f>
        <v/>
      </c>
      <c r="AK175">
        <f>IF(AND(ISNUMBER($N175),$N175&gt;0,ISNUMBER($Y175)),$Y175/$N175,"")</f>
        <v/>
      </c>
    </row>
    <row r="176" ht="15" customHeight="1" s="518">
      <c r="A176" s="62" t="n">
        <v>7</v>
      </c>
      <c r="B176" s="59" t="n">
        <v>168</v>
      </c>
      <c r="C176" t="inlineStr">
        <is>
          <t>R0213046</t>
        </is>
      </c>
      <c r="D176" t="inlineStr">
        <is>
          <t>9658 HAVANA ST #1E</t>
        </is>
      </c>
      <c r="E176" t="n">
        <v>425</v>
      </c>
      <c r="F176" t="inlineStr">
        <is>
          <t>COMMERCE CITY</t>
        </is>
      </c>
      <c r="G176" t="inlineStr">
        <is>
          <t>5</t>
        </is>
      </c>
      <c r="H176" s="703">
        <f>Y176/J176</f>
        <v/>
      </c>
      <c r="I176" s="124" t="n">
        <v>44755</v>
      </c>
      <c r="J176" t="n">
        <v>7560</v>
      </c>
      <c r="K176" s="703" t="n"/>
      <c r="L176" t="n">
        <v>7560</v>
      </c>
      <c r="M176" t="n">
        <v>2022</v>
      </c>
      <c r="R176" t="inlineStr">
        <is>
          <t>Average</t>
        </is>
      </c>
      <c r="S176" t="n">
        <v>0</v>
      </c>
      <c r="T176" s="121">
        <f>S176/L176</f>
        <v/>
      </c>
      <c r="U176" t="inlineStr">
        <is>
          <t>Average</t>
        </is>
      </c>
      <c r="V176" s="121" t="n"/>
      <c r="W176" s="121" t="n"/>
      <c r="X176" s="121" t="n"/>
      <c r="Y176" s="705" t="n">
        <v>249750</v>
      </c>
      <c r="Z176" s="705" t="n"/>
      <c r="AA176" s="705" t="n">
        <v>249750</v>
      </c>
      <c r="AB176" s="705" t="n"/>
      <c r="AC176" t="inlineStr">
        <is>
          <t>0172115405004</t>
        </is>
      </c>
      <c r="AD176" t="inlineStr">
        <is>
          <t>2022000061238</t>
        </is>
      </c>
      <c r="AE176" s="575" t="inlineStr">
        <is>
          <t>THE GARAGE SOCIETY HOLDINGS LLC</t>
        </is>
      </c>
      <c r="AF176" s="575" t="inlineStr">
        <is>
          <t xml:space="preserve">E&amp;P QUALITY PLUMBING INC AND , E&amp;P QUALITY PLUMBING </t>
        </is>
      </c>
      <c r="AI176" s="59">
        <f>IF(AND($E176=Subj_OccCode,Subj_BldgSF&gt;0,ABS($L176-Subj_BldgSF)&lt;=Subj_BldgSF*Subj_SizeTol),ABS($L176-Subj_BldgSF),NA())</f>
        <v/>
      </c>
      <c r="AJ176">
        <f>IF(ISNA(AI176),NA(),AI176+ROW()/10000000)</f>
        <v/>
      </c>
      <c r="AK176">
        <f>IF(AND(ISNUMBER($N176),$N176&gt;0,ISNUMBER($Y176)),$Y176/$N176,"")</f>
        <v/>
      </c>
    </row>
    <row r="177" ht="15" customHeight="1" s="518">
      <c r="A177" s="62" t="n">
        <v>7</v>
      </c>
      <c r="B177" s="59" t="n">
        <v>169</v>
      </c>
      <c r="C177" t="inlineStr">
        <is>
          <t>R0222669</t>
        </is>
      </c>
      <c r="D177" t="inlineStr">
        <is>
          <t>37851 E 51ST AVE #W1</t>
        </is>
      </c>
      <c r="E177" t="n">
        <v>328</v>
      </c>
      <c r="G177" t="inlineStr">
        <is>
          <t>1</t>
        </is>
      </c>
      <c r="H177" s="703">
        <f>Y177/J177</f>
        <v/>
      </c>
      <c r="I177" s="124" t="n">
        <v>45390</v>
      </c>
      <c r="J177" t="n">
        <v>2930</v>
      </c>
      <c r="K177" s="703" t="n"/>
      <c r="L177" t="n">
        <v>2930</v>
      </c>
      <c r="M177" t="n">
        <v>2024</v>
      </c>
      <c r="R177" t="inlineStr">
        <is>
          <t>Average</t>
        </is>
      </c>
      <c r="T177" s="121">
        <f>S177/L177</f>
        <v/>
      </c>
      <c r="U177" t="inlineStr">
        <is>
          <t>Average</t>
        </is>
      </c>
      <c r="V177" s="121" t="n"/>
      <c r="W177" s="121" t="n"/>
      <c r="X177" s="121" t="n"/>
      <c r="Y177" s="705" t="n">
        <v>339243</v>
      </c>
      <c r="Z177" s="705" t="n"/>
      <c r="AA177" s="705" t="n">
        <v>339243</v>
      </c>
      <c r="AB177" s="705" t="n"/>
      <c r="AC177" t="inlineStr">
        <is>
          <t>0181715300027</t>
        </is>
      </c>
      <c r="AD177" t="inlineStr">
        <is>
          <t>2024000024075</t>
        </is>
      </c>
      <c r="AE177" s="575" t="inlineStr">
        <is>
          <t>37851 51ST AVE HANGAR OWNERS ASSOCIATION INC</t>
        </is>
      </c>
      <c r="AF177" s="575" t="inlineStr">
        <is>
          <t>ACCRETION MANAGEMENT LLC</t>
        </is>
      </c>
      <c r="AI177" s="59">
        <f>IF(AND($E177=Subj_OccCode,Subj_BldgSF&gt;0,ABS($L177-Subj_BldgSF)&lt;=Subj_BldgSF*Subj_SizeTol),ABS($L177-Subj_BldgSF),NA())</f>
        <v/>
      </c>
      <c r="AJ177">
        <f>IF(ISNA(AI177),NA(),AI177+ROW()/10000000)</f>
        <v/>
      </c>
      <c r="AK177">
        <f>IF(AND(ISNUMBER($N177),$N177&gt;0,ISNUMBER($Y177)),$Y177/$N177,"")</f>
        <v/>
      </c>
    </row>
    <row r="178" ht="15" customHeight="1" s="518">
      <c r="A178" s="62" t="n">
        <v>7</v>
      </c>
      <c r="B178" s="59" t="n">
        <v>170</v>
      </c>
      <c r="C178" t="inlineStr">
        <is>
          <t>R0222673</t>
        </is>
      </c>
      <c r="D178" t="inlineStr">
        <is>
          <t>37851 E 51ST AVE #W9</t>
        </is>
      </c>
      <c r="E178" t="n">
        <v>328</v>
      </c>
      <c r="G178" t="inlineStr">
        <is>
          <t>1</t>
        </is>
      </c>
      <c r="H178" s="703">
        <f>Y178/J178</f>
        <v/>
      </c>
      <c r="I178" s="124" t="n">
        <v>45390</v>
      </c>
      <c r="J178" t="n">
        <v>2930</v>
      </c>
      <c r="K178" s="703" t="n"/>
      <c r="L178" t="n">
        <v>2930</v>
      </c>
      <c r="M178" t="n">
        <v>2024</v>
      </c>
      <c r="R178" t="inlineStr">
        <is>
          <t>Average</t>
        </is>
      </c>
      <c r="T178" s="121">
        <f>S178/L178</f>
        <v/>
      </c>
      <c r="U178" t="inlineStr">
        <is>
          <t>Average</t>
        </is>
      </c>
      <c r="V178" s="121" t="n"/>
      <c r="W178" s="121" t="n"/>
      <c r="X178" s="121" t="n"/>
      <c r="Y178" s="705" t="n">
        <v>300259</v>
      </c>
      <c r="Z178" s="705" t="n"/>
      <c r="AA178" s="705" t="n">
        <v>300259</v>
      </c>
      <c r="AB178" s="705" t="n"/>
      <c r="AC178" t="inlineStr">
        <is>
          <t>0181715300031</t>
        </is>
      </c>
      <c r="AD178" t="inlineStr">
        <is>
          <t>2024000024085</t>
        </is>
      </c>
      <c r="AE178" s="575" t="inlineStr">
        <is>
          <t>37851 51ST AVE HANGAR OWNERS ASSOCIATION INC</t>
        </is>
      </c>
      <c r="AF178" s="575" t="inlineStr">
        <is>
          <t>COLBYCO JET MANAGEMENT LLC</t>
        </is>
      </c>
      <c r="AI178" s="59">
        <f>IF(AND($E178=Subj_OccCode,Subj_BldgSF&gt;0,ABS($L178-Subj_BldgSF)&lt;=Subj_BldgSF*Subj_SizeTol),ABS($L178-Subj_BldgSF),NA())</f>
        <v/>
      </c>
      <c r="AJ178">
        <f>IF(ISNA(AI178),NA(),AI178+ROW()/10000000)</f>
        <v/>
      </c>
      <c r="AK178">
        <f>IF(AND(ISNUMBER($N178),$N178&gt;0,ISNUMBER($Y178)),$Y178/$N178,"")</f>
        <v/>
      </c>
    </row>
    <row r="179" ht="15" customHeight="1" s="518">
      <c r="A179" s="62" t="n">
        <v>7</v>
      </c>
      <c r="B179" s="59" t="n">
        <v>171</v>
      </c>
      <c r="C179" t="inlineStr">
        <is>
          <t>R0222674</t>
        </is>
      </c>
      <c r="D179" t="inlineStr">
        <is>
          <t>37851 E 51ST AVE #W11</t>
        </is>
      </c>
      <c r="E179" t="n">
        <v>328</v>
      </c>
      <c r="G179" t="inlineStr">
        <is>
          <t>1</t>
        </is>
      </c>
      <c r="H179" s="703">
        <f>Y179/J179</f>
        <v/>
      </c>
      <c r="I179" s="124" t="n">
        <v>45390</v>
      </c>
      <c r="J179" t="n">
        <v>2930</v>
      </c>
      <c r="K179" s="703" t="n"/>
      <c r="L179" t="n">
        <v>2930</v>
      </c>
      <c r="M179" t="n">
        <v>2024</v>
      </c>
      <c r="R179" t="inlineStr">
        <is>
          <t>Average</t>
        </is>
      </c>
      <c r="T179" s="121">
        <f>S179/L179</f>
        <v/>
      </c>
      <c r="U179" t="inlineStr">
        <is>
          <t>Average</t>
        </is>
      </c>
      <c r="V179" s="121" t="n"/>
      <c r="W179" s="121" t="n"/>
      <c r="X179" s="121" t="n"/>
      <c r="Y179" s="705" t="n">
        <v>310778</v>
      </c>
      <c r="Z179" s="705" t="n"/>
      <c r="AA179" s="705" t="n">
        <v>310778</v>
      </c>
      <c r="AB179" s="705" t="n"/>
      <c r="AC179" t="inlineStr">
        <is>
          <t>0181715300032</t>
        </is>
      </c>
      <c r="AD179" t="inlineStr">
        <is>
          <t>2024000024068</t>
        </is>
      </c>
      <c r="AE179" s="575" t="inlineStr">
        <is>
          <t>37851 51ST AVE HANGAR OWNERS ASSOCIATION INC</t>
        </is>
      </c>
      <c r="AF179" s="575" t="inlineStr">
        <is>
          <t>MUELLER HANGARS LLC</t>
        </is>
      </c>
      <c r="AI179" s="59">
        <f>IF(AND($E179=Subj_OccCode,Subj_BldgSF&gt;0,ABS($L179-Subj_BldgSF)&lt;=Subj_BldgSF*Subj_SizeTol),ABS($L179-Subj_BldgSF),NA())</f>
        <v/>
      </c>
      <c r="AJ179">
        <f>IF(ISNA(AI179),NA(),AI179+ROW()/10000000)</f>
        <v/>
      </c>
      <c r="AK179">
        <f>IF(AND(ISNUMBER($N179),$N179&gt;0,ISNUMBER($Y179)),$Y179/$N179,"")</f>
        <v/>
      </c>
    </row>
    <row r="180" ht="15" customHeight="1" s="518">
      <c r="A180" s="62" t="n">
        <v>7</v>
      </c>
      <c r="B180" s="59" t="n">
        <v>172</v>
      </c>
      <c r="C180" t="inlineStr">
        <is>
          <t>R0222675</t>
        </is>
      </c>
      <c r="D180" t="inlineStr">
        <is>
          <t>37851 E 51ST AVE #E12</t>
        </is>
      </c>
      <c r="E180" t="n">
        <v>328</v>
      </c>
      <c r="G180" t="inlineStr">
        <is>
          <t>1</t>
        </is>
      </c>
      <c r="H180" s="703">
        <f>Y180/J180</f>
        <v/>
      </c>
      <c r="I180" s="124" t="n">
        <v>45390</v>
      </c>
      <c r="J180" t="n">
        <v>2930</v>
      </c>
      <c r="K180" s="703" t="n"/>
      <c r="L180" t="n">
        <v>2930</v>
      </c>
      <c r="M180" t="n">
        <v>2024</v>
      </c>
      <c r="R180" t="inlineStr">
        <is>
          <t>Average</t>
        </is>
      </c>
      <c r="T180" s="121">
        <f>S180/L180</f>
        <v/>
      </c>
      <c r="U180" t="inlineStr">
        <is>
          <t>Average</t>
        </is>
      </c>
      <c r="V180" s="121" t="n"/>
      <c r="W180" s="121" t="n"/>
      <c r="X180" s="121" t="n"/>
      <c r="Y180" s="705" t="n">
        <v>310778</v>
      </c>
      <c r="Z180" s="705" t="n"/>
      <c r="AA180" s="705" t="n">
        <v>310778</v>
      </c>
      <c r="AB180" s="705" t="n"/>
      <c r="AC180" t="inlineStr">
        <is>
          <t>0181715300033</t>
        </is>
      </c>
      <c r="AD180" t="inlineStr">
        <is>
          <t>2024000024063</t>
        </is>
      </c>
      <c r="AE180" s="575" t="inlineStr">
        <is>
          <t>37851 51ST AVE HANGAR OWNERS ASSOCIATION INC</t>
        </is>
      </c>
      <c r="AF180" s="575" t="inlineStr">
        <is>
          <t>MUELLER HANGARS LLC</t>
        </is>
      </c>
      <c r="AI180" s="59">
        <f>IF(AND($E180=Subj_OccCode,Subj_BldgSF&gt;0,ABS($L180-Subj_BldgSF)&lt;=Subj_BldgSF*Subj_SizeTol),ABS($L180-Subj_BldgSF),NA())</f>
        <v/>
      </c>
      <c r="AJ180">
        <f>IF(ISNA(AI180),NA(),AI180+ROW()/10000000)</f>
        <v/>
      </c>
      <c r="AK180">
        <f>IF(AND(ISNUMBER($N180),$N180&gt;0,ISNUMBER($Y180)),$Y180/$N180,"")</f>
        <v/>
      </c>
    </row>
    <row r="181" ht="15" customHeight="1" s="518">
      <c r="A181" s="62" t="n">
        <v>7</v>
      </c>
      <c r="B181" s="59" t="n">
        <v>173</v>
      </c>
      <c r="C181" t="inlineStr">
        <is>
          <t>R0223501</t>
        </is>
      </c>
      <c r="D181" t="inlineStr">
        <is>
          <t>9658 HAVAN ST #C03</t>
        </is>
      </c>
      <c r="E181" t="n">
        <v>425</v>
      </c>
      <c r="F181" t="inlineStr">
        <is>
          <t>COMMERCE CITY</t>
        </is>
      </c>
      <c r="G181" t="inlineStr">
        <is>
          <t>5</t>
        </is>
      </c>
      <c r="H181" s="703">
        <f>Y181/J181</f>
        <v/>
      </c>
      <c r="I181" s="124" t="n">
        <v>45377</v>
      </c>
      <c r="J181" t="n">
        <v>21266</v>
      </c>
      <c r="K181" s="703" t="n"/>
      <c r="L181" t="n">
        <v>21266</v>
      </c>
      <c r="M181" t="n">
        <v>2023</v>
      </c>
      <c r="R181" t="inlineStr">
        <is>
          <t>Average</t>
        </is>
      </c>
      <c r="S181" t="n">
        <v>3398</v>
      </c>
      <c r="T181" s="121">
        <f>S181/L181</f>
        <v/>
      </c>
      <c r="U181" t="inlineStr">
        <is>
          <t>Average</t>
        </is>
      </c>
      <c r="V181" s="121" t="n"/>
      <c r="W181" s="121" t="n"/>
      <c r="X181" s="121" t="n"/>
      <c r="Y181" s="705" t="n">
        <v>370360</v>
      </c>
      <c r="Z181" s="705" t="n"/>
      <c r="AA181" s="705" t="n">
        <v>370360</v>
      </c>
      <c r="AB181" s="705" t="n"/>
      <c r="AC181" t="inlineStr">
        <is>
          <t>0172115405062</t>
        </is>
      </c>
      <c r="AD181" t="inlineStr">
        <is>
          <t>2024000015431</t>
        </is>
      </c>
      <c r="AE181" s="575" t="inlineStr">
        <is>
          <t>THE GARAGE SOCIETY HOLDINGS LLC</t>
        </is>
      </c>
      <c r="AF181" s="575" t="inlineStr">
        <is>
          <t>MAVES AEDRENA</t>
        </is>
      </c>
      <c r="AI181" s="59">
        <f>IF(AND($E181=Subj_OccCode,Subj_BldgSF&gt;0,ABS($L181-Subj_BldgSF)&lt;=Subj_BldgSF*Subj_SizeTol),ABS($L181-Subj_BldgSF),NA())</f>
        <v/>
      </c>
      <c r="AJ181">
        <f>IF(ISNA(AI181),NA(),AI181+ROW()/10000000)</f>
        <v/>
      </c>
      <c r="AK181">
        <f>IF(AND(ISNUMBER($N181),$N181&gt;0,ISNUMBER($Y181)),$Y181/$N181,"")</f>
        <v/>
      </c>
    </row>
    <row r="182" ht="15" customHeight="1" s="518">
      <c r="A182" s="62" t="n">
        <v>7</v>
      </c>
      <c r="B182" s="59" t="n">
        <v>174</v>
      </c>
      <c r="C182" t="inlineStr">
        <is>
          <t>R0224264</t>
        </is>
      </c>
      <c r="D182" t="inlineStr">
        <is>
          <t>2861 W 120TH AVE</t>
        </is>
      </c>
      <c r="E182" t="n">
        <v>344</v>
      </c>
      <c r="F182" t="inlineStr">
        <is>
          <t>COMMERCE CITY</t>
        </is>
      </c>
      <c r="G182" t="inlineStr">
        <is>
          <t>3</t>
        </is>
      </c>
      <c r="H182" s="703">
        <f>Y182/J182</f>
        <v/>
      </c>
      <c r="I182" s="124" t="n">
        <v>45405</v>
      </c>
      <c r="J182" t="n">
        <v>57173</v>
      </c>
      <c r="K182" s="703" t="n"/>
      <c r="L182" t="n">
        <v>57173</v>
      </c>
      <c r="M182" t="n">
        <v>2007</v>
      </c>
      <c r="R182" t="inlineStr">
        <is>
          <t>Average</t>
        </is>
      </c>
      <c r="T182" s="121">
        <f>S182/L182</f>
        <v/>
      </c>
      <c r="U182" t="inlineStr">
        <is>
          <t>Average</t>
        </is>
      </c>
      <c r="V182" s="121" t="n"/>
      <c r="W182" s="121" t="n"/>
      <c r="X182" s="121" t="n"/>
      <c r="Y182" s="705" t="n">
        <v>1120978</v>
      </c>
      <c r="Z182" s="705" t="n"/>
      <c r="AA182" s="705" t="n">
        <v>1120978</v>
      </c>
      <c r="AB182" s="705" t="n"/>
      <c r="AC182" t="inlineStr">
        <is>
          <t>0157332401029</t>
        </is>
      </c>
      <c r="AD182" t="inlineStr">
        <is>
          <t>2024000021262</t>
        </is>
      </c>
      <c r="AE182" s="575" t="inlineStr">
        <is>
          <t>2861 FINANCIAL LLC</t>
        </is>
      </c>
      <c r="AF182" s="575" t="inlineStr">
        <is>
          <t>FINAN PROPERTIES LLC</t>
        </is>
      </c>
      <c r="AI182" s="59">
        <f>IF(AND($E182=Subj_OccCode,Subj_BldgSF&gt;0,ABS($L182-Subj_BldgSF)&lt;=Subj_BldgSF*Subj_SizeTol),ABS($L182-Subj_BldgSF),NA())</f>
        <v/>
      </c>
      <c r="AJ182">
        <f>IF(ISNA(AI182),NA(),AI182+ROW()/10000000)</f>
        <v/>
      </c>
      <c r="AK182">
        <f>IF(AND(ISNUMBER($N182),$N182&gt;0,ISNUMBER($Y182)),$Y182/$N182,"")</f>
        <v/>
      </c>
    </row>
    <row r="183" ht="15" customHeight="1" s="518">
      <c r="A183" s="62" t="n">
        <v>7</v>
      </c>
      <c r="B183" s="59" t="n">
        <v>175</v>
      </c>
      <c r="C183" t="inlineStr">
        <is>
          <t>R0002840</t>
        </is>
      </c>
      <c r="D183" t="inlineStr">
        <is>
          <t>5 N MAIN ST</t>
        </is>
      </c>
      <c r="E183" t="n">
        <v>344</v>
      </c>
      <c r="F183" t="inlineStr">
        <is>
          <t>BRIGHTON</t>
        </is>
      </c>
      <c r="G183" t="inlineStr">
        <is>
          <t>2</t>
        </is>
      </c>
      <c r="H183" s="703">
        <f>Y183/J183</f>
        <v/>
      </c>
      <c r="I183" s="124" t="n">
        <v>44995</v>
      </c>
      <c r="J183" t="n">
        <v>5068</v>
      </c>
      <c r="K183" s="703" t="n"/>
      <c r="L183" t="n">
        <v>5068</v>
      </c>
      <c r="M183" t="n">
        <v>1917</v>
      </c>
      <c r="P183" t="inlineStr">
        <is>
          <t>DT</t>
        </is>
      </c>
      <c r="R183" t="inlineStr">
        <is>
          <t>Average</t>
        </is>
      </c>
      <c r="S183" t="n">
        <v>3185</v>
      </c>
      <c r="T183" s="121">
        <f>S183/L183</f>
        <v/>
      </c>
      <c r="U183" t="inlineStr">
        <is>
          <t>Average</t>
        </is>
      </c>
      <c r="V183" s="121" t="n"/>
      <c r="W183" s="121" t="n"/>
      <c r="X183" s="121" t="n"/>
      <c r="Y183" s="705" t="n">
        <v>650000</v>
      </c>
      <c r="Z183" s="705" t="n"/>
      <c r="AA183" s="705" t="n">
        <v>650000</v>
      </c>
      <c r="AB183" s="705" t="n"/>
      <c r="AC183" t="inlineStr">
        <is>
          <t>0156906314014</t>
        </is>
      </c>
      <c r="AD183" t="inlineStr">
        <is>
          <t>2023000013109</t>
        </is>
      </c>
      <c r="AE183" s="575" t="inlineStr">
        <is>
          <t>1382 BOSTON LLC</t>
        </is>
      </c>
      <c r="AF183" s="575" t="inlineStr">
        <is>
          <t>ROTH ERIC</t>
        </is>
      </c>
      <c r="AI183" s="59">
        <f>IF(AND($E183=Subj_OccCode,Subj_BldgSF&gt;0,ABS($L183-Subj_BldgSF)&lt;=Subj_BldgSF*Subj_SizeTol),ABS($L183-Subj_BldgSF),NA())</f>
        <v/>
      </c>
      <c r="AJ183">
        <f>IF(ISNA(AI183),NA(),AI183+ROW()/10000000)</f>
        <v/>
      </c>
      <c r="AK183">
        <f>IF(AND(ISNUMBER($N183),$N183&gt;0,ISNUMBER($Y183)),$Y183/$N183,"")</f>
        <v/>
      </c>
    </row>
    <row r="184" ht="15" customHeight="1" s="518">
      <c r="A184" s="62" t="n">
        <v>7</v>
      </c>
      <c r="B184" s="59" t="n">
        <v>176</v>
      </c>
      <c r="C184" t="inlineStr">
        <is>
          <t>R0037106</t>
        </is>
      </c>
      <c r="D184" t="inlineStr">
        <is>
          <t>11178 HURON ST #6</t>
        </is>
      </c>
      <c r="E184" t="n">
        <v>1344</v>
      </c>
      <c r="F184" t="inlineStr">
        <is>
          <t>NORTHGLENN</t>
        </is>
      </c>
      <c r="G184" t="inlineStr">
        <is>
          <t>4</t>
        </is>
      </c>
      <c r="H184" s="703">
        <f>Y184/J184</f>
        <v/>
      </c>
      <c r="I184" s="124" t="n">
        <v>45104</v>
      </c>
      <c r="J184" t="n">
        <v>84375</v>
      </c>
      <c r="K184" s="703" t="n"/>
      <c r="L184" t="n">
        <v>84375</v>
      </c>
      <c r="M184" t="n">
        <v>1984</v>
      </c>
      <c r="P184" t="inlineStr">
        <is>
          <t>C-3-Nor</t>
        </is>
      </c>
      <c r="R184" t="inlineStr">
        <is>
          <t>Average</t>
        </is>
      </c>
      <c r="S184" t="n">
        <v>1108</v>
      </c>
      <c r="T184" s="121">
        <f>S184/L184</f>
        <v/>
      </c>
      <c r="U184" t="inlineStr">
        <is>
          <t>Average</t>
        </is>
      </c>
      <c r="V184" s="121" t="n"/>
      <c r="W184" s="121" t="n"/>
      <c r="X184" s="121" t="n"/>
      <c r="Y184" s="705" t="n">
        <v>250000</v>
      </c>
      <c r="Z184" s="705" t="n"/>
      <c r="AA184" s="705" t="n">
        <v>250000</v>
      </c>
      <c r="AB184" s="705" t="n"/>
      <c r="AC184" t="inlineStr">
        <is>
          <t>0171910217006</t>
        </is>
      </c>
      <c r="AD184" t="inlineStr">
        <is>
          <t>2023000036437</t>
        </is>
      </c>
      <c r="AE184" s="575" t="inlineStr">
        <is>
          <t>BRUNSON REAL ESTATE HOLDINGS LLC</t>
        </is>
      </c>
      <c r="AF184" s="575" t="inlineStr">
        <is>
          <t>REAL ESTATE MATTERS CORP</t>
        </is>
      </c>
      <c r="AI184" s="59">
        <f>IF(AND($E184=Subj_OccCode,Subj_BldgSF&gt;0,ABS($L184-Subj_BldgSF)&lt;=Subj_BldgSF*Subj_SizeTol),ABS($L184-Subj_BldgSF),NA())</f>
        <v/>
      </c>
      <c r="AJ184">
        <f>IF(ISNA(AI184),NA(),AI184+ROW()/10000000)</f>
        <v/>
      </c>
      <c r="AK184">
        <f>IF(AND(ISNUMBER($N184),$N184&gt;0,ISNUMBER($Y184)),$Y184/$N184,"")</f>
        <v/>
      </c>
    </row>
    <row r="185" ht="15" customHeight="1" s="518">
      <c r="A185" s="62" t="n">
        <v>7</v>
      </c>
      <c r="B185" s="59" t="n">
        <v>177</v>
      </c>
      <c r="C185" t="inlineStr">
        <is>
          <t>R0037108</t>
        </is>
      </c>
      <c r="D185" t="inlineStr">
        <is>
          <t>11184 HURON ST #8</t>
        </is>
      </c>
      <c r="E185" t="n">
        <v>1344</v>
      </c>
      <c r="F185" t="inlineStr">
        <is>
          <t>NORTHGLENN</t>
        </is>
      </c>
      <c r="G185" t="inlineStr">
        <is>
          <t>4</t>
        </is>
      </c>
      <c r="H185" s="703">
        <f>Y185/J185</f>
        <v/>
      </c>
      <c r="I185" s="124" t="n">
        <v>45044</v>
      </c>
      <c r="J185" t="n">
        <v>84375</v>
      </c>
      <c r="K185" s="703" t="n"/>
      <c r="L185" t="n">
        <v>84375</v>
      </c>
      <c r="M185" t="n">
        <v>1984</v>
      </c>
      <c r="P185" t="inlineStr">
        <is>
          <t>C-3-Nor</t>
        </is>
      </c>
      <c r="R185" t="inlineStr">
        <is>
          <t>Average</t>
        </is>
      </c>
      <c r="S185" t="n">
        <v>1108</v>
      </c>
      <c r="T185" s="121">
        <f>S185/L185</f>
        <v/>
      </c>
      <c r="U185" t="inlineStr">
        <is>
          <t>Average</t>
        </is>
      </c>
      <c r="V185" s="121" t="n"/>
      <c r="W185" s="121" t="n"/>
      <c r="X185" s="121" t="n"/>
      <c r="Y185" s="705" t="n">
        <v>300000</v>
      </c>
      <c r="Z185" s="705" t="n"/>
      <c r="AA185" s="705" t="n">
        <v>300000</v>
      </c>
      <c r="AB185" s="705" t="n"/>
      <c r="AC185" t="inlineStr">
        <is>
          <t>0171910217008</t>
        </is>
      </c>
      <c r="AD185" t="inlineStr">
        <is>
          <t>2023000024002</t>
        </is>
      </c>
      <c r="AE185" s="575" t="inlineStr">
        <is>
          <t>BTC VISIONS LLC</t>
        </is>
      </c>
      <c r="AF185" s="575" t="inlineStr">
        <is>
          <t>GLOBAL PROPERTIES AND MANAGEMENT LLC</t>
        </is>
      </c>
      <c r="AI185" s="59">
        <f>IF(AND($E185=Subj_OccCode,Subj_BldgSF&gt;0,ABS($L185-Subj_BldgSF)&lt;=Subj_BldgSF*Subj_SizeTol),ABS($L185-Subj_BldgSF),NA())</f>
        <v/>
      </c>
      <c r="AJ185">
        <f>IF(ISNA(AI185),NA(),AI185+ROW()/10000000)</f>
        <v/>
      </c>
      <c r="AK185">
        <f>IF(AND(ISNUMBER($N185),$N185&gt;0,ISNUMBER($Y185)),$Y185/$N185,"")</f>
        <v/>
      </c>
    </row>
    <row r="186" ht="15" customHeight="1" s="518">
      <c r="A186" s="62" t="n">
        <v>7</v>
      </c>
      <c r="B186" s="59" t="n">
        <v>178</v>
      </c>
      <c r="C186" t="inlineStr">
        <is>
          <t>R0176439</t>
        </is>
      </c>
      <c r="D186" t="inlineStr">
        <is>
          <t>804 E 78TH AVE</t>
        </is>
      </c>
      <c r="E186" t="n">
        <v>425</v>
      </c>
      <c r="G186" t="inlineStr">
        <is>
          <t>5</t>
        </is>
      </c>
      <c r="H186" s="703">
        <f>Y186/J186</f>
        <v/>
      </c>
      <c r="I186" s="124" t="n">
        <v>45135</v>
      </c>
      <c r="J186" t="n">
        <v>37592</v>
      </c>
      <c r="K186" s="703" t="n"/>
      <c r="L186" t="n">
        <v>37592</v>
      </c>
      <c r="M186" t="n">
        <v>2006</v>
      </c>
      <c r="P186" t="inlineStr">
        <is>
          <t>Industrial</t>
        </is>
      </c>
      <c r="R186" t="inlineStr">
        <is>
          <t>Average</t>
        </is>
      </c>
      <c r="S186" t="n">
        <v>5399</v>
      </c>
      <c r="T186" s="121">
        <f>S186/L186</f>
        <v/>
      </c>
      <c r="U186" t="inlineStr">
        <is>
          <t>Average</t>
        </is>
      </c>
      <c r="V186" s="121" t="n"/>
      <c r="W186" s="121" t="n"/>
      <c r="X186" s="121" t="n"/>
      <c r="Y186" s="705" t="n">
        <v>375000</v>
      </c>
      <c r="Z186" s="705" t="n"/>
      <c r="AA186" s="705" t="n">
        <v>375000</v>
      </c>
      <c r="AB186" s="705" t="n"/>
      <c r="AC186" t="inlineStr">
        <is>
          <t>0171935233022</t>
        </is>
      </c>
      <c r="AD186" t="inlineStr">
        <is>
          <t>2023000047316</t>
        </is>
      </c>
      <c r="AE186" s="575" t="inlineStr">
        <is>
          <t>BOOMHAUSER EDDIE LLC</t>
        </is>
      </c>
      <c r="AF186" s="575" t="inlineStr">
        <is>
          <t>BAHRAINI MOHAMMAD YOUSOF</t>
        </is>
      </c>
      <c r="AI186" s="59">
        <f>IF(AND($E186=Subj_OccCode,Subj_BldgSF&gt;0,ABS($L186-Subj_BldgSF)&lt;=Subj_BldgSF*Subj_SizeTol),ABS($L186-Subj_BldgSF),NA())</f>
        <v/>
      </c>
      <c r="AJ186">
        <f>IF(ISNA(AI186),NA(),AI186+ROW()/10000000)</f>
        <v/>
      </c>
      <c r="AK186">
        <f>IF(AND(ISNUMBER($N186),$N186&gt;0,ISNUMBER($Y186)),$Y186/$N186,"")</f>
        <v/>
      </c>
    </row>
    <row r="187" ht="15" customHeight="1" s="518">
      <c r="A187" s="62" t="n">
        <v>7</v>
      </c>
      <c r="B187" s="59" t="n">
        <v>179</v>
      </c>
      <c r="C187" t="inlineStr">
        <is>
          <t>R0184690</t>
        </is>
      </c>
      <c r="D187" t="inlineStr">
        <is>
          <t>4155 E 128TH AVE</t>
        </is>
      </c>
      <c r="E187" t="n">
        <v>426</v>
      </c>
      <c r="F187" t="inlineStr">
        <is>
          <t>THORNTON</t>
        </is>
      </c>
      <c r="G187" t="inlineStr">
        <is>
          <t>3</t>
        </is>
      </c>
      <c r="H187" s="703">
        <f>Y187/J187</f>
        <v/>
      </c>
      <c r="I187" s="124" t="n">
        <v>45225</v>
      </c>
      <c r="J187" t="n">
        <v>26048</v>
      </c>
      <c r="K187" s="703" t="n"/>
      <c r="L187" t="n">
        <v>26048</v>
      </c>
      <c r="M187" t="n">
        <v>2015</v>
      </c>
      <c r="P187" t="inlineStr">
        <is>
          <t>Planned Development</t>
        </is>
      </c>
      <c r="R187" t="inlineStr">
        <is>
          <t>Good</t>
        </is>
      </c>
      <c r="S187" t="n">
        <v>89095</v>
      </c>
      <c r="T187" s="121">
        <f>S187/L187</f>
        <v/>
      </c>
      <c r="U187" t="inlineStr">
        <is>
          <t>Good</t>
        </is>
      </c>
      <c r="V187" s="121" t="n"/>
      <c r="W187" s="121" t="n"/>
      <c r="X187" s="121" t="n"/>
      <c r="Y187" s="705" t="n">
        <v>4750000</v>
      </c>
      <c r="Z187" s="705" t="n"/>
      <c r="AA187" s="705" t="n">
        <v>4750000</v>
      </c>
      <c r="AB187" s="705" t="n"/>
      <c r="AC187" t="inlineStr">
        <is>
          <t>0157130321022</t>
        </is>
      </c>
      <c r="AD187" t="inlineStr">
        <is>
          <t>2023000060719</t>
        </is>
      </c>
      <c r="AE187" s="575" t="inlineStr">
        <is>
          <t>ECE I LLC, ATTN ASSET MANAGER</t>
        </is>
      </c>
      <c r="AF187" s="575" t="inlineStr">
        <is>
          <t>KARTER REALTY THORNTON LLC</t>
        </is>
      </c>
      <c r="AI187" s="59">
        <f>IF(AND($E187=Subj_OccCode,Subj_BldgSF&gt;0,ABS($L187-Subj_BldgSF)&lt;=Subj_BldgSF*Subj_SizeTol),ABS($L187-Subj_BldgSF),NA())</f>
        <v/>
      </c>
      <c r="AJ187">
        <f>IF(ISNA(AI187),NA(),AI187+ROW()/10000000)</f>
        <v/>
      </c>
      <c r="AK187">
        <f>IF(AND(ISNUMBER($N187),$N187&gt;0,ISNUMBER($Y187)),$Y187/$N187,"")</f>
        <v/>
      </c>
    </row>
    <row r="188" ht="15" customHeight="1" s="518">
      <c r="A188" s="62" t="n">
        <v>7</v>
      </c>
      <c r="B188" s="59" t="n">
        <v>180</v>
      </c>
      <c r="C188" t="inlineStr">
        <is>
          <t>R0103418</t>
        </is>
      </c>
      <c r="D188" t="inlineStr">
        <is>
          <t>5678 PECOS ST</t>
        </is>
      </c>
      <c r="E188" t="n">
        <v>406</v>
      </c>
      <c r="G188" t="inlineStr">
        <is>
          <t>5</t>
        </is>
      </c>
      <c r="H188" s="703">
        <f>Y188/J188</f>
        <v/>
      </c>
      <c r="I188" s="124" t="n">
        <v>45317</v>
      </c>
      <c r="J188" t="n">
        <v>4800</v>
      </c>
      <c r="K188" s="703" t="n"/>
      <c r="L188" t="n">
        <v>4800</v>
      </c>
      <c r="M188" t="n">
        <v>2007</v>
      </c>
      <c r="P188" t="inlineStr">
        <is>
          <t>Industrial</t>
        </is>
      </c>
      <c r="R188" t="inlineStr">
        <is>
          <t>Average</t>
        </is>
      </c>
      <c r="S188" t="n">
        <v>13316</v>
      </c>
      <c r="T188" s="121">
        <f>S188/L188</f>
        <v/>
      </c>
      <c r="U188" t="inlineStr">
        <is>
          <t>Average</t>
        </is>
      </c>
      <c r="V188" s="121" t="n"/>
      <c r="W188" s="121" t="n"/>
      <c r="X188" s="121" t="n"/>
      <c r="Y188" s="705" t="n">
        <v>850000</v>
      </c>
      <c r="Z188" s="705" t="n"/>
      <c r="AA188" s="705" t="n">
        <v>850000</v>
      </c>
      <c r="AB188" s="705" t="n"/>
      <c r="AC188" t="inlineStr">
        <is>
          <t>0182509400017</t>
        </is>
      </c>
      <c r="AD188" t="inlineStr">
        <is>
          <t>2024000004872</t>
        </is>
      </c>
      <c r="AE188" s="575" t="inlineStr">
        <is>
          <t>BANG ENTERPRIZE INC</t>
        </is>
      </c>
      <c r="AF188" s="575" t="inlineStr">
        <is>
          <t>PECOS REAL ESTATE LLC, C/O AUTO CHLOR SYSTEM</t>
        </is>
      </c>
      <c r="AI188" s="59">
        <f>IF(AND($E188=Subj_OccCode,Subj_BldgSF&gt;0,ABS($L188-Subj_BldgSF)&lt;=Subj_BldgSF*Subj_SizeTol),ABS($L188-Subj_BldgSF),NA())</f>
        <v/>
      </c>
      <c r="AJ188">
        <f>IF(ISNA(AI188),NA(),AI188+ROW()/10000000)</f>
        <v/>
      </c>
      <c r="AK188">
        <f>IF(AND(ISNUMBER($N188),$N188&gt;0,ISNUMBER($Y188)),$Y188/$N188,"")</f>
        <v/>
      </c>
    </row>
    <row r="189" ht="15" customHeight="1" s="518">
      <c r="A189" s="62" t="n">
        <v>7</v>
      </c>
      <c r="B189" s="59" t="n">
        <v>181</v>
      </c>
      <c r="C189" t="inlineStr">
        <is>
          <t>R0118777</t>
        </is>
      </c>
      <c r="D189" t="inlineStr">
        <is>
          <t>6091 E 72ND AVE</t>
        </is>
      </c>
      <c r="E189" t="n">
        <v>353</v>
      </c>
      <c r="F189" t="inlineStr">
        <is>
          <t>COMMERCE CITY</t>
        </is>
      </c>
      <c r="G189" t="inlineStr">
        <is>
          <t>5</t>
        </is>
      </c>
      <c r="H189" s="703">
        <f>Y189/J189</f>
        <v/>
      </c>
      <c r="I189" s="124" t="n">
        <v>44960</v>
      </c>
      <c r="J189" t="n">
        <v>7000</v>
      </c>
      <c r="K189" s="703" t="n"/>
      <c r="L189" t="n">
        <v>7000</v>
      </c>
      <c r="M189" t="n">
        <v>1999</v>
      </c>
      <c r="P189" t="inlineStr">
        <is>
          <t>C-2-Com</t>
        </is>
      </c>
      <c r="R189" t="inlineStr">
        <is>
          <t>Average</t>
        </is>
      </c>
      <c r="S189" t="n">
        <v>37592.28</v>
      </c>
      <c r="T189" s="121">
        <f>S189/L189</f>
        <v/>
      </c>
      <c r="U189" t="inlineStr">
        <is>
          <t>Average</t>
        </is>
      </c>
      <c r="V189" s="121" t="n"/>
      <c r="W189" s="121" t="n"/>
      <c r="X189" s="121" t="n"/>
      <c r="Y189" s="705" t="n">
        <v>1800000</v>
      </c>
      <c r="Z189" s="705" t="n"/>
      <c r="AA189" s="705" t="n">
        <v>1800000</v>
      </c>
      <c r="AB189" s="705" t="n"/>
      <c r="AC189" t="inlineStr">
        <is>
          <t>0172132309022</t>
        </is>
      </c>
      <c r="AD189" t="inlineStr">
        <is>
          <t>2023000006247</t>
        </is>
      </c>
      <c r="AE189" s="575" t="inlineStr">
        <is>
          <t>THEODORA CHECKERS LLC</t>
        </is>
      </c>
      <c r="AF189" s="575" t="inlineStr">
        <is>
          <t>MTK MANAGEMENT LLC, LMK MANAGEMENT LLC</t>
        </is>
      </c>
      <c r="AI189" s="59">
        <f>IF(AND($E189=Subj_OccCode,Subj_BldgSF&gt;0,ABS($L189-Subj_BldgSF)&lt;=Subj_BldgSF*Subj_SizeTol),ABS($L189-Subj_BldgSF),NA())</f>
        <v/>
      </c>
      <c r="AJ189">
        <f>IF(ISNA(AI189),NA(),AI189+ROW()/10000000)</f>
        <v/>
      </c>
      <c r="AK189">
        <f>IF(AND(ISNUMBER($N189),$N189&gt;0,ISNUMBER($Y189)),$Y189/$N189,"")</f>
        <v/>
      </c>
    </row>
    <row r="190" ht="15" customHeight="1" s="518">
      <c r="A190" s="62" t="n">
        <v>7</v>
      </c>
      <c r="B190" s="59" t="n">
        <v>182</v>
      </c>
      <c r="C190" t="inlineStr">
        <is>
          <t>R0125137</t>
        </is>
      </c>
      <c r="D190" t="inlineStr">
        <is>
          <t>9670 DALLAS ST #7</t>
        </is>
      </c>
      <c r="E190" t="n">
        <v>425</v>
      </c>
      <c r="F190" t="inlineStr">
        <is>
          <t>COMMERCE CITY</t>
        </is>
      </c>
      <c r="G190" t="inlineStr">
        <is>
          <t>5</t>
        </is>
      </c>
      <c r="H190" s="703">
        <f>Y190/J190</f>
        <v/>
      </c>
      <c r="I190" s="124" t="n">
        <v>45159</v>
      </c>
      <c r="J190" t="n">
        <v>30000</v>
      </c>
      <c r="K190" s="703" t="n"/>
      <c r="L190" t="n">
        <v>30000</v>
      </c>
      <c r="M190" t="n">
        <v>2000</v>
      </c>
      <c r="P190" t="inlineStr">
        <is>
          <t>I-3-Com</t>
        </is>
      </c>
      <c r="R190" t="inlineStr">
        <is>
          <t>Average</t>
        </is>
      </c>
      <c r="S190" t="n">
        <v>7949</v>
      </c>
      <c r="T190" s="121">
        <f>S190/L190</f>
        <v/>
      </c>
      <c r="U190" t="inlineStr">
        <is>
          <t>Average</t>
        </is>
      </c>
      <c r="V190" s="121" t="n"/>
      <c r="W190" s="121" t="n"/>
      <c r="X190" s="121" t="n"/>
      <c r="Y190" s="705" t="n">
        <v>480000</v>
      </c>
      <c r="Z190" s="705" t="n"/>
      <c r="AA190" s="705" t="n">
        <v>480000</v>
      </c>
      <c r="AB190" s="705" t="n"/>
      <c r="AC190" t="inlineStr">
        <is>
          <t>0172115303007</t>
        </is>
      </c>
      <c r="AD190" t="inlineStr">
        <is>
          <t>2023000050900</t>
        </is>
      </c>
      <c r="AE190" s="575" t="inlineStr">
        <is>
          <t>TRIPLE L PROPERTIES LLC</t>
        </is>
      </c>
      <c r="AF190" s="575" t="inlineStr">
        <is>
          <t>THE HOLDING COMPANY LTD</t>
        </is>
      </c>
      <c r="AI190" s="59">
        <f>IF(AND($E190=Subj_OccCode,Subj_BldgSF&gt;0,ABS($L190-Subj_BldgSF)&lt;=Subj_BldgSF*Subj_SizeTol),ABS($L190-Subj_BldgSF),NA())</f>
        <v/>
      </c>
      <c r="AJ190">
        <f>IF(ISNA(AI190),NA(),AI190+ROW()/10000000)</f>
        <v/>
      </c>
      <c r="AK190">
        <f>IF(AND(ISNUMBER($N190),$N190&gt;0,ISNUMBER($Y190)),$Y190/$N190,"")</f>
        <v/>
      </c>
    </row>
    <row r="191" ht="15" customHeight="1" s="518">
      <c r="A191" s="62" t="n">
        <v>7</v>
      </c>
      <c r="B191" s="59" t="n">
        <v>183</v>
      </c>
      <c r="C191" t="inlineStr">
        <is>
          <t>R0168582</t>
        </is>
      </c>
      <c r="D191" t="inlineStr">
        <is>
          <t>6195 CLERMONT ST</t>
        </is>
      </c>
      <c r="E191" t="n">
        <v>407</v>
      </c>
      <c r="F191" t="inlineStr">
        <is>
          <t>COMMERCE CITY</t>
        </is>
      </c>
      <c r="G191" t="inlineStr">
        <is>
          <t>5</t>
        </is>
      </c>
      <c r="H191" s="703">
        <f>Y191/J191</f>
        <v/>
      </c>
      <c r="I191" s="124" t="n">
        <v>45301</v>
      </c>
      <c r="J191" t="n">
        <v>80138</v>
      </c>
      <c r="K191" s="703" t="n"/>
      <c r="L191" t="n">
        <v>80138</v>
      </c>
      <c r="M191" t="n">
        <v>1994</v>
      </c>
      <c r="P191" t="inlineStr">
        <is>
          <t>I-3-Com</t>
        </is>
      </c>
      <c r="R191" t="inlineStr">
        <is>
          <t>Average</t>
        </is>
      </c>
      <c r="S191" t="n">
        <v>136035</v>
      </c>
      <c r="T191" s="121">
        <f>S191/L191</f>
        <v/>
      </c>
      <c r="U191" t="inlineStr">
        <is>
          <t>Average</t>
        </is>
      </c>
      <c r="V191" s="121" t="n"/>
      <c r="W191" s="121" t="n"/>
      <c r="X191" s="121" t="n"/>
      <c r="Y191" s="705" t="n">
        <v>12200000</v>
      </c>
      <c r="Z191" s="705" t="n"/>
      <c r="AA191" s="705" t="n">
        <v>12200000</v>
      </c>
      <c r="AB191" s="705" t="n"/>
      <c r="AC191" t="inlineStr">
        <is>
          <t>0182307204001</t>
        </is>
      </c>
      <c r="AD191" t="inlineStr">
        <is>
          <t>2024000001735</t>
        </is>
      </c>
      <c r="AE191" s="575" t="inlineStr">
        <is>
          <t>6195 CLERMONT LLC</t>
        </is>
      </c>
      <c r="AF191" s="575" t="inlineStr">
        <is>
          <t>INTERMOUNTAIN ELECTRONICS INC OF PRICE UTAH</t>
        </is>
      </c>
      <c r="AI191" s="59">
        <f>IF(AND($E191=Subj_OccCode,Subj_BldgSF&gt;0,ABS($L191-Subj_BldgSF)&lt;=Subj_BldgSF*Subj_SizeTol),ABS($L191-Subj_BldgSF),NA())</f>
        <v/>
      </c>
      <c r="AJ191">
        <f>IF(ISNA(AI191),NA(),AI191+ROW()/10000000)</f>
        <v/>
      </c>
      <c r="AK191">
        <f>IF(AND(ISNUMBER($N191),$N191&gt;0,ISNUMBER($Y191)),$Y191/$N191,"")</f>
        <v/>
      </c>
    </row>
    <row r="192" ht="15" customHeight="1" s="518">
      <c r="A192" s="62" t="n">
        <v>7</v>
      </c>
      <c r="B192" s="59" t="n">
        <v>184</v>
      </c>
      <c r="C192" t="inlineStr">
        <is>
          <t>R0174676</t>
        </is>
      </c>
      <c r="D192" t="inlineStr">
        <is>
          <t>13701 COLORADO BLVD</t>
        </is>
      </c>
      <c r="E192" t="n">
        <v>353</v>
      </c>
      <c r="F192" t="inlineStr">
        <is>
          <t>THORNTON</t>
        </is>
      </c>
      <c r="G192" t="inlineStr">
        <is>
          <t>3</t>
        </is>
      </c>
      <c r="H192" s="703">
        <f>Y192/J192</f>
        <v/>
      </c>
      <c r="I192" s="124" t="n">
        <v>45280</v>
      </c>
      <c r="J192" t="n">
        <v>7060</v>
      </c>
      <c r="K192" s="703" t="n"/>
      <c r="L192" t="n">
        <v>7060</v>
      </c>
      <c r="M192" t="n">
        <v>2007</v>
      </c>
      <c r="P192" t="inlineStr">
        <is>
          <t>Planned Development</t>
        </is>
      </c>
      <c r="R192" t="inlineStr">
        <is>
          <t>Average</t>
        </is>
      </c>
      <c r="S192" t="n">
        <v>33043</v>
      </c>
      <c r="T192" s="121">
        <f>S192/L192</f>
        <v/>
      </c>
      <c r="U192" t="inlineStr">
        <is>
          <t>Average</t>
        </is>
      </c>
      <c r="V192" s="121" t="n"/>
      <c r="W192" s="121" t="n"/>
      <c r="X192" s="121" t="n"/>
      <c r="Y192" s="705" t="n">
        <v>2847323</v>
      </c>
      <c r="Z192" s="705" t="n"/>
      <c r="AA192" s="705" t="n">
        <v>2847323</v>
      </c>
      <c r="AB192" s="705" t="n"/>
      <c r="AC192" t="inlineStr">
        <is>
          <t>0157324418010</t>
        </is>
      </c>
      <c r="AD192" t="inlineStr">
        <is>
          <t>2023000070206</t>
        </is>
      </c>
      <c r="AE192" s="575" t="inlineStr">
        <is>
          <t>THE 2023 COUSSAN CRUT 6</t>
        </is>
      </c>
      <c r="AF192" s="575" t="inlineStr">
        <is>
          <t>ELZE LLC</t>
        </is>
      </c>
      <c r="AI192" s="59">
        <f>IF(AND($E192=Subj_OccCode,Subj_BldgSF&gt;0,ABS($L192-Subj_BldgSF)&lt;=Subj_BldgSF*Subj_SizeTol),ABS($L192-Subj_BldgSF),NA())</f>
        <v/>
      </c>
      <c r="AJ192">
        <f>IF(ISNA(AI192),NA(),AI192+ROW()/10000000)</f>
        <v/>
      </c>
      <c r="AK192">
        <f>IF(AND(ISNUMBER($N192),$N192&gt;0,ISNUMBER($Y192)),$Y192/$N192,"")</f>
        <v/>
      </c>
    </row>
    <row r="193" ht="15" customHeight="1" s="518">
      <c r="A193" s="62" t="n">
        <v>7</v>
      </c>
      <c r="B193" s="59" t="n">
        <v>185</v>
      </c>
      <c r="C193" t="inlineStr">
        <is>
          <t>R0175483</t>
        </is>
      </c>
      <c r="D193" t="inlineStr">
        <is>
          <t>5590 E 55TH AVE</t>
        </is>
      </c>
      <c r="E193" t="n">
        <v>325</v>
      </c>
      <c r="F193" t="inlineStr">
        <is>
          <t>COMMERCE CITY</t>
        </is>
      </c>
      <c r="G193" t="inlineStr">
        <is>
          <t>5</t>
        </is>
      </c>
      <c r="H193" s="703">
        <f>Y193/J193</f>
        <v/>
      </c>
      <c r="I193" s="124" t="n">
        <v>44887</v>
      </c>
      <c r="J193" t="n">
        <v>27280</v>
      </c>
      <c r="K193" s="703" t="n"/>
      <c r="L193" t="n">
        <v>27280</v>
      </c>
      <c r="M193" t="n">
        <v>1981</v>
      </c>
      <c r="P193" t="inlineStr">
        <is>
          <t>I-2-Com</t>
        </is>
      </c>
      <c r="R193" t="inlineStr">
        <is>
          <t>Average</t>
        </is>
      </c>
      <c r="S193" t="n">
        <v>236242</v>
      </c>
      <c r="T193" s="121">
        <f>S193/L193</f>
        <v/>
      </c>
      <c r="U193" t="inlineStr">
        <is>
          <t>Average</t>
        </is>
      </c>
      <c r="V193" s="121" t="n"/>
      <c r="W193" s="121" t="n"/>
      <c r="X193" s="121" t="n"/>
      <c r="Y193" s="705" t="n">
        <v>7000000</v>
      </c>
      <c r="Z193" s="705" t="n"/>
      <c r="AA193" s="705" t="n">
        <v>7000000</v>
      </c>
      <c r="AB193" s="705" t="n"/>
      <c r="AC193" t="inlineStr">
        <is>
          <t>0182318101003</t>
        </is>
      </c>
      <c r="AD193" t="inlineStr">
        <is>
          <t>2022000092835</t>
        </is>
      </c>
      <c r="AE193" s="575" t="inlineStr">
        <is>
          <t>KONN RICHARD AND , ADINOLFE MICHAEL</t>
        </is>
      </c>
      <c r="AF193" s="575" t="inlineStr">
        <is>
          <t>5590 EAST PARTNERS LLC</t>
        </is>
      </c>
      <c r="AI193" s="59">
        <f>IF(AND($E193=Subj_OccCode,Subj_BldgSF&gt;0,ABS($L193-Subj_BldgSF)&lt;=Subj_BldgSF*Subj_SizeTol),ABS($L193-Subj_BldgSF),NA())</f>
        <v/>
      </c>
      <c r="AJ193">
        <f>IF(ISNA(AI193),NA(),AI193+ROW()/10000000)</f>
        <v/>
      </c>
      <c r="AK193">
        <f>IF(AND(ISNUMBER($N193),$N193&gt;0,ISNUMBER($Y193)),$Y193/$N193,"")</f>
        <v/>
      </c>
    </row>
    <row r="194" ht="15" customHeight="1" s="518">
      <c r="A194" s="62" t="n">
        <v>7</v>
      </c>
      <c r="B194" s="59" t="n">
        <v>186</v>
      </c>
      <c r="C194" t="inlineStr">
        <is>
          <t>R0180899</t>
        </is>
      </c>
      <c r="D194" t="inlineStr">
        <is>
          <t>2360 BRIDGE ST</t>
        </is>
      </c>
      <c r="E194" t="n">
        <v>412</v>
      </c>
      <c r="F194" t="inlineStr">
        <is>
          <t>BRIGHTON</t>
        </is>
      </c>
      <c r="G194" t="inlineStr">
        <is>
          <t>2</t>
        </is>
      </c>
      <c r="H194" s="703">
        <f>Y194/J194</f>
        <v/>
      </c>
      <c r="I194" s="124" t="n">
        <v>45001</v>
      </c>
      <c r="J194" t="n">
        <v>20043</v>
      </c>
      <c r="K194" s="703" t="n"/>
      <c r="L194" t="n">
        <v>20043</v>
      </c>
      <c r="M194" t="n">
        <v>1973</v>
      </c>
      <c r="P194" t="inlineStr">
        <is>
          <t>PUD-Bri</t>
        </is>
      </c>
      <c r="R194" t="inlineStr">
        <is>
          <t>Good</t>
        </is>
      </c>
      <c r="S194" t="n">
        <v>124760</v>
      </c>
      <c r="T194" s="121">
        <f>S194/L194</f>
        <v/>
      </c>
      <c r="U194" t="inlineStr">
        <is>
          <t>Good</t>
        </is>
      </c>
      <c r="V194" s="121" t="n"/>
      <c r="W194" s="121" t="n"/>
      <c r="X194" s="121" t="n"/>
      <c r="Y194" s="705" t="n">
        <v>3790000</v>
      </c>
      <c r="Z194" s="705" t="n"/>
      <c r="AA194" s="705" t="n">
        <v>3790000</v>
      </c>
      <c r="AB194" s="705" t="n"/>
      <c r="AC194" t="inlineStr">
        <is>
          <t>0156908105121</t>
        </is>
      </c>
      <c r="AD194" t="inlineStr">
        <is>
          <t>2023000014041</t>
        </is>
      </c>
      <c r="AE194" s="575" t="inlineStr">
        <is>
          <t>VILLAGE CENTER PARTNERS LLC</t>
        </is>
      </c>
      <c r="AF194" s="575" t="inlineStr">
        <is>
          <t>JYS VILLAGE INC</t>
        </is>
      </c>
      <c r="AI194" s="59">
        <f>IF(AND($E194=Subj_OccCode,Subj_BldgSF&gt;0,ABS($L194-Subj_BldgSF)&lt;=Subj_BldgSF*Subj_SizeTol),ABS($L194-Subj_BldgSF),NA())</f>
        <v/>
      </c>
      <c r="AJ194">
        <f>IF(ISNA(AI194),NA(),AI194+ROW()/10000000)</f>
        <v/>
      </c>
      <c r="AK194">
        <f>IF(AND(ISNUMBER($N194),$N194&gt;0,ISNUMBER($Y194)),$Y194/$N194,"")</f>
        <v/>
      </c>
    </row>
    <row r="195" ht="15" customHeight="1" s="518">
      <c r="A195" s="62" t="n">
        <v>7</v>
      </c>
      <c r="B195" s="59" t="n">
        <v>187</v>
      </c>
      <c r="C195" t="inlineStr">
        <is>
          <t>R0050171</t>
        </is>
      </c>
      <c r="D195" t="inlineStr">
        <is>
          <t>8950 FEDERAL BLVD</t>
        </is>
      </c>
      <c r="E195" t="n">
        <v>325</v>
      </c>
      <c r="F195" t="inlineStr">
        <is>
          <t>FEDERAL HEIGHTS</t>
        </is>
      </c>
      <c r="G195" t="inlineStr">
        <is>
          <t>4</t>
        </is>
      </c>
      <c r="H195" s="703">
        <f>Y195/J195</f>
        <v/>
      </c>
      <c r="I195" s="124" t="n">
        <v>45299</v>
      </c>
      <c r="J195" t="n">
        <v>4200</v>
      </c>
      <c r="K195" s="703" t="n"/>
      <c r="L195" t="n">
        <v>4200</v>
      </c>
      <c r="M195" t="n">
        <v>1985</v>
      </c>
      <c r="P195" t="inlineStr">
        <is>
          <t>C-1-Fed</t>
        </is>
      </c>
      <c r="R195" t="inlineStr">
        <is>
          <t>Average</t>
        </is>
      </c>
      <c r="S195" t="n">
        <v>35719</v>
      </c>
      <c r="T195" s="121">
        <f>S195/L195</f>
        <v/>
      </c>
      <c r="U195" t="inlineStr">
        <is>
          <t>Average</t>
        </is>
      </c>
      <c r="V195" s="121" t="n"/>
      <c r="W195" s="121" t="n"/>
      <c r="X195" s="121" t="n"/>
      <c r="Y195" s="705" t="n">
        <v>1100000</v>
      </c>
      <c r="Z195" s="705" t="n"/>
      <c r="AA195" s="705" t="n">
        <v>1100000</v>
      </c>
      <c r="AB195" s="705" t="n"/>
      <c r="AC195" t="inlineStr">
        <is>
          <t>0171920415003</t>
        </is>
      </c>
      <c r="AD195" t="inlineStr">
        <is>
          <t>2024000001132</t>
        </is>
      </c>
      <c r="AE195" s="575" t="inlineStr">
        <is>
          <t>AMERICAN LAND CRUISERS INC</t>
        </is>
      </c>
      <c r="AF195" s="575" t="inlineStr">
        <is>
          <t>WIDHALM PROPERTIES LLC</t>
        </is>
      </c>
      <c r="AI195" s="59">
        <f>IF(AND($E195=Subj_OccCode,Subj_BldgSF&gt;0,ABS($L195-Subj_BldgSF)&lt;=Subj_BldgSF*Subj_SizeTol),ABS($L195-Subj_BldgSF),NA())</f>
        <v/>
      </c>
      <c r="AJ195">
        <f>IF(ISNA(AI195),NA(),AI195+ROW()/10000000)</f>
        <v/>
      </c>
      <c r="AK195">
        <f>IF(AND(ISNUMBER($N195),$N195&gt;0,ISNUMBER($Y195)),$Y195/$N195,"")</f>
        <v/>
      </c>
    </row>
    <row r="196" ht="15" customHeight="1" s="518">
      <c r="A196" s="62" t="n">
        <v>7</v>
      </c>
      <c r="B196" s="59" t="n">
        <v>188</v>
      </c>
      <c r="C196" t="inlineStr">
        <is>
          <t>R0095050</t>
        </is>
      </c>
      <c r="D196" t="inlineStr">
        <is>
          <t>1535 CHESTER ST</t>
        </is>
      </c>
      <c r="E196" t="n">
        <v>325</v>
      </c>
      <c r="F196" t="inlineStr">
        <is>
          <t>AURORA</t>
        </is>
      </c>
      <c r="G196" t="inlineStr">
        <is>
          <t>6</t>
        </is>
      </c>
      <c r="H196" s="703">
        <f>Y196/J196</f>
        <v/>
      </c>
      <c r="I196" s="124" t="n">
        <v>45054</v>
      </c>
      <c r="J196" t="n">
        <v>3766</v>
      </c>
      <c r="K196" s="703" t="n"/>
      <c r="L196" t="n">
        <v>3766</v>
      </c>
      <c r="M196" t="n">
        <v>1964</v>
      </c>
      <c r="P196" t="inlineStr">
        <is>
          <t>OA-MS</t>
        </is>
      </c>
      <c r="R196" t="inlineStr">
        <is>
          <t>Average</t>
        </is>
      </c>
      <c r="S196" t="n">
        <v>9375</v>
      </c>
      <c r="T196" s="121">
        <f>S196/L196</f>
        <v/>
      </c>
      <c r="U196" t="inlineStr">
        <is>
          <t>Average</t>
        </is>
      </c>
      <c r="V196" s="121" t="n"/>
      <c r="W196" s="121" t="n"/>
      <c r="X196" s="121" t="n"/>
      <c r="Y196" s="705" t="n">
        <v>539000</v>
      </c>
      <c r="Z196" s="705" t="n"/>
      <c r="AA196" s="705" t="n">
        <v>539000</v>
      </c>
      <c r="AB196" s="705" t="n"/>
      <c r="AC196" t="inlineStr">
        <is>
          <t>0182334328012</t>
        </is>
      </c>
      <c r="AD196" t="inlineStr">
        <is>
          <t>2023000027439</t>
        </is>
      </c>
      <c r="AE196" s="575" t="inlineStr">
        <is>
          <t>MARTINEZ ORLANDO UND 80% INT AND, MUNOZ LUIS UND 20% INT</t>
        </is>
      </c>
      <c r="AF196" s="575" t="inlineStr">
        <is>
          <t>DURAN GUILLEN FABIOLA</t>
        </is>
      </c>
      <c r="AI196" s="59">
        <f>IF(AND($E196=Subj_OccCode,Subj_BldgSF&gt;0,ABS($L196-Subj_BldgSF)&lt;=Subj_BldgSF*Subj_SizeTol),ABS($L196-Subj_BldgSF),NA())</f>
        <v/>
      </c>
      <c r="AJ196">
        <f>IF(ISNA(AI196),NA(),AI196+ROW()/10000000)</f>
        <v/>
      </c>
      <c r="AK196">
        <f>IF(AND(ISNUMBER($N196),$N196&gt;0,ISNUMBER($Y196)),$Y196/$N196,"")</f>
        <v/>
      </c>
    </row>
    <row r="197" ht="15" customHeight="1" s="518">
      <c r="A197" s="62" t="n">
        <v>7</v>
      </c>
      <c r="B197" s="59" t="n">
        <v>189</v>
      </c>
      <c r="C197" t="inlineStr">
        <is>
          <t>R0095648</t>
        </is>
      </c>
      <c r="D197" t="inlineStr">
        <is>
          <t>1540 GALENA ST</t>
        </is>
      </c>
      <c r="E197" t="n">
        <v>344</v>
      </c>
      <c r="F197" t="inlineStr">
        <is>
          <t>AURORA</t>
        </is>
      </c>
      <c r="G197" t="inlineStr">
        <is>
          <t>6</t>
        </is>
      </c>
      <c r="H197" s="703">
        <f>Y197/J197</f>
        <v/>
      </c>
      <c r="I197" s="124" t="n">
        <v>44778</v>
      </c>
      <c r="J197" t="n">
        <v>1041</v>
      </c>
      <c r="K197" s="703" t="n"/>
      <c r="L197" t="n">
        <v>1041</v>
      </c>
      <c r="M197" t="n">
        <v>1918</v>
      </c>
      <c r="P197" t="inlineStr">
        <is>
          <t>OA-MS</t>
        </is>
      </c>
      <c r="R197" t="inlineStr">
        <is>
          <t>Average</t>
        </is>
      </c>
      <c r="S197" t="n">
        <v>6350</v>
      </c>
      <c r="T197" s="121">
        <f>S197/L197</f>
        <v/>
      </c>
      <c r="U197" t="inlineStr">
        <is>
          <t>Average</t>
        </is>
      </c>
      <c r="V197" s="121" t="n"/>
      <c r="W197" s="121" t="n"/>
      <c r="X197" s="121" t="n"/>
      <c r="Y197" s="705" t="n">
        <v>351500</v>
      </c>
      <c r="Z197" s="705" t="n"/>
      <c r="AA197" s="705" t="n">
        <v>351500</v>
      </c>
      <c r="AB197" s="705" t="n"/>
      <c r="AC197" t="inlineStr">
        <is>
          <t>0182334428006</t>
        </is>
      </c>
      <c r="AD197" t="inlineStr">
        <is>
          <t>2022000068436</t>
        </is>
      </c>
      <c r="AE197" s="575" t="inlineStr">
        <is>
          <t>BEFORT PLUMBING AND HEATING COMPANY INC</t>
        </is>
      </c>
      <c r="AF197" s="575" t="inlineStr">
        <is>
          <t>DE HARO MARIA M.</t>
        </is>
      </c>
      <c r="AI197" s="59">
        <f>IF(AND($E197=Subj_OccCode,Subj_BldgSF&gt;0,ABS($L197-Subj_BldgSF)&lt;=Subj_BldgSF*Subj_SizeTol),ABS($L197-Subj_BldgSF),NA())</f>
        <v/>
      </c>
      <c r="AJ197">
        <f>IF(ISNA(AI197),NA(),AI197+ROW()/10000000)</f>
        <v/>
      </c>
      <c r="AK197">
        <f>IF(AND(ISNUMBER($N197),$N197&gt;0,ISNUMBER($Y197)),$Y197/$N197,"")</f>
        <v/>
      </c>
    </row>
    <row r="198" ht="15" customHeight="1" s="518">
      <c r="A198" s="62" t="n">
        <v>7</v>
      </c>
      <c r="B198" s="59" t="n">
        <v>190</v>
      </c>
      <c r="C198" t="inlineStr">
        <is>
          <t>R0109567</t>
        </is>
      </c>
      <c r="D198" t="inlineStr">
        <is>
          <t>8879 FOX DR</t>
        </is>
      </c>
      <c r="E198" t="n">
        <v>406</v>
      </c>
      <c r="F198" t="inlineStr">
        <is>
          <t>THORNTON</t>
        </is>
      </c>
      <c r="G198" t="inlineStr">
        <is>
          <t>4</t>
        </is>
      </c>
      <c r="H198" s="703">
        <f>Y198/J198</f>
        <v/>
      </c>
      <c r="I198" s="124" t="n">
        <v>44981</v>
      </c>
      <c r="J198" t="n">
        <v>13516</v>
      </c>
      <c r="K198" s="703" t="n"/>
      <c r="L198" t="n">
        <v>13516</v>
      </c>
      <c r="M198" t="n">
        <v>1997</v>
      </c>
      <c r="P198" t="inlineStr">
        <is>
          <t>Community Retail</t>
        </is>
      </c>
      <c r="R198" t="inlineStr">
        <is>
          <t>Average</t>
        </is>
      </c>
      <c r="S198" t="n">
        <v>50790.9609</v>
      </c>
      <c r="T198" s="121">
        <f>S198/L198</f>
        <v/>
      </c>
      <c r="U198" t="inlineStr">
        <is>
          <t>Average</t>
        </is>
      </c>
      <c r="V198" s="121" t="n"/>
      <c r="W198" s="121" t="n"/>
      <c r="X198" s="121" t="n"/>
      <c r="Y198" s="705" t="n">
        <v>2600000</v>
      </c>
      <c r="Z198" s="705" t="n"/>
      <c r="AA198" s="705" t="n">
        <v>2600000</v>
      </c>
      <c r="AB198" s="705" t="n"/>
      <c r="AC198" t="inlineStr">
        <is>
          <t>0171922304015</t>
        </is>
      </c>
      <c r="AD198" t="inlineStr">
        <is>
          <t>2023000010580</t>
        </is>
      </c>
      <c r="AE198" s="575" t="inlineStr">
        <is>
          <t>WEPRIN PROPERTIES LLC</t>
        </is>
      </c>
      <c r="AF198" s="575" t="inlineStr">
        <is>
          <t>8879 FOX DRIVE LLC</t>
        </is>
      </c>
      <c r="AI198" s="59">
        <f>IF(AND($E198=Subj_OccCode,Subj_BldgSF&gt;0,ABS($L198-Subj_BldgSF)&lt;=Subj_BldgSF*Subj_SizeTol),ABS($L198-Subj_BldgSF),NA())</f>
        <v/>
      </c>
      <c r="AJ198">
        <f>IF(ISNA(AI198),NA(),AI198+ROW()/10000000)</f>
        <v/>
      </c>
      <c r="AK198">
        <f>IF(AND(ISNUMBER($N198),$N198&gt;0,ISNUMBER($Y198)),$Y198/$N198,"")</f>
        <v/>
      </c>
    </row>
    <row r="199" ht="15" customHeight="1" s="518">
      <c r="A199" s="62" t="n">
        <v>7</v>
      </c>
      <c r="B199" s="59" t="n">
        <v>191</v>
      </c>
      <c r="C199" t="inlineStr">
        <is>
          <t>R0129930</t>
        </is>
      </c>
      <c r="D199" t="inlineStr">
        <is>
          <t>37550 ASTRA WAY #3E</t>
        </is>
      </c>
      <c r="E199" t="n">
        <v>328</v>
      </c>
      <c r="G199" t="inlineStr">
        <is>
          <t>1</t>
        </is>
      </c>
      <c r="H199" s="703">
        <f>Y199/J199</f>
        <v/>
      </c>
      <c r="I199" s="124" t="n">
        <v>45191</v>
      </c>
      <c r="J199" t="n">
        <v>2900</v>
      </c>
      <c r="K199" s="703" t="n"/>
      <c r="L199" t="n">
        <v>2900</v>
      </c>
      <c r="M199" t="n">
        <v>2000</v>
      </c>
      <c r="R199" t="inlineStr">
        <is>
          <t>Average</t>
        </is>
      </c>
      <c r="T199" s="121">
        <f>S199/L199</f>
        <v/>
      </c>
      <c r="U199" t="inlineStr">
        <is>
          <t>Average</t>
        </is>
      </c>
      <c r="V199" s="121" t="n"/>
      <c r="W199" s="121" t="n"/>
      <c r="X199" s="121" t="n"/>
      <c r="Y199" s="705" t="n">
        <v>525000</v>
      </c>
      <c r="Z199" s="705" t="n"/>
      <c r="AA199" s="705" t="n">
        <v>525000</v>
      </c>
      <c r="AB199" s="705" t="n"/>
      <c r="AC199" t="inlineStr">
        <is>
          <t>0181716405008</t>
        </is>
      </c>
      <c r="AD199" t="inlineStr">
        <is>
          <t>2023000056284</t>
        </is>
      </c>
      <c r="AE199" s="575" t="inlineStr">
        <is>
          <t>GUSTTE PHILIP O AND, GUSTTE TIFFANY A</t>
        </is>
      </c>
      <c r="AF199" s="575" t="inlineStr">
        <is>
          <t>BECK KEN AND, BECK ADRIENNE</t>
        </is>
      </c>
      <c r="AI199" s="59">
        <f>IF(AND($E199=Subj_OccCode,Subj_BldgSF&gt;0,ABS($L199-Subj_BldgSF)&lt;=Subj_BldgSF*Subj_SizeTol),ABS($L199-Subj_BldgSF),NA())</f>
        <v/>
      </c>
      <c r="AJ199">
        <f>IF(ISNA(AI199),NA(),AI199+ROW()/10000000)</f>
        <v/>
      </c>
      <c r="AK199">
        <f>IF(AND(ISNUMBER($N199),$N199&gt;0,ISNUMBER($Y199)),$Y199/$N199,"")</f>
        <v/>
      </c>
    </row>
    <row r="200" ht="15" customHeight="1" s="518">
      <c r="A200" s="62" t="n">
        <v>7</v>
      </c>
      <c r="B200" s="59" t="n">
        <v>192</v>
      </c>
      <c r="C200" t="inlineStr">
        <is>
          <t>R0178958</t>
        </is>
      </c>
      <c r="D200" t="inlineStr">
        <is>
          <t>37650 ASTRA WAY</t>
        </is>
      </c>
      <c r="E200" t="n">
        <v>328</v>
      </c>
      <c r="G200" t="inlineStr">
        <is>
          <t>1</t>
        </is>
      </c>
      <c r="H200" s="703">
        <f>Y200/J200</f>
        <v/>
      </c>
      <c r="I200" s="124" t="n">
        <v>44854</v>
      </c>
      <c r="J200" t="n">
        <v>4900</v>
      </c>
      <c r="K200" s="703" t="n"/>
      <c r="L200" t="n">
        <v>4900</v>
      </c>
      <c r="M200" t="n">
        <v>1997</v>
      </c>
      <c r="R200" t="inlineStr">
        <is>
          <t>Average</t>
        </is>
      </c>
      <c r="T200" s="121">
        <f>S200/L200</f>
        <v/>
      </c>
      <c r="U200" t="inlineStr">
        <is>
          <t>Average</t>
        </is>
      </c>
      <c r="V200" s="121" t="n"/>
      <c r="W200" s="121" t="n"/>
      <c r="X200" s="121" t="n"/>
      <c r="Y200" s="705" t="n">
        <v>533000</v>
      </c>
      <c r="Z200" s="705" t="n"/>
      <c r="AA200" s="705" t="n">
        <v>533000</v>
      </c>
      <c r="AB200" s="705" t="n"/>
      <c r="AC200" t="inlineStr">
        <is>
          <t>0181716400040</t>
        </is>
      </c>
      <c r="AD200" t="inlineStr">
        <is>
          <t>2022000087700</t>
        </is>
      </c>
      <c r="AE200" s="575" t="inlineStr">
        <is>
          <t>END-IRA INC FBO RODNEY W LUECK IRA</t>
        </is>
      </c>
      <c r="AF200" s="575" t="inlineStr">
        <is>
          <t>RANDEL VERNON E AND, RANDEL CHERYL V</t>
        </is>
      </c>
      <c r="AI200" s="59">
        <f>IF(AND($E200=Subj_OccCode,Subj_BldgSF&gt;0,ABS($L200-Subj_BldgSF)&lt;=Subj_BldgSF*Subj_SizeTol),ABS($L200-Subj_BldgSF),NA())</f>
        <v/>
      </c>
      <c r="AJ200">
        <f>IF(ISNA(AI200),NA(),AI200+ROW()/10000000)</f>
        <v/>
      </c>
      <c r="AK200">
        <f>IF(AND(ISNUMBER($N200),$N200&gt;0,ISNUMBER($Y200)),$Y200/$N200,"")</f>
        <v/>
      </c>
    </row>
    <row r="201" ht="15" customHeight="1" s="518">
      <c r="A201" s="62" t="n">
        <v>7</v>
      </c>
      <c r="B201" s="59" t="n">
        <v>193</v>
      </c>
      <c r="C201" t="inlineStr">
        <is>
          <t>R0180591</t>
        </is>
      </c>
      <c r="D201" t="inlineStr">
        <is>
          <t>780 W 84TH AVE</t>
        </is>
      </c>
      <c r="E201" t="n">
        <v>408</v>
      </c>
      <c r="F201" t="inlineStr">
        <is>
          <t>THORNTON</t>
        </is>
      </c>
      <c r="G201" t="inlineStr">
        <is>
          <t>4</t>
        </is>
      </c>
      <c r="H201" s="703">
        <f>Y201/J201</f>
        <v/>
      </c>
      <c r="I201" s="124" t="n">
        <v>45218</v>
      </c>
      <c r="J201" t="n">
        <v>1920</v>
      </c>
      <c r="K201" s="703" t="n"/>
      <c r="L201" t="n">
        <v>1920</v>
      </c>
      <c r="M201" t="n">
        <v>1963</v>
      </c>
      <c r="P201" t="inlineStr">
        <is>
          <t>Community Retail</t>
        </is>
      </c>
      <c r="R201" t="inlineStr">
        <is>
          <t>Average</t>
        </is>
      </c>
      <c r="S201" t="n">
        <v>16563</v>
      </c>
      <c r="T201" s="121">
        <f>S201/L201</f>
        <v/>
      </c>
      <c r="U201" t="inlineStr">
        <is>
          <t>Average</t>
        </is>
      </c>
      <c r="V201" s="121" t="n"/>
      <c r="W201" s="121" t="n"/>
      <c r="X201" s="121" t="n"/>
      <c r="Y201" s="705" t="n">
        <v>788889</v>
      </c>
      <c r="Z201" s="705" t="n"/>
      <c r="AA201" s="705" t="n">
        <v>788889</v>
      </c>
      <c r="AB201" s="705" t="n"/>
      <c r="AC201" t="inlineStr">
        <is>
          <t>0171927306015</t>
        </is>
      </c>
      <c r="AD201" t="inlineStr">
        <is>
          <t>2023000060514</t>
        </is>
      </c>
      <c r="AE201" s="575" t="inlineStr">
        <is>
          <t>RRS HOLDINGS LLC</t>
        </is>
      </c>
      <c r="AF201" s="575" t="inlineStr">
        <is>
          <t>FOXFIELD GEARS HOLDINGS LLC</t>
        </is>
      </c>
      <c r="AI201" s="59">
        <f>IF(AND($E201=Subj_OccCode,Subj_BldgSF&gt;0,ABS($L201-Subj_BldgSF)&lt;=Subj_BldgSF*Subj_SizeTol),ABS($L201-Subj_BldgSF),NA())</f>
        <v/>
      </c>
      <c r="AJ201">
        <f>IF(ISNA(AI201),NA(),AI201+ROW()/10000000)</f>
        <v/>
      </c>
      <c r="AK201">
        <f>IF(AND(ISNUMBER($N201),$N201&gt;0,ISNUMBER($Y201)),$Y201/$N201,"")</f>
        <v/>
      </c>
    </row>
    <row r="202" ht="15" customHeight="1" s="518">
      <c r="A202" s="62" t="n">
        <v>7</v>
      </c>
      <c r="B202" s="59" t="n">
        <v>194</v>
      </c>
      <c r="C202" t="inlineStr">
        <is>
          <t>R0204250</t>
        </is>
      </c>
      <c r="D202" t="inlineStr">
        <is>
          <t>2205 E 104TH AVE</t>
        </is>
      </c>
      <c r="E202" t="n">
        <v>419</v>
      </c>
      <c r="F202" t="inlineStr">
        <is>
          <t>NORTHGLENN</t>
        </is>
      </c>
      <c r="G202" t="inlineStr">
        <is>
          <t>4</t>
        </is>
      </c>
      <c r="H202" s="703">
        <f>Y202/J202</f>
        <v/>
      </c>
      <c r="I202" s="124" t="n">
        <v>44924</v>
      </c>
      <c r="J202" t="n">
        <v>3479</v>
      </c>
      <c r="K202" s="703" t="n"/>
      <c r="L202" t="n">
        <v>3479</v>
      </c>
      <c r="M202" t="n">
        <v>2022</v>
      </c>
      <c r="R202" t="inlineStr">
        <is>
          <t>Average</t>
        </is>
      </c>
      <c r="S202" t="n">
        <v>42879</v>
      </c>
      <c r="T202" s="121">
        <f>S202/L202</f>
        <v/>
      </c>
      <c r="U202" t="inlineStr">
        <is>
          <t>Average</t>
        </is>
      </c>
      <c r="V202" s="121" t="n"/>
      <c r="W202" s="121" t="n"/>
      <c r="X202" s="121" t="n"/>
      <c r="Y202" s="705" t="n">
        <v>6715000</v>
      </c>
      <c r="Z202" s="705" t="n"/>
      <c r="AA202" s="705" t="n">
        <v>6715000</v>
      </c>
      <c r="AB202" s="705" t="n"/>
      <c r="AC202" t="inlineStr">
        <is>
          <t>0171911405022</t>
        </is>
      </c>
      <c r="AD202" t="inlineStr">
        <is>
          <t>2022000100096</t>
        </is>
      </c>
      <c r="AE202" s="575" t="inlineStr">
        <is>
          <t>41581 NORTHGLENN CO LLC</t>
        </is>
      </c>
      <c r="AF202" s="575" t="inlineStr">
        <is>
          <t>WPMO INVESTMENTS LLC</t>
        </is>
      </c>
      <c r="AI202" s="59">
        <f>IF(AND($E202=Subj_OccCode,Subj_BldgSF&gt;0,ABS($L202-Subj_BldgSF)&lt;=Subj_BldgSF*Subj_SizeTol),ABS($L202-Subj_BldgSF),NA())</f>
        <v/>
      </c>
      <c r="AJ202">
        <f>IF(ISNA(AI202),NA(),AI202+ROW()/10000000)</f>
        <v/>
      </c>
      <c r="AK202">
        <f>IF(AND(ISNUMBER($N202),$N202&gt;0,ISNUMBER($Y202)),$Y202/$N202,"")</f>
        <v/>
      </c>
    </row>
    <row r="203" ht="15" customHeight="1" s="518">
      <c r="A203" s="62" t="n">
        <v>7</v>
      </c>
      <c r="B203" s="59" t="n">
        <v>195</v>
      </c>
      <c r="C203" t="inlineStr">
        <is>
          <t>R0208122</t>
        </is>
      </c>
      <c r="D203" t="inlineStr">
        <is>
          <t>14190 ORCHARD PKWY</t>
        </is>
      </c>
      <c r="E203" t="n">
        <v>341</v>
      </c>
      <c r="F203" t="inlineStr">
        <is>
          <t>WESTMINSTER</t>
        </is>
      </c>
      <c r="G203" t="inlineStr">
        <is>
          <t>3</t>
        </is>
      </c>
      <c r="H203" s="703">
        <f>Y203/J203</f>
        <v/>
      </c>
      <c r="I203" s="124" t="n">
        <v>45401</v>
      </c>
      <c r="J203" t="n">
        <v>74610</v>
      </c>
      <c r="K203" s="703" t="n"/>
      <c r="L203" t="n">
        <v>74610</v>
      </c>
      <c r="M203" t="n">
        <v>2021</v>
      </c>
      <c r="R203" t="inlineStr">
        <is>
          <t>Good</t>
        </is>
      </c>
      <c r="S203" t="n">
        <v>67984</v>
      </c>
      <c r="T203" s="121">
        <f>S203/L203</f>
        <v/>
      </c>
      <c r="U203" t="inlineStr">
        <is>
          <t>Good</t>
        </is>
      </c>
      <c r="V203" s="121" t="n"/>
      <c r="W203" s="121" t="n"/>
      <c r="X203" s="121" t="n"/>
      <c r="Y203" s="705" t="n">
        <v>30550000</v>
      </c>
      <c r="Z203" s="705" t="n"/>
      <c r="AA203" s="705" t="n">
        <v>30550000</v>
      </c>
      <c r="AB203" s="705" t="n"/>
      <c r="AC203" t="inlineStr">
        <is>
          <t>0157322201010</t>
        </is>
      </c>
      <c r="AD203" t="inlineStr">
        <is>
          <t>2024000023645</t>
        </is>
      </c>
      <c r="AE203" s="575" t="inlineStr">
        <is>
          <t>NORTH DENVER MOB LLC</t>
        </is>
      </c>
      <c r="AF203" s="575" t="inlineStr">
        <is>
          <t>WESTMINSTER 14190 MP RK6 LLC, C/O REMEDY MEDICAL PROPERTIES</t>
        </is>
      </c>
      <c r="AI203" s="59">
        <f>IF(AND($E203=Subj_OccCode,Subj_BldgSF&gt;0,ABS($L203-Subj_BldgSF)&lt;=Subj_BldgSF*Subj_SizeTol),ABS($L203-Subj_BldgSF),NA())</f>
        <v/>
      </c>
      <c r="AJ203">
        <f>IF(ISNA(AI203),NA(),AI203+ROW()/10000000)</f>
        <v/>
      </c>
      <c r="AK203">
        <f>IF(AND(ISNUMBER($N203),$N203&gt;0,ISNUMBER($Y203)),$Y203/$N203,"")</f>
        <v/>
      </c>
    </row>
    <row r="204" ht="15" customHeight="1" s="518">
      <c r="A204" s="62" t="n">
        <v>7</v>
      </c>
      <c r="B204" s="59" t="n">
        <v>196</v>
      </c>
      <c r="C204" t="inlineStr">
        <is>
          <t>R0208788</t>
        </is>
      </c>
      <c r="D204" t="inlineStr">
        <is>
          <t>5140 VIOLET HILL ST #S2</t>
        </is>
      </c>
      <c r="E204" t="n">
        <v>328</v>
      </c>
      <c r="G204" t="inlineStr">
        <is>
          <t>1</t>
        </is>
      </c>
      <c r="H204" s="703">
        <f>Y204/J204</f>
        <v/>
      </c>
      <c r="I204" s="124" t="n">
        <v>45107</v>
      </c>
      <c r="J204" t="n">
        <v>2465</v>
      </c>
      <c r="K204" s="703" t="n"/>
      <c r="L204" t="n">
        <v>2465</v>
      </c>
      <c r="R204" t="inlineStr">
        <is>
          <t>Average</t>
        </is>
      </c>
      <c r="T204" s="121">
        <f>S204/L204</f>
        <v/>
      </c>
      <c r="U204" t="inlineStr">
        <is>
          <t>Average</t>
        </is>
      </c>
      <c r="V204" s="121" t="n"/>
      <c r="W204" s="121" t="n"/>
      <c r="X204" s="121" t="n"/>
      <c r="Y204" s="705" t="n">
        <v>240000</v>
      </c>
      <c r="Z204" s="705" t="n"/>
      <c r="AA204" s="705" t="n">
        <v>240000</v>
      </c>
      <c r="AB204" s="705" t="n"/>
      <c r="AC204" t="inlineStr">
        <is>
          <t>0181716411018</t>
        </is>
      </c>
      <c r="AD204" t="inlineStr">
        <is>
          <t>2023000038486</t>
        </is>
      </c>
      <c r="AE204" s="575" t="inlineStr">
        <is>
          <t>TBM 03X LLC</t>
        </is>
      </c>
      <c r="AF204" s="575" t="inlineStr">
        <is>
          <t>WINDERMERE PROPERTIES LLC</t>
        </is>
      </c>
      <c r="AI204" s="59">
        <f>IF(AND($E204=Subj_OccCode,Subj_BldgSF&gt;0,ABS($L204-Subj_BldgSF)&lt;=Subj_BldgSF*Subj_SizeTol),ABS($L204-Subj_BldgSF),NA())</f>
        <v/>
      </c>
      <c r="AJ204">
        <f>IF(ISNA(AI204),NA(),AI204+ROW()/10000000)</f>
        <v/>
      </c>
      <c r="AK204">
        <f>IF(AND(ISNUMBER($N204),$N204&gt;0,ISNUMBER($Y204)),$Y204/$N204,"")</f>
        <v/>
      </c>
    </row>
    <row r="205" ht="15" customHeight="1" s="518">
      <c r="A205" s="62" t="n">
        <v>7</v>
      </c>
      <c r="B205" s="59" t="n">
        <v>197</v>
      </c>
      <c r="C205" t="inlineStr">
        <is>
          <t>R0213047</t>
        </is>
      </c>
      <c r="D205" t="inlineStr">
        <is>
          <t>9658 HAVANA ST #1F</t>
        </is>
      </c>
      <c r="E205" t="n">
        <v>425</v>
      </c>
      <c r="F205" t="inlineStr">
        <is>
          <t>COMMERCE CITY</t>
        </is>
      </c>
      <c r="G205" t="inlineStr">
        <is>
          <t>5</t>
        </is>
      </c>
      <c r="H205" s="703">
        <f>Y205/J205</f>
        <v/>
      </c>
      <c r="I205" s="124" t="n">
        <v>44762</v>
      </c>
      <c r="J205" t="n">
        <v>7560</v>
      </c>
      <c r="K205" s="703" t="n"/>
      <c r="L205" t="n">
        <v>7560</v>
      </c>
      <c r="M205" t="n">
        <v>2022</v>
      </c>
      <c r="R205" t="inlineStr">
        <is>
          <t>Average</t>
        </is>
      </c>
      <c r="S205" t="n">
        <v>0</v>
      </c>
      <c r="T205" s="121">
        <f>S205/L205</f>
        <v/>
      </c>
      <c r="U205" t="inlineStr">
        <is>
          <t>Average</t>
        </is>
      </c>
      <c r="V205" s="121" t="n"/>
      <c r="W205" s="121" t="n"/>
      <c r="X205" s="121" t="n"/>
      <c r="Y205" s="705" t="n">
        <v>249750</v>
      </c>
      <c r="Z205" s="705" t="n"/>
      <c r="AA205" s="705" t="n">
        <v>249750</v>
      </c>
      <c r="AB205" s="705" t="n"/>
      <c r="AC205" t="inlineStr">
        <is>
          <t>0172115405005</t>
        </is>
      </c>
      <c r="AD205" t="inlineStr">
        <is>
          <t>2022000063858</t>
        </is>
      </c>
      <c r="AE205" s="575" t="inlineStr">
        <is>
          <t>THE GARAGE SOCIETY HOLDINGS LLC</t>
        </is>
      </c>
      <c r="AF205" s="575" t="inlineStr">
        <is>
          <t>O'HARA SEAN M AND, O'HARA STEPHANIE H</t>
        </is>
      </c>
      <c r="AI205" s="59">
        <f>IF(AND($E205=Subj_OccCode,Subj_BldgSF&gt;0,ABS($L205-Subj_BldgSF)&lt;=Subj_BldgSF*Subj_SizeTol),ABS($L205-Subj_BldgSF),NA())</f>
        <v/>
      </c>
      <c r="AJ205">
        <f>IF(ISNA(AI205),NA(),AI205+ROW()/10000000)</f>
        <v/>
      </c>
      <c r="AK205">
        <f>IF(AND(ISNUMBER($N205),$N205&gt;0,ISNUMBER($Y205)),$Y205/$N205,"")</f>
        <v/>
      </c>
    </row>
    <row r="206" ht="15" customHeight="1" s="518">
      <c r="A206" s="62" t="n">
        <v>7</v>
      </c>
      <c r="B206" s="59" t="n">
        <v>198</v>
      </c>
      <c r="C206" t="inlineStr">
        <is>
          <t>R0222671</t>
        </is>
      </c>
      <c r="D206" t="inlineStr">
        <is>
          <t>37851 E 51ST AVE #W5</t>
        </is>
      </c>
      <c r="E206" t="n">
        <v>328</v>
      </c>
      <c r="G206" t="inlineStr">
        <is>
          <t>1</t>
        </is>
      </c>
      <c r="H206" s="703">
        <f>Y206/J206</f>
        <v/>
      </c>
      <c r="I206" s="124" t="n">
        <v>45390</v>
      </c>
      <c r="J206" t="n">
        <v>2930</v>
      </c>
      <c r="K206" s="703" t="n"/>
      <c r="L206" t="n">
        <v>2930</v>
      </c>
      <c r="M206" t="n">
        <v>2024</v>
      </c>
      <c r="R206" t="inlineStr">
        <is>
          <t>Average</t>
        </is>
      </c>
      <c r="T206" s="121">
        <f>S206/L206</f>
        <v/>
      </c>
      <c r="U206" t="inlineStr">
        <is>
          <t>Average</t>
        </is>
      </c>
      <c r="V206" s="121" t="n"/>
      <c r="W206" s="121" t="n"/>
      <c r="X206" s="121" t="n"/>
      <c r="Y206" s="705" t="n">
        <v>313711</v>
      </c>
      <c r="Z206" s="705" t="n"/>
      <c r="AA206" s="705" t="n">
        <v>313711</v>
      </c>
      <c r="AB206" s="705" t="n"/>
      <c r="AC206" t="inlineStr">
        <is>
          <t>0181715300029</t>
        </is>
      </c>
      <c r="AD206" t="inlineStr">
        <is>
          <t>2024000024071</t>
        </is>
      </c>
      <c r="AE206" s="575" t="inlineStr">
        <is>
          <t>37851 51ST AVE HANGAR OWNERS ASSOCIATION INC</t>
        </is>
      </c>
      <c r="AF206" s="575" t="inlineStr">
        <is>
          <t>SPIRIT LIFE INC</t>
        </is>
      </c>
      <c r="AI206" s="59">
        <f>IF(AND($E206=Subj_OccCode,Subj_BldgSF&gt;0,ABS($L206-Subj_BldgSF)&lt;=Subj_BldgSF*Subj_SizeTol),ABS($L206-Subj_BldgSF),NA())</f>
        <v/>
      </c>
      <c r="AJ206">
        <f>IF(ISNA(AI206),NA(),AI206+ROW()/10000000)</f>
        <v/>
      </c>
      <c r="AK206">
        <f>IF(AND(ISNUMBER($N206),$N206&gt;0,ISNUMBER($Y206)),$Y206/$N206,"")</f>
        <v/>
      </c>
    </row>
    <row r="207" ht="15" customHeight="1" s="518">
      <c r="A207" s="62" t="n">
        <v>7</v>
      </c>
      <c r="B207" s="59" t="n">
        <v>199</v>
      </c>
      <c r="C207" t="inlineStr">
        <is>
          <t>R0222672</t>
        </is>
      </c>
      <c r="D207" t="inlineStr">
        <is>
          <t>37851 E 51ST AVE #W7</t>
        </is>
      </c>
      <c r="E207" t="n">
        <v>328</v>
      </c>
      <c r="G207" t="inlineStr">
        <is>
          <t>1</t>
        </is>
      </c>
      <c r="H207" s="703">
        <f>Y207/J207</f>
        <v/>
      </c>
      <c r="I207" s="124" t="n">
        <v>45390</v>
      </c>
      <c r="J207" t="n">
        <v>2930</v>
      </c>
      <c r="K207" s="703" t="n"/>
      <c r="L207" t="n">
        <v>2930</v>
      </c>
      <c r="M207" t="n">
        <v>2024</v>
      </c>
      <c r="R207" t="inlineStr">
        <is>
          <t>Average</t>
        </is>
      </c>
      <c r="T207" s="121">
        <f>S207/L207</f>
        <v/>
      </c>
      <c r="U207" t="inlineStr">
        <is>
          <t>Average</t>
        </is>
      </c>
      <c r="V207" s="121" t="n"/>
      <c r="W207" s="121" t="n"/>
      <c r="X207" s="121" t="n"/>
      <c r="Y207" s="705" t="n">
        <v>311587</v>
      </c>
      <c r="Z207" s="705" t="n"/>
      <c r="AA207" s="705" t="n">
        <v>311587</v>
      </c>
      <c r="AB207" s="705" t="n"/>
      <c r="AC207" t="inlineStr">
        <is>
          <t>0181715300030</t>
        </is>
      </c>
      <c r="AD207" t="inlineStr">
        <is>
          <t>2024000022564</t>
        </is>
      </c>
      <c r="AE207" s="575" t="inlineStr">
        <is>
          <t>37851 51ST AVE HANGAR OWNERS ASSOCIATION INC</t>
        </is>
      </c>
      <c r="AF207" s="575" t="inlineStr">
        <is>
          <t>KODIAK BRANDS INC</t>
        </is>
      </c>
      <c r="AI207" s="59">
        <f>IF(AND($E207=Subj_OccCode,Subj_BldgSF&gt;0,ABS($L207-Subj_BldgSF)&lt;=Subj_BldgSF*Subj_SizeTol),ABS($L207-Subj_BldgSF),NA())</f>
        <v/>
      </c>
      <c r="AJ207">
        <f>IF(ISNA(AI207),NA(),AI207+ROW()/10000000)</f>
        <v/>
      </c>
      <c r="AK207">
        <f>IF(AND(ISNUMBER($N207),$N207&gt;0,ISNUMBER($Y207)),$Y207/$N207,"")</f>
        <v/>
      </c>
    </row>
    <row r="208" ht="15" customHeight="1" s="518">
      <c r="A208" s="62" t="n">
        <v>7</v>
      </c>
      <c r="B208" s="59" t="n">
        <v>200</v>
      </c>
      <c r="C208" t="inlineStr">
        <is>
          <t>R0101615</t>
        </is>
      </c>
      <c r="D208" t="inlineStr">
        <is>
          <t>5190 W 65TH AVE</t>
        </is>
      </c>
      <c r="E208" t="n">
        <v>408</v>
      </c>
      <c r="F208" t="inlineStr">
        <is>
          <t>ARVADA</t>
        </is>
      </c>
      <c r="G208" t="inlineStr">
        <is>
          <t>5</t>
        </is>
      </c>
      <c r="H208" s="703">
        <f>Y208/J208</f>
        <v/>
      </c>
      <c r="I208" s="124" t="n">
        <v>44762</v>
      </c>
      <c r="J208" t="n">
        <v>1584</v>
      </c>
      <c r="L208" t="n">
        <v>1584</v>
      </c>
      <c r="M208" t="n">
        <v>1969</v>
      </c>
      <c r="P208" t="inlineStr">
        <is>
          <t>B-2-Arv</t>
        </is>
      </c>
      <c r="R208" t="inlineStr">
        <is>
          <t>Average</t>
        </is>
      </c>
      <c r="S208" t="n">
        <v>21875</v>
      </c>
      <c r="T208" s="121">
        <f>S208/L208</f>
        <v/>
      </c>
      <c r="U208" t="inlineStr">
        <is>
          <t>Average</t>
        </is>
      </c>
      <c r="Y208" s="705" t="n">
        <v>540000</v>
      </c>
      <c r="AA208" s="705" t="n">
        <v>540000</v>
      </c>
      <c r="AC208" t="inlineStr">
        <is>
          <t>0182506316001</t>
        </is>
      </c>
      <c r="AD208" t="inlineStr">
        <is>
          <t>2022000062407</t>
        </is>
      </c>
      <c r="AE208" s="575" t="inlineStr">
        <is>
          <t>JOSHNIK CO LLLP</t>
        </is>
      </c>
      <c r="AF208" s="575" t="inlineStr">
        <is>
          <t>OCHOA RUBIO LUIS AND, OCHOA JOSE LUIS AND RUBIO MARIO D</t>
        </is>
      </c>
      <c r="AI208" s="59">
        <f>IF(AND($E208=Subj_OccCode,Subj_BldgSF&gt;0,ABS($L208-Subj_BldgSF)&lt;=Subj_BldgSF*Subj_SizeTol),ABS($L208-Subj_BldgSF),NA())</f>
        <v/>
      </c>
      <c r="AJ208">
        <f>IF(ISNA(AI208),NA(),AI208+ROW()/10000000)</f>
        <v/>
      </c>
      <c r="AK208">
        <f>IF(AND(ISNUMBER($N208),$N208&gt;0,ISNUMBER($Y208)),$Y208/$N208,"")</f>
        <v/>
      </c>
    </row>
    <row r="209" ht="15" customHeight="1" s="518">
      <c r="A209" s="62" t="n">
        <v>7</v>
      </c>
      <c r="B209" s="59" t="n">
        <v>201</v>
      </c>
      <c r="C209" t="inlineStr">
        <is>
          <t>R0200738</t>
        </is>
      </c>
      <c r="D209" t="inlineStr">
        <is>
          <t xml:space="preserve">1036 S 1ST ST </t>
        </is>
      </c>
      <c r="E209" t="n">
        <v>325</v>
      </c>
      <c r="F209" t="inlineStr">
        <is>
          <t>BENNETT</t>
        </is>
      </c>
      <c r="G209" t="inlineStr">
        <is>
          <t>1</t>
        </is>
      </c>
      <c r="H209" s="703">
        <f>Y209/J209</f>
        <v/>
      </c>
      <c r="I209" s="124" t="n">
        <v>44769</v>
      </c>
      <c r="J209" t="n">
        <v>9567</v>
      </c>
      <c r="L209" t="n">
        <v>9567</v>
      </c>
      <c r="M209" t="n">
        <v>2023</v>
      </c>
      <c r="R209" t="inlineStr">
        <is>
          <t>Average</t>
        </is>
      </c>
      <c r="S209" t="n">
        <v>58678</v>
      </c>
      <c r="T209" s="121">
        <f>S209/L209</f>
        <v/>
      </c>
      <c r="U209" t="inlineStr">
        <is>
          <t>Average</t>
        </is>
      </c>
      <c r="Y209" s="705" t="n">
        <v>997526</v>
      </c>
      <c r="AA209" s="705" t="n">
        <v>997526</v>
      </c>
      <c r="AC209" t="inlineStr">
        <is>
          <t>0181534303001</t>
        </is>
      </c>
      <c r="AD209" t="inlineStr">
        <is>
          <t>2022000064811</t>
        </is>
      </c>
      <c r="AE209" s="575" t="inlineStr">
        <is>
          <t>GAYESKI CAPITAL EQUITIES LLC</t>
        </is>
      </c>
      <c r="AF209" s="575" t="inlineStr">
        <is>
          <t>MMCG TNET COLORADO LLC</t>
        </is>
      </c>
      <c r="AI209" s="59">
        <f>IF(AND($E209=Subj_OccCode,Subj_BldgSF&gt;0,ABS($L209-Subj_BldgSF)&lt;=Subj_BldgSF*Subj_SizeTol),ABS($L209-Subj_BldgSF),NA())</f>
        <v/>
      </c>
      <c r="AJ209">
        <f>IF(ISNA(AI209),NA(),AI209+ROW()/10000000)</f>
        <v/>
      </c>
      <c r="AK209">
        <f>IF(AND(ISNUMBER($N209),$N209&gt;0,ISNUMBER($Y209)),$Y209/$N209,"")</f>
        <v/>
      </c>
    </row>
    <row r="210" ht="15" customHeight="1" s="518">
      <c r="A210" s="62" t="n">
        <v>7</v>
      </c>
      <c r="B210" s="59" t="n">
        <v>202</v>
      </c>
      <c r="C210" t="inlineStr">
        <is>
          <t>R0168582</t>
        </is>
      </c>
      <c r="D210" t="inlineStr">
        <is>
          <t>6195  CLERMONT ST</t>
        </is>
      </c>
      <c r="E210" t="n">
        <v>407</v>
      </c>
      <c r="F210" t="inlineStr">
        <is>
          <t>COMMERCE CITY</t>
        </is>
      </c>
      <c r="G210" t="inlineStr">
        <is>
          <t>5</t>
        </is>
      </c>
      <c r="H210" s="703">
        <f>Y210/J210</f>
        <v/>
      </c>
      <c r="I210" s="124" t="n">
        <v>44775</v>
      </c>
      <c r="J210" t="n">
        <v>80138</v>
      </c>
      <c r="L210" t="n">
        <v>80138</v>
      </c>
      <c r="M210" t="n">
        <v>1994</v>
      </c>
      <c r="P210" t="inlineStr">
        <is>
          <t>I-3-Com</t>
        </is>
      </c>
      <c r="R210" t="inlineStr">
        <is>
          <t>Average</t>
        </is>
      </c>
      <c r="S210" t="n">
        <v>136035</v>
      </c>
      <c r="T210" s="121">
        <f>S210/L210</f>
        <v/>
      </c>
      <c r="U210" t="inlineStr">
        <is>
          <t>Average</t>
        </is>
      </c>
      <c r="Y210" s="705" t="n">
        <v>8618000</v>
      </c>
      <c r="AA210" s="705" t="n">
        <v>8618000</v>
      </c>
      <c r="AC210" t="inlineStr">
        <is>
          <t>0182307204001</t>
        </is>
      </c>
      <c r="AD210" t="inlineStr">
        <is>
          <t>2022000066244</t>
        </is>
      </c>
      <c r="AE210" s="575" t="inlineStr">
        <is>
          <t>MCCALLIN REAL ESTATE LLC</t>
        </is>
      </c>
      <c r="AF210" s="575" t="inlineStr">
        <is>
          <t>6195 CLERMONT LLC</t>
        </is>
      </c>
      <c r="AI210" s="59">
        <f>IF(AND($E210=Subj_OccCode,Subj_BldgSF&gt;0,ABS($L210-Subj_BldgSF)&lt;=Subj_BldgSF*Subj_SizeTol),ABS($L210-Subj_BldgSF),NA())</f>
        <v/>
      </c>
      <c r="AJ210">
        <f>IF(ISNA(AI210),NA(),AI210+ROW()/10000000)</f>
        <v/>
      </c>
      <c r="AK210">
        <f>IF(AND(ISNUMBER($N210),$N210&gt;0,ISNUMBER($Y210)),$Y210/$N210,"")</f>
        <v/>
      </c>
    </row>
    <row r="211" ht="15" customHeight="1" s="518">
      <c r="A211" s="62" t="n">
        <v>7</v>
      </c>
      <c r="B211" s="59" t="n">
        <v>203</v>
      </c>
      <c r="C211" t="inlineStr">
        <is>
          <t>R0003857</t>
        </is>
      </c>
      <c r="D211" t="inlineStr">
        <is>
          <t xml:space="preserve">49 S 3RD AVE </t>
        </is>
      </c>
      <c r="E211" t="n">
        <v>100</v>
      </c>
      <c r="F211" t="inlineStr">
        <is>
          <t>BRIGHTON</t>
        </is>
      </c>
      <c r="G211" t="inlineStr">
        <is>
          <t>2</t>
        </is>
      </c>
      <c r="H211" s="703">
        <f>Y211/J211</f>
        <v/>
      </c>
      <c r="I211" s="124" t="n">
        <v>44804</v>
      </c>
      <c r="J211" t="n">
        <v>1318</v>
      </c>
      <c r="L211" t="n">
        <v>1318</v>
      </c>
      <c r="M211" t="n">
        <v>1956</v>
      </c>
      <c r="P211" t="inlineStr">
        <is>
          <t>C-1-Bri</t>
        </is>
      </c>
      <c r="R211" t="inlineStr">
        <is>
          <t>Average</t>
        </is>
      </c>
      <c r="S211" t="n">
        <v>7500</v>
      </c>
      <c r="T211" s="121">
        <f>S211/L211</f>
        <v/>
      </c>
      <c r="U211" t="inlineStr">
        <is>
          <t>Average</t>
        </is>
      </c>
      <c r="Y211" s="705" t="n">
        <v>560000</v>
      </c>
      <c r="AA211" s="705" t="n">
        <v>560000</v>
      </c>
      <c r="AC211" t="inlineStr">
        <is>
          <t>0156907202007</t>
        </is>
      </c>
      <c r="AD211" t="inlineStr">
        <is>
          <t>2022000074132</t>
        </is>
      </c>
      <c r="AE211" s="575" t="inlineStr">
        <is>
          <t>GORDON GROUP INVESTMENTS LLC</t>
        </is>
      </c>
      <c r="AF211" s="575" t="inlineStr">
        <is>
          <t>49 SOUTH THIRD AVE LLC</t>
        </is>
      </c>
      <c r="AI211" s="59">
        <f>IF(AND($E211=Subj_OccCode,Subj_BldgSF&gt;0,ABS($L211-Subj_BldgSF)&lt;=Subj_BldgSF*Subj_SizeTol),ABS($L211-Subj_BldgSF),NA())</f>
        <v/>
      </c>
      <c r="AJ211">
        <f>IF(ISNA(AI211),NA(),AI211+ROW()/10000000)</f>
        <v/>
      </c>
      <c r="AK211">
        <f>IF(AND(ISNUMBER($N211),$N211&gt;0,ISNUMBER($Y211)),$Y211/$N211,"")</f>
        <v/>
      </c>
    </row>
    <row r="212" ht="15" customHeight="1" s="518">
      <c r="A212" s="62" t="n">
        <v>7</v>
      </c>
      <c r="B212" s="59" t="n">
        <v>204</v>
      </c>
      <c r="C212" t="inlineStr">
        <is>
          <t>R0131360</t>
        </is>
      </c>
      <c r="D212" t="inlineStr">
        <is>
          <t xml:space="preserve">1821  BRIDGE ST </t>
        </is>
      </c>
      <c r="E212" t="n">
        <v>353</v>
      </c>
      <c r="F212" t="inlineStr">
        <is>
          <t>BRIGHTON</t>
        </is>
      </c>
      <c r="G212" t="inlineStr">
        <is>
          <t>2</t>
        </is>
      </c>
      <c r="H212" s="703">
        <f>Y212/J212</f>
        <v/>
      </c>
      <c r="I212" s="124" t="n">
        <v>44799</v>
      </c>
      <c r="J212" t="n">
        <v>14418</v>
      </c>
      <c r="L212" t="n">
        <v>14418</v>
      </c>
      <c r="M212" t="n">
        <v>2001</v>
      </c>
      <c r="P212" t="inlineStr">
        <is>
          <t>C-2-Bri</t>
        </is>
      </c>
      <c r="R212" t="inlineStr">
        <is>
          <t>Average</t>
        </is>
      </c>
      <c r="S212" t="n">
        <v>94394.52</v>
      </c>
      <c r="T212" s="121">
        <f>S212/L212</f>
        <v/>
      </c>
      <c r="U212" t="inlineStr">
        <is>
          <t>Good</t>
        </is>
      </c>
      <c r="Y212" s="705" t="n">
        <v>6316234</v>
      </c>
      <c r="AA212" s="705" t="n">
        <v>6316234</v>
      </c>
      <c r="AC212" t="inlineStr">
        <is>
          <t>0156905335003</t>
        </is>
      </c>
      <c r="AD212" t="inlineStr">
        <is>
          <t>2022000075125</t>
        </is>
      </c>
      <c r="AE212" s="575" t="inlineStr">
        <is>
          <t>WALGREEN CO</t>
        </is>
      </c>
      <c r="AF212" s="575" t="inlineStr">
        <is>
          <t>CP THUNDER FS LLC</t>
        </is>
      </c>
      <c r="AI212" s="59">
        <f>IF(AND($E212=Subj_OccCode,Subj_BldgSF&gt;0,ABS($L212-Subj_BldgSF)&lt;=Subj_BldgSF*Subj_SizeTol),ABS($L212-Subj_BldgSF),NA())</f>
        <v/>
      </c>
      <c r="AJ212">
        <f>IF(ISNA(AI212),NA(),AI212+ROW()/10000000)</f>
        <v/>
      </c>
      <c r="AK212">
        <f>IF(AND(ISNUMBER($N212),$N212&gt;0,ISNUMBER($Y212)),$Y212/$N212,"")</f>
        <v/>
      </c>
    </row>
    <row r="213" ht="15" customHeight="1" s="518">
      <c r="A213" s="62" t="n">
        <v>7</v>
      </c>
      <c r="B213" s="59" t="n">
        <v>205</v>
      </c>
      <c r="C213" t="inlineStr">
        <is>
          <t>R0142646</t>
        </is>
      </c>
      <c r="D213" t="inlineStr">
        <is>
          <t xml:space="preserve">10160  GRANT ST </t>
        </is>
      </c>
      <c r="E213" t="n">
        <v>325</v>
      </c>
      <c r="F213" t="inlineStr">
        <is>
          <t>THORNTON</t>
        </is>
      </c>
      <c r="G213" t="inlineStr">
        <is>
          <t>4</t>
        </is>
      </c>
      <c r="H213" s="703">
        <f>Y213/J213</f>
        <v/>
      </c>
      <c r="I213" s="124" t="n">
        <v>44830</v>
      </c>
      <c r="J213" t="n">
        <v>6440</v>
      </c>
      <c r="L213" t="n">
        <v>6440</v>
      </c>
      <c r="M213" t="n">
        <v>2002</v>
      </c>
      <c r="P213" t="inlineStr">
        <is>
          <t>Planned Development</t>
        </is>
      </c>
      <c r="R213" t="inlineStr">
        <is>
          <t>Average</t>
        </is>
      </c>
      <c r="S213" t="n">
        <v>52276</v>
      </c>
      <c r="T213" s="121">
        <f>S213/L213</f>
        <v/>
      </c>
      <c r="U213" t="inlineStr">
        <is>
          <t>Average</t>
        </is>
      </c>
      <c r="Y213" s="705" t="n">
        <v>1930000</v>
      </c>
      <c r="AA213" s="705" t="n">
        <v>1930000</v>
      </c>
      <c r="AC213" t="inlineStr">
        <is>
          <t>0171915102026</t>
        </is>
      </c>
      <c r="AD213" t="inlineStr">
        <is>
          <t>2022000081534</t>
        </is>
      </c>
      <c r="AE213" s="575" t="inlineStr">
        <is>
          <t>RC COLORADO ENTERPRISES LLC</t>
        </is>
      </c>
      <c r="AF213" s="575" t="inlineStr">
        <is>
          <t>NG21 LP</t>
        </is>
      </c>
      <c r="AI213" s="59">
        <f>IF(AND($E213=Subj_OccCode,Subj_BldgSF&gt;0,ABS($L213-Subj_BldgSF)&lt;=Subj_BldgSF*Subj_SizeTol),ABS($L213-Subj_BldgSF),NA())</f>
        <v/>
      </c>
      <c r="AJ213">
        <f>IF(ISNA(AI213),NA(),AI213+ROW()/10000000)</f>
        <v/>
      </c>
      <c r="AK213">
        <f>IF(AND(ISNUMBER($N213),$N213&gt;0,ISNUMBER($Y213)),$Y213/$N213,"")</f>
        <v/>
      </c>
    </row>
    <row r="214" ht="15" customHeight="1" s="518">
      <c r="A214" s="62" t="n">
        <v>7</v>
      </c>
      <c r="B214" s="59" t="n">
        <v>206</v>
      </c>
      <c r="C214" t="inlineStr">
        <is>
          <t>R0109570</t>
        </is>
      </c>
      <c r="D214" t="inlineStr">
        <is>
          <t xml:space="preserve">1257 W 120TH AVE </t>
        </is>
      </c>
      <c r="E214" t="n">
        <v>350</v>
      </c>
      <c r="F214" t="inlineStr">
        <is>
          <t>WESTMINSTER</t>
        </is>
      </c>
      <c r="G214" t="inlineStr">
        <is>
          <t>3</t>
        </is>
      </c>
      <c r="H214" s="703">
        <f>Y214/J214</f>
        <v/>
      </c>
      <c r="I214" s="124" t="n">
        <v>44838</v>
      </c>
      <c r="J214" t="n">
        <v>10380</v>
      </c>
      <c r="L214" t="n">
        <v>10380</v>
      </c>
      <c r="M214" t="n">
        <v>1997</v>
      </c>
      <c r="P214" t="inlineStr">
        <is>
          <t>PUD-Wes</t>
        </is>
      </c>
      <c r="R214" t="inlineStr">
        <is>
          <t>Average</t>
        </is>
      </c>
      <c r="S214" t="n">
        <v>98968.32000000001</v>
      </c>
      <c r="T214" s="121">
        <f>S214/L214</f>
        <v/>
      </c>
      <c r="U214" t="inlineStr">
        <is>
          <t>Average</t>
        </is>
      </c>
      <c r="Y214" s="705" t="n">
        <v>2650000</v>
      </c>
      <c r="AA214" s="705" t="n">
        <v>2650000</v>
      </c>
      <c r="AC214" t="inlineStr">
        <is>
          <t>0157333005008</t>
        </is>
      </c>
      <c r="AD214" t="inlineStr">
        <is>
          <t>2022000082331</t>
        </is>
      </c>
      <c r="AE214" s="575" t="inlineStr">
        <is>
          <t>HD ALAMEDA LLC</t>
        </is>
      </c>
      <c r="AF214" s="575" t="inlineStr">
        <is>
          <t>1257 120TH RE LLC</t>
        </is>
      </c>
      <c r="AI214" s="59">
        <f>IF(AND($E214=Subj_OccCode,Subj_BldgSF&gt;0,ABS($L214-Subj_BldgSF)&lt;=Subj_BldgSF*Subj_SizeTol),ABS($L214-Subj_BldgSF),NA())</f>
        <v/>
      </c>
      <c r="AJ214">
        <f>IF(ISNA(AI214),NA(),AI214+ROW()/10000000)</f>
        <v/>
      </c>
      <c r="AK214">
        <f>IF(AND(ISNUMBER($N214),$N214&gt;0,ISNUMBER($Y214)),$Y214/$N214,"")</f>
        <v/>
      </c>
    </row>
    <row r="215" ht="15" customHeight="1" s="518">
      <c r="A215" s="62" t="n">
        <v>7</v>
      </c>
      <c r="B215" s="59" t="n">
        <v>207</v>
      </c>
      <c r="C215" t="inlineStr">
        <is>
          <t>R0114709</t>
        </is>
      </c>
      <c r="D215" t="inlineStr">
        <is>
          <t>120TH AVE  WESTMINSTER</t>
        </is>
      </c>
      <c r="E215" t="n">
        <v>1111</v>
      </c>
      <c r="F215" t="inlineStr">
        <is>
          <t>WESTMINSTER</t>
        </is>
      </c>
      <c r="G215" t="inlineStr">
        <is>
          <t>3</t>
        </is>
      </c>
      <c r="H215" s="703">
        <f>Y215/J215</f>
        <v/>
      </c>
      <c r="I215" s="124" t="n">
        <v>44838</v>
      </c>
      <c r="J215" t="n">
        <v>1</v>
      </c>
      <c r="L215" t="n">
        <v>1</v>
      </c>
      <c r="M215" t="n">
        <v>2000</v>
      </c>
      <c r="P215" t="inlineStr">
        <is>
          <t>PUD-Wes</t>
        </is>
      </c>
      <c r="R215" t="inlineStr">
        <is>
          <t>Average</t>
        </is>
      </c>
      <c r="S215" t="n">
        <v>17859.5996</v>
      </c>
      <c r="T215" s="121">
        <f>S215/L215</f>
        <v/>
      </c>
      <c r="U215" t="inlineStr">
        <is>
          <t>Average</t>
        </is>
      </c>
      <c r="Y215" s="705" t="n">
        <v>2650000</v>
      </c>
      <c r="AA215" s="705" t="n">
        <v>2650000</v>
      </c>
      <c r="AC215" t="inlineStr">
        <is>
          <t>0157333005014</t>
        </is>
      </c>
      <c r="AD215" t="inlineStr">
        <is>
          <t>2022000082331</t>
        </is>
      </c>
      <c r="AE215" s="575" t="inlineStr">
        <is>
          <t>HD ALAMEDA LLC</t>
        </is>
      </c>
      <c r="AF215" s="575" t="inlineStr">
        <is>
          <t>1257 120TH RE LLC</t>
        </is>
      </c>
      <c r="AI215" s="59">
        <f>IF(AND($E215=Subj_OccCode,Subj_BldgSF&gt;0,ABS($L215-Subj_BldgSF)&lt;=Subj_BldgSF*Subj_SizeTol),ABS($L215-Subj_BldgSF),NA())</f>
        <v/>
      </c>
      <c r="AJ215">
        <f>IF(ISNA(AI215),NA(),AI215+ROW()/10000000)</f>
        <v/>
      </c>
      <c r="AK215">
        <f>IF(AND(ISNUMBER($N215),$N215&gt;0,ISNUMBER($Y215)),$Y215/$N215,"")</f>
        <v/>
      </c>
    </row>
    <row r="216" ht="15" customHeight="1" s="518">
      <c r="A216" s="62" t="n">
        <v>7</v>
      </c>
      <c r="B216" s="59" t="n">
        <v>208</v>
      </c>
      <c r="C216" t="inlineStr">
        <is>
          <t>R0150304</t>
        </is>
      </c>
      <c r="D216" t="inlineStr">
        <is>
          <t xml:space="preserve">7140  IVY ST B </t>
        </is>
      </c>
      <c r="E216" t="n">
        <v>425</v>
      </c>
      <c r="F216" t="inlineStr">
        <is>
          <t>COMMERCE CITY</t>
        </is>
      </c>
      <c r="G216" t="inlineStr">
        <is>
          <t>5</t>
        </is>
      </c>
      <c r="H216" s="703">
        <f>Y216/J216</f>
        <v/>
      </c>
      <c r="I216" s="124" t="n">
        <v>44855</v>
      </c>
      <c r="J216" t="n">
        <v>9000</v>
      </c>
      <c r="L216" t="n">
        <v>9000</v>
      </c>
      <c r="M216" t="n">
        <v>2002</v>
      </c>
      <c r="P216" t="inlineStr">
        <is>
          <t>I-1-Com</t>
        </is>
      </c>
      <c r="R216" t="inlineStr">
        <is>
          <t>Average</t>
        </is>
      </c>
      <c r="S216" t="n">
        <v>6448</v>
      </c>
      <c r="T216" s="121">
        <f>S216/L216</f>
        <v/>
      </c>
      <c r="U216" t="inlineStr">
        <is>
          <t>Average</t>
        </is>
      </c>
      <c r="Y216" s="705" t="n">
        <v>325000</v>
      </c>
      <c r="AA216" s="705" t="n">
        <v>325000</v>
      </c>
      <c r="AC216" t="inlineStr">
        <is>
          <t>0182305221045</t>
        </is>
      </c>
      <c r="AD216" t="inlineStr">
        <is>
          <t>2022000086743</t>
        </is>
      </c>
      <c r="AE216" s="575" t="inlineStr">
        <is>
          <t>GROWEST PROPERTIES LLC</t>
        </is>
      </c>
      <c r="AF216" s="575" t="inlineStr">
        <is>
          <t>DHK ENTERPRISES LLC</t>
        </is>
      </c>
      <c r="AI216" s="59">
        <f>IF(AND($E216=Subj_OccCode,Subj_BldgSF&gt;0,ABS($L216-Subj_BldgSF)&lt;=Subj_BldgSF*Subj_SizeTol),ABS($L216-Subj_BldgSF),NA())</f>
        <v/>
      </c>
      <c r="AJ216">
        <f>IF(ISNA(AI216),NA(),AI216+ROW()/10000000)</f>
        <v/>
      </c>
      <c r="AK216">
        <f>IF(AND(ISNUMBER($N216),$N216&gt;0,ISNUMBER($Y216)),$Y216/$N216,"")</f>
        <v/>
      </c>
    </row>
    <row r="217" ht="15" customHeight="1" s="518">
      <c r="A217" s="62" t="n">
        <v>7</v>
      </c>
      <c r="B217" s="59" t="n">
        <v>209</v>
      </c>
      <c r="C217" t="inlineStr">
        <is>
          <t>R0004233</t>
        </is>
      </c>
      <c r="D217" t="inlineStr">
        <is>
          <t>479 S 4TH AVE</t>
        </is>
      </c>
      <c r="E217" t="n">
        <v>350</v>
      </c>
      <c r="F217" t="inlineStr">
        <is>
          <t>BRIGHTON</t>
        </is>
      </c>
      <c r="G217" t="inlineStr">
        <is>
          <t>2</t>
        </is>
      </c>
      <c r="H217" s="703">
        <f>Y217/J217</f>
        <v/>
      </c>
      <c r="I217" s="124" t="n">
        <v>44860</v>
      </c>
      <c r="J217" t="n">
        <v>3272</v>
      </c>
      <c r="L217" t="n">
        <v>3272</v>
      </c>
      <c r="M217" t="n">
        <v>1912</v>
      </c>
      <c r="P217" t="inlineStr">
        <is>
          <t>C-1-Bri</t>
        </is>
      </c>
      <c r="R217" t="inlineStr">
        <is>
          <t>Average</t>
        </is>
      </c>
      <c r="S217" t="n">
        <v>7500</v>
      </c>
      <c r="T217" s="121">
        <f>S217/L217</f>
        <v/>
      </c>
      <c r="U217" t="inlineStr">
        <is>
          <t>Average</t>
        </is>
      </c>
      <c r="Y217" s="705" t="n">
        <v>630000</v>
      </c>
      <c r="AA217" s="705" t="n">
        <v>630000</v>
      </c>
      <c r="AC217" t="inlineStr">
        <is>
          <t>0156907301004</t>
        </is>
      </c>
      <c r="AD217" t="inlineStr">
        <is>
          <t>2022000088389</t>
        </is>
      </c>
      <c r="AE217" s="575" t="inlineStr">
        <is>
          <t>NAN ZHI ZHONG</t>
        </is>
      </c>
      <c r="AF217" s="575" t="inlineStr">
        <is>
          <t>NANS RESTAURANT LLC</t>
        </is>
      </c>
      <c r="AI217" s="59">
        <f>IF(AND($E217=Subj_OccCode,Subj_BldgSF&gt;0,ABS($L217-Subj_BldgSF)&lt;=Subj_BldgSF*Subj_SizeTol),ABS($L217-Subj_BldgSF),NA())</f>
        <v/>
      </c>
      <c r="AJ217">
        <f>IF(ISNA(AI217),NA(),AI217+ROW()/10000000)</f>
        <v/>
      </c>
      <c r="AK217">
        <f>IF(AND(ISNUMBER($N217),$N217&gt;0,ISNUMBER($Y217)),$Y217/$N217,"")</f>
        <v/>
      </c>
    </row>
    <row r="218" ht="15" customHeight="1" s="518">
      <c r="A218" s="62" t="n">
        <v>7</v>
      </c>
      <c r="B218" s="59" t="n">
        <v>210</v>
      </c>
      <c r="C218" t="inlineStr">
        <is>
          <t>R0160167</t>
        </is>
      </c>
      <c r="D218" t="inlineStr">
        <is>
          <t xml:space="preserve">14651 E COLFAX AVE </t>
        </is>
      </c>
      <c r="E218" t="n">
        <v>353</v>
      </c>
      <c r="F218" t="inlineStr">
        <is>
          <t>AURORA</t>
        </is>
      </c>
      <c r="G218" t="inlineStr">
        <is>
          <t>6</t>
        </is>
      </c>
      <c r="H218" s="703">
        <f>Y218/J218</f>
        <v/>
      </c>
      <c r="I218" s="124" t="n">
        <v>44872</v>
      </c>
      <c r="J218" t="n">
        <v>6742</v>
      </c>
      <c r="L218" t="n">
        <v>6742</v>
      </c>
      <c r="M218" t="n">
        <v>2004</v>
      </c>
      <c r="P218" t="inlineStr">
        <is>
          <t>B-4-Aur</t>
        </is>
      </c>
      <c r="R218" t="inlineStr">
        <is>
          <t>Average</t>
        </is>
      </c>
      <c r="S218" t="n">
        <v>41537</v>
      </c>
      <c r="T218" s="121">
        <f>S218/L218</f>
        <v/>
      </c>
      <c r="U218" t="inlineStr">
        <is>
          <t>Average</t>
        </is>
      </c>
      <c r="Y218" s="705" t="n">
        <v>2400000</v>
      </c>
      <c r="AA218" s="705" t="n">
        <v>2400000</v>
      </c>
      <c r="AC218" t="inlineStr">
        <is>
          <t>0182131413004</t>
        </is>
      </c>
      <c r="AD218" t="inlineStr">
        <is>
          <t>2022000089834</t>
        </is>
      </c>
      <c r="AE218" s="575" t="inlineStr">
        <is>
          <t>ASTRO REALTY LLC</t>
        </is>
      </c>
      <c r="AF218" s="575" t="inlineStr">
        <is>
          <t>DEEMS LEGACY LLC</t>
        </is>
      </c>
      <c r="AI218" s="59">
        <f>IF(AND($E218=Subj_OccCode,Subj_BldgSF&gt;0,ABS($L218-Subj_BldgSF)&lt;=Subj_BldgSF*Subj_SizeTol),ABS($L218-Subj_BldgSF),NA())</f>
        <v/>
      </c>
      <c r="AJ218">
        <f>IF(ISNA(AI218),NA(),AI218+ROW()/10000000)</f>
        <v/>
      </c>
      <c r="AK218">
        <f>IF(AND(ISNUMBER($N218),$N218&gt;0,ISNUMBER($Y218)),$Y218/$N218,"")</f>
        <v/>
      </c>
    </row>
    <row r="219" ht="15" customHeight="1" s="518">
      <c r="A219" s="62" t="n">
        <v>7</v>
      </c>
      <c r="B219" s="59" t="n">
        <v>211</v>
      </c>
      <c r="C219" t="inlineStr">
        <is>
          <t>R0129253</t>
        </is>
      </c>
      <c r="D219" t="inlineStr">
        <is>
          <t xml:space="preserve">12900  ZUNI ST  </t>
        </is>
      </c>
      <c r="E219" t="n">
        <v>340</v>
      </c>
      <c r="F219" t="inlineStr">
        <is>
          <t>WESTMINSTER</t>
        </is>
      </c>
      <c r="G219" t="inlineStr">
        <is>
          <t>3</t>
        </is>
      </c>
      <c r="H219" s="703">
        <f>Y219/J219</f>
        <v/>
      </c>
      <c r="I219" s="124" t="n">
        <v>44872</v>
      </c>
      <c r="J219" t="n">
        <v>55944</v>
      </c>
      <c r="L219" t="n">
        <v>55944</v>
      </c>
      <c r="M219" t="n">
        <v>2000</v>
      </c>
      <c r="P219" t="inlineStr">
        <is>
          <t>PUD-Wes</t>
        </is>
      </c>
      <c r="R219" t="inlineStr">
        <is>
          <t>Average</t>
        </is>
      </c>
      <c r="S219" t="n">
        <v>419391.32</v>
      </c>
      <c r="T219" s="121">
        <f>S219/L219</f>
        <v/>
      </c>
      <c r="U219" t="inlineStr">
        <is>
          <t>Good</t>
        </is>
      </c>
      <c r="Y219" s="705" t="n">
        <v>10918545</v>
      </c>
      <c r="AA219" s="705" t="n">
        <v>10918545</v>
      </c>
      <c r="AC219" t="inlineStr">
        <is>
          <t>0157328301001</t>
        </is>
      </c>
      <c r="AD219" t="inlineStr">
        <is>
          <t>2022000089861</t>
        </is>
      </c>
      <c r="AE219" s="575" t="inlineStr">
        <is>
          <t>WILLOW RUN INVESTORS LLC</t>
        </is>
      </c>
      <c r="AF219" s="575" t="inlineStr">
        <is>
          <t xml:space="preserve">PNW INVESTMENTS LLC, CPP 12FIVE INVESTMENTS LLC, </t>
        </is>
      </c>
      <c r="AI219" s="59">
        <f>IF(AND($E219=Subj_OccCode,Subj_BldgSF&gt;0,ABS($L219-Subj_BldgSF)&lt;=Subj_BldgSF*Subj_SizeTol),ABS($L219-Subj_BldgSF),NA())</f>
        <v/>
      </c>
      <c r="AJ219">
        <f>IF(ISNA(AI219),NA(),AI219+ROW()/10000000)</f>
        <v/>
      </c>
      <c r="AK219">
        <f>IF(AND(ISNUMBER($N219),$N219&gt;0,ISNUMBER($Y219)),$Y219/$N219,"")</f>
        <v/>
      </c>
    </row>
    <row r="220" ht="15" customHeight="1" s="518">
      <c r="A220" s="62" t="n">
        <v>7</v>
      </c>
      <c r="B220" s="59" t="n">
        <v>212</v>
      </c>
      <c r="C220" t="inlineStr">
        <is>
          <t>R0092667</t>
        </is>
      </c>
      <c r="D220" t="inlineStr">
        <is>
          <t xml:space="preserve">4901  LOCUST ST </t>
        </is>
      </c>
      <c r="E220" t="n">
        <v>407</v>
      </c>
      <c r="F220" t="inlineStr">
        <is>
          <t>COMMERCE CITY</t>
        </is>
      </c>
      <c r="G220" t="inlineStr">
        <is>
          <t>5</t>
        </is>
      </c>
      <c r="H220" s="703">
        <f>Y220/J220</f>
        <v/>
      </c>
      <c r="I220" s="124" t="n">
        <v>44875</v>
      </c>
      <c r="J220" t="n">
        <v>16200</v>
      </c>
      <c r="L220" t="n">
        <v>16200</v>
      </c>
      <c r="M220" t="n">
        <v>1970</v>
      </c>
      <c r="P220" t="inlineStr">
        <is>
          <t>I-1S</t>
        </is>
      </c>
      <c r="R220" t="inlineStr">
        <is>
          <t>Average</t>
        </is>
      </c>
      <c r="S220" t="n">
        <v>59734</v>
      </c>
      <c r="T220" s="121">
        <f>S220/L220</f>
        <v/>
      </c>
      <c r="U220" t="inlineStr">
        <is>
          <t>Average</t>
        </is>
      </c>
      <c r="Y220" s="705" t="n">
        <v>3843337</v>
      </c>
      <c r="AA220" s="705" t="n">
        <v>3843337</v>
      </c>
      <c r="AC220" t="inlineStr">
        <is>
          <t>0182317302009</t>
        </is>
      </c>
      <c r="AD220" t="inlineStr">
        <is>
          <t>2022000090754</t>
        </is>
      </c>
      <c r="AE220" s="575" t="inlineStr">
        <is>
          <t>HIGHLAND PROPERTIES 1222 LLC</t>
        </is>
      </c>
      <c r="AF220" s="575" t="inlineStr">
        <is>
          <t>PAVCO GROUP LLC</t>
        </is>
      </c>
      <c r="AI220" s="59">
        <f>IF(AND($E220=Subj_OccCode,Subj_BldgSF&gt;0,ABS($L220-Subj_BldgSF)&lt;=Subj_BldgSF*Subj_SizeTol),ABS($L220-Subj_BldgSF),NA())</f>
        <v/>
      </c>
      <c r="AJ220">
        <f>IF(ISNA(AI220),NA(),AI220+ROW()/10000000)</f>
        <v/>
      </c>
      <c r="AK220">
        <f>IF(AND(ISNUMBER($N220),$N220&gt;0,ISNUMBER($Y220)),$Y220/$N220,"")</f>
        <v/>
      </c>
    </row>
    <row r="221" ht="15" customHeight="1" s="518">
      <c r="A221" s="62" t="n">
        <v>7</v>
      </c>
      <c r="B221" s="59" t="n">
        <v>213</v>
      </c>
      <c r="C221" t="inlineStr">
        <is>
          <t>R0024453</t>
        </is>
      </c>
      <c r="D221" t="inlineStr">
        <is>
          <t xml:space="preserve">650 E 124TH AVE  </t>
        </is>
      </c>
      <c r="E221" t="n">
        <v>309</v>
      </c>
      <c r="F221" t="inlineStr">
        <is>
          <t>THORNTON</t>
        </is>
      </c>
      <c r="G221" t="inlineStr">
        <is>
          <t>3</t>
        </is>
      </c>
      <c r="H221" s="703">
        <f>Y221/J221</f>
        <v/>
      </c>
      <c r="I221" s="124" t="n">
        <v>44897</v>
      </c>
      <c r="J221" t="n">
        <v>18718</v>
      </c>
      <c r="L221" t="n">
        <v>18718</v>
      </c>
      <c r="M221" t="n">
        <v>2003</v>
      </c>
      <c r="P221" t="inlineStr">
        <is>
          <t>Business Park</t>
        </is>
      </c>
      <c r="R221" t="inlineStr">
        <is>
          <t>Good</t>
        </is>
      </c>
      <c r="S221" t="n">
        <v>268983</v>
      </c>
      <c r="T221" s="121">
        <f>S221/L221</f>
        <v/>
      </c>
      <c r="U221" t="inlineStr">
        <is>
          <t>Average</t>
        </is>
      </c>
      <c r="Y221" s="705" t="n">
        <v>5000000</v>
      </c>
      <c r="AA221" s="705" t="n">
        <v>5000000</v>
      </c>
      <c r="AC221" t="inlineStr">
        <is>
          <t>0157334003016</t>
        </is>
      </c>
      <c r="AD221" t="inlineStr">
        <is>
          <t>2022000095330</t>
        </is>
      </c>
      <c r="AE221" s="575" t="inlineStr">
        <is>
          <t>MIDWEST BUILDING PROFESSIONALS LLC</t>
        </is>
      </c>
      <c r="AF221" s="575" t="inlineStr">
        <is>
          <t>WORD ALIVE CHURCH</t>
        </is>
      </c>
      <c r="AI221" s="59">
        <f>IF(AND($E221=Subj_OccCode,Subj_BldgSF&gt;0,ABS($L221-Subj_BldgSF)&lt;=Subj_BldgSF*Subj_SizeTol),ABS($L221-Subj_BldgSF),NA())</f>
        <v/>
      </c>
      <c r="AJ221">
        <f>IF(ISNA(AI221),NA(),AI221+ROW()/10000000)</f>
        <v/>
      </c>
      <c r="AK221">
        <f>IF(AND(ISNUMBER($N221),$N221&gt;0,ISNUMBER($Y221)),$Y221/$N221,"")</f>
        <v/>
      </c>
    </row>
    <row r="222" ht="15" customHeight="1" s="518">
      <c r="A222" s="62" t="n">
        <v>7</v>
      </c>
      <c r="B222" s="59" t="n">
        <v>214</v>
      </c>
      <c r="C222" t="inlineStr">
        <is>
          <t>R0121751</t>
        </is>
      </c>
      <c r="D222" t="inlineStr">
        <is>
          <t>605 W 62ND AVE</t>
        </is>
      </c>
      <c r="E222" t="n">
        <v>325</v>
      </c>
      <c r="G222" t="inlineStr">
        <is>
          <t>5</t>
        </is>
      </c>
      <c r="H222" s="703">
        <f>Y222/J222</f>
        <v/>
      </c>
      <c r="I222" s="124" t="n">
        <v>44903</v>
      </c>
      <c r="J222" t="n">
        <v>1600</v>
      </c>
      <c r="L222" t="n">
        <v>1600</v>
      </c>
      <c r="M222" t="n">
        <v>1988</v>
      </c>
      <c r="P222" t="inlineStr">
        <is>
          <t>Industrial</t>
        </is>
      </c>
      <c r="R222" t="inlineStr">
        <is>
          <t>Average</t>
        </is>
      </c>
      <c r="S222" t="n">
        <v>378972</v>
      </c>
      <c r="T222" s="121">
        <f>S222/L222</f>
        <v/>
      </c>
      <c r="U222" t="inlineStr">
        <is>
          <t>Average</t>
        </is>
      </c>
      <c r="Y222" s="705" t="n">
        <v>9000000</v>
      </c>
      <c r="AA222" s="705" t="n">
        <v>9000000</v>
      </c>
      <c r="AC222" t="inlineStr">
        <is>
          <t>0182510201006</t>
        </is>
      </c>
      <c r="AD222" t="inlineStr">
        <is>
          <t>2022000096205</t>
        </is>
      </c>
      <c r="AE222" s="575" t="inlineStr">
        <is>
          <t>WEST 62ND AVE LLC, GRAND JUNCTION VENTURE LLC</t>
        </is>
      </c>
      <c r="AF222" s="575" t="inlineStr">
        <is>
          <t>IOS-PVB-605 WEST 62ND AVENUE LLC</t>
        </is>
      </c>
      <c r="AI222" s="59">
        <f>IF(AND($E222=Subj_OccCode,Subj_BldgSF&gt;0,ABS($L222-Subj_BldgSF)&lt;=Subj_BldgSF*Subj_SizeTol),ABS($L222-Subj_BldgSF),NA())</f>
        <v/>
      </c>
      <c r="AJ222">
        <f>IF(ISNA(AI222),NA(),AI222+ROW()/10000000)</f>
        <v/>
      </c>
      <c r="AK222">
        <f>IF(AND(ISNUMBER($N222),$N222&gt;0,ISNUMBER($Y222)),$Y222/$N222,"")</f>
        <v/>
      </c>
    </row>
    <row r="223" ht="15" customHeight="1" s="518">
      <c r="A223" s="62" t="n">
        <v>7</v>
      </c>
      <c r="B223" s="59" t="n">
        <v>215</v>
      </c>
      <c r="C223" t="inlineStr">
        <is>
          <t>R0216734</t>
        </is>
      </c>
      <c r="D223" t="inlineStr">
        <is>
          <t>7100 E 136TH AVE</t>
        </is>
      </c>
      <c r="E223" t="n">
        <v>304</v>
      </c>
      <c r="F223" t="inlineStr">
        <is>
          <t>THORNTON</t>
        </is>
      </c>
      <c r="G223" t="inlineStr">
        <is>
          <t>3</t>
        </is>
      </c>
      <c r="H223" s="703">
        <f>Y223/J223</f>
        <v/>
      </c>
      <c r="I223" s="124" t="n">
        <v>44904</v>
      </c>
      <c r="J223" t="n">
        <v>4203</v>
      </c>
      <c r="L223" t="n">
        <v>4203</v>
      </c>
      <c r="S223" t="n">
        <v>58375</v>
      </c>
      <c r="T223" s="121">
        <f>S223/L223</f>
        <v/>
      </c>
      <c r="Y223" s="705" t="n">
        <v>1900000</v>
      </c>
      <c r="AA223" s="705" t="n">
        <v>1900000</v>
      </c>
      <c r="AC223" t="inlineStr">
        <is>
          <t>0157129113122</t>
        </is>
      </c>
      <c r="AD223" t="inlineStr">
        <is>
          <t>2022000096279</t>
        </is>
      </c>
      <c r="AE223" s="575" t="inlineStr">
        <is>
          <t>STRATUS AMBER CREEK LLC</t>
        </is>
      </c>
      <c r="AF223" s="575" t="inlineStr">
        <is>
          <t>BANK OF AMERICA NATIONAL ASSOCIATION</t>
        </is>
      </c>
      <c r="AI223" s="59">
        <f>IF(AND($E223=Subj_OccCode,Subj_BldgSF&gt;0,ABS($L223-Subj_BldgSF)&lt;=Subj_BldgSF*Subj_SizeTol),ABS($L223-Subj_BldgSF),NA())</f>
        <v/>
      </c>
      <c r="AJ223">
        <f>IF(ISNA(AI223),NA(),AI223+ROW()/10000000)</f>
        <v/>
      </c>
      <c r="AK223">
        <f>IF(AND(ISNUMBER($N223),$N223&gt;0,ISNUMBER($Y223)),$Y223/$N223,"")</f>
        <v/>
      </c>
    </row>
    <row r="224" ht="15" customHeight="1" s="518">
      <c r="A224" s="62" t="n">
        <v>7</v>
      </c>
      <c r="B224" s="59" t="n">
        <v>216</v>
      </c>
      <c r="C224" t="inlineStr">
        <is>
          <t>R0217166</t>
        </is>
      </c>
      <c r="D224" t="inlineStr">
        <is>
          <t>16521 E 16TH PL</t>
        </is>
      </c>
      <c r="E224" t="n">
        <v>118</v>
      </c>
      <c r="F224" t="inlineStr">
        <is>
          <t>AURORA</t>
        </is>
      </c>
      <c r="G224" t="inlineStr">
        <is>
          <t>6</t>
        </is>
      </c>
      <c r="H224" s="703">
        <f>Y224/J224</f>
        <v/>
      </c>
      <c r="I224" s="124" t="n">
        <v>44907</v>
      </c>
      <c r="J224" t="n">
        <v>41943</v>
      </c>
      <c r="L224" t="n">
        <v>41943</v>
      </c>
      <c r="S224" t="n">
        <v>482743</v>
      </c>
      <c r="T224" s="121">
        <f>S224/L224</f>
        <v/>
      </c>
      <c r="Y224" s="705" t="n">
        <v>1416667</v>
      </c>
      <c r="AA224" s="705" t="n">
        <v>1416667</v>
      </c>
      <c r="AC224" t="inlineStr">
        <is>
          <t>0182132414001</t>
        </is>
      </c>
      <c r="AD224" t="inlineStr">
        <is>
          <t>2022000097611</t>
        </is>
      </c>
      <c r="AE224" s="575" t="inlineStr">
        <is>
          <t>QUIKTRIP CORPORATION</t>
        </is>
      </c>
      <c r="AF224" s="575" t="inlineStr">
        <is>
          <t>ROERS AURORA APARTMENTS OWNER LLC</t>
        </is>
      </c>
      <c r="AI224" s="59">
        <f>IF(AND($E224=Subj_OccCode,Subj_BldgSF&gt;0,ABS($L224-Subj_BldgSF)&lt;=Subj_BldgSF*Subj_SizeTol),ABS($L224-Subj_BldgSF),NA())</f>
        <v/>
      </c>
      <c r="AJ224">
        <f>IF(ISNA(AI224),NA(),AI224+ROW()/10000000)</f>
        <v/>
      </c>
      <c r="AK224">
        <f>IF(AND(ISNUMBER($N224),$N224&gt;0,ISNUMBER($Y224)),$Y224/$N224,"")</f>
        <v/>
      </c>
    </row>
    <row r="225" ht="15" customHeight="1" s="518">
      <c r="A225" s="62" t="n">
        <v>7</v>
      </c>
      <c r="B225" s="59" t="n">
        <v>217</v>
      </c>
      <c r="C225" t="inlineStr">
        <is>
          <t>R0077138</t>
        </is>
      </c>
      <c r="D225" t="inlineStr">
        <is>
          <t>8488  UINTA ST</t>
        </is>
      </c>
      <c r="E225" t="n">
        <v>3441</v>
      </c>
      <c r="F225" t="inlineStr">
        <is>
          <t>COMMERCE CITY</t>
        </is>
      </c>
      <c r="G225" t="inlineStr">
        <is>
          <t>5</t>
        </is>
      </c>
      <c r="H225" s="703">
        <f>Y225/J225</f>
        <v/>
      </c>
      <c r="I225" s="124" t="n">
        <v>44930</v>
      </c>
      <c r="J225" t="n">
        <v>1000</v>
      </c>
      <c r="L225" t="n">
        <v>1000</v>
      </c>
      <c r="M225" t="n">
        <v>1986</v>
      </c>
      <c r="P225" t="inlineStr">
        <is>
          <t>I-1-Com</t>
        </is>
      </c>
      <c r="R225" t="inlineStr">
        <is>
          <t>Average</t>
        </is>
      </c>
      <c r="S225" t="n">
        <v>8347.5</v>
      </c>
      <c r="T225" s="121">
        <f>S225/L225</f>
        <v/>
      </c>
      <c r="U225" t="inlineStr">
        <is>
          <t>Average</t>
        </is>
      </c>
      <c r="Y225" s="705" t="n">
        <v>695000</v>
      </c>
      <c r="AA225" s="705" t="n">
        <v>695000</v>
      </c>
      <c r="AC225" t="inlineStr">
        <is>
          <t>0172128109002</t>
        </is>
      </c>
      <c r="AD225" t="inlineStr">
        <is>
          <t>2023000000846</t>
        </is>
      </c>
      <c r="AE225" s="575" t="inlineStr">
        <is>
          <t xml:space="preserve">GOLDEN HILLS LLC AND , REAL PROPERTY ACQUISITIONS INITIATIVES LLC </t>
        </is>
      </c>
      <c r="AF225" s="575" t="inlineStr">
        <is>
          <t>HUMPTY DUMP ROLL OFF SERVICES LLC</t>
        </is>
      </c>
      <c r="AI225" s="59">
        <f>IF(AND($E225=Subj_OccCode,Subj_BldgSF&gt;0,ABS($L225-Subj_BldgSF)&lt;=Subj_BldgSF*Subj_SizeTol),ABS($L225-Subj_BldgSF),NA())</f>
        <v/>
      </c>
      <c r="AJ225">
        <f>IF(ISNA(AI225),NA(),AI225+ROW()/10000000)</f>
        <v/>
      </c>
      <c r="AK225">
        <f>IF(AND(ISNUMBER($N225),$N225&gt;0,ISNUMBER($Y225)),$Y225/$N225,"")</f>
        <v/>
      </c>
    </row>
    <row r="226" ht="15" customHeight="1" s="518">
      <c r="A226" s="62" t="n">
        <v>7</v>
      </c>
      <c r="B226" s="59" t="n">
        <v>218</v>
      </c>
      <c r="C226" t="inlineStr">
        <is>
          <t>R0039059</t>
        </is>
      </c>
      <c r="D226" t="inlineStr">
        <is>
          <t xml:space="preserve">10475  IRMA DR 1 </t>
        </is>
      </c>
      <c r="E226" t="n">
        <v>425</v>
      </c>
      <c r="F226" t="inlineStr">
        <is>
          <t>NORTHGLENN</t>
        </is>
      </c>
      <c r="G226" t="inlineStr">
        <is>
          <t>4</t>
        </is>
      </c>
      <c r="H226" s="703">
        <f>Y226/J226</f>
        <v/>
      </c>
      <c r="I226" s="124" t="n">
        <v>44932</v>
      </c>
      <c r="J226" t="n">
        <v>25500</v>
      </c>
      <c r="L226" t="n">
        <v>25500</v>
      </c>
      <c r="M226" t="n">
        <v>1984</v>
      </c>
      <c r="P226" t="inlineStr">
        <is>
          <t>I-2-Nor</t>
        </is>
      </c>
      <c r="R226" t="inlineStr">
        <is>
          <t>Average</t>
        </is>
      </c>
      <c r="S226" t="n">
        <v>4655</v>
      </c>
      <c r="T226" s="121">
        <f>S226/L226</f>
        <v/>
      </c>
      <c r="U226" t="inlineStr">
        <is>
          <t>Average</t>
        </is>
      </c>
      <c r="Y226" s="705" t="n">
        <v>546000</v>
      </c>
      <c r="AA226" s="705" t="n">
        <v>546000</v>
      </c>
      <c r="AC226" t="inlineStr">
        <is>
          <t>0171911411020</t>
        </is>
      </c>
      <c r="AD226" t="inlineStr">
        <is>
          <t>2023000000922</t>
        </is>
      </c>
      <c r="AE226" s="575" t="inlineStr">
        <is>
          <t>STEWART DON W LIVING TRUST 1/2 INT, STEWART DON W MARITAL TRUST 1/2 INT</t>
        </is>
      </c>
      <c r="AF226" s="575" t="inlineStr">
        <is>
          <t>JOHNS ERIC</t>
        </is>
      </c>
      <c r="AI226" s="59">
        <f>IF(AND($E226=Subj_OccCode,Subj_BldgSF&gt;0,ABS($L226-Subj_BldgSF)&lt;=Subj_BldgSF*Subj_SizeTol),ABS($L226-Subj_BldgSF),NA())</f>
        <v/>
      </c>
      <c r="AJ226">
        <f>IF(ISNA(AI226),NA(),AI226+ROW()/10000000)</f>
        <v/>
      </c>
      <c r="AK226">
        <f>IF(AND(ISNUMBER($N226),$N226&gt;0,ISNUMBER($Y226)),$Y226/$N226,"")</f>
        <v/>
      </c>
    </row>
    <row r="227" ht="15" customHeight="1" s="518">
      <c r="A227" s="62" t="n">
        <v>7</v>
      </c>
      <c r="B227" s="59" t="n">
        <v>219</v>
      </c>
      <c r="C227" t="inlineStr">
        <is>
          <t>R0039060</t>
        </is>
      </c>
      <c r="D227" t="inlineStr">
        <is>
          <t xml:space="preserve">10475  IRMA DR 2 </t>
        </is>
      </c>
      <c r="E227" t="n">
        <v>425</v>
      </c>
      <c r="F227" t="inlineStr">
        <is>
          <t>NORTHGLENN</t>
        </is>
      </c>
      <c r="G227" t="inlineStr">
        <is>
          <t>4</t>
        </is>
      </c>
      <c r="H227" s="703">
        <f>Y227/J227</f>
        <v/>
      </c>
      <c r="I227" s="124" t="n">
        <v>44932</v>
      </c>
      <c r="J227" t="n">
        <v>25500</v>
      </c>
      <c r="L227" t="n">
        <v>25500</v>
      </c>
      <c r="M227" t="n">
        <v>1984</v>
      </c>
      <c r="P227" t="inlineStr">
        <is>
          <t>I-2-Nor</t>
        </is>
      </c>
      <c r="R227" t="inlineStr">
        <is>
          <t>Average</t>
        </is>
      </c>
      <c r="S227" t="n">
        <v>4655</v>
      </c>
      <c r="T227" s="121">
        <f>S227/L227</f>
        <v/>
      </c>
      <c r="U227" t="inlineStr">
        <is>
          <t>Average</t>
        </is>
      </c>
      <c r="Y227" s="705" t="n">
        <v>546000</v>
      </c>
      <c r="AA227" s="705" t="n">
        <v>546000</v>
      </c>
      <c r="AC227" t="inlineStr">
        <is>
          <t>0171911411021</t>
        </is>
      </c>
      <c r="AD227" t="inlineStr">
        <is>
          <t>2023000000922</t>
        </is>
      </c>
      <c r="AE227" s="575" t="inlineStr">
        <is>
          <t>STEWART DON W LIVING TRUST 1/2 INT, STEWART DON W MARITAL TRUST 1/2 INT</t>
        </is>
      </c>
      <c r="AF227" s="575" t="inlineStr">
        <is>
          <t>JOHNS ERIC</t>
        </is>
      </c>
      <c r="AI227" s="59">
        <f>IF(AND($E227=Subj_OccCode,Subj_BldgSF&gt;0,ABS($L227-Subj_BldgSF)&lt;=Subj_BldgSF*Subj_SizeTol),ABS($L227-Subj_BldgSF),NA())</f>
        <v/>
      </c>
      <c r="AJ227">
        <f>IF(ISNA(AI227),NA(),AI227+ROW()/10000000)</f>
        <v/>
      </c>
      <c r="AK227">
        <f>IF(AND(ISNUMBER($N227),$N227&gt;0,ISNUMBER($Y227)),$Y227/$N227,"")</f>
        <v/>
      </c>
    </row>
    <row r="228" ht="15" customHeight="1" s="518">
      <c r="A228" s="62" t="n">
        <v>7</v>
      </c>
      <c r="B228" s="59" t="n">
        <v>220</v>
      </c>
      <c r="C228" t="inlineStr">
        <is>
          <t>R0124487</t>
        </is>
      </c>
      <c r="D228" t="inlineStr">
        <is>
          <t xml:space="preserve">4750 W 60TH AVE  </t>
        </is>
      </c>
      <c r="E228" t="n">
        <v>334</v>
      </c>
      <c r="F228" t="inlineStr">
        <is>
          <t>ARVADA</t>
        </is>
      </c>
      <c r="G228" t="inlineStr">
        <is>
          <t>5</t>
        </is>
      </c>
      <c r="H228" s="703">
        <f>Y228/J228</f>
        <v/>
      </c>
      <c r="I228" s="124" t="n">
        <v>44931</v>
      </c>
      <c r="J228" t="n">
        <v>13400</v>
      </c>
      <c r="L228" t="n">
        <v>13400</v>
      </c>
      <c r="M228" t="n">
        <v>1979</v>
      </c>
      <c r="P228" t="inlineStr">
        <is>
          <t>I-1-Arv</t>
        </is>
      </c>
      <c r="R228" t="inlineStr">
        <is>
          <t>Average</t>
        </is>
      </c>
      <c r="S228" t="n">
        <v>150608</v>
      </c>
      <c r="T228" s="121">
        <f>S228/L228</f>
        <v/>
      </c>
      <c r="U228" t="inlineStr">
        <is>
          <t>Average</t>
        </is>
      </c>
      <c r="Y228" s="705" t="n">
        <v>10000000</v>
      </c>
      <c r="AA228" s="705" t="n">
        <v>10000000</v>
      </c>
      <c r="AC228" t="inlineStr">
        <is>
          <t>0182507306013</t>
        </is>
      </c>
      <c r="AD228" t="inlineStr">
        <is>
          <t>2023000001455</t>
        </is>
      </c>
      <c r="AE228" s="575" t="inlineStr">
        <is>
          <t>MATHEWS FAMILY LLC</t>
        </is>
      </c>
      <c r="AF228" s="575" t="inlineStr">
        <is>
          <t>MARK VII EQUIPMENT INC</t>
        </is>
      </c>
      <c r="AI228" s="59">
        <f>IF(AND($E228=Subj_OccCode,Subj_BldgSF&gt;0,ABS($L228-Subj_BldgSF)&lt;=Subj_BldgSF*Subj_SizeTol),ABS($L228-Subj_BldgSF),NA())</f>
        <v/>
      </c>
      <c r="AJ228">
        <f>IF(ISNA(AI228),NA(),AI228+ROW()/10000000)</f>
        <v/>
      </c>
      <c r="AK228">
        <f>IF(AND(ISNUMBER($N228),$N228&gt;0,ISNUMBER($Y228)),$Y228/$N228,"")</f>
        <v/>
      </c>
    </row>
    <row r="229" ht="15" customHeight="1" s="518">
      <c r="A229" s="62" t="n">
        <v>7</v>
      </c>
      <c r="B229" s="59" t="n">
        <v>221</v>
      </c>
      <c r="C229" t="inlineStr">
        <is>
          <t>R0102984</t>
        </is>
      </c>
      <c r="D229" t="inlineStr">
        <is>
          <t>5981  TENNYSON ST</t>
        </is>
      </c>
      <c r="E229" t="n">
        <v>407</v>
      </c>
      <c r="F229" t="inlineStr">
        <is>
          <t>ARVADA</t>
        </is>
      </c>
      <c r="G229" t="inlineStr">
        <is>
          <t>5</t>
        </is>
      </c>
      <c r="H229" s="703">
        <f>Y229/J229</f>
        <v/>
      </c>
      <c r="I229" s="124" t="n">
        <v>44931</v>
      </c>
      <c r="J229" t="n">
        <v>73437</v>
      </c>
      <c r="L229" t="n">
        <v>73437</v>
      </c>
      <c r="M229" t="n">
        <v>1974</v>
      </c>
      <c r="P229" t="inlineStr">
        <is>
          <t>I-1-Arv</t>
        </is>
      </c>
      <c r="R229" t="inlineStr">
        <is>
          <t>Average</t>
        </is>
      </c>
      <c r="S229" t="n">
        <v>162880</v>
      </c>
      <c r="T229" s="121">
        <f>S229/L229</f>
        <v/>
      </c>
      <c r="U229" t="inlineStr">
        <is>
          <t>Average</t>
        </is>
      </c>
      <c r="Y229" s="705" t="n">
        <v>10000000</v>
      </c>
      <c r="AA229" s="705" t="n">
        <v>10000000</v>
      </c>
      <c r="AC229" t="inlineStr">
        <is>
          <t>0182507304002</t>
        </is>
      </c>
      <c r="AD229" t="inlineStr">
        <is>
          <t>2023000001455</t>
        </is>
      </c>
      <c r="AE229" s="575" t="inlineStr">
        <is>
          <t>MATHEWS FAMILY LLC</t>
        </is>
      </c>
      <c r="AF229" s="575" t="inlineStr">
        <is>
          <t>MARK VII EQUIPMENT INC</t>
        </is>
      </c>
      <c r="AI229" s="59">
        <f>IF(AND($E229=Subj_OccCode,Subj_BldgSF&gt;0,ABS($L229-Subj_BldgSF)&lt;=Subj_BldgSF*Subj_SizeTol),ABS($L229-Subj_BldgSF),NA())</f>
        <v/>
      </c>
      <c r="AJ229">
        <f>IF(ISNA(AI229),NA(),AI229+ROW()/10000000)</f>
        <v/>
      </c>
      <c r="AK229">
        <f>IF(AND(ISNUMBER($N229),$N229&gt;0,ISNUMBER($Y229)),$Y229/$N229,"")</f>
        <v/>
      </c>
    </row>
    <row r="230" ht="15" customHeight="1" s="518">
      <c r="A230" s="62" t="n">
        <v>7</v>
      </c>
      <c r="B230" s="59" t="n">
        <v>222</v>
      </c>
      <c r="C230" t="inlineStr">
        <is>
          <t>R0037747</t>
        </is>
      </c>
      <c r="D230" t="inlineStr">
        <is>
          <t xml:space="preserve">1680 E 112TH AVE  </t>
        </is>
      </c>
      <c r="E230" t="n">
        <v>325</v>
      </c>
      <c r="F230" t="inlineStr">
        <is>
          <t>NORTHGLENN</t>
        </is>
      </c>
      <c r="G230" t="inlineStr">
        <is>
          <t>4</t>
        </is>
      </c>
      <c r="H230" s="703">
        <f>Y230/J230</f>
        <v/>
      </c>
      <c r="I230" s="124" t="n">
        <v>44943</v>
      </c>
      <c r="J230" t="n">
        <v>1152</v>
      </c>
      <c r="L230" t="n">
        <v>1152</v>
      </c>
      <c r="M230" t="n">
        <v>1963</v>
      </c>
      <c r="P230" t="inlineStr">
        <is>
          <t>C-4-Nor</t>
        </is>
      </c>
      <c r="R230" t="inlineStr">
        <is>
          <t>Average</t>
        </is>
      </c>
      <c r="S230" t="n">
        <v>18750</v>
      </c>
      <c r="T230" s="121">
        <f>S230/L230</f>
        <v/>
      </c>
      <c r="U230" t="inlineStr">
        <is>
          <t>Average</t>
        </is>
      </c>
      <c r="Y230" s="705" t="n">
        <v>750000</v>
      </c>
      <c r="AA230" s="705" t="n">
        <v>750000</v>
      </c>
      <c r="AC230" t="inlineStr">
        <is>
          <t>0171911103017</t>
        </is>
      </c>
      <c r="AD230" t="inlineStr">
        <is>
          <t>2023000003311</t>
        </is>
      </c>
      <c r="AE230" s="575" t="inlineStr">
        <is>
          <t>COOK LISA AND DANSKY VICKI AND , PERLMUTTER JAY AND PERLMUTTER JONATHAN ET AL</t>
        </is>
      </c>
      <c r="AF230" s="575" t="inlineStr">
        <is>
          <t>NORTHGLENN URBAN RENEWAL AUTHORITY</t>
        </is>
      </c>
      <c r="AI230" s="59">
        <f>IF(AND($E230=Subj_OccCode,Subj_BldgSF&gt;0,ABS($L230-Subj_BldgSF)&lt;=Subj_BldgSF*Subj_SizeTol),ABS($L230-Subj_BldgSF),NA())</f>
        <v/>
      </c>
      <c r="AJ230">
        <f>IF(ISNA(AI230),NA(),AI230+ROW()/10000000)</f>
        <v/>
      </c>
      <c r="AK230">
        <f>IF(AND(ISNUMBER($N230),$N230&gt;0,ISNUMBER($Y230)),$Y230/$N230,"")</f>
        <v/>
      </c>
    </row>
    <row r="231" ht="15" customHeight="1" s="518">
      <c r="A231" s="62" t="n">
        <v>7</v>
      </c>
      <c r="B231" s="59" t="n">
        <v>223</v>
      </c>
      <c r="C231" t="inlineStr">
        <is>
          <t>R0037748</t>
        </is>
      </c>
      <c r="D231" t="inlineStr">
        <is>
          <t xml:space="preserve">1660 E 112TH AVE </t>
        </is>
      </c>
      <c r="E231" t="n">
        <v>353</v>
      </c>
      <c r="F231" t="inlineStr">
        <is>
          <t>NORTHGLENN</t>
        </is>
      </c>
      <c r="G231" t="inlineStr">
        <is>
          <t>4</t>
        </is>
      </c>
      <c r="H231" s="703">
        <f>Y231/J231</f>
        <v/>
      </c>
      <c r="I231" s="124" t="n">
        <v>44943</v>
      </c>
      <c r="J231" t="n">
        <v>2400</v>
      </c>
      <c r="L231" t="n">
        <v>2400</v>
      </c>
      <c r="M231" t="n">
        <v>1964</v>
      </c>
      <c r="P231" t="inlineStr">
        <is>
          <t>R-1-C-Nor</t>
        </is>
      </c>
      <c r="R231" t="inlineStr">
        <is>
          <t>Average</t>
        </is>
      </c>
      <c r="S231" t="n">
        <v>15000</v>
      </c>
      <c r="T231" s="121">
        <f>S231/L231</f>
        <v/>
      </c>
      <c r="U231" t="inlineStr">
        <is>
          <t>Average</t>
        </is>
      </c>
      <c r="Y231" s="705" t="n">
        <v>750000</v>
      </c>
      <c r="AA231" s="705" t="n">
        <v>750000</v>
      </c>
      <c r="AC231" t="inlineStr">
        <is>
          <t>0171911103018</t>
        </is>
      </c>
      <c r="AD231" t="inlineStr">
        <is>
          <t>2023000003311</t>
        </is>
      </c>
      <c r="AE231" s="575" t="inlineStr">
        <is>
          <t>COOK LISA AND DANSKY VICKI AND , PERLMUTTER JAY AND PERLMUTTER JONATHAN ET AL</t>
        </is>
      </c>
      <c r="AF231" s="575" t="inlineStr">
        <is>
          <t>NORTHGLENN URBAN RENEWAL AUTHORITY</t>
        </is>
      </c>
      <c r="AI231" s="59">
        <f>IF(AND($E231=Subj_OccCode,Subj_BldgSF&gt;0,ABS($L231-Subj_BldgSF)&lt;=Subj_BldgSF*Subj_SizeTol),ABS($L231-Subj_BldgSF),NA())</f>
        <v/>
      </c>
      <c r="AJ231">
        <f>IF(ISNA(AI231),NA(),AI231+ROW()/10000000)</f>
        <v/>
      </c>
      <c r="AK231">
        <f>IF(AND(ISNUMBER($N231),$N231&gt;0,ISNUMBER($Y231)),$Y231/$N231,"")</f>
        <v/>
      </c>
    </row>
    <row r="232" ht="15" customHeight="1" s="518">
      <c r="A232" s="62" t="n">
        <v>7</v>
      </c>
      <c r="B232" s="59" t="n">
        <v>224</v>
      </c>
      <c r="C232" t="inlineStr">
        <is>
          <t>R0092693</t>
        </is>
      </c>
      <c r="D232" t="inlineStr">
        <is>
          <t xml:space="preserve">6405 E 48TH AVE  </t>
        </is>
      </c>
      <c r="E232" t="n">
        <v>407</v>
      </c>
      <c r="F232" t="inlineStr">
        <is>
          <t>COMMERCE CITY</t>
        </is>
      </c>
      <c r="G232" t="inlineStr">
        <is>
          <t>5</t>
        </is>
      </c>
      <c r="H232" s="703">
        <f>Y232/J232</f>
        <v/>
      </c>
      <c r="I232" s="124" t="n">
        <v>44944</v>
      </c>
      <c r="J232" t="n">
        <v>14400</v>
      </c>
      <c r="L232" t="n">
        <v>14400</v>
      </c>
      <c r="M232" t="n">
        <v>1981</v>
      </c>
      <c r="P232" t="inlineStr">
        <is>
          <t>I-1S</t>
        </is>
      </c>
      <c r="R232" t="inlineStr">
        <is>
          <t>Average</t>
        </is>
      </c>
      <c r="S232" t="n">
        <v>62126</v>
      </c>
      <c r="T232" s="121">
        <f>S232/L232</f>
        <v/>
      </c>
      <c r="U232" t="inlineStr">
        <is>
          <t>Average</t>
        </is>
      </c>
      <c r="Y232" s="705" t="n">
        <v>4050000</v>
      </c>
      <c r="AA232" s="705" t="n">
        <v>4050000</v>
      </c>
      <c r="AC232" t="inlineStr">
        <is>
          <t>0182317304046</t>
        </is>
      </c>
      <c r="AD232" t="inlineStr">
        <is>
          <t>2023000003819</t>
        </is>
      </c>
      <c r="AE232" s="575" t="inlineStr">
        <is>
          <t>UTAH WOOD PRESERVING CO</t>
        </is>
      </c>
      <c r="AF232" s="575" t="inlineStr">
        <is>
          <t>WOOD CROSS LLC</t>
        </is>
      </c>
      <c r="AI232" s="59">
        <f>IF(AND($E232=Subj_OccCode,Subj_BldgSF&gt;0,ABS($L232-Subj_BldgSF)&lt;=Subj_BldgSF*Subj_SizeTol),ABS($L232-Subj_BldgSF),NA())</f>
        <v/>
      </c>
      <c r="AJ232">
        <f>IF(ISNA(AI232),NA(),AI232+ROW()/10000000)</f>
        <v/>
      </c>
      <c r="AK232">
        <f>IF(AND(ISNUMBER($N232),$N232&gt;0,ISNUMBER($Y232)),$Y232/$N232,"")</f>
        <v/>
      </c>
    </row>
    <row r="233" ht="15" customHeight="1" s="518">
      <c r="A233" s="62" t="n">
        <v>7</v>
      </c>
      <c r="B233" s="59" t="n">
        <v>225</v>
      </c>
      <c r="C233" t="inlineStr">
        <is>
          <t>R0212551</t>
        </is>
      </c>
      <c r="D233" t="inlineStr">
        <is>
          <t xml:space="preserve">5805 N JACKSON GAP ST </t>
        </is>
      </c>
      <c r="E233" t="n">
        <v>325</v>
      </c>
      <c r="F233" t="inlineStr">
        <is>
          <t>AURORA</t>
        </is>
      </c>
      <c r="G233" t="inlineStr">
        <is>
          <t>6</t>
        </is>
      </c>
      <c r="H233" s="703">
        <f>Y233/J233</f>
        <v/>
      </c>
      <c r="I233" s="124" t="n">
        <v>44946</v>
      </c>
      <c r="J233" t="n">
        <v>10120</v>
      </c>
      <c r="L233" t="n">
        <v>10120</v>
      </c>
      <c r="M233" t="n">
        <v>2021</v>
      </c>
      <c r="R233" t="inlineStr">
        <is>
          <t>Average</t>
        </is>
      </c>
      <c r="S233" t="n">
        <v>2854518</v>
      </c>
      <c r="T233" s="121">
        <f>S233/L233</f>
        <v/>
      </c>
      <c r="U233" t="inlineStr">
        <is>
          <t>Average</t>
        </is>
      </c>
      <c r="Y233" s="705" t="n">
        <v>72219900</v>
      </c>
      <c r="AA233" s="705" t="n">
        <v>72219900</v>
      </c>
      <c r="AC233" t="inlineStr">
        <is>
          <t>0181908301001</t>
        </is>
      </c>
      <c r="AD233" t="inlineStr">
        <is>
          <t>2023000003867</t>
        </is>
      </c>
      <c r="AE233" s="575" t="inlineStr">
        <is>
          <t>SCANNELL PROPERTIES #505 LLC</t>
        </is>
      </c>
      <c r="AF233" s="575" t="inlineStr">
        <is>
          <t>SFG AURORA CO LLC</t>
        </is>
      </c>
      <c r="AI233" s="59">
        <f>IF(AND($E233=Subj_OccCode,Subj_BldgSF&gt;0,ABS($L233-Subj_BldgSF)&lt;=Subj_BldgSF*Subj_SizeTol),ABS($L233-Subj_BldgSF),NA())</f>
        <v/>
      </c>
      <c r="AJ233">
        <f>IF(ISNA(AI233),NA(),AI233+ROW()/10000000)</f>
        <v/>
      </c>
      <c r="AK233">
        <f>IF(AND(ISNUMBER($N233),$N233&gt;0,ISNUMBER($Y233)),$Y233/$N233,"")</f>
        <v/>
      </c>
    </row>
    <row r="234" ht="15" customHeight="1" s="518">
      <c r="A234" s="62" t="n">
        <v>7</v>
      </c>
      <c r="B234" s="59" t="n">
        <v>226</v>
      </c>
      <c r="C234" t="inlineStr">
        <is>
          <t>R0212536</t>
        </is>
      </c>
      <c r="D234" t="inlineStr">
        <is>
          <t xml:space="preserve">8780 E 93RD PL  </t>
        </is>
      </c>
      <c r="E234" t="n">
        <v>325</v>
      </c>
      <c r="F234" t="inlineStr">
        <is>
          <t>COMMERCE CITY</t>
        </is>
      </c>
      <c r="G234" t="inlineStr">
        <is>
          <t>5</t>
        </is>
      </c>
      <c r="H234" s="703">
        <f>Y234/J234</f>
        <v/>
      </c>
      <c r="I234" s="124" t="n">
        <v>44972</v>
      </c>
      <c r="J234" t="n">
        <v>42000</v>
      </c>
      <c r="L234" t="n">
        <v>42000</v>
      </c>
      <c r="S234" t="n">
        <v>377460</v>
      </c>
      <c r="T234" s="121">
        <f>S234/L234</f>
        <v/>
      </c>
      <c r="Y234" s="705" t="n">
        <v>21000000</v>
      </c>
      <c r="AA234" s="705" t="n">
        <v>21000000</v>
      </c>
      <c r="AC234" t="inlineStr">
        <is>
          <t>0172121102016</t>
        </is>
      </c>
      <c r="AD234" t="inlineStr">
        <is>
          <t>2023000008265</t>
        </is>
      </c>
      <c r="AE234" s="575" t="inlineStr">
        <is>
          <t>IOV 8780 93RD PLACE LLC</t>
        </is>
      </c>
      <c r="AF234" s="575" t="inlineStr">
        <is>
          <t>UMDASCH REAL ESTATE USA LTD</t>
        </is>
      </c>
      <c r="AI234" s="59">
        <f>IF(AND($E234=Subj_OccCode,Subj_BldgSF&gt;0,ABS($L234-Subj_BldgSF)&lt;=Subj_BldgSF*Subj_SizeTol),ABS($L234-Subj_BldgSF),NA())</f>
        <v/>
      </c>
      <c r="AJ234">
        <f>IF(ISNA(AI234),NA(),AI234+ROW()/10000000)</f>
        <v/>
      </c>
      <c r="AK234">
        <f>IF(AND(ISNUMBER($N234),$N234&gt;0,ISNUMBER($Y234)),$Y234/$N234,"")</f>
        <v/>
      </c>
    </row>
    <row r="235" ht="15" customHeight="1" s="518">
      <c r="A235" s="62" t="n">
        <v>7</v>
      </c>
      <c r="B235" s="59" t="n">
        <v>227</v>
      </c>
      <c r="C235" t="inlineStr">
        <is>
          <t>R0217175</t>
        </is>
      </c>
      <c r="D235" t="inlineStr">
        <is>
          <t xml:space="preserve">13551  QUEBEC ST  </t>
        </is>
      </c>
      <c r="E235" t="n">
        <v>353</v>
      </c>
      <c r="F235" t="inlineStr">
        <is>
          <t>THORNTON</t>
        </is>
      </c>
      <c r="G235" t="inlineStr">
        <is>
          <t>3</t>
        </is>
      </c>
      <c r="H235" s="703">
        <f>Y235/J235</f>
        <v/>
      </c>
      <c r="I235" s="124" t="n">
        <v>44985</v>
      </c>
      <c r="J235" t="n">
        <v>4183</v>
      </c>
      <c r="L235" t="n">
        <v>4183</v>
      </c>
      <c r="S235" t="n">
        <v>25512</v>
      </c>
      <c r="T235" s="121">
        <f>S235/L235</f>
        <v/>
      </c>
      <c r="Y235" s="705" t="n">
        <v>1758844</v>
      </c>
      <c r="AA235" s="705" t="n">
        <v>1758844</v>
      </c>
      <c r="AC235" t="inlineStr">
        <is>
          <t>0157129113126</t>
        </is>
      </c>
      <c r="AD235" t="inlineStr">
        <is>
          <t>2023000010732</t>
        </is>
      </c>
      <c r="AE235" s="575" t="inlineStr">
        <is>
          <t>STRATUS AMBER CREEK LLC</t>
        </is>
      </c>
      <c r="AF235" s="575" t="inlineStr">
        <is>
          <t>WDG AMBER CREEK LLC</t>
        </is>
      </c>
      <c r="AI235" s="59">
        <f>IF(AND($E235=Subj_OccCode,Subj_BldgSF&gt;0,ABS($L235-Subj_BldgSF)&lt;=Subj_BldgSF*Subj_SizeTol),ABS($L235-Subj_BldgSF),NA())</f>
        <v/>
      </c>
      <c r="AJ235">
        <f>IF(ISNA(AI235),NA(),AI235+ROW()/10000000)</f>
        <v/>
      </c>
      <c r="AK235">
        <f>IF(AND(ISNUMBER($N235),$N235&gt;0,ISNUMBER($Y235)),$Y235/$N235,"")</f>
        <v/>
      </c>
    </row>
    <row r="236" ht="15" customHeight="1" s="518">
      <c r="A236" s="62" t="n">
        <v>7</v>
      </c>
      <c r="B236" s="59" t="n">
        <v>228</v>
      </c>
      <c r="C236" t="inlineStr">
        <is>
          <t>R0131307</t>
        </is>
      </c>
      <c r="D236" t="inlineStr">
        <is>
          <t xml:space="preserve">180  BROMLEY BUSINESS PKWY </t>
        </is>
      </c>
      <c r="E236" t="n">
        <v>105</v>
      </c>
      <c r="F236" t="inlineStr">
        <is>
          <t>BRIGHTON</t>
        </is>
      </c>
      <c r="G236" t="inlineStr">
        <is>
          <t>2</t>
        </is>
      </c>
      <c r="H236" s="703">
        <f>Y236/J236</f>
        <v/>
      </c>
      <c r="I236" s="124" t="n">
        <v>44986</v>
      </c>
      <c r="J236" t="n">
        <v>9600</v>
      </c>
      <c r="L236" t="n">
        <v>9600</v>
      </c>
      <c r="M236" t="n">
        <v>2003</v>
      </c>
      <c r="P236" t="inlineStr">
        <is>
          <t>PUD-Bri</t>
        </is>
      </c>
      <c r="R236" t="inlineStr">
        <is>
          <t>Average</t>
        </is>
      </c>
      <c r="S236" t="n">
        <v>309450.24</v>
      </c>
      <c r="T236" s="121">
        <f>S236/L236</f>
        <v/>
      </c>
      <c r="U236" t="inlineStr">
        <is>
          <t>Average</t>
        </is>
      </c>
      <c r="Y236" s="705" t="n">
        <v>13758500</v>
      </c>
      <c r="AA236" s="705" t="n">
        <v>13758500</v>
      </c>
      <c r="AC236" t="inlineStr">
        <is>
          <t>0156911106009</t>
        </is>
      </c>
      <c r="AD236" t="inlineStr">
        <is>
          <t>2023000011280</t>
        </is>
      </c>
      <c r="AE236" s="575" t="inlineStr">
        <is>
          <t>PONY EXPRESS MINI STORAGE II LLC</t>
        </is>
      </c>
      <c r="AF236" s="575" t="inlineStr">
        <is>
          <t>GC MP BRIGHTON LLC</t>
        </is>
      </c>
      <c r="AI236" s="59">
        <f>IF(AND($E236=Subj_OccCode,Subj_BldgSF&gt;0,ABS($L236-Subj_BldgSF)&lt;=Subj_BldgSF*Subj_SizeTol),ABS($L236-Subj_BldgSF),NA())</f>
        <v/>
      </c>
      <c r="AJ236">
        <f>IF(ISNA(AI236),NA(),AI236+ROW()/10000000)</f>
        <v/>
      </c>
      <c r="AK236">
        <f>IF(AND(ISNUMBER($N236),$N236&gt;0,ISNUMBER($Y236)),$Y236/$N236,"")</f>
        <v/>
      </c>
    </row>
    <row r="237" ht="15" customHeight="1" s="518">
      <c r="A237" s="62" t="n">
        <v>7</v>
      </c>
      <c r="B237" s="59" t="n">
        <v>229</v>
      </c>
      <c r="C237" t="inlineStr">
        <is>
          <t>R0002838</t>
        </is>
      </c>
      <c r="D237" t="inlineStr">
        <is>
          <t xml:space="preserve">15 N MAIN ST </t>
        </is>
      </c>
      <c r="E237" t="n">
        <v>353</v>
      </c>
      <c r="F237" t="inlineStr">
        <is>
          <t>BRIGHTON</t>
        </is>
      </c>
      <c r="G237" t="inlineStr">
        <is>
          <t>2</t>
        </is>
      </c>
      <c r="H237" s="703">
        <f>Y237/J237</f>
        <v/>
      </c>
      <c r="I237" s="124" t="n">
        <v>45009</v>
      </c>
      <c r="J237" t="n">
        <v>4000</v>
      </c>
      <c r="L237" t="n">
        <v>4000</v>
      </c>
      <c r="M237" t="n">
        <v>1917</v>
      </c>
      <c r="P237" t="inlineStr">
        <is>
          <t>DT</t>
        </is>
      </c>
      <c r="R237" t="inlineStr">
        <is>
          <t>Average</t>
        </is>
      </c>
      <c r="S237" t="n">
        <v>10150</v>
      </c>
      <c r="T237" s="121">
        <f>S237/L237</f>
        <v/>
      </c>
      <c r="U237" t="inlineStr">
        <is>
          <t>Average</t>
        </is>
      </c>
      <c r="Y237" s="705" t="n">
        <v>1012000</v>
      </c>
      <c r="AA237" s="705" t="n">
        <v>1012000</v>
      </c>
      <c r="AC237" t="inlineStr">
        <is>
          <t>0156906314010</t>
        </is>
      </c>
      <c r="AD237" t="inlineStr">
        <is>
          <t>2023000015687</t>
        </is>
      </c>
      <c r="AE237" s="575" t="inlineStr">
        <is>
          <t>SHELL LLC</t>
        </is>
      </c>
      <c r="AF237" s="575" t="inlineStr">
        <is>
          <t>ROTH ERIC</t>
        </is>
      </c>
      <c r="AI237" s="59">
        <f>IF(AND($E237=Subj_OccCode,Subj_BldgSF&gt;0,ABS($L237-Subj_BldgSF)&lt;=Subj_BldgSF*Subj_SizeTol),ABS($L237-Subj_BldgSF),NA())</f>
        <v/>
      </c>
      <c r="AJ237">
        <f>IF(ISNA(AI237),NA(),AI237+ROW()/10000000)</f>
        <v/>
      </c>
      <c r="AK237">
        <f>IF(AND(ISNUMBER($N237),$N237&gt;0,ISNUMBER($Y237)),$Y237/$N237,"")</f>
        <v/>
      </c>
    </row>
    <row r="238" ht="15" customHeight="1" s="518">
      <c r="A238" s="62" t="n">
        <v>7</v>
      </c>
      <c r="B238" s="59" t="n">
        <v>230</v>
      </c>
      <c r="C238" t="inlineStr">
        <is>
          <t>R0024505</t>
        </is>
      </c>
      <c r="D238" t="inlineStr">
        <is>
          <t xml:space="preserve">12040  MELODY DR  </t>
        </is>
      </c>
      <c r="E238" t="n">
        <v>349</v>
      </c>
      <c r="F238" t="inlineStr">
        <is>
          <t>WESTMINSTER</t>
        </is>
      </c>
      <c r="G238" t="inlineStr">
        <is>
          <t>3</t>
        </is>
      </c>
      <c r="H238" s="703">
        <f>Y238/J238</f>
        <v/>
      </c>
      <c r="I238" s="124" t="n">
        <v>44999</v>
      </c>
      <c r="J238" t="n">
        <v>2364</v>
      </c>
      <c r="L238" t="n">
        <v>2364</v>
      </c>
      <c r="M238" t="n">
        <v>1986</v>
      </c>
      <c r="P238" t="inlineStr">
        <is>
          <t>PUD-Wes</t>
        </is>
      </c>
      <c r="R238" t="inlineStr">
        <is>
          <t>Average</t>
        </is>
      </c>
      <c r="S238" t="n">
        <v>36462</v>
      </c>
      <c r="T238" s="121">
        <f>S238/L238</f>
        <v/>
      </c>
      <c r="U238" t="inlineStr">
        <is>
          <t>Average</t>
        </is>
      </c>
      <c r="Y238" s="705" t="n">
        <v>2151400</v>
      </c>
      <c r="AA238" s="705" t="n">
        <v>2151400</v>
      </c>
      <c r="AC238" t="inlineStr">
        <is>
          <t>0157334301003</t>
        </is>
      </c>
      <c r="AD238" t="inlineStr">
        <is>
          <t>2023000017021</t>
        </is>
      </c>
      <c r="AE238" s="575" t="inlineStr">
        <is>
          <t>ARCP WY WESTMINSTER CO LLC, C/O RYAN LLC-PTS</t>
        </is>
      </c>
      <c r="AF238" s="575" t="inlineStr">
        <is>
          <t>MDC COAST 29 LLC</t>
        </is>
      </c>
      <c r="AI238" s="59">
        <f>IF(AND($E238=Subj_OccCode,Subj_BldgSF&gt;0,ABS($L238-Subj_BldgSF)&lt;=Subj_BldgSF*Subj_SizeTol),ABS($L238-Subj_BldgSF),NA())</f>
        <v/>
      </c>
      <c r="AJ238">
        <f>IF(ISNA(AI238),NA(),AI238+ROW()/10000000)</f>
        <v/>
      </c>
      <c r="AK238">
        <f>IF(AND(ISNUMBER($N238),$N238&gt;0,ISNUMBER($Y238)),$Y238/$N238,"")</f>
        <v/>
      </c>
    </row>
    <row r="239" ht="15" customHeight="1" s="518">
      <c r="A239" s="62" t="n">
        <v>7</v>
      </c>
      <c r="B239" s="59" t="n">
        <v>231</v>
      </c>
      <c r="C239" t="inlineStr">
        <is>
          <t>R0008943</t>
        </is>
      </c>
      <c r="D239" t="inlineStr">
        <is>
          <t>15040  BRIGHTON RD</t>
        </is>
      </c>
      <c r="E239" t="n">
        <v>1332</v>
      </c>
      <c r="F239" t="inlineStr">
        <is>
          <t>BRIGHTON</t>
        </is>
      </c>
      <c r="G239" t="inlineStr">
        <is>
          <t>3</t>
        </is>
      </c>
      <c r="H239" s="703">
        <f>Y239/J239</f>
        <v/>
      </c>
      <c r="I239" s="124" t="n">
        <v>45023</v>
      </c>
      <c r="J239" t="n">
        <v>39</v>
      </c>
      <c r="L239" t="n">
        <v>39</v>
      </c>
      <c r="M239" t="n">
        <v>1983</v>
      </c>
      <c r="P239" t="inlineStr">
        <is>
          <t>PUD-Bri</t>
        </is>
      </c>
      <c r="R239" t="inlineStr">
        <is>
          <t>Average</t>
        </is>
      </c>
      <c r="S239" t="n">
        <v>59459</v>
      </c>
      <c r="T239" s="121">
        <f>S239/L239</f>
        <v/>
      </c>
      <c r="U239" t="inlineStr">
        <is>
          <t>Average</t>
        </is>
      </c>
      <c r="Y239" s="705" t="n">
        <v>2150000</v>
      </c>
      <c r="AA239" s="705" t="n">
        <v>2150000</v>
      </c>
      <c r="AC239" t="inlineStr">
        <is>
          <t>0157113006005</t>
        </is>
      </c>
      <c r="AD239" t="inlineStr">
        <is>
          <t>2023000018941</t>
        </is>
      </c>
      <c r="AE239" s="575" t="inlineStr">
        <is>
          <t>HAN CHUN INC</t>
        </is>
      </c>
      <c r="AF239" s="575" t="inlineStr">
        <is>
          <t>BRIGHTON ROAD HOTEL LLC</t>
        </is>
      </c>
      <c r="AI239" s="59">
        <f>IF(AND($E239=Subj_OccCode,Subj_BldgSF&gt;0,ABS($L239-Subj_BldgSF)&lt;=Subj_BldgSF*Subj_SizeTol),ABS($L239-Subj_BldgSF),NA())</f>
        <v/>
      </c>
      <c r="AJ239">
        <f>IF(ISNA(AI239),NA(),AI239+ROW()/10000000)</f>
        <v/>
      </c>
      <c r="AK239">
        <f>IF(AND(ISNUMBER($N239),$N239&gt;0,ISNUMBER($Y239)),$Y239/$N239,"")</f>
        <v/>
      </c>
    </row>
    <row r="240" ht="15" customHeight="1" s="518">
      <c r="A240" s="62" t="n">
        <v>7</v>
      </c>
      <c r="B240" s="59" t="n">
        <v>232</v>
      </c>
      <c r="C240" t="inlineStr">
        <is>
          <t>R0211021</t>
        </is>
      </c>
      <c r="D240" t="inlineStr">
        <is>
          <t>100  CENTENNIAL DR</t>
        </is>
      </c>
      <c r="E240" t="n">
        <v>353</v>
      </c>
      <c r="F240" t="inlineStr">
        <is>
          <t>BENNETT</t>
        </is>
      </c>
      <c r="G240" t="inlineStr">
        <is>
          <t>1</t>
        </is>
      </c>
      <c r="H240" s="703">
        <f>Y240/J240</f>
        <v/>
      </c>
      <c r="I240" s="124" t="n">
        <v>45021</v>
      </c>
      <c r="J240" t="n">
        <v>9170</v>
      </c>
      <c r="L240" t="n">
        <v>9170</v>
      </c>
      <c r="M240" t="n">
        <v>2022</v>
      </c>
      <c r="R240" t="inlineStr">
        <is>
          <t>Average</t>
        </is>
      </c>
      <c r="S240" t="n">
        <v>43050</v>
      </c>
      <c r="T240" s="121">
        <f>S240/L240</f>
        <v/>
      </c>
      <c r="U240" t="inlineStr">
        <is>
          <t>Average</t>
        </is>
      </c>
      <c r="Y240" s="705" t="n">
        <v>2482700</v>
      </c>
      <c r="AA240" s="705" t="n">
        <v>2482700</v>
      </c>
      <c r="AC240" t="inlineStr">
        <is>
          <t>0181528401016</t>
        </is>
      </c>
      <c r="AD240" t="inlineStr">
        <is>
          <t>2023000018989</t>
        </is>
      </c>
      <c r="AE240" s="575" t="inlineStr">
        <is>
          <t>BENNETT CO DG LLC</t>
        </is>
      </c>
      <c r="AF240" s="575" t="inlineStr">
        <is>
          <t>58TH LANE LLC AND, LOMA ALTA COMMONS LLC</t>
        </is>
      </c>
      <c r="AI240" s="59">
        <f>IF(AND($E240=Subj_OccCode,Subj_BldgSF&gt;0,ABS($L240-Subj_BldgSF)&lt;=Subj_BldgSF*Subj_SizeTol),ABS($L240-Subj_BldgSF),NA())</f>
        <v/>
      </c>
      <c r="AJ240">
        <f>IF(ISNA(AI240),NA(),AI240+ROW()/10000000)</f>
        <v/>
      </c>
      <c r="AK240">
        <f>IF(AND(ISNUMBER($N240),$N240&gt;0,ISNUMBER($Y240)),$Y240/$N240,"")</f>
        <v/>
      </c>
    </row>
    <row r="241" ht="15" customHeight="1" s="518">
      <c r="A241" s="62" t="n">
        <v>7</v>
      </c>
      <c r="B241" s="59" t="n">
        <v>233</v>
      </c>
      <c r="C241" t="inlineStr">
        <is>
          <t>R0091298</t>
        </is>
      </c>
      <c r="D241" t="inlineStr">
        <is>
          <t>6171  OLIVE ST</t>
        </is>
      </c>
      <c r="E241" t="n">
        <v>309</v>
      </c>
      <c r="F241" t="inlineStr">
        <is>
          <t>COMMERCE CITY</t>
        </is>
      </c>
      <c r="G241" t="inlineStr">
        <is>
          <t>5</t>
        </is>
      </c>
      <c r="H241" s="703">
        <f>Y241/J241</f>
        <v/>
      </c>
      <c r="I241" s="124" t="n">
        <v>45051</v>
      </c>
      <c r="J241" t="n">
        <v>3338</v>
      </c>
      <c r="L241" t="n">
        <v>3338</v>
      </c>
      <c r="M241" t="n">
        <v>1942</v>
      </c>
      <c r="P241" t="inlineStr">
        <is>
          <t>R-2-Com</t>
        </is>
      </c>
      <c r="R241" t="inlineStr">
        <is>
          <t>Average</t>
        </is>
      </c>
      <c r="S241" t="n">
        <v>21150</v>
      </c>
      <c r="T241" s="121">
        <f>S241/L241</f>
        <v/>
      </c>
      <c r="U241" t="inlineStr">
        <is>
          <t>Average</t>
        </is>
      </c>
      <c r="Y241" s="705" t="n">
        <v>450000</v>
      </c>
      <c r="AA241" s="705" t="n">
        <v>450000</v>
      </c>
      <c r="AC241" t="inlineStr">
        <is>
          <t>0182308114018</t>
        </is>
      </c>
      <c r="AD241" t="inlineStr">
        <is>
          <t>2023000025227</t>
        </is>
      </c>
      <c r="AE241" s="575" t="inlineStr">
        <is>
          <t>DANKO-HOLLOWAY LLC</t>
        </is>
      </c>
      <c r="AF241" s="575" t="inlineStr">
        <is>
          <t>SALGADO RETANA MOISES AND, SALGADO RETANA MIRIAM</t>
        </is>
      </c>
      <c r="AI241" s="59">
        <f>IF(AND($E241=Subj_OccCode,Subj_BldgSF&gt;0,ABS($L241-Subj_BldgSF)&lt;=Subj_BldgSF*Subj_SizeTol),ABS($L241-Subj_BldgSF),NA())</f>
        <v/>
      </c>
      <c r="AJ241">
        <f>IF(ISNA(AI241),NA(),AI241+ROW()/10000000)</f>
        <v/>
      </c>
      <c r="AK241">
        <f>IF(AND(ISNUMBER($N241),$N241&gt;0,ISNUMBER($Y241)),$Y241/$N241,"")</f>
        <v/>
      </c>
    </row>
    <row r="242" ht="15" customHeight="1" s="518">
      <c r="A242" s="62" t="n">
        <v>7</v>
      </c>
      <c r="B242" s="59" t="n">
        <v>234</v>
      </c>
      <c r="C242" t="inlineStr">
        <is>
          <t>R0165147</t>
        </is>
      </c>
      <c r="D242" t="inlineStr">
        <is>
          <t xml:space="preserve">4455 W 58TH AVE B </t>
        </is>
      </c>
      <c r="E242" t="n">
        <v>425</v>
      </c>
      <c r="F242" t="inlineStr">
        <is>
          <t>ARVADA</t>
        </is>
      </c>
      <c r="G242" t="inlineStr">
        <is>
          <t>5</t>
        </is>
      </c>
      <c r="H242" s="703">
        <f>Y242/J242</f>
        <v/>
      </c>
      <c r="I242" s="124" t="n">
        <v>45051</v>
      </c>
      <c r="J242" t="n">
        <v>12100</v>
      </c>
      <c r="L242" t="n">
        <v>12100</v>
      </c>
      <c r="M242" t="n">
        <v>2005</v>
      </c>
      <c r="P242" t="inlineStr">
        <is>
          <t>I-1-Arv</t>
        </is>
      </c>
      <c r="R242" t="inlineStr">
        <is>
          <t>Average</t>
        </is>
      </c>
      <c r="S242" t="n">
        <v>8395</v>
      </c>
      <c r="T242" s="121">
        <f>S242/L242</f>
        <v/>
      </c>
      <c r="U242" t="inlineStr">
        <is>
          <t>Average</t>
        </is>
      </c>
      <c r="Y242" s="705" t="n">
        <v>1150000</v>
      </c>
      <c r="AA242" s="705" t="n">
        <v>1150000</v>
      </c>
      <c r="AC242" t="inlineStr">
        <is>
          <t>0182507305007</t>
        </is>
      </c>
      <c r="AD242" t="inlineStr">
        <is>
          <t>2023000025629</t>
        </is>
      </c>
      <c r="AE242" s="575" t="inlineStr">
        <is>
          <t>WA WOOD SHOP LLC</t>
        </is>
      </c>
      <c r="AF242" s="575" t="inlineStr">
        <is>
          <t>MDSK HOLDINGS LLC</t>
        </is>
      </c>
      <c r="AI242" s="59">
        <f>IF(AND($E242=Subj_OccCode,Subj_BldgSF&gt;0,ABS($L242-Subj_BldgSF)&lt;=Subj_BldgSF*Subj_SizeTol),ABS($L242-Subj_BldgSF),NA())</f>
        <v/>
      </c>
      <c r="AJ242">
        <f>IF(ISNA(AI242),NA(),AI242+ROW()/10000000)</f>
        <v/>
      </c>
      <c r="AK242">
        <f>IF(AND(ISNUMBER($N242),$N242&gt;0,ISNUMBER($Y242)),$Y242/$N242,"")</f>
        <v/>
      </c>
    </row>
    <row r="243" ht="15" customHeight="1" s="518">
      <c r="A243" s="62" t="n">
        <v>7</v>
      </c>
      <c r="B243" s="59" t="n">
        <v>235</v>
      </c>
      <c r="C243" t="inlineStr">
        <is>
          <t>R0165148</t>
        </is>
      </c>
      <c r="D243" t="inlineStr">
        <is>
          <t>4455 W 58TH AVE C</t>
        </is>
      </c>
      <c r="E243" t="n">
        <v>425</v>
      </c>
      <c r="F243" t="inlineStr">
        <is>
          <t>ARVADA</t>
        </is>
      </c>
      <c r="G243" t="inlineStr">
        <is>
          <t>5</t>
        </is>
      </c>
      <c r="H243" s="703">
        <f>Y243/J243</f>
        <v/>
      </c>
      <c r="I243" s="124" t="n">
        <v>45051</v>
      </c>
      <c r="J243" t="n">
        <v>12100</v>
      </c>
      <c r="L243" t="n">
        <v>12100</v>
      </c>
      <c r="M243" t="n">
        <v>2005</v>
      </c>
      <c r="P243" t="inlineStr">
        <is>
          <t>I-1-Arv</t>
        </is>
      </c>
      <c r="R243" t="inlineStr">
        <is>
          <t>Average</t>
        </is>
      </c>
      <c r="S243" t="n">
        <v>8395</v>
      </c>
      <c r="T243" s="121">
        <f>S243/L243</f>
        <v/>
      </c>
      <c r="U243" t="inlineStr">
        <is>
          <t>Average</t>
        </is>
      </c>
      <c r="Y243" s="705" t="n">
        <v>1150000</v>
      </c>
      <c r="AA243" s="705" t="n">
        <v>1150000</v>
      </c>
      <c r="AC243" t="inlineStr">
        <is>
          <t>0182507305008</t>
        </is>
      </c>
      <c r="AD243" t="inlineStr">
        <is>
          <t>2023000025629</t>
        </is>
      </c>
      <c r="AE243" s="575" t="inlineStr">
        <is>
          <t>WA WOOD SHOP LLC</t>
        </is>
      </c>
      <c r="AF243" s="575" t="inlineStr">
        <is>
          <t>MDSK HOLDINGS LLC</t>
        </is>
      </c>
      <c r="AI243" s="59">
        <f>IF(AND($E243=Subj_OccCode,Subj_BldgSF&gt;0,ABS($L243-Subj_BldgSF)&lt;=Subj_BldgSF*Subj_SizeTol),ABS($L243-Subj_BldgSF),NA())</f>
        <v/>
      </c>
      <c r="AJ243">
        <f>IF(ISNA(AI243),NA(),AI243+ROW()/10000000)</f>
        <v/>
      </c>
      <c r="AK243">
        <f>IF(AND(ISNUMBER($N243),$N243&gt;0,ISNUMBER($Y243)),$Y243/$N243,"")</f>
        <v/>
      </c>
    </row>
    <row r="244" ht="15" customHeight="1" s="518">
      <c r="A244" s="62" t="n">
        <v>7</v>
      </c>
      <c r="B244" s="59" t="n">
        <v>236</v>
      </c>
      <c r="C244" t="inlineStr">
        <is>
          <t>R0202445</t>
        </is>
      </c>
      <c r="D244" t="inlineStr">
        <is>
          <t>1210 E 73RD AVE</t>
        </is>
      </c>
      <c r="E244" t="n">
        <v>407</v>
      </c>
      <c r="G244" t="inlineStr">
        <is>
          <t>5</t>
        </is>
      </c>
      <c r="H244" s="703">
        <f>Y244/J244</f>
        <v/>
      </c>
      <c r="I244" s="124" t="n">
        <v>45055</v>
      </c>
      <c r="J244" t="n">
        <v>41280</v>
      </c>
      <c r="L244" t="n">
        <v>41280</v>
      </c>
      <c r="M244" t="n">
        <v>2020</v>
      </c>
      <c r="R244" t="inlineStr">
        <is>
          <t>Average</t>
        </is>
      </c>
      <c r="S244" t="n">
        <v>130185</v>
      </c>
      <c r="T244" s="121">
        <f>S244/L244</f>
        <v/>
      </c>
      <c r="U244" t="inlineStr">
        <is>
          <t>Average</t>
        </is>
      </c>
      <c r="Y244" s="705" t="n">
        <v>39559000</v>
      </c>
      <c r="AA244" s="705" t="n">
        <v>39559000</v>
      </c>
      <c r="AC244" t="inlineStr">
        <is>
          <t>0171935303028</t>
        </is>
      </c>
      <c r="AD244" t="inlineStr">
        <is>
          <t>2023000026193</t>
        </is>
      </c>
      <c r="AE244" s="575" t="inlineStr">
        <is>
          <t>CENTRAL CONNECTION LLC</t>
        </is>
      </c>
      <c r="AF244" s="575" t="inlineStr">
        <is>
          <t>GFP CL DENVER 1210 + 1550 LLC AND, C/O EVERWEST ADVISORS LLC</t>
        </is>
      </c>
      <c r="AI244" s="59">
        <f>IF(AND($E244=Subj_OccCode,Subj_BldgSF&gt;0,ABS($L244-Subj_BldgSF)&lt;=Subj_BldgSF*Subj_SizeTol),ABS($L244-Subj_BldgSF),NA())</f>
        <v/>
      </c>
      <c r="AJ244">
        <f>IF(ISNA(AI244),NA(),AI244+ROW()/10000000)</f>
        <v/>
      </c>
      <c r="AK244">
        <f>IF(AND(ISNUMBER($N244),$N244&gt;0,ISNUMBER($Y244)),$Y244/$N244,"")</f>
        <v/>
      </c>
    </row>
    <row r="245" ht="15" customHeight="1" s="518">
      <c r="A245" s="62" t="n">
        <v>7</v>
      </c>
      <c r="B245" s="59" t="n">
        <v>237</v>
      </c>
      <c r="C245" t="inlineStr">
        <is>
          <t>R0201981</t>
        </is>
      </c>
      <c r="D245" t="inlineStr">
        <is>
          <t>1550 E 73RD AVE</t>
        </is>
      </c>
      <c r="E245" t="n">
        <v>407</v>
      </c>
      <c r="G245" t="inlineStr">
        <is>
          <t>5</t>
        </is>
      </c>
      <c r="H245" s="703">
        <f>Y245/J245</f>
        <v/>
      </c>
      <c r="I245" s="124" t="n">
        <v>45055</v>
      </c>
      <c r="J245" t="n">
        <v>153300</v>
      </c>
      <c r="L245" t="n">
        <v>153300</v>
      </c>
      <c r="M245" t="n">
        <v>2020</v>
      </c>
      <c r="R245" t="inlineStr">
        <is>
          <t>Average</t>
        </is>
      </c>
      <c r="S245" t="n">
        <v>491862</v>
      </c>
      <c r="T245" s="121">
        <f>S245/L245</f>
        <v/>
      </c>
      <c r="U245" t="inlineStr">
        <is>
          <t>Average</t>
        </is>
      </c>
      <c r="Y245" s="705" t="n">
        <v>39559000</v>
      </c>
      <c r="AA245" s="705" t="n">
        <v>39559000</v>
      </c>
      <c r="AC245" t="inlineStr">
        <is>
          <t>0171935304011</t>
        </is>
      </c>
      <c r="AD245" t="inlineStr">
        <is>
          <t>2023000026193</t>
        </is>
      </c>
      <c r="AE245" s="575" t="inlineStr">
        <is>
          <t>CENTRAL CONNECTION LLC</t>
        </is>
      </c>
      <c r="AF245" s="575" t="inlineStr">
        <is>
          <t>GFP CL DENVER 1210 + 1550 LLC AND, C/O EVERWEST ADVISORS LLC</t>
        </is>
      </c>
      <c r="AI245" s="59">
        <f>IF(AND($E245=Subj_OccCode,Subj_BldgSF&gt;0,ABS($L245-Subj_BldgSF)&lt;=Subj_BldgSF*Subj_SizeTol),ABS($L245-Subj_BldgSF),NA())</f>
        <v/>
      </c>
      <c r="AJ245">
        <f>IF(ISNA(AI245),NA(),AI245+ROW()/10000000)</f>
        <v/>
      </c>
      <c r="AK245">
        <f>IF(AND(ISNUMBER($N245),$N245&gt;0,ISNUMBER($Y245)),$Y245/$N245,"")</f>
        <v/>
      </c>
    </row>
    <row r="246" ht="15" customHeight="1" s="518">
      <c r="A246" s="62" t="n">
        <v>7</v>
      </c>
      <c r="B246" s="59" t="n">
        <v>238</v>
      </c>
      <c r="C246" t="inlineStr">
        <is>
          <t>R0099664</t>
        </is>
      </c>
      <c r="D246" t="inlineStr">
        <is>
          <t>6990  FEDERAL BLVD</t>
        </is>
      </c>
      <c r="E246" t="n">
        <v>353</v>
      </c>
      <c r="G246" t="inlineStr">
        <is>
          <t>5</t>
        </is>
      </c>
      <c r="H246" s="703">
        <f>Y246/J246</f>
        <v/>
      </c>
      <c r="I246" s="124" t="n">
        <v>45061</v>
      </c>
      <c r="J246" t="n">
        <v>1724</v>
      </c>
      <c r="L246" t="n">
        <v>1724</v>
      </c>
      <c r="M246" t="n">
        <v>1967</v>
      </c>
      <c r="P246" t="inlineStr">
        <is>
          <t>Industrial</t>
        </is>
      </c>
      <c r="R246" t="inlineStr">
        <is>
          <t>Average</t>
        </is>
      </c>
      <c r="S246" t="n">
        <v>43004</v>
      </c>
      <c r="T246" s="121">
        <f>S246/L246</f>
        <v/>
      </c>
      <c r="U246" t="inlineStr">
        <is>
          <t>Average</t>
        </is>
      </c>
      <c r="Y246" s="705" t="n">
        <v>1170550</v>
      </c>
      <c r="AA246" s="705" t="n">
        <v>1170550</v>
      </c>
      <c r="AC246" t="inlineStr">
        <is>
          <t>0182505100021</t>
        </is>
      </c>
      <c r="AD246" t="inlineStr">
        <is>
          <t>2023000027381</t>
        </is>
      </c>
      <c r="AE246" s="575" t="inlineStr">
        <is>
          <t>6990 FEDERAL BLVD LLC</t>
        </is>
      </c>
      <c r="AF246" s="575" t="inlineStr">
        <is>
          <t>DENVER FOOD &amp; GAS LLC</t>
        </is>
      </c>
      <c r="AI246" s="59">
        <f>IF(AND($E246=Subj_OccCode,Subj_BldgSF&gt;0,ABS($L246-Subj_BldgSF)&lt;=Subj_BldgSF*Subj_SizeTol),ABS($L246-Subj_BldgSF),NA())</f>
        <v/>
      </c>
      <c r="AJ246">
        <f>IF(ISNA(AI246),NA(),AI246+ROW()/10000000)</f>
        <v/>
      </c>
      <c r="AK246">
        <f>IF(AND(ISNUMBER($N246),$N246&gt;0,ISNUMBER($Y246)),$Y246/$N246,"")</f>
        <v/>
      </c>
    </row>
    <row r="247" ht="15" customHeight="1" s="518">
      <c r="A247" s="62" t="n">
        <v>7</v>
      </c>
      <c r="B247" s="59" t="n">
        <v>239</v>
      </c>
      <c r="C247" t="inlineStr">
        <is>
          <t>R0037745</t>
        </is>
      </c>
      <c r="D247" t="inlineStr">
        <is>
          <t xml:space="preserve">11155  IRMA DR  </t>
        </is>
      </c>
      <c r="E247" t="n">
        <v>434</v>
      </c>
      <c r="F247" t="inlineStr">
        <is>
          <t>NORTHGLENN</t>
        </is>
      </c>
      <c r="G247" t="inlineStr">
        <is>
          <t>4</t>
        </is>
      </c>
      <c r="H247" s="703">
        <f>Y247/J247</f>
        <v/>
      </c>
      <c r="I247" s="124" t="n">
        <v>45098</v>
      </c>
      <c r="J247" t="n">
        <v>2640</v>
      </c>
      <c r="L247" t="n">
        <v>2640</v>
      </c>
      <c r="M247" t="n">
        <v>1970</v>
      </c>
      <c r="P247" t="inlineStr">
        <is>
          <t>R-1-C-Nor</t>
        </is>
      </c>
      <c r="R247" t="inlineStr">
        <is>
          <t>Average</t>
        </is>
      </c>
      <c r="S247" t="n">
        <v>26550</v>
      </c>
      <c r="T247" s="121">
        <f>S247/L247</f>
        <v/>
      </c>
      <c r="U247" t="inlineStr">
        <is>
          <t>Average</t>
        </is>
      </c>
      <c r="Y247" s="705" t="n">
        <v>670000</v>
      </c>
      <c r="AA247" s="705" t="n">
        <v>670000</v>
      </c>
      <c r="AC247" t="inlineStr">
        <is>
          <t>0171911103015</t>
        </is>
      </c>
      <c r="AD247" t="inlineStr">
        <is>
          <t>2023000035174</t>
        </is>
      </c>
      <c r="AE247" s="575" t="inlineStr">
        <is>
          <t>BLANCO PROPERTIES IRMA LLC</t>
        </is>
      </c>
      <c r="AF247" s="575" t="inlineStr">
        <is>
          <t>METROPOLITAN DENVER NORTH ISLAMIC CENTER</t>
        </is>
      </c>
      <c r="AI247" s="59">
        <f>IF(AND($E247=Subj_OccCode,Subj_BldgSF&gt;0,ABS($L247-Subj_BldgSF)&lt;=Subj_BldgSF*Subj_SizeTol),ABS($L247-Subj_BldgSF),NA())</f>
        <v/>
      </c>
      <c r="AJ247">
        <f>IF(ISNA(AI247),NA(),AI247+ROW()/10000000)</f>
        <v/>
      </c>
      <c r="AK247">
        <f>IF(AND(ISNUMBER($N247),$N247&gt;0,ISNUMBER($Y247)),$Y247/$N247,"")</f>
        <v/>
      </c>
    </row>
    <row r="248" ht="15" customHeight="1" s="518">
      <c r="A248" s="62" t="n">
        <v>7</v>
      </c>
      <c r="B248" s="59" t="n">
        <v>240</v>
      </c>
      <c r="C248" t="inlineStr">
        <is>
          <t>R0040835</t>
        </is>
      </c>
      <c r="D248" t="inlineStr">
        <is>
          <t xml:space="preserve">1400 E 104TH AVE </t>
        </is>
      </c>
      <c r="E248" t="n">
        <v>319</v>
      </c>
      <c r="F248" t="inlineStr">
        <is>
          <t>THORNTON</t>
        </is>
      </c>
      <c r="G248" t="inlineStr">
        <is>
          <t>4</t>
        </is>
      </c>
      <c r="H248" s="703">
        <f>Y248/J248</f>
        <v/>
      </c>
      <c r="I248" s="124" t="n">
        <v>45107</v>
      </c>
      <c r="J248" t="n">
        <v>192532</v>
      </c>
      <c r="L248" t="n">
        <v>192532</v>
      </c>
      <c r="M248" t="n">
        <v>1994</v>
      </c>
      <c r="P248" t="inlineStr">
        <is>
          <t>Community Retail</t>
        </is>
      </c>
      <c r="R248" t="inlineStr">
        <is>
          <t>Average</t>
        </is>
      </c>
      <c r="S248" t="n">
        <v>1009721</v>
      </c>
      <c r="T248" s="121">
        <f>S248/L248</f>
        <v/>
      </c>
      <c r="U248" t="inlineStr">
        <is>
          <t>Average</t>
        </is>
      </c>
      <c r="Y248" s="705" t="n">
        <v>16500000</v>
      </c>
      <c r="AA248" s="705" t="n">
        <v>16500000</v>
      </c>
      <c r="AC248" t="inlineStr">
        <is>
          <t>0171914203002</t>
        </is>
      </c>
      <c r="AD248" t="inlineStr">
        <is>
          <t>2023000037173</t>
        </is>
      </c>
      <c r="AE248" s="575" t="inlineStr">
        <is>
          <t>SERITAGE KMT FINANCE LLC</t>
        </is>
      </c>
      <c r="AF248" s="575" t="inlineStr">
        <is>
          <t>COLORADO RETAIL STORES LLC</t>
        </is>
      </c>
      <c r="AI248" s="59">
        <f>IF(AND($E248=Subj_OccCode,Subj_BldgSF&gt;0,ABS($L248-Subj_BldgSF)&lt;=Subj_BldgSF*Subj_SizeTol),ABS($L248-Subj_BldgSF),NA())</f>
        <v/>
      </c>
      <c r="AJ248">
        <f>IF(ISNA(AI248),NA(),AI248+ROW()/10000000)</f>
        <v/>
      </c>
      <c r="AK248">
        <f>IF(AND(ISNUMBER($N248),$N248&gt;0,ISNUMBER($Y248)),$Y248/$N248,"")</f>
        <v/>
      </c>
    </row>
    <row r="249" ht="15" customHeight="1" s="518">
      <c r="A249" s="62" t="n">
        <v>7</v>
      </c>
      <c r="B249" s="59" t="n">
        <v>241</v>
      </c>
      <c r="C249" t="inlineStr">
        <is>
          <t>R0217191</t>
        </is>
      </c>
      <c r="D249" t="inlineStr">
        <is>
          <t xml:space="preserve">9201  FEDERAL BLVD </t>
        </is>
      </c>
      <c r="E249" t="n">
        <v>419</v>
      </c>
      <c r="F249" t="inlineStr">
        <is>
          <t>WESTMINSTER</t>
        </is>
      </c>
      <c r="G249" t="inlineStr">
        <is>
          <t>4</t>
        </is>
      </c>
      <c r="H249" s="703">
        <f>Y249/J249</f>
        <v/>
      </c>
      <c r="I249" s="124" t="n">
        <v>45106</v>
      </c>
      <c r="J249" t="n">
        <v>2640</v>
      </c>
      <c r="L249" t="n">
        <v>2640</v>
      </c>
      <c r="M249" t="n">
        <v>1984</v>
      </c>
      <c r="R249" t="inlineStr">
        <is>
          <t>Average</t>
        </is>
      </c>
      <c r="T249" s="121">
        <f>S249/L249</f>
        <v/>
      </c>
      <c r="U249" t="inlineStr">
        <is>
          <t>Average</t>
        </is>
      </c>
      <c r="Y249" s="705" t="n">
        <v>1000000</v>
      </c>
      <c r="AA249" s="705" t="n">
        <v>1000000</v>
      </c>
      <c r="AC249" t="inlineStr">
        <is>
          <t>0171920218050</t>
        </is>
      </c>
      <c r="AD249" t="inlineStr">
        <is>
          <t>2023000037451</t>
        </is>
      </c>
      <c r="AE249" s="575" t="inlineStr">
        <is>
          <t>QCSIF SIX LLC, C/O IEQ MANAGEMENT INC</t>
        </is>
      </c>
      <c r="AF249" s="575" t="inlineStr">
        <is>
          <t>9201 FEDERAL LLC</t>
        </is>
      </c>
      <c r="AI249" s="59">
        <f>IF(AND($E249=Subj_OccCode,Subj_BldgSF&gt;0,ABS($L249-Subj_BldgSF)&lt;=Subj_BldgSF*Subj_SizeTol),ABS($L249-Subj_BldgSF),NA())</f>
        <v/>
      </c>
      <c r="AJ249">
        <f>IF(ISNA(AI249),NA(),AI249+ROW()/10000000)</f>
        <v/>
      </c>
      <c r="AK249">
        <f>IF(AND(ISNUMBER($N249),$N249&gt;0,ISNUMBER($Y249)),$Y249/$N249,"")</f>
        <v/>
      </c>
    </row>
    <row r="250" ht="15" customHeight="1" s="518">
      <c r="A250" s="62" t="n">
        <v>7</v>
      </c>
      <c r="B250" s="59" t="n">
        <v>242</v>
      </c>
      <c r="C250" t="inlineStr">
        <is>
          <t>R0110788</t>
        </is>
      </c>
      <c r="D250" t="inlineStr">
        <is>
          <t xml:space="preserve">5333 E 58TH AVE  </t>
        </is>
      </c>
      <c r="E250" t="n">
        <v>387</v>
      </c>
      <c r="F250" t="inlineStr">
        <is>
          <t>COMMERCE CITY</t>
        </is>
      </c>
      <c r="G250" t="inlineStr">
        <is>
          <t>5</t>
        </is>
      </c>
      <c r="H250" s="703">
        <f>Y250/J250</f>
        <v/>
      </c>
      <c r="I250" s="124" t="n">
        <v>45114</v>
      </c>
      <c r="J250" t="n">
        <v>1102</v>
      </c>
      <c r="L250" t="n">
        <v>1102</v>
      </c>
      <c r="M250" t="n">
        <v>1974</v>
      </c>
      <c r="P250" t="inlineStr">
        <is>
          <t>I-1-Com</t>
        </is>
      </c>
      <c r="R250" t="inlineStr">
        <is>
          <t>Average</t>
        </is>
      </c>
      <c r="S250" t="n">
        <v>449287</v>
      </c>
      <c r="T250" s="121">
        <f>S250/L250</f>
        <v/>
      </c>
      <c r="U250" t="inlineStr">
        <is>
          <t>Average</t>
        </is>
      </c>
      <c r="Y250" s="705" t="n">
        <v>7300000</v>
      </c>
      <c r="AA250" s="705" t="n">
        <v>7300000</v>
      </c>
      <c r="AC250" t="inlineStr">
        <is>
          <t>0182307404007</t>
        </is>
      </c>
      <c r="AD250" t="inlineStr">
        <is>
          <t>2023000038155</t>
        </is>
      </c>
      <c r="AE250" s="575" t="inlineStr">
        <is>
          <t>OVERLAND LEASING LLC</t>
        </is>
      </c>
      <c r="AF250" s="575" t="inlineStr">
        <is>
          <t>OLD DOMINION FREIGHT LINE INC</t>
        </is>
      </c>
      <c r="AI250" s="59">
        <f>IF(AND($E250=Subj_OccCode,Subj_BldgSF&gt;0,ABS($L250-Subj_BldgSF)&lt;=Subj_BldgSF*Subj_SizeTol),ABS($L250-Subj_BldgSF),NA())</f>
        <v/>
      </c>
      <c r="AJ250">
        <f>IF(ISNA(AI250),NA(),AI250+ROW()/10000000)</f>
        <v/>
      </c>
      <c r="AK250">
        <f>IF(AND(ISNUMBER($N250),$N250&gt;0,ISNUMBER($Y250)),$Y250/$N250,"")</f>
        <v/>
      </c>
    </row>
    <row r="251" ht="15" customHeight="1" s="518">
      <c r="A251" s="62" t="n">
        <v>7</v>
      </c>
      <c r="B251" s="59" t="n">
        <v>243</v>
      </c>
      <c r="C251" t="inlineStr">
        <is>
          <t>R0094487</t>
        </is>
      </c>
      <c r="D251" t="inlineStr">
        <is>
          <t xml:space="preserve">9655 E 25TH AVE 108 </t>
        </is>
      </c>
      <c r="E251" t="n">
        <v>425</v>
      </c>
      <c r="F251" t="inlineStr">
        <is>
          <t>AURORA</t>
        </is>
      </c>
      <c r="G251" t="inlineStr">
        <is>
          <t>6</t>
        </is>
      </c>
      <c r="H251" s="703">
        <f>Y251/J251</f>
        <v/>
      </c>
      <c r="I251" s="124" t="n">
        <v>45138</v>
      </c>
      <c r="J251" t="n">
        <v>16192</v>
      </c>
      <c r="L251" t="n">
        <v>16192</v>
      </c>
      <c r="M251" t="n">
        <v>1984</v>
      </c>
      <c r="P251" t="inlineStr">
        <is>
          <t>OA-G</t>
        </is>
      </c>
      <c r="R251" t="inlineStr">
        <is>
          <t>Average</t>
        </is>
      </c>
      <c r="S251" t="n">
        <v>5095</v>
      </c>
      <c r="T251" s="121">
        <f>S251/L251</f>
        <v/>
      </c>
      <c r="U251" t="inlineStr">
        <is>
          <t>Average</t>
        </is>
      </c>
      <c r="Y251" s="705" t="n">
        <v>900000</v>
      </c>
      <c r="AA251" s="705" t="n">
        <v>900000</v>
      </c>
      <c r="AC251" t="inlineStr">
        <is>
          <t>0182334201031</t>
        </is>
      </c>
      <c r="AD251" t="inlineStr">
        <is>
          <t>2023000043597</t>
        </is>
      </c>
      <c r="AE251" s="575" t="inlineStr">
        <is>
          <t>JOYCE JOHN</t>
        </is>
      </c>
      <c r="AF251" s="575" t="inlineStr">
        <is>
          <t>KURTEX INC</t>
        </is>
      </c>
      <c r="AI251" s="59">
        <f>IF(AND($E251=Subj_OccCode,Subj_BldgSF&gt;0,ABS($L251-Subj_BldgSF)&lt;=Subj_BldgSF*Subj_SizeTol),ABS($L251-Subj_BldgSF),NA())</f>
        <v/>
      </c>
      <c r="AJ251">
        <f>IF(ISNA(AI251),NA(),AI251+ROW()/10000000)</f>
        <v/>
      </c>
      <c r="AK251">
        <f>IF(AND(ISNUMBER($N251),$N251&gt;0,ISNUMBER($Y251)),$Y251/$N251,"")</f>
        <v/>
      </c>
    </row>
    <row r="252" ht="15" customHeight="1" s="518">
      <c r="A252" s="62" t="n">
        <v>7</v>
      </c>
      <c r="B252" s="59" t="n">
        <v>244</v>
      </c>
      <c r="C252" t="inlineStr">
        <is>
          <t>R0094488</t>
        </is>
      </c>
      <c r="D252" t="inlineStr">
        <is>
          <t>9655 E 25TH AVE 109</t>
        </is>
      </c>
      <c r="E252" t="n">
        <v>425</v>
      </c>
      <c r="F252" t="inlineStr">
        <is>
          <t>AURORA</t>
        </is>
      </c>
      <c r="G252" t="inlineStr">
        <is>
          <t>6</t>
        </is>
      </c>
      <c r="H252" s="703">
        <f>Y252/J252</f>
        <v/>
      </c>
      <c r="I252" s="124" t="n">
        <v>45138</v>
      </c>
      <c r="J252" t="n">
        <v>16192</v>
      </c>
      <c r="L252" t="n">
        <v>16192</v>
      </c>
      <c r="M252" t="n">
        <v>1984</v>
      </c>
      <c r="P252" t="inlineStr">
        <is>
          <t>OA-G</t>
        </is>
      </c>
      <c r="R252" t="inlineStr">
        <is>
          <t>Average</t>
        </is>
      </c>
      <c r="S252" t="n">
        <v>5095</v>
      </c>
      <c r="T252" s="121">
        <f>S252/L252</f>
        <v/>
      </c>
      <c r="U252" t="inlineStr">
        <is>
          <t>Average</t>
        </is>
      </c>
      <c r="Y252" s="705" t="n">
        <v>900000</v>
      </c>
      <c r="AA252" s="705" t="n">
        <v>900000</v>
      </c>
      <c r="AC252" t="inlineStr">
        <is>
          <t>0182334201032</t>
        </is>
      </c>
      <c r="AD252" t="inlineStr">
        <is>
          <t>2023000043597</t>
        </is>
      </c>
      <c r="AE252" s="575" t="inlineStr">
        <is>
          <t>JOYCE JOHN</t>
        </is>
      </c>
      <c r="AF252" s="575" t="inlineStr">
        <is>
          <t>KURTEX INC</t>
        </is>
      </c>
      <c r="AI252" s="59">
        <f>IF(AND($E252=Subj_OccCode,Subj_BldgSF&gt;0,ABS($L252-Subj_BldgSF)&lt;=Subj_BldgSF*Subj_SizeTol),ABS($L252-Subj_BldgSF),NA())</f>
        <v/>
      </c>
      <c r="AJ252">
        <f>IF(ISNA(AI252),NA(),AI252+ROW()/10000000)</f>
        <v/>
      </c>
      <c r="AK252">
        <f>IF(AND(ISNUMBER($N252),$N252&gt;0,ISNUMBER($Y252)),$Y252/$N252,"")</f>
        <v/>
      </c>
    </row>
    <row r="253" ht="15" customHeight="1" s="518">
      <c r="A253" s="62" t="n">
        <v>7</v>
      </c>
      <c r="B253" s="59" t="n">
        <v>245</v>
      </c>
      <c r="C253" t="inlineStr">
        <is>
          <t>R0221601</t>
        </is>
      </c>
      <c r="D253" t="inlineStr">
        <is>
          <t xml:space="preserve">11455  HURON ST </t>
        </is>
      </c>
      <c r="E253" t="n">
        <v>331</v>
      </c>
      <c r="F253" t="inlineStr">
        <is>
          <t>WESTMINSTER</t>
        </is>
      </c>
      <c r="G253" t="inlineStr">
        <is>
          <t>4</t>
        </is>
      </c>
      <c r="H253" s="703">
        <f>Y253/J253</f>
        <v/>
      </c>
      <c r="I253" s="124" t="n">
        <v>45155</v>
      </c>
      <c r="J253" t="n">
        <v>99497</v>
      </c>
      <c r="L253" t="n">
        <v>99497</v>
      </c>
      <c r="S253" t="n">
        <v>479913</v>
      </c>
      <c r="T253" s="121">
        <f>S253/L253</f>
        <v/>
      </c>
      <c r="Y253" s="705" t="n">
        <v>2740300</v>
      </c>
      <c r="AA253" s="705" t="n">
        <v>2740300</v>
      </c>
      <c r="AC253" t="inlineStr">
        <is>
          <t>0171904408004</t>
        </is>
      </c>
      <c r="AD253" t="inlineStr">
        <is>
          <t>2023000047095</t>
        </is>
      </c>
      <c r="AE253" s="575" t="inlineStr">
        <is>
          <t>TRI-STATE GENERATION AND, TRANSMISSION ASSOCIATION INC</t>
        </is>
      </c>
      <c r="AF253" s="575" t="inlineStr">
        <is>
          <t>ACADIA - SCL HEALTH JV LLC, C/O ACADIA HEALTHCARAE COMPANY INC</t>
        </is>
      </c>
      <c r="AI253" s="59">
        <f>IF(AND($E253=Subj_OccCode,Subj_BldgSF&gt;0,ABS($L253-Subj_BldgSF)&lt;=Subj_BldgSF*Subj_SizeTol),ABS($L253-Subj_BldgSF),NA())</f>
        <v/>
      </c>
      <c r="AJ253">
        <f>IF(ISNA(AI253),NA(),AI253+ROW()/10000000)</f>
        <v/>
      </c>
      <c r="AK253">
        <f>IF(AND(ISNUMBER($N253),$N253&gt;0,ISNUMBER($Y253)),$Y253/$N253,"")</f>
        <v/>
      </c>
    </row>
    <row r="254" ht="15" customHeight="1" s="518">
      <c r="A254" s="62" t="n">
        <v>7</v>
      </c>
      <c r="B254" s="59" t="n">
        <v>246</v>
      </c>
      <c r="C254" t="inlineStr">
        <is>
          <t>R0079773</t>
        </is>
      </c>
      <c r="D254" t="inlineStr">
        <is>
          <t xml:space="preserve">7390  HIGHWAY 2 </t>
        </is>
      </c>
      <c r="E254" t="n">
        <v>442</v>
      </c>
      <c r="F254" t="inlineStr">
        <is>
          <t>COMMERCE CITY</t>
        </is>
      </c>
      <c r="G254" t="inlineStr">
        <is>
          <t>5</t>
        </is>
      </c>
      <c r="H254" s="703">
        <f>Y254/J254</f>
        <v/>
      </c>
      <c r="I254" s="124" t="n">
        <v>45159</v>
      </c>
      <c r="J254" t="n">
        <v>1740</v>
      </c>
      <c r="L254" t="n">
        <v>1740</v>
      </c>
      <c r="M254" t="n">
        <v>1933</v>
      </c>
      <c r="P254" t="inlineStr">
        <is>
          <t>PUD-Com</t>
        </is>
      </c>
      <c r="R254" t="inlineStr">
        <is>
          <t>Average</t>
        </is>
      </c>
      <c r="S254" t="n">
        <v>10500</v>
      </c>
      <c r="T254" s="121">
        <f>S254/L254</f>
        <v/>
      </c>
      <c r="U254" t="inlineStr">
        <is>
          <t>Fair</t>
        </is>
      </c>
      <c r="Y254" s="705" t="n">
        <v>400000</v>
      </c>
      <c r="AA254" s="705" t="n">
        <v>400000</v>
      </c>
      <c r="AC254" t="inlineStr">
        <is>
          <t>0172132415006</t>
        </is>
      </c>
      <c r="AD254" t="inlineStr">
        <is>
          <t>2023000047762</t>
        </is>
      </c>
      <c r="AE254" s="575" t="inlineStr">
        <is>
          <t>VANDEWEGHE BEVERLY LIVING TRUST THE</t>
        </is>
      </c>
      <c r="AF254" s="575" t="inlineStr">
        <is>
          <t>MUNOZ ROGELIO AND, MUNOZ ALICIA</t>
        </is>
      </c>
      <c r="AI254" s="59">
        <f>IF(AND($E254=Subj_OccCode,Subj_BldgSF&gt;0,ABS($L254-Subj_BldgSF)&lt;=Subj_BldgSF*Subj_SizeTol),ABS($L254-Subj_BldgSF),NA())</f>
        <v/>
      </c>
      <c r="AJ254">
        <f>IF(ISNA(AI254),NA(),AI254+ROW()/10000000)</f>
        <v/>
      </c>
      <c r="AK254">
        <f>IF(AND(ISNUMBER($N254),$N254&gt;0,ISNUMBER($Y254)),$Y254/$N254,"")</f>
        <v/>
      </c>
    </row>
    <row r="255" ht="15" customHeight="1" s="518">
      <c r="A255" s="62" t="n">
        <v>7</v>
      </c>
      <c r="B255" s="59" t="n">
        <v>247</v>
      </c>
      <c r="C255" t="inlineStr">
        <is>
          <t>R0179853</t>
        </is>
      </c>
      <c r="D255" t="inlineStr">
        <is>
          <t>11885  BRADBURN BLVD</t>
        </is>
      </c>
      <c r="E255" t="n">
        <v>718</v>
      </c>
      <c r="F255" t="inlineStr">
        <is>
          <t>WESTMINSTER</t>
        </is>
      </c>
      <c r="G255" t="inlineStr">
        <is>
          <t>3</t>
        </is>
      </c>
      <c r="H255" s="703">
        <f>Y255/J255</f>
        <v/>
      </c>
      <c r="I255" s="124" t="n">
        <v>45184</v>
      </c>
      <c r="J255" t="n">
        <v>12824</v>
      </c>
      <c r="L255" t="n">
        <v>12824</v>
      </c>
      <c r="M255" t="n">
        <v>2012</v>
      </c>
      <c r="P255" t="inlineStr">
        <is>
          <t>PUD-Wes</t>
        </is>
      </c>
      <c r="R255" t="inlineStr">
        <is>
          <t>Average</t>
        </is>
      </c>
      <c r="S255" t="n">
        <v>96632</v>
      </c>
      <c r="T255" s="121">
        <f>S255/L255</f>
        <v/>
      </c>
      <c r="U255" t="inlineStr">
        <is>
          <t>Average</t>
        </is>
      </c>
      <c r="Y255" s="705" t="n">
        <v>3330000</v>
      </c>
      <c r="AA255" s="705" t="n">
        <v>3330000</v>
      </c>
      <c r="AC255" t="inlineStr">
        <is>
          <t>0171906107040</t>
        </is>
      </c>
      <c r="AD255" t="inlineStr">
        <is>
          <t>2023000052717</t>
        </is>
      </c>
      <c r="AE255" s="575" t="inlineStr">
        <is>
          <t>EXPLORER BRADBURN PROPERTY LLC</t>
        </is>
      </c>
      <c r="AF255" s="575" t="inlineStr">
        <is>
          <t>MANIHANI MOHINDER AND, SINGH RAVINDER</t>
        </is>
      </c>
      <c r="AI255" s="59">
        <f>IF(AND($E255=Subj_OccCode,Subj_BldgSF&gt;0,ABS($L255-Subj_BldgSF)&lt;=Subj_BldgSF*Subj_SizeTol),ABS($L255-Subj_BldgSF),NA())</f>
        <v/>
      </c>
      <c r="AJ255">
        <f>IF(ISNA(AI255),NA(),AI255+ROW()/10000000)</f>
        <v/>
      </c>
      <c r="AK255">
        <f>IF(AND(ISNUMBER($N255),$N255&gt;0,ISNUMBER($Y255)),$Y255/$N255,"")</f>
        <v/>
      </c>
    </row>
    <row r="256" ht="15" customHeight="1" s="518">
      <c r="A256" s="62" t="n">
        <v>7</v>
      </c>
      <c r="B256" s="59" t="n">
        <v>248</v>
      </c>
      <c r="C256" t="inlineStr">
        <is>
          <t>R0003476</t>
        </is>
      </c>
      <c r="D256" t="inlineStr">
        <is>
          <t xml:space="preserve">716  BRIDGE ST </t>
        </is>
      </c>
      <c r="E256" t="n">
        <v>344</v>
      </c>
      <c r="F256" t="inlineStr">
        <is>
          <t>BRIGHTON</t>
        </is>
      </c>
      <c r="G256" t="inlineStr">
        <is>
          <t>2</t>
        </is>
      </c>
      <c r="H256" s="703">
        <f>Y256/J256</f>
        <v/>
      </c>
      <c r="I256" s="124" t="n">
        <v>45184</v>
      </c>
      <c r="J256" t="n">
        <v>2600</v>
      </c>
      <c r="L256" t="n">
        <v>2600</v>
      </c>
      <c r="M256" t="n">
        <v>1985</v>
      </c>
      <c r="P256" t="inlineStr">
        <is>
          <t>C-2-Bri</t>
        </is>
      </c>
      <c r="R256" t="inlineStr">
        <is>
          <t>Average</t>
        </is>
      </c>
      <c r="S256" t="n">
        <v>9000</v>
      </c>
      <c r="T256" s="121">
        <f>S256/L256</f>
        <v/>
      </c>
      <c r="U256" t="inlineStr">
        <is>
          <t>Average</t>
        </is>
      </c>
      <c r="Y256" s="705" t="n">
        <v>620000</v>
      </c>
      <c r="AA256" s="705" t="n">
        <v>620000</v>
      </c>
      <c r="AC256" t="inlineStr">
        <is>
          <t>0156907104020</t>
        </is>
      </c>
      <c r="AD256" t="inlineStr">
        <is>
          <t>2023000052960</t>
        </is>
      </c>
      <c r="AE256" s="575" t="inlineStr">
        <is>
          <t>GDG LLC</t>
        </is>
      </c>
      <c r="AF256" s="575" t="inlineStr">
        <is>
          <t>ATA BRIDGE HOLDINGS LLC</t>
        </is>
      </c>
      <c r="AI256" s="59">
        <f>IF(AND($E256=Subj_OccCode,Subj_BldgSF&gt;0,ABS($L256-Subj_BldgSF)&lt;=Subj_BldgSF*Subj_SizeTol),ABS($L256-Subj_BldgSF),NA())</f>
        <v/>
      </c>
      <c r="AJ256">
        <f>IF(ISNA(AI256),NA(),AI256+ROW()/10000000)</f>
        <v/>
      </c>
      <c r="AK256">
        <f>IF(AND(ISNUMBER($N256),$N256&gt;0,ISNUMBER($Y256)),$Y256/$N256,"")</f>
        <v/>
      </c>
    </row>
    <row r="257" ht="15" customHeight="1" s="518">
      <c r="A257" s="62" t="n">
        <v>7</v>
      </c>
      <c r="B257" s="59" t="n">
        <v>249</v>
      </c>
      <c r="C257" t="inlineStr">
        <is>
          <t>R0097753</t>
        </is>
      </c>
      <c r="D257" t="inlineStr">
        <is>
          <t>1597  PEORIA ST</t>
        </is>
      </c>
      <c r="E257" t="n">
        <v>434</v>
      </c>
      <c r="F257" t="inlineStr">
        <is>
          <t>AURORA</t>
        </is>
      </c>
      <c r="G257" t="inlineStr">
        <is>
          <t>6</t>
        </is>
      </c>
      <c r="H257" s="703">
        <f>Y257/J257</f>
        <v/>
      </c>
      <c r="I257" s="124" t="n">
        <v>45187</v>
      </c>
      <c r="J257" t="n">
        <v>1400</v>
      </c>
      <c r="L257" t="n">
        <v>1400</v>
      </c>
      <c r="M257" t="n">
        <v>1960</v>
      </c>
      <c r="P257" t="inlineStr">
        <is>
          <t>FBA</t>
        </is>
      </c>
      <c r="R257" t="inlineStr">
        <is>
          <t>Average</t>
        </is>
      </c>
      <c r="S257" t="n">
        <v>3690</v>
      </c>
      <c r="T257" s="121">
        <f>S257/L257</f>
        <v/>
      </c>
      <c r="U257" t="inlineStr">
        <is>
          <t>Average</t>
        </is>
      </c>
      <c r="Y257" s="705" t="n">
        <v>730000</v>
      </c>
      <c r="AA257" s="705" t="n">
        <v>730000</v>
      </c>
      <c r="AC257" t="inlineStr">
        <is>
          <t>0182335429007</t>
        </is>
      </c>
      <c r="AD257" t="inlineStr">
        <is>
          <t>2023000052985</t>
        </is>
      </c>
      <c r="AE257" s="575" t="inlineStr">
        <is>
          <t>KH CARWASH LLC</t>
        </is>
      </c>
      <c r="AF257" s="575" t="inlineStr">
        <is>
          <t>YATES ENTERPRISES LLC</t>
        </is>
      </c>
      <c r="AI257" s="59">
        <f>IF(AND($E257=Subj_OccCode,Subj_BldgSF&gt;0,ABS($L257-Subj_BldgSF)&lt;=Subj_BldgSF*Subj_SizeTol),ABS($L257-Subj_BldgSF),NA())</f>
        <v/>
      </c>
      <c r="AJ257">
        <f>IF(ISNA(AI257),NA(),AI257+ROW()/10000000)</f>
        <v/>
      </c>
      <c r="AK257">
        <f>IF(AND(ISNUMBER($N257),$N257&gt;0,ISNUMBER($Y257)),$Y257/$N257,"")</f>
        <v/>
      </c>
    </row>
    <row r="258" ht="15" customHeight="1" s="518">
      <c r="A258" s="62" t="n">
        <v>7</v>
      </c>
      <c r="B258" s="59" t="n">
        <v>250</v>
      </c>
      <c r="C258" t="inlineStr">
        <is>
          <t>R0165226</t>
        </is>
      </c>
      <c r="D258" t="inlineStr">
        <is>
          <t xml:space="preserve">10319  TOWER RD </t>
        </is>
      </c>
      <c r="E258" t="n">
        <v>349</v>
      </c>
      <c r="F258" t="inlineStr">
        <is>
          <t>COMMERCE CITY</t>
        </is>
      </c>
      <c r="G258" t="inlineStr">
        <is>
          <t>2</t>
        </is>
      </c>
      <c r="H258" s="703">
        <f>Y258/J258</f>
        <v/>
      </c>
      <c r="I258" s="124" t="n">
        <v>45182</v>
      </c>
      <c r="J258" t="n">
        <v>1658</v>
      </c>
      <c r="L258" t="n">
        <v>1658</v>
      </c>
      <c r="M258" t="n">
        <v>2006</v>
      </c>
      <c r="P258" t="inlineStr">
        <is>
          <t>PUD-Com</t>
        </is>
      </c>
      <c r="R258" t="inlineStr">
        <is>
          <t>Average</t>
        </is>
      </c>
      <c r="S258" t="n">
        <v>43786</v>
      </c>
      <c r="T258" s="121">
        <f>S258/L258</f>
        <v/>
      </c>
      <c r="U258" t="inlineStr">
        <is>
          <t>Average</t>
        </is>
      </c>
      <c r="Y258" s="705" t="n">
        <v>2527000</v>
      </c>
      <c r="AA258" s="705" t="n">
        <v>2527000</v>
      </c>
      <c r="AC258" t="inlineStr">
        <is>
          <t>0172316121009</t>
        </is>
      </c>
      <c r="AD258" t="inlineStr">
        <is>
          <t>2023000053054</t>
        </is>
      </c>
      <c r="AE258" s="575" t="inlineStr">
        <is>
          <t>HG FIRST VENTURE LLC</t>
        </is>
      </c>
      <c r="AF258" s="575" t="inlineStr">
        <is>
          <t>HANLON BUSH INVESTMENTS LLC, C/O TONY HANLON</t>
        </is>
      </c>
      <c r="AI258" s="59">
        <f>IF(AND($E258=Subj_OccCode,Subj_BldgSF&gt;0,ABS($L258-Subj_BldgSF)&lt;=Subj_BldgSF*Subj_SizeTol),ABS($L258-Subj_BldgSF),NA())</f>
        <v/>
      </c>
      <c r="AJ258">
        <f>IF(ISNA(AI258),NA(),AI258+ROW()/10000000)</f>
        <v/>
      </c>
      <c r="AK258">
        <f>IF(AND(ISNUMBER($N258),$N258&gt;0,ISNUMBER($Y258)),$Y258/$N258,"")</f>
        <v/>
      </c>
    </row>
    <row r="259" ht="15" customHeight="1" s="518">
      <c r="A259" s="62" t="n">
        <v>7</v>
      </c>
      <c r="B259" s="59" t="n">
        <v>251</v>
      </c>
      <c r="C259" t="inlineStr">
        <is>
          <t>R0092272</t>
        </is>
      </c>
      <c r="D259" t="inlineStr">
        <is>
          <t xml:space="preserve">7101 E 54TH PL  </t>
        </is>
      </c>
      <c r="E259" t="n">
        <v>325</v>
      </c>
      <c r="F259" t="inlineStr">
        <is>
          <t>COMMERCE CITY</t>
        </is>
      </c>
      <c r="G259" t="inlineStr">
        <is>
          <t>5</t>
        </is>
      </c>
      <c r="H259" s="703">
        <f>Y259/J259</f>
        <v/>
      </c>
      <c r="I259" s="124" t="n">
        <v>45212</v>
      </c>
      <c r="J259" t="n">
        <v>2100</v>
      </c>
      <c r="L259" t="n">
        <v>2100</v>
      </c>
      <c r="M259" t="n">
        <v>1985</v>
      </c>
      <c r="P259" t="inlineStr">
        <is>
          <t>I-2-Com</t>
        </is>
      </c>
      <c r="R259" t="inlineStr">
        <is>
          <t>Average</t>
        </is>
      </c>
      <c r="S259" t="n">
        <v>23000</v>
      </c>
      <c r="T259" s="121">
        <f>S259/L259</f>
        <v/>
      </c>
      <c r="U259" t="inlineStr">
        <is>
          <t>Average</t>
        </is>
      </c>
      <c r="Y259" s="705" t="n">
        <v>1775000</v>
      </c>
      <c r="AA259" s="705" t="n">
        <v>1775000</v>
      </c>
      <c r="AC259" t="inlineStr">
        <is>
          <t>0182317101017</t>
        </is>
      </c>
      <c r="AD259" t="inlineStr">
        <is>
          <t>2023000058214</t>
        </is>
      </c>
      <c r="AE259" s="575" t="inlineStr">
        <is>
          <t>DETRO NADINE L</t>
        </is>
      </c>
      <c r="AF259" s="575" t="inlineStr">
        <is>
          <t>MHA INVESTMENTS LLC</t>
        </is>
      </c>
      <c r="AI259" s="59">
        <f>IF(AND($E259=Subj_OccCode,Subj_BldgSF&gt;0,ABS($L259-Subj_BldgSF)&lt;=Subj_BldgSF*Subj_SizeTol),ABS($L259-Subj_BldgSF),NA())</f>
        <v/>
      </c>
      <c r="AJ259">
        <f>IF(ISNA(AI259),NA(),AI259+ROW()/10000000)</f>
        <v/>
      </c>
      <c r="AK259">
        <f>IF(AND(ISNUMBER($N259),$N259&gt;0,ISNUMBER($Y259)),$Y259/$N259,"")</f>
        <v/>
      </c>
    </row>
    <row r="260" ht="15" customHeight="1" s="518">
      <c r="A260" s="62" t="n">
        <v>7</v>
      </c>
      <c r="B260" s="59" t="n">
        <v>252</v>
      </c>
      <c r="C260" t="inlineStr">
        <is>
          <t>R0092271</t>
        </is>
      </c>
      <c r="D260" t="inlineStr">
        <is>
          <t xml:space="preserve">7101 E 54TH PL </t>
        </is>
      </c>
      <c r="E260" t="n">
        <v>3441</v>
      </c>
      <c r="F260" t="inlineStr">
        <is>
          <t>COMMERCE CITY</t>
        </is>
      </c>
      <c r="G260" t="inlineStr">
        <is>
          <t>5</t>
        </is>
      </c>
      <c r="H260" s="703">
        <f>Y260/J260</f>
        <v/>
      </c>
      <c r="I260" s="124" t="n">
        <v>45212</v>
      </c>
      <c r="J260" t="n">
        <v>1336</v>
      </c>
      <c r="L260" t="n">
        <v>1336</v>
      </c>
      <c r="M260" t="n">
        <v>1984</v>
      </c>
      <c r="P260" t="inlineStr">
        <is>
          <t>I-2-Com</t>
        </is>
      </c>
      <c r="R260" t="inlineStr">
        <is>
          <t>Average</t>
        </is>
      </c>
      <c r="S260" t="n">
        <v>21850</v>
      </c>
      <c r="T260" s="121">
        <f>S260/L260</f>
        <v/>
      </c>
      <c r="U260" t="inlineStr">
        <is>
          <t>Average</t>
        </is>
      </c>
      <c r="Y260" s="705" t="n">
        <v>1775000</v>
      </c>
      <c r="AA260" s="705" t="n">
        <v>1775000</v>
      </c>
      <c r="AC260" t="inlineStr">
        <is>
          <t>0182317101016</t>
        </is>
      </c>
      <c r="AD260" t="inlineStr">
        <is>
          <t>2023000058214</t>
        </is>
      </c>
      <c r="AE260" s="575" t="inlineStr">
        <is>
          <t>DETRO NADINE L</t>
        </is>
      </c>
      <c r="AF260" s="575" t="inlineStr">
        <is>
          <t>MHA INVESTMENTS LLC</t>
        </is>
      </c>
      <c r="AI260" s="59">
        <f>IF(AND($E260=Subj_OccCode,Subj_BldgSF&gt;0,ABS($L260-Subj_BldgSF)&lt;=Subj_BldgSF*Subj_SizeTol),ABS($L260-Subj_BldgSF),NA())</f>
        <v/>
      </c>
      <c r="AJ260">
        <f>IF(ISNA(AI260),NA(),AI260+ROW()/10000000)</f>
        <v/>
      </c>
      <c r="AK260">
        <f>IF(AND(ISNUMBER($N260),$N260&gt;0,ISNUMBER($Y260)),$Y260/$N260,"")</f>
        <v/>
      </c>
    </row>
    <row r="261" ht="15" customHeight="1" s="518">
      <c r="A261" s="62" t="n">
        <v>7</v>
      </c>
      <c r="B261" s="59" t="n">
        <v>253</v>
      </c>
      <c r="C261" t="inlineStr">
        <is>
          <t>R0152780</t>
        </is>
      </c>
      <c r="D261" t="inlineStr">
        <is>
          <t xml:space="preserve">3640 W 112TH AVE  </t>
        </is>
      </c>
      <c r="E261" t="n">
        <v>344</v>
      </c>
      <c r="F261" t="inlineStr">
        <is>
          <t>WESTMINSTER</t>
        </is>
      </c>
      <c r="G261" t="inlineStr">
        <is>
          <t>3</t>
        </is>
      </c>
      <c r="H261" s="703">
        <f>Y261/J261</f>
        <v/>
      </c>
      <c r="I261" s="124" t="n">
        <v>45226</v>
      </c>
      <c r="J261" t="n">
        <v>2410</v>
      </c>
      <c r="L261" t="n">
        <v>2410</v>
      </c>
      <c r="M261" t="n">
        <v>1945</v>
      </c>
      <c r="P261" t="inlineStr">
        <is>
          <t>PUD-Wes</t>
        </is>
      </c>
      <c r="R261" t="inlineStr">
        <is>
          <t>Good</t>
        </is>
      </c>
      <c r="S261" t="n">
        <v>22330</v>
      </c>
      <c r="T261" s="121">
        <f>S261/L261</f>
        <v/>
      </c>
      <c r="U261" t="inlineStr">
        <is>
          <t>Good</t>
        </is>
      </c>
      <c r="Y261" s="705" t="n">
        <v>1000000</v>
      </c>
      <c r="AA261" s="705" t="n">
        <v>1000000</v>
      </c>
      <c r="AC261" t="inlineStr">
        <is>
          <t>0171907129018</t>
        </is>
      </c>
      <c r="AD261" t="inlineStr">
        <is>
          <t>2023000061784</t>
        </is>
      </c>
      <c r="AE261" s="575" t="inlineStr">
        <is>
          <t>ETS FAMILY HOLDINGS LLC</t>
        </is>
      </c>
      <c r="AF261" s="575" t="inlineStr">
        <is>
          <t>3640 LLC</t>
        </is>
      </c>
      <c r="AI261" s="59">
        <f>IF(AND($E261=Subj_OccCode,Subj_BldgSF&gt;0,ABS($L261-Subj_BldgSF)&lt;=Subj_BldgSF*Subj_SizeTol),ABS($L261-Subj_BldgSF),NA())</f>
        <v/>
      </c>
      <c r="AJ261">
        <f>IF(ISNA(AI261),NA(),AI261+ROW()/10000000)</f>
        <v/>
      </c>
      <c r="AK261">
        <f>IF(AND(ISNUMBER($N261),$N261&gt;0,ISNUMBER($Y261)),$Y261/$N261,"")</f>
        <v/>
      </c>
    </row>
    <row r="262" ht="15" customHeight="1" s="518">
      <c r="A262" s="62" t="n">
        <v>7</v>
      </c>
      <c r="B262" s="59" t="n">
        <v>254</v>
      </c>
      <c r="C262" t="inlineStr">
        <is>
          <t>R0090205</t>
        </is>
      </c>
      <c r="D262" t="inlineStr">
        <is>
          <t xml:space="preserve">6655  BRIGHTON RD  </t>
        </is>
      </c>
      <c r="E262" t="n">
        <v>346</v>
      </c>
      <c r="F262" t="inlineStr">
        <is>
          <t>COMMERCE CITY</t>
        </is>
      </c>
      <c r="G262" t="inlineStr">
        <is>
          <t>5</t>
        </is>
      </c>
      <c r="H262" s="703">
        <f>Y262/J262</f>
        <v/>
      </c>
      <c r="I262" s="124" t="n">
        <v>45233</v>
      </c>
      <c r="J262" t="n">
        <v>1092</v>
      </c>
      <c r="L262" t="n">
        <v>1092</v>
      </c>
      <c r="M262" t="n">
        <v>1969</v>
      </c>
      <c r="P262" t="inlineStr">
        <is>
          <t>C-3-Com</t>
        </is>
      </c>
      <c r="R262" t="inlineStr">
        <is>
          <t>Average</t>
        </is>
      </c>
      <c r="S262" t="n">
        <v>6000</v>
      </c>
      <c r="T262" s="121">
        <f>S262/L262</f>
        <v/>
      </c>
      <c r="U262" t="inlineStr">
        <is>
          <t>Average</t>
        </is>
      </c>
      <c r="Y262" s="705" t="n">
        <v>880000</v>
      </c>
      <c r="AA262" s="705" t="n">
        <v>880000</v>
      </c>
      <c r="AC262" t="inlineStr">
        <is>
          <t>0182306301037</t>
        </is>
      </c>
      <c r="AD262" t="inlineStr">
        <is>
          <t>2023000062260</t>
        </is>
      </c>
      <c r="AE262" s="575" t="inlineStr">
        <is>
          <t>2 US 4VR LLC</t>
        </is>
      </c>
      <c r="AF262" s="575" t="inlineStr">
        <is>
          <t>AAA PROPERTY</t>
        </is>
      </c>
      <c r="AI262" s="59">
        <f>IF(AND($E262=Subj_OccCode,Subj_BldgSF&gt;0,ABS($L262-Subj_BldgSF)&lt;=Subj_BldgSF*Subj_SizeTol),ABS($L262-Subj_BldgSF),NA())</f>
        <v/>
      </c>
      <c r="AJ262">
        <f>IF(ISNA(AI262),NA(),AI262+ROW()/10000000)</f>
        <v/>
      </c>
      <c r="AK262">
        <f>IF(AND(ISNUMBER($N262),$N262&gt;0,ISNUMBER($Y262)),$Y262/$N262,"")</f>
        <v/>
      </c>
    </row>
    <row r="263" ht="15" customHeight="1" s="518">
      <c r="A263" s="62" t="n">
        <v>7</v>
      </c>
      <c r="B263" s="59" t="n">
        <v>255</v>
      </c>
      <c r="C263" t="inlineStr">
        <is>
          <t>R0090207</t>
        </is>
      </c>
      <c r="D263" t="inlineStr">
        <is>
          <t xml:space="preserve">6671  BRIGHTON BLVD  </t>
        </is>
      </c>
      <c r="E263" t="n">
        <v>353</v>
      </c>
      <c r="F263" t="inlineStr">
        <is>
          <t>COMMERCE CITY</t>
        </is>
      </c>
      <c r="G263" t="inlineStr">
        <is>
          <t>5</t>
        </is>
      </c>
      <c r="H263" s="703">
        <f>Y263/J263</f>
        <v/>
      </c>
      <c r="I263" s="124" t="n">
        <v>45233</v>
      </c>
      <c r="J263" t="n">
        <v>6660</v>
      </c>
      <c r="L263" t="n">
        <v>6660</v>
      </c>
      <c r="M263" t="n">
        <v>1955</v>
      </c>
      <c r="P263" t="inlineStr">
        <is>
          <t>C-3-Com</t>
        </is>
      </c>
      <c r="R263" t="inlineStr">
        <is>
          <t>Average</t>
        </is>
      </c>
      <c r="S263" t="n">
        <v>54172</v>
      </c>
      <c r="T263" s="121">
        <f>S263/L263</f>
        <v/>
      </c>
      <c r="U263" t="inlineStr">
        <is>
          <t>Average</t>
        </is>
      </c>
      <c r="Y263" s="705" t="n">
        <v>880000</v>
      </c>
      <c r="AA263" s="705" t="n">
        <v>880000</v>
      </c>
      <c r="AC263" t="inlineStr">
        <is>
          <t>0182306301042</t>
        </is>
      </c>
      <c r="AD263" t="inlineStr">
        <is>
          <t>2023000062260</t>
        </is>
      </c>
      <c r="AE263" s="575" t="inlineStr">
        <is>
          <t>2 US 4VR LLC</t>
        </is>
      </c>
      <c r="AF263" s="575" t="inlineStr">
        <is>
          <t>AAA PROPERTY</t>
        </is>
      </c>
      <c r="AI263" s="59">
        <f>IF(AND($E263=Subj_OccCode,Subj_BldgSF&gt;0,ABS($L263-Subj_BldgSF)&lt;=Subj_BldgSF*Subj_SizeTol),ABS($L263-Subj_BldgSF),NA())</f>
        <v/>
      </c>
      <c r="AJ263">
        <f>IF(ISNA(AI263),NA(),AI263+ROW()/10000000)</f>
        <v/>
      </c>
      <c r="AK263">
        <f>IF(AND(ISNUMBER($N263),$N263&gt;0,ISNUMBER($Y263)),$Y263/$N263,"")</f>
        <v/>
      </c>
    </row>
    <row r="264" ht="15" customHeight="1" s="518">
      <c r="A264" s="62" t="n">
        <v>7</v>
      </c>
      <c r="B264" s="59" t="n">
        <v>256</v>
      </c>
      <c r="C264" t="inlineStr">
        <is>
          <t>R0103294</t>
        </is>
      </c>
      <c r="D264" t="inlineStr">
        <is>
          <t>911 W 62ND AVE</t>
        </is>
      </c>
      <c r="E264" t="n">
        <v>406</v>
      </c>
      <c r="G264" t="inlineStr">
        <is>
          <t>5</t>
        </is>
      </c>
      <c r="H264" s="703">
        <f>Y264/J264</f>
        <v/>
      </c>
      <c r="I264" s="124" t="n">
        <v>45251</v>
      </c>
      <c r="J264" t="n">
        <v>2925</v>
      </c>
      <c r="L264" t="n">
        <v>2925</v>
      </c>
      <c r="M264" t="n">
        <v>2006</v>
      </c>
      <c r="P264" t="inlineStr">
        <is>
          <t>Industrial</t>
        </is>
      </c>
      <c r="R264" t="inlineStr">
        <is>
          <t>Average</t>
        </is>
      </c>
      <c r="S264" t="n">
        <v>100410</v>
      </c>
      <c r="T264" s="121">
        <f>S264/L264</f>
        <v/>
      </c>
      <c r="U264" t="inlineStr">
        <is>
          <t>Average</t>
        </is>
      </c>
      <c r="Y264" s="705" t="n">
        <v>3250000</v>
      </c>
      <c r="AA264" s="705" t="n">
        <v>3250000</v>
      </c>
      <c r="AC264" t="inlineStr">
        <is>
          <t>0182509100034</t>
        </is>
      </c>
      <c r="AD264" t="inlineStr">
        <is>
          <t>2023000065221</t>
        </is>
      </c>
      <c r="AE264" s="575" t="inlineStr">
        <is>
          <t>909W62AVE LLC</t>
        </is>
      </c>
      <c r="AF264" s="575" t="inlineStr">
        <is>
          <t>REGON2 LLC</t>
        </is>
      </c>
      <c r="AI264" s="59">
        <f>IF(AND($E264=Subj_OccCode,Subj_BldgSF&gt;0,ABS($L264-Subj_BldgSF)&lt;=Subj_BldgSF*Subj_SizeTol),ABS($L264-Subj_BldgSF),NA())</f>
        <v/>
      </c>
      <c r="AJ264">
        <f>IF(ISNA(AI264),NA(),AI264+ROW()/10000000)</f>
        <v/>
      </c>
      <c r="AK264">
        <f>IF(AND(ISNUMBER($N264),$N264&gt;0,ISNUMBER($Y264)),$Y264/$N264,"")</f>
        <v/>
      </c>
    </row>
    <row r="265" ht="15" customHeight="1" s="518">
      <c r="A265" s="62" t="n">
        <v>7</v>
      </c>
      <c r="B265" s="59" t="n">
        <v>257</v>
      </c>
      <c r="C265" t="inlineStr">
        <is>
          <t>R0077757</t>
        </is>
      </c>
      <c r="D265" t="inlineStr">
        <is>
          <t xml:space="preserve">7630  DAHLIA ST  </t>
        </is>
      </c>
      <c r="E265" t="n">
        <v>406</v>
      </c>
      <c r="F265" t="inlineStr">
        <is>
          <t>COMMERCE CITY</t>
        </is>
      </c>
      <c r="G265" t="inlineStr">
        <is>
          <t>5</t>
        </is>
      </c>
      <c r="H265" s="703">
        <f>Y265/J265</f>
        <v/>
      </c>
      <c r="I265" s="124" t="n">
        <v>45260</v>
      </c>
      <c r="J265" t="n">
        <v>4960</v>
      </c>
      <c r="L265" t="n">
        <v>4960</v>
      </c>
      <c r="M265" t="n">
        <v>1994</v>
      </c>
      <c r="P265" t="inlineStr">
        <is>
          <t>I-2-Com</t>
        </is>
      </c>
      <c r="R265" t="inlineStr">
        <is>
          <t>Average</t>
        </is>
      </c>
      <c r="S265" t="n">
        <v>41790</v>
      </c>
      <c r="T265" s="121">
        <f>S265/L265</f>
        <v/>
      </c>
      <c r="U265" t="inlineStr">
        <is>
          <t>Average</t>
        </is>
      </c>
      <c r="Y265" s="705" t="n">
        <v>1800000</v>
      </c>
      <c r="AA265" s="705" t="n">
        <v>1800000</v>
      </c>
      <c r="AC265" t="inlineStr">
        <is>
          <t>0172131106001</t>
        </is>
      </c>
      <c r="AD265" t="inlineStr">
        <is>
          <t>2023000066282</t>
        </is>
      </c>
      <c r="AE265" s="575" t="inlineStr">
        <is>
          <t>FORTENBERRY INVESTMENT CO LLP</t>
        </is>
      </c>
      <c r="AF265" s="575" t="inlineStr">
        <is>
          <t>HILLEN HOLDINGS LLC</t>
        </is>
      </c>
      <c r="AI265" s="59">
        <f>IF(AND($E265=Subj_OccCode,Subj_BldgSF&gt;0,ABS($L265-Subj_BldgSF)&lt;=Subj_BldgSF*Subj_SizeTol),ABS($L265-Subj_BldgSF),NA())</f>
        <v/>
      </c>
      <c r="AJ265">
        <f>IF(ISNA(AI265),NA(),AI265+ROW()/10000000)</f>
        <v/>
      </c>
      <c r="AK265">
        <f>IF(AND(ISNUMBER($N265),$N265&gt;0,ISNUMBER($Y265)),$Y265/$N265,"")</f>
        <v/>
      </c>
    </row>
    <row r="266" ht="15" customHeight="1" s="518">
      <c r="A266" s="62" t="n">
        <v>7</v>
      </c>
      <c r="B266" s="59" t="n">
        <v>258</v>
      </c>
      <c r="C266" t="inlineStr">
        <is>
          <t>R0187315</t>
        </is>
      </c>
      <c r="D266" t="inlineStr">
        <is>
          <t>868 E 78TH AVE</t>
        </is>
      </c>
      <c r="E266" t="n">
        <v>425</v>
      </c>
      <c r="G266" t="inlineStr">
        <is>
          <t>5</t>
        </is>
      </c>
      <c r="H266" s="703">
        <f>Y266/J266</f>
        <v/>
      </c>
      <c r="I266" s="124" t="n">
        <v>45286</v>
      </c>
      <c r="J266" t="n">
        <v>37592</v>
      </c>
      <c r="L266" t="n">
        <v>37592</v>
      </c>
      <c r="M266" t="n">
        <v>2006</v>
      </c>
      <c r="P266" t="inlineStr">
        <is>
          <t>Industrial</t>
        </is>
      </c>
      <c r="R266" t="inlineStr">
        <is>
          <t>Average</t>
        </is>
      </c>
      <c r="S266" t="n">
        <v>2919</v>
      </c>
      <c r="T266" s="121">
        <f>S266/L266</f>
        <v/>
      </c>
      <c r="U266" t="inlineStr">
        <is>
          <t>Average</t>
        </is>
      </c>
      <c r="Y266" s="705" t="n">
        <v>1123000</v>
      </c>
      <c r="AA266" s="705" t="n">
        <v>1123000</v>
      </c>
      <c r="AC266" t="inlineStr">
        <is>
          <t>0171935233026</t>
        </is>
      </c>
      <c r="AD266" t="inlineStr">
        <is>
          <t>2023000071142</t>
        </is>
      </c>
      <c r="AE266" s="575" t="inlineStr">
        <is>
          <t>TRANSIT MANAGEMENT LLC</t>
        </is>
      </c>
      <c r="AF266" s="575" t="inlineStr">
        <is>
          <t>BRODIGAN PROPERTIES LLC</t>
        </is>
      </c>
      <c r="AI266" s="59">
        <f>IF(AND($E266=Subj_OccCode,Subj_BldgSF&gt;0,ABS($L266-Subj_BldgSF)&lt;=Subj_BldgSF*Subj_SizeTol),ABS($L266-Subj_BldgSF),NA())</f>
        <v/>
      </c>
      <c r="AJ266">
        <f>IF(ISNA(AI266),NA(),AI266+ROW()/10000000)</f>
        <v/>
      </c>
      <c r="AK266">
        <f>IF(AND(ISNUMBER($N266),$N266&gt;0,ISNUMBER($Y266)),$Y266/$N266,"")</f>
        <v/>
      </c>
    </row>
    <row r="267" ht="15" customHeight="1" s="518">
      <c r="A267" s="62" t="n">
        <v>7</v>
      </c>
      <c r="B267" s="59" t="n">
        <v>259</v>
      </c>
      <c r="C267" t="inlineStr">
        <is>
          <t>R0187314</t>
        </is>
      </c>
      <c r="D267" t="inlineStr">
        <is>
          <t>866 E 78TH AVE</t>
        </is>
      </c>
      <c r="E267" t="n">
        <v>425</v>
      </c>
      <c r="G267" t="inlineStr">
        <is>
          <t>5</t>
        </is>
      </c>
      <c r="H267" s="703">
        <f>Y267/J267</f>
        <v/>
      </c>
      <c r="I267" s="124" t="n">
        <v>45286</v>
      </c>
      <c r="J267" t="n">
        <v>37592</v>
      </c>
      <c r="L267" t="n">
        <v>37592</v>
      </c>
      <c r="M267" t="n">
        <v>2006</v>
      </c>
      <c r="P267" t="inlineStr">
        <is>
          <t>Industrial</t>
        </is>
      </c>
      <c r="R267" t="inlineStr">
        <is>
          <t>Average</t>
        </is>
      </c>
      <c r="S267" t="n">
        <v>7296</v>
      </c>
      <c r="T267" s="121">
        <f>S267/L267</f>
        <v/>
      </c>
      <c r="U267" t="inlineStr">
        <is>
          <t>Average</t>
        </is>
      </c>
      <c r="Y267" s="705" t="n">
        <v>1123000</v>
      </c>
      <c r="AA267" s="705" t="n">
        <v>1123000</v>
      </c>
      <c r="AC267" t="inlineStr">
        <is>
          <t>0171935233025</t>
        </is>
      </c>
      <c r="AD267" t="inlineStr">
        <is>
          <t>2023000071142</t>
        </is>
      </c>
      <c r="AE267" s="575" t="inlineStr">
        <is>
          <t>TRANSIT MANAGEMENT LLC</t>
        </is>
      </c>
      <c r="AF267" s="575" t="inlineStr">
        <is>
          <t>BRODIGAN PROPERTIES LLC</t>
        </is>
      </c>
      <c r="AI267" s="59">
        <f>IF(AND($E267=Subj_OccCode,Subj_BldgSF&gt;0,ABS($L267-Subj_BldgSF)&lt;=Subj_BldgSF*Subj_SizeTol),ABS($L267-Subj_BldgSF),NA())</f>
        <v/>
      </c>
      <c r="AJ267">
        <f>IF(ISNA(AI267),NA(),AI267+ROW()/10000000)</f>
        <v/>
      </c>
      <c r="AK267">
        <f>IF(AND(ISNUMBER($N267),$N267&gt;0,ISNUMBER($Y267)),$Y267/$N267,"")</f>
        <v/>
      </c>
    </row>
    <row r="268" ht="15" customHeight="1" s="518">
      <c r="A268" s="62" t="n">
        <v>7</v>
      </c>
      <c r="B268" s="59" t="n">
        <v>260</v>
      </c>
      <c r="C268" t="inlineStr">
        <is>
          <t>R0187316</t>
        </is>
      </c>
      <c r="D268" t="inlineStr">
        <is>
          <t>882 E 78TH AVE</t>
        </is>
      </c>
      <c r="E268" t="n">
        <v>425</v>
      </c>
      <c r="G268" t="inlineStr">
        <is>
          <t>5</t>
        </is>
      </c>
      <c r="H268" s="703">
        <f>Y268/J268</f>
        <v/>
      </c>
      <c r="I268" s="124" t="n">
        <v>45286</v>
      </c>
      <c r="J268" t="n">
        <v>37592</v>
      </c>
      <c r="L268" t="n">
        <v>37592</v>
      </c>
      <c r="M268" t="n">
        <v>2006</v>
      </c>
      <c r="P268" t="inlineStr">
        <is>
          <t>Industrial</t>
        </is>
      </c>
      <c r="R268" t="inlineStr">
        <is>
          <t>Average</t>
        </is>
      </c>
      <c r="S268" t="n">
        <v>11382</v>
      </c>
      <c r="T268" s="121">
        <f>S268/L268</f>
        <v/>
      </c>
      <c r="U268" t="inlineStr">
        <is>
          <t>Average</t>
        </is>
      </c>
      <c r="Y268" s="705" t="n">
        <v>1123000</v>
      </c>
      <c r="AA268" s="705" t="n">
        <v>1123000</v>
      </c>
      <c r="AC268" t="inlineStr">
        <is>
          <t>0171935233027</t>
        </is>
      </c>
      <c r="AD268" t="inlineStr">
        <is>
          <t>2023000071142</t>
        </is>
      </c>
      <c r="AE268" s="575" t="inlineStr">
        <is>
          <t>TRANSIT MANAGEMENT LLC</t>
        </is>
      </c>
      <c r="AF268" s="575" t="inlineStr">
        <is>
          <t>BRODIGAN PROPERTIES LLC</t>
        </is>
      </c>
      <c r="AI268" s="59">
        <f>IF(AND($E268=Subj_OccCode,Subj_BldgSF&gt;0,ABS($L268-Subj_BldgSF)&lt;=Subj_BldgSF*Subj_SizeTol),ABS($L268-Subj_BldgSF),NA())</f>
        <v/>
      </c>
      <c r="AJ268">
        <f>IF(ISNA(AI268),NA(),AI268+ROW()/10000000)</f>
        <v/>
      </c>
      <c r="AK268">
        <f>IF(AND(ISNUMBER($N268),$N268&gt;0,ISNUMBER($Y268)),$Y268/$N268,"")</f>
        <v/>
      </c>
    </row>
    <row r="269" ht="15" customHeight="1" s="518">
      <c r="A269" s="62" t="n">
        <v>7</v>
      </c>
      <c r="B269" s="59" t="n">
        <v>261</v>
      </c>
      <c r="C269" t="inlineStr">
        <is>
          <t>R0167015</t>
        </is>
      </c>
      <c r="D269" t="inlineStr">
        <is>
          <t>6271  BEACH ST A</t>
        </is>
      </c>
      <c r="E269" t="n">
        <v>425</v>
      </c>
      <c r="G269" t="inlineStr">
        <is>
          <t>5</t>
        </is>
      </c>
      <c r="H269" s="703">
        <f>Y269/J269</f>
        <v/>
      </c>
      <c r="I269" s="124" t="n">
        <v>45307</v>
      </c>
      <c r="J269" t="n">
        <v>22138</v>
      </c>
      <c r="L269" t="n">
        <v>22138</v>
      </c>
      <c r="M269" t="n">
        <v>2005</v>
      </c>
      <c r="P269" t="inlineStr">
        <is>
          <t>Planned Unit Development</t>
        </is>
      </c>
      <c r="R269" t="inlineStr">
        <is>
          <t>Average</t>
        </is>
      </c>
      <c r="S269" t="n">
        <v>11727</v>
      </c>
      <c r="T269" s="121">
        <f>S269/L269</f>
        <v/>
      </c>
      <c r="U269" t="inlineStr">
        <is>
          <t>Average</t>
        </is>
      </c>
      <c r="Y269" s="705" t="n">
        <v>1200000</v>
      </c>
      <c r="AA269" s="705" t="n">
        <v>1200000</v>
      </c>
      <c r="AC269" t="inlineStr">
        <is>
          <t>0182508105019</t>
        </is>
      </c>
      <c r="AD269" t="inlineStr">
        <is>
          <t>2024000002493</t>
        </is>
      </c>
      <c r="AE269" s="575" t="inlineStr">
        <is>
          <t>SDM REALTY GROUP LLC</t>
        </is>
      </c>
      <c r="AF269" s="575" t="inlineStr">
        <is>
          <t>A&amp;G HOLDINGS LTD</t>
        </is>
      </c>
      <c r="AI269" s="59">
        <f>IF(AND($E269=Subj_OccCode,Subj_BldgSF&gt;0,ABS($L269-Subj_BldgSF)&lt;=Subj_BldgSF*Subj_SizeTol),ABS($L269-Subj_BldgSF),NA())</f>
        <v/>
      </c>
      <c r="AJ269">
        <f>IF(ISNA(AI269),NA(),AI269+ROW()/10000000)</f>
        <v/>
      </c>
      <c r="AK269">
        <f>IF(AND(ISNUMBER($N269),$N269&gt;0,ISNUMBER($Y269)),$Y269/$N269,"")</f>
        <v/>
      </c>
    </row>
    <row r="270" ht="15" customHeight="1" s="518">
      <c r="A270" s="62" t="n">
        <v>7</v>
      </c>
      <c r="B270" s="59" t="n">
        <v>262</v>
      </c>
      <c r="C270" t="inlineStr">
        <is>
          <t>R0167016</t>
        </is>
      </c>
      <c r="D270" t="inlineStr">
        <is>
          <t>6271  BEACH ST B</t>
        </is>
      </c>
      <c r="E270" t="n">
        <v>425</v>
      </c>
      <c r="G270" t="inlineStr">
        <is>
          <t>5</t>
        </is>
      </c>
      <c r="H270" s="703">
        <f>Y270/J270</f>
        <v/>
      </c>
      <c r="I270" s="124" t="n">
        <v>45307</v>
      </c>
      <c r="J270" t="n">
        <v>22138</v>
      </c>
      <c r="L270" t="n">
        <v>22138</v>
      </c>
      <c r="M270" t="n">
        <v>2005</v>
      </c>
      <c r="P270" t="inlineStr">
        <is>
          <t>Planned Unit Development</t>
        </is>
      </c>
      <c r="R270" t="inlineStr">
        <is>
          <t>Average</t>
        </is>
      </c>
      <c r="S270" t="n">
        <v>11727</v>
      </c>
      <c r="T270" s="121">
        <f>S270/L270</f>
        <v/>
      </c>
      <c r="U270" t="inlineStr">
        <is>
          <t>Average</t>
        </is>
      </c>
      <c r="Y270" s="705" t="n">
        <v>1200000</v>
      </c>
      <c r="AA270" s="705" t="n">
        <v>1200000</v>
      </c>
      <c r="AC270" t="inlineStr">
        <is>
          <t>0182508105018</t>
        </is>
      </c>
      <c r="AD270" t="inlineStr">
        <is>
          <t>2024000002493</t>
        </is>
      </c>
      <c r="AE270" s="575" t="inlineStr">
        <is>
          <t>SDM REALTY GROUP LLC</t>
        </is>
      </c>
      <c r="AF270" s="575" t="inlineStr">
        <is>
          <t>A&amp;G HOLDINGS LTD</t>
        </is>
      </c>
      <c r="AI270" s="59">
        <f>IF(AND($E270=Subj_OccCode,Subj_BldgSF&gt;0,ABS($L270-Subj_BldgSF)&lt;=Subj_BldgSF*Subj_SizeTol),ABS($L270-Subj_BldgSF),NA())</f>
        <v/>
      </c>
      <c r="AJ270">
        <f>IF(ISNA(AI270),NA(),AI270+ROW()/10000000)</f>
        <v/>
      </c>
      <c r="AK270">
        <f>IF(AND(ISNUMBER($N270),$N270&gt;0,ISNUMBER($Y270)),$Y270/$N270,"")</f>
        <v/>
      </c>
    </row>
    <row r="271" ht="15" customHeight="1" s="518">
      <c r="A271" s="62" t="n">
        <v>7</v>
      </c>
      <c r="B271" s="59" t="n">
        <v>263</v>
      </c>
      <c r="C271" t="inlineStr">
        <is>
          <t>R0084307</t>
        </is>
      </c>
      <c r="D271" t="inlineStr">
        <is>
          <t xml:space="preserve">13903  SMITH DR </t>
        </is>
      </c>
      <c r="E271" t="n">
        <v>406</v>
      </c>
      <c r="F271" t="inlineStr">
        <is>
          <t>AURORA</t>
        </is>
      </c>
      <c r="G271" t="inlineStr">
        <is>
          <t>6</t>
        </is>
      </c>
      <c r="H271" s="703">
        <f>Y271/J271</f>
        <v/>
      </c>
      <c r="I271" s="124" t="n">
        <v>45310</v>
      </c>
      <c r="J271" t="n">
        <v>5300</v>
      </c>
      <c r="L271" t="n">
        <v>5300</v>
      </c>
      <c r="M271" t="n">
        <v>1983</v>
      </c>
      <c r="P271" t="inlineStr">
        <is>
          <t>M-1-Aur</t>
        </is>
      </c>
      <c r="R271" t="inlineStr">
        <is>
          <t>Average</t>
        </is>
      </c>
      <c r="S271" t="n">
        <v>19301</v>
      </c>
      <c r="T271" s="121">
        <f>S271/L271</f>
        <v/>
      </c>
      <c r="U271" t="inlineStr">
        <is>
          <t>Average</t>
        </is>
      </c>
      <c r="Y271" s="705" t="n">
        <v>1200000</v>
      </c>
      <c r="AA271" s="705" t="n">
        <v>1200000</v>
      </c>
      <c r="AC271" t="inlineStr">
        <is>
          <t>0182130013006</t>
        </is>
      </c>
      <c r="AD271" t="inlineStr">
        <is>
          <t>2024000003121</t>
        </is>
      </c>
      <c r="AE271" s="575" t="inlineStr">
        <is>
          <t>CROCKET RICHARD E</t>
        </is>
      </c>
      <c r="AF271" s="575" t="inlineStr">
        <is>
          <t>PATRIOT HOLDINGS SMITH DRIVE LLC</t>
        </is>
      </c>
      <c r="AI271" s="59">
        <f>IF(AND($E271=Subj_OccCode,Subj_BldgSF&gt;0,ABS($L271-Subj_BldgSF)&lt;=Subj_BldgSF*Subj_SizeTol),ABS($L271-Subj_BldgSF),NA())</f>
        <v/>
      </c>
      <c r="AJ271">
        <f>IF(ISNA(AI271),NA(),AI271+ROW()/10000000)</f>
        <v/>
      </c>
      <c r="AK271">
        <f>IF(AND(ISNUMBER($N271),$N271&gt;0,ISNUMBER($Y271)),$Y271/$N271,"")</f>
        <v/>
      </c>
    </row>
    <row r="272" ht="15" customHeight="1" s="518">
      <c r="A272" s="62" t="n">
        <v>7</v>
      </c>
      <c r="B272" s="59" t="n">
        <v>264</v>
      </c>
      <c r="C272" t="inlineStr">
        <is>
          <t>R0103521</t>
        </is>
      </c>
      <c r="D272" t="inlineStr">
        <is>
          <t>5925  BROADWAY ST</t>
        </is>
      </c>
      <c r="E272" t="n">
        <v>407</v>
      </c>
      <c r="G272" t="inlineStr">
        <is>
          <t>5</t>
        </is>
      </c>
      <c r="H272" s="703">
        <f>Y272/J272</f>
        <v/>
      </c>
      <c r="I272" s="124" t="n">
        <v>45322</v>
      </c>
      <c r="J272" t="n">
        <v>55704</v>
      </c>
      <c r="L272" t="n">
        <v>55704</v>
      </c>
      <c r="M272" t="n">
        <v>1972</v>
      </c>
      <c r="P272" t="inlineStr">
        <is>
          <t>Industrial</t>
        </is>
      </c>
      <c r="R272" t="inlineStr">
        <is>
          <t>Average</t>
        </is>
      </c>
      <c r="S272" t="n">
        <v>137294</v>
      </c>
      <c r="T272" s="121">
        <f>S272/L272</f>
        <v/>
      </c>
      <c r="U272" t="inlineStr">
        <is>
          <t>Average</t>
        </is>
      </c>
      <c r="Y272" s="705" t="n">
        <v>9570000</v>
      </c>
      <c r="AA272" s="705" t="n">
        <v>9570000</v>
      </c>
      <c r="AC272" t="inlineStr">
        <is>
          <t>0182510301032</t>
        </is>
      </c>
      <c r="AD272" t="inlineStr">
        <is>
          <t>2024000005550</t>
        </is>
      </c>
      <c r="AE272" s="575" t="inlineStr">
        <is>
          <t>WSM INDUSTRIES INC</t>
        </is>
      </c>
      <c r="AF272" s="575" t="inlineStr">
        <is>
          <t>WSM REAL ESTATE INVESTMENTS LLC</t>
        </is>
      </c>
      <c r="AI272" s="59">
        <f>IF(AND($E272=Subj_OccCode,Subj_BldgSF&gt;0,ABS($L272-Subj_BldgSF)&lt;=Subj_BldgSF*Subj_SizeTol),ABS($L272-Subj_BldgSF),NA())</f>
        <v/>
      </c>
      <c r="AJ272">
        <f>IF(ISNA(AI272),NA(),AI272+ROW()/10000000)</f>
        <v/>
      </c>
      <c r="AK272">
        <f>IF(AND(ISNUMBER($N272),$N272&gt;0,ISNUMBER($Y272)),$Y272/$N272,"")</f>
        <v/>
      </c>
    </row>
    <row r="273" ht="15" customHeight="1" s="518">
      <c r="A273" s="62" t="n">
        <v>7</v>
      </c>
      <c r="B273" s="59" t="n">
        <v>265</v>
      </c>
      <c r="C273" t="inlineStr">
        <is>
          <t>R0159463</t>
        </is>
      </c>
      <c r="D273" t="inlineStr">
        <is>
          <t>12001 E 33RD AVE E</t>
        </is>
      </c>
      <c r="E273" t="n">
        <v>425</v>
      </c>
      <c r="F273" t="inlineStr">
        <is>
          <t>AURORA</t>
        </is>
      </c>
      <c r="G273" t="inlineStr">
        <is>
          <t>6</t>
        </is>
      </c>
      <c r="H273" s="703">
        <f>Y273/J273</f>
        <v/>
      </c>
      <c r="I273" s="124" t="n">
        <v>45327</v>
      </c>
      <c r="J273" t="n">
        <v>32500</v>
      </c>
      <c r="L273" t="n">
        <v>32500</v>
      </c>
      <c r="M273" t="n">
        <v>2004</v>
      </c>
      <c r="P273" t="inlineStr">
        <is>
          <t>M-2</t>
        </is>
      </c>
      <c r="R273" t="inlineStr">
        <is>
          <t>Average</t>
        </is>
      </c>
      <c r="S273" t="n">
        <v>4740</v>
      </c>
      <c r="T273" s="121">
        <f>S273/L273</f>
        <v/>
      </c>
      <c r="U273" t="inlineStr">
        <is>
          <t>Average</t>
        </is>
      </c>
      <c r="Y273" s="705" t="n">
        <v>1150000</v>
      </c>
      <c r="AA273" s="705" t="n">
        <v>1150000</v>
      </c>
      <c r="AC273" t="inlineStr">
        <is>
          <t>0182326103027</t>
        </is>
      </c>
      <c r="AD273" t="inlineStr">
        <is>
          <t>2024000005872</t>
        </is>
      </c>
      <c r="AE273" s="575" t="inlineStr">
        <is>
          <t>SOUTH STREET CAPITAL PARTNERS LLC</t>
        </is>
      </c>
      <c r="AF273" s="575" t="inlineStr">
        <is>
          <t>33RD AVENUE LLC</t>
        </is>
      </c>
      <c r="AI273" s="59">
        <f>IF(AND($E273=Subj_OccCode,Subj_BldgSF&gt;0,ABS($L273-Subj_BldgSF)&lt;=Subj_BldgSF*Subj_SizeTol),ABS($L273-Subj_BldgSF),NA())</f>
        <v/>
      </c>
      <c r="AJ273">
        <f>IF(ISNA(AI273),NA(),AI273+ROW()/10000000)</f>
        <v/>
      </c>
      <c r="AK273">
        <f>IF(AND(ISNUMBER($N273),$N273&gt;0,ISNUMBER($Y273)),$Y273/$N273,"")</f>
        <v/>
      </c>
    </row>
    <row r="274" ht="15" customHeight="1" s="518">
      <c r="A274" s="62" t="n">
        <v>7</v>
      </c>
      <c r="B274" s="59" t="n">
        <v>266</v>
      </c>
      <c r="C274" t="inlineStr">
        <is>
          <t>R0159464</t>
        </is>
      </c>
      <c r="D274" t="inlineStr">
        <is>
          <t xml:space="preserve">12001 E 33RD AVE F </t>
        </is>
      </c>
      <c r="E274" t="n">
        <v>425</v>
      </c>
      <c r="F274" t="inlineStr">
        <is>
          <t>AURORA</t>
        </is>
      </c>
      <c r="G274" t="inlineStr">
        <is>
          <t>6</t>
        </is>
      </c>
      <c r="H274" s="703">
        <f>Y274/J274</f>
        <v/>
      </c>
      <c r="I274" s="124" t="n">
        <v>45327</v>
      </c>
      <c r="J274" t="n">
        <v>32500</v>
      </c>
      <c r="L274" t="n">
        <v>32500</v>
      </c>
      <c r="M274" t="n">
        <v>2004</v>
      </c>
      <c r="P274" t="inlineStr">
        <is>
          <t>M-2</t>
        </is>
      </c>
      <c r="R274" t="inlineStr">
        <is>
          <t>Average</t>
        </is>
      </c>
      <c r="S274" t="n">
        <v>4740</v>
      </c>
      <c r="T274" s="121">
        <f>S274/L274</f>
        <v/>
      </c>
      <c r="U274" t="inlineStr">
        <is>
          <t>Average</t>
        </is>
      </c>
      <c r="Y274" s="705" t="n">
        <v>1150000</v>
      </c>
      <c r="AA274" s="705" t="n">
        <v>1150000</v>
      </c>
      <c r="AC274" t="inlineStr">
        <is>
          <t>0182326103028</t>
        </is>
      </c>
      <c r="AD274" t="inlineStr">
        <is>
          <t>2024000005872</t>
        </is>
      </c>
      <c r="AE274" s="575" t="inlineStr">
        <is>
          <t>SOUTH STREET CAPITAL PARTNERS LLC</t>
        </is>
      </c>
      <c r="AF274" s="575" t="inlineStr">
        <is>
          <t>33RD AVENUE LLC</t>
        </is>
      </c>
      <c r="AI274" s="59">
        <f>IF(AND($E274=Subj_OccCode,Subj_BldgSF&gt;0,ABS($L274-Subj_BldgSF)&lt;=Subj_BldgSF*Subj_SizeTol),ABS($L274-Subj_BldgSF),NA())</f>
        <v/>
      </c>
      <c r="AJ274">
        <f>IF(ISNA(AI274),NA(),AI274+ROW()/10000000)</f>
        <v/>
      </c>
      <c r="AK274">
        <f>IF(AND(ISNUMBER($N274),$N274&gt;0,ISNUMBER($Y274)),$Y274/$N274,"")</f>
        <v/>
      </c>
    </row>
    <row r="275" ht="15" customHeight="1" s="518">
      <c r="A275" s="62" t="n">
        <v>7</v>
      </c>
      <c r="B275" s="59" t="n">
        <v>267</v>
      </c>
      <c r="C275" t="inlineStr">
        <is>
          <t>R0001913</t>
        </is>
      </c>
      <c r="D275" t="inlineStr">
        <is>
          <t xml:space="preserve">1205 E BRIDGE ST </t>
        </is>
      </c>
      <c r="E275" t="n">
        <v>353</v>
      </c>
      <c r="F275" t="inlineStr">
        <is>
          <t>BRIGHTON</t>
        </is>
      </c>
      <c r="G275" t="inlineStr">
        <is>
          <t>2</t>
        </is>
      </c>
      <c r="H275" s="703">
        <f>Y275/J275</f>
        <v/>
      </c>
      <c r="I275" s="124" t="n">
        <v>45328</v>
      </c>
      <c r="J275" t="n">
        <v>3650</v>
      </c>
      <c r="L275" t="n">
        <v>3650</v>
      </c>
      <c r="M275" t="n">
        <v>1961</v>
      </c>
      <c r="P275" t="inlineStr">
        <is>
          <t>C-2-Bri</t>
        </is>
      </c>
      <c r="R275" t="inlineStr">
        <is>
          <t>Average</t>
        </is>
      </c>
      <c r="S275" t="n">
        <v>13504</v>
      </c>
      <c r="T275" s="121">
        <f>S275/L275</f>
        <v/>
      </c>
      <c r="U275" t="inlineStr">
        <is>
          <t>Average</t>
        </is>
      </c>
      <c r="Y275" s="705" t="n">
        <v>688000</v>
      </c>
      <c r="AA275" s="705" t="n">
        <v>688000</v>
      </c>
      <c r="AC275" t="inlineStr">
        <is>
          <t>0156905300016</t>
        </is>
      </c>
      <c r="AD275" t="inlineStr">
        <is>
          <t>2024000006251</t>
        </is>
      </c>
      <c r="AE275" s="575" t="inlineStr">
        <is>
          <t>M-J PERRI CO</t>
        </is>
      </c>
      <c r="AF275" s="575" t="inlineStr">
        <is>
          <t>1201 E BRIDGE STREET LLC</t>
        </is>
      </c>
      <c r="AI275" s="59">
        <f>IF(AND($E275=Subj_OccCode,Subj_BldgSF&gt;0,ABS($L275-Subj_BldgSF)&lt;=Subj_BldgSF*Subj_SizeTol),ABS($L275-Subj_BldgSF),NA())</f>
        <v/>
      </c>
      <c r="AJ275">
        <f>IF(ISNA(AI275),NA(),AI275+ROW()/10000000)</f>
        <v/>
      </c>
      <c r="AK275">
        <f>IF(AND(ISNUMBER($N275),$N275&gt;0,ISNUMBER($Y275)),$Y275/$N275,"")</f>
        <v/>
      </c>
    </row>
    <row r="276" ht="15" customHeight="1" s="518">
      <c r="A276" s="62" t="n">
        <v>7</v>
      </c>
      <c r="B276" s="59" t="n">
        <v>268</v>
      </c>
      <c r="C276" t="inlineStr">
        <is>
          <t>R0077960</t>
        </is>
      </c>
      <c r="D276" t="inlineStr">
        <is>
          <t xml:space="preserve">5055 E 72ND AVE  </t>
        </is>
      </c>
      <c r="E276" t="n">
        <v>325</v>
      </c>
      <c r="F276" t="inlineStr">
        <is>
          <t>COMMERCE CITY</t>
        </is>
      </c>
      <c r="G276" t="inlineStr">
        <is>
          <t>5</t>
        </is>
      </c>
      <c r="H276" s="703">
        <f>Y276/J276</f>
        <v/>
      </c>
      <c r="I276" s="124" t="n">
        <v>45338</v>
      </c>
      <c r="J276" t="n">
        <v>33425</v>
      </c>
      <c r="L276" t="n">
        <v>33425</v>
      </c>
      <c r="M276" t="n">
        <v>1970</v>
      </c>
      <c r="P276" t="inlineStr">
        <is>
          <t>I-2-Com</t>
        </is>
      </c>
      <c r="R276" t="inlineStr">
        <is>
          <t>Average</t>
        </is>
      </c>
      <c r="S276" t="n">
        <v>270508</v>
      </c>
      <c r="T276" s="121">
        <f>S276/L276</f>
        <v/>
      </c>
      <c r="U276" t="inlineStr">
        <is>
          <t>Average</t>
        </is>
      </c>
      <c r="Y276" s="705" t="n">
        <v>10900000</v>
      </c>
      <c r="AA276" s="705" t="n">
        <v>10900000</v>
      </c>
      <c r="AC276" t="inlineStr">
        <is>
          <t>0172131402004</t>
        </is>
      </c>
      <c r="AD276" t="inlineStr">
        <is>
          <t>2024000008744</t>
        </is>
      </c>
      <c r="AE276" s="575" t="inlineStr">
        <is>
          <t>HONNEN PARTNERS L L C</t>
        </is>
      </c>
      <c r="AF276" s="575" t="inlineStr">
        <is>
          <t>4 RIVERS PROPERTIES COMMERCE CITY I LLC</t>
        </is>
      </c>
      <c r="AI276" s="59">
        <f>IF(AND($E276=Subj_OccCode,Subj_BldgSF&gt;0,ABS($L276-Subj_BldgSF)&lt;=Subj_BldgSF*Subj_SizeTol),ABS($L276-Subj_BldgSF),NA())</f>
        <v/>
      </c>
      <c r="AJ276">
        <f>IF(ISNA(AI276),NA(),AI276+ROW()/10000000)</f>
        <v/>
      </c>
      <c r="AK276">
        <f>IF(AND(ISNUMBER($N276),$N276&gt;0,ISNUMBER($Y276)),$Y276/$N276,"")</f>
        <v/>
      </c>
    </row>
    <row r="277" ht="15" customHeight="1" s="518">
      <c r="A277" s="62" t="n">
        <v>7</v>
      </c>
      <c r="B277" s="59" t="n">
        <v>269</v>
      </c>
      <c r="C277" t="inlineStr">
        <is>
          <t>R0151801</t>
        </is>
      </c>
      <c r="D277" t="inlineStr">
        <is>
          <t>6811  BROADWAY ST</t>
        </is>
      </c>
      <c r="E277" t="n">
        <v>425</v>
      </c>
      <c r="G277" t="inlineStr">
        <is>
          <t>5</t>
        </is>
      </c>
      <c r="H277" s="703">
        <f>Y277/J277</f>
        <v/>
      </c>
      <c r="I277" s="124" t="n">
        <v>45345</v>
      </c>
      <c r="J277" t="n">
        <v>13800</v>
      </c>
      <c r="L277" t="n">
        <v>13800</v>
      </c>
      <c r="M277" t="n">
        <v>2002</v>
      </c>
      <c r="P277" t="inlineStr">
        <is>
          <t>Planned Unit Development</t>
        </is>
      </c>
      <c r="R277" t="inlineStr">
        <is>
          <t>Very Good</t>
        </is>
      </c>
      <c r="S277" t="n">
        <v>4402</v>
      </c>
      <c r="T277" s="121">
        <f>S277/L277</f>
        <v/>
      </c>
      <c r="U277" t="inlineStr">
        <is>
          <t>Average</t>
        </is>
      </c>
      <c r="Y277" s="705" t="n">
        <v>800000</v>
      </c>
      <c r="AA277" s="705" t="n">
        <v>800000</v>
      </c>
      <c r="AC277" t="inlineStr">
        <is>
          <t>0182503218032</t>
        </is>
      </c>
      <c r="AD277" t="inlineStr">
        <is>
          <t>2024000009756</t>
        </is>
      </c>
      <c r="AE277" s="575" t="inlineStr">
        <is>
          <t>BROADWAYS LLC</t>
        </is>
      </c>
      <c r="AF277" s="575" t="inlineStr">
        <is>
          <t>DENVER FIRE PROTECTION LLC</t>
        </is>
      </c>
      <c r="AI277" s="59">
        <f>IF(AND($E277=Subj_OccCode,Subj_BldgSF&gt;0,ABS($L277-Subj_BldgSF)&lt;=Subj_BldgSF*Subj_SizeTol),ABS($L277-Subj_BldgSF),NA())</f>
        <v/>
      </c>
      <c r="AJ277">
        <f>IF(ISNA(AI277),NA(),AI277+ROW()/10000000)</f>
        <v/>
      </c>
      <c r="AK277">
        <f>IF(AND(ISNUMBER($N277),$N277&gt;0,ISNUMBER($Y277)),$Y277/$N277,"")</f>
        <v/>
      </c>
    </row>
    <row r="278" ht="15" customHeight="1" s="518">
      <c r="A278" s="62" t="n">
        <v>7</v>
      </c>
      <c r="B278" s="59" t="n">
        <v>270</v>
      </c>
      <c r="C278" t="inlineStr">
        <is>
          <t>R0151802</t>
        </is>
      </c>
      <c r="D278" t="inlineStr">
        <is>
          <t>6815  BROADWAY ST</t>
        </is>
      </c>
      <c r="E278" t="n">
        <v>425</v>
      </c>
      <c r="G278" t="inlineStr">
        <is>
          <t>5</t>
        </is>
      </c>
      <c r="H278" s="703">
        <f>Y278/J278</f>
        <v/>
      </c>
      <c r="I278" s="124" t="n">
        <v>45345</v>
      </c>
      <c r="J278" t="n">
        <v>13800</v>
      </c>
      <c r="L278" t="n">
        <v>13800</v>
      </c>
      <c r="M278" t="n">
        <v>2002</v>
      </c>
      <c r="P278" t="inlineStr">
        <is>
          <t>Planned Unit Development</t>
        </is>
      </c>
      <c r="R278" t="inlineStr">
        <is>
          <t>Very Good</t>
        </is>
      </c>
      <c r="S278" t="n">
        <v>4402</v>
      </c>
      <c r="T278" s="121">
        <f>S278/L278</f>
        <v/>
      </c>
      <c r="U278" t="inlineStr">
        <is>
          <t>Average</t>
        </is>
      </c>
      <c r="Y278" s="705" t="n">
        <v>800000</v>
      </c>
      <c r="AA278" s="705" t="n">
        <v>800000</v>
      </c>
      <c r="AC278" t="inlineStr">
        <is>
          <t>0182503218031</t>
        </is>
      </c>
      <c r="AD278" t="inlineStr">
        <is>
          <t>2024000009756</t>
        </is>
      </c>
      <c r="AE278" s="575" t="inlineStr">
        <is>
          <t>BROADWAYS LLC</t>
        </is>
      </c>
      <c r="AF278" s="575" t="inlineStr">
        <is>
          <t>DENVER FIRE PROTECTION LLC</t>
        </is>
      </c>
      <c r="AI278" s="59">
        <f>IF(AND($E278=Subj_OccCode,Subj_BldgSF&gt;0,ABS($L278-Subj_BldgSF)&lt;=Subj_BldgSF*Subj_SizeTol),ABS($L278-Subj_BldgSF),NA())</f>
        <v/>
      </c>
      <c r="AJ278">
        <f>IF(ISNA(AI278),NA(),AI278+ROW()/10000000)</f>
        <v/>
      </c>
      <c r="AK278">
        <f>IF(AND(ISNUMBER($N278),$N278&gt;0,ISNUMBER($Y278)),$Y278/$N278,"")</f>
        <v/>
      </c>
    </row>
    <row r="279" ht="15" customHeight="1" s="518">
      <c r="A279" s="62" t="n">
        <v>7</v>
      </c>
      <c r="B279" s="59" t="n">
        <v>271</v>
      </c>
      <c r="C279" t="inlineStr">
        <is>
          <t>R0037115</t>
        </is>
      </c>
      <c r="D279" t="inlineStr">
        <is>
          <t xml:space="preserve">11184  HURON ST 15 </t>
        </is>
      </c>
      <c r="E279" t="n">
        <v>1344</v>
      </c>
      <c r="F279" t="inlineStr">
        <is>
          <t>NORTHGLENN</t>
        </is>
      </c>
      <c r="G279" t="inlineStr">
        <is>
          <t>4</t>
        </is>
      </c>
      <c r="H279" s="703">
        <f>Y279/J279</f>
        <v/>
      </c>
      <c r="I279" s="124" t="n">
        <v>45394</v>
      </c>
      <c r="J279" t="n">
        <v>84375</v>
      </c>
      <c r="L279" t="n">
        <v>84375</v>
      </c>
      <c r="M279" t="n">
        <v>1984</v>
      </c>
      <c r="P279" t="inlineStr">
        <is>
          <t>C-3-Nor</t>
        </is>
      </c>
      <c r="R279" t="inlineStr">
        <is>
          <t>Average</t>
        </is>
      </c>
      <c r="S279" t="n">
        <v>1108</v>
      </c>
      <c r="T279" s="121">
        <f>S279/L279</f>
        <v/>
      </c>
      <c r="U279" t="inlineStr">
        <is>
          <t>Average</t>
        </is>
      </c>
      <c r="Y279" s="705" t="n">
        <v>605000</v>
      </c>
      <c r="AA279" s="705" t="n">
        <v>605000</v>
      </c>
      <c r="AC279" t="inlineStr">
        <is>
          <t>0171910217015</t>
        </is>
      </c>
      <c r="AD279" t="inlineStr">
        <is>
          <t>2024000019860</t>
        </is>
      </c>
      <c r="AE279" s="575" t="inlineStr">
        <is>
          <t>MBD ENTERPRISES LLC</t>
        </is>
      </c>
      <c r="AF279" s="575" t="inlineStr">
        <is>
          <t>GLOBAL PROPERTIES AND MANAGEMENT LLC</t>
        </is>
      </c>
      <c r="AI279" s="59">
        <f>IF(AND($E279=Subj_OccCode,Subj_BldgSF&gt;0,ABS($L279-Subj_BldgSF)&lt;=Subj_BldgSF*Subj_SizeTol),ABS($L279-Subj_BldgSF),NA())</f>
        <v/>
      </c>
      <c r="AJ279">
        <f>IF(ISNA(AI279),NA(),AI279+ROW()/10000000)</f>
        <v/>
      </c>
      <c r="AK279">
        <f>IF(AND(ISNUMBER($N279),$N279&gt;0,ISNUMBER($Y279)),$Y279/$N279,"")</f>
        <v/>
      </c>
    </row>
    <row r="280" ht="15" customHeight="1" s="518">
      <c r="A280" s="62" t="n">
        <v>7</v>
      </c>
      <c r="B280" s="59" t="n">
        <v>272</v>
      </c>
      <c r="C280" t="inlineStr">
        <is>
          <t>R0037114</t>
        </is>
      </c>
      <c r="D280" t="inlineStr">
        <is>
          <t xml:space="preserve">11184  HURON ST 14 </t>
        </is>
      </c>
      <c r="E280" t="n">
        <v>1344</v>
      </c>
      <c r="F280" t="inlineStr">
        <is>
          <t>NORTHGLENN</t>
        </is>
      </c>
      <c r="G280" t="inlineStr">
        <is>
          <t>4</t>
        </is>
      </c>
      <c r="H280" s="703">
        <f>Y280/J280</f>
        <v/>
      </c>
      <c r="I280" s="124" t="n">
        <v>45394</v>
      </c>
      <c r="J280" t="n">
        <v>84375</v>
      </c>
      <c r="L280" t="n">
        <v>84375</v>
      </c>
      <c r="M280" t="n">
        <v>1984</v>
      </c>
      <c r="P280" t="inlineStr">
        <is>
          <t>C-3-Nor</t>
        </is>
      </c>
      <c r="R280" t="inlineStr">
        <is>
          <t>Average</t>
        </is>
      </c>
      <c r="S280" t="n">
        <v>1108</v>
      </c>
      <c r="T280" s="121">
        <f>S280/L280</f>
        <v/>
      </c>
      <c r="U280" t="inlineStr">
        <is>
          <t>Average</t>
        </is>
      </c>
      <c r="Y280" s="705" t="n">
        <v>605000</v>
      </c>
      <c r="AA280" s="705" t="n">
        <v>605000</v>
      </c>
      <c r="AC280" t="inlineStr">
        <is>
          <t>0171910217014</t>
        </is>
      </c>
      <c r="AD280" t="inlineStr">
        <is>
          <t>2024000019860</t>
        </is>
      </c>
      <c r="AE280" s="575" t="inlineStr">
        <is>
          <t>MBD ENTERPRISES LLC</t>
        </is>
      </c>
      <c r="AF280" s="575" t="inlineStr">
        <is>
          <t>GLOBAL PROPERTIES AND MANAGEMENT LLC</t>
        </is>
      </c>
      <c r="AI280" s="59">
        <f>IF(AND($E280=Subj_OccCode,Subj_BldgSF&gt;0,ABS($L280-Subj_BldgSF)&lt;=Subj_BldgSF*Subj_SizeTol),ABS($L280-Subj_BldgSF),NA())</f>
        <v/>
      </c>
      <c r="AJ280">
        <f>IF(ISNA(AI280),NA(),AI280+ROW()/10000000)</f>
        <v/>
      </c>
      <c r="AK280">
        <f>IF(AND(ISNUMBER($N280),$N280&gt;0,ISNUMBER($Y280)),$Y280/$N280,"")</f>
        <v/>
      </c>
    </row>
    <row r="281" ht="15" customHeight="1" s="518">
      <c r="A281" s="62" t="n">
        <v>7</v>
      </c>
      <c r="B281" s="59" t="n">
        <v>273</v>
      </c>
      <c r="C281" t="inlineStr">
        <is>
          <t>R0058384</t>
        </is>
      </c>
      <c r="D281" t="inlineStr">
        <is>
          <t>461 W 84TH AVE</t>
        </is>
      </c>
      <c r="E281" t="n">
        <v>344</v>
      </c>
      <c r="F281" t="inlineStr">
        <is>
          <t>THORNTON</t>
        </is>
      </c>
      <c r="G281" t="inlineStr">
        <is>
          <t>4</t>
        </is>
      </c>
      <c r="H281" s="703">
        <f>Y281/J281</f>
        <v/>
      </c>
      <c r="I281" s="124" t="n">
        <v>45412</v>
      </c>
      <c r="J281" t="n">
        <v>6436</v>
      </c>
      <c r="L281" t="n">
        <v>6436</v>
      </c>
      <c r="M281" t="n">
        <v>1971</v>
      </c>
      <c r="P281" t="inlineStr">
        <is>
          <t>Regional Commercial</t>
        </is>
      </c>
      <c r="R281" t="inlineStr">
        <is>
          <t>Average</t>
        </is>
      </c>
      <c r="S281" t="n">
        <v>37800</v>
      </c>
      <c r="T281" s="121">
        <f>S281/L281</f>
        <v/>
      </c>
      <c r="U281" t="inlineStr">
        <is>
          <t>Average</t>
        </is>
      </c>
      <c r="Y281" s="705" t="n">
        <v>1700000</v>
      </c>
      <c r="AA281" s="705" t="n">
        <v>1700000</v>
      </c>
      <c r="AC281" t="inlineStr">
        <is>
          <t>0171927214005</t>
        </is>
      </c>
      <c r="AD281" t="inlineStr">
        <is>
          <t>2024000022581</t>
        </is>
      </c>
      <c r="AE281" s="575" t="inlineStr">
        <is>
          <t>DSE LLC</t>
        </is>
      </c>
      <c r="AF281" s="575" t="inlineStr">
        <is>
          <t>431 LLC</t>
        </is>
      </c>
      <c r="AI281" s="59">
        <f>IF(AND($E281=Subj_OccCode,Subj_BldgSF&gt;0,ABS($L281-Subj_BldgSF)&lt;=Subj_BldgSF*Subj_SizeTol),ABS($L281-Subj_BldgSF),NA())</f>
        <v/>
      </c>
      <c r="AJ281">
        <f>IF(ISNA(AI281),NA(),AI281+ROW()/10000000)</f>
        <v/>
      </c>
      <c r="AK281">
        <f>IF(AND(ISNUMBER($N281),$N281&gt;0,ISNUMBER($Y281)),$Y281/$N281,"")</f>
        <v/>
      </c>
    </row>
    <row r="282" ht="15" customHeight="1" s="518">
      <c r="A282" s="62" t="n">
        <v>7</v>
      </c>
      <c r="B282" s="59" t="n">
        <v>274</v>
      </c>
      <c r="C282" t="inlineStr">
        <is>
          <t>R0134436</t>
        </is>
      </c>
      <c r="D282" t="inlineStr">
        <is>
          <t>5901  YORK ST</t>
        </is>
      </c>
      <c r="E282" t="n">
        <v>333</v>
      </c>
      <c r="G282" t="inlineStr">
        <is>
          <t>5</t>
        </is>
      </c>
      <c r="H282" s="703">
        <f>Y282/J282</f>
        <v/>
      </c>
      <c r="I282" s="124" t="n">
        <v>45408</v>
      </c>
      <c r="J282" t="n">
        <v>5830</v>
      </c>
      <c r="L282" t="n">
        <v>5830</v>
      </c>
      <c r="M282" t="n">
        <v>2007</v>
      </c>
      <c r="P282" t="inlineStr">
        <is>
          <t>Industrial</t>
        </is>
      </c>
      <c r="R282" t="inlineStr">
        <is>
          <t>Average</t>
        </is>
      </c>
      <c r="S282" t="n">
        <v>117612</v>
      </c>
      <c r="T282" s="121">
        <f>S282/L282</f>
        <v/>
      </c>
      <c r="U282" t="inlineStr">
        <is>
          <t>Average</t>
        </is>
      </c>
      <c r="Y282" s="705" t="n">
        <v>1200000</v>
      </c>
      <c r="AA282" s="705" t="n">
        <v>1200000</v>
      </c>
      <c r="AC282" t="inlineStr">
        <is>
          <t>0182511403004</t>
        </is>
      </c>
      <c r="AD282" t="inlineStr">
        <is>
          <t>2024000023443</t>
        </is>
      </c>
      <c r="AE282" s="575" t="inlineStr">
        <is>
          <t>BURNCO COLORADO LLC, C/O PROPERTY TAX DEPT</t>
        </is>
      </c>
      <c r="AF282" s="575" t="inlineStr">
        <is>
          <t>TRICYCLE LANE TEXAS LLC</t>
        </is>
      </c>
      <c r="AI282" s="59">
        <f>IF(AND($E282=Subj_OccCode,Subj_BldgSF&gt;0,ABS($L282-Subj_BldgSF)&lt;=Subj_BldgSF*Subj_SizeTol),ABS($L282-Subj_BldgSF),NA())</f>
        <v/>
      </c>
      <c r="AJ282">
        <f>IF(ISNA(AI282),NA(),AI282+ROW()/10000000)</f>
        <v/>
      </c>
      <c r="AK282">
        <f>IF(AND(ISNUMBER($N282),$N282&gt;0,ISNUMBER($Y282)),$Y282/$N282,"")</f>
        <v/>
      </c>
    </row>
    <row r="283" ht="15" customHeight="1" s="518">
      <c r="A283" s="62" t="n">
        <v>7</v>
      </c>
      <c r="B283" s="59" t="n">
        <v>275</v>
      </c>
      <c r="C283" t="inlineStr">
        <is>
          <t>R0079701</t>
        </is>
      </c>
      <c r="D283" t="inlineStr">
        <is>
          <t xml:space="preserve">7576  HIGHWAY 2   </t>
        </is>
      </c>
      <c r="E283" t="n">
        <v>353</v>
      </c>
      <c r="F283" t="inlineStr">
        <is>
          <t>COMMERCE CITY</t>
        </is>
      </c>
      <c r="G283" t="inlineStr">
        <is>
          <t>5</t>
        </is>
      </c>
      <c r="H283" s="703">
        <f>Y283/J283</f>
        <v/>
      </c>
      <c r="I283" s="124" t="n">
        <v>45415</v>
      </c>
      <c r="J283" t="n">
        <v>6500</v>
      </c>
      <c r="L283" t="n">
        <v>6500</v>
      </c>
      <c r="M283" t="n">
        <v>1954</v>
      </c>
      <c r="P283" t="inlineStr">
        <is>
          <t>C-3-Com</t>
        </is>
      </c>
      <c r="R283" t="inlineStr">
        <is>
          <t>Average</t>
        </is>
      </c>
      <c r="S283" t="n">
        <v>43750</v>
      </c>
      <c r="T283" s="121">
        <f>S283/L283</f>
        <v/>
      </c>
      <c r="U283" t="inlineStr">
        <is>
          <t>Average</t>
        </is>
      </c>
      <c r="Y283" s="705" t="n">
        <v>1672000</v>
      </c>
      <c r="AA283" s="705" t="n">
        <v>1672000</v>
      </c>
      <c r="AC283" t="inlineStr">
        <is>
          <t>0172132410002</t>
        </is>
      </c>
      <c r="AD283" t="inlineStr">
        <is>
          <t>2024000024474</t>
        </is>
      </c>
      <c r="AE283" s="575" t="inlineStr">
        <is>
          <t>BONNIE K LISLE ROTH IRA</t>
        </is>
      </c>
      <c r="AF283" s="575" t="inlineStr">
        <is>
          <t>VJRE HOLDINGS LLC</t>
        </is>
      </c>
      <c r="AI283" s="59">
        <f>IF(AND($E283=Subj_OccCode,Subj_BldgSF&gt;0,ABS($L283-Subj_BldgSF)&lt;=Subj_BldgSF*Subj_SizeTol),ABS($L283-Subj_BldgSF),NA())</f>
        <v/>
      </c>
      <c r="AJ283">
        <f>IF(ISNA(AI283),NA(),AI283+ROW()/10000000)</f>
        <v/>
      </c>
      <c r="AK283">
        <f>IF(AND(ISNUMBER($N283),$N283&gt;0,ISNUMBER($Y283)),$Y283/$N283,"")</f>
        <v/>
      </c>
    </row>
    <row r="284" ht="15" customHeight="1" s="518">
      <c r="A284" s="62" t="n">
        <v>7</v>
      </c>
      <c r="B284" s="59" t="n">
        <v>276</v>
      </c>
      <c r="C284" t="inlineStr">
        <is>
          <t>R0161514</t>
        </is>
      </c>
      <c r="D284" t="inlineStr">
        <is>
          <t xml:space="preserve">18245 E 40TH AVE  </t>
        </is>
      </c>
      <c r="E284" t="n">
        <v>407</v>
      </c>
      <c r="F284" t="inlineStr">
        <is>
          <t>AURORA</t>
        </is>
      </c>
      <c r="G284" t="inlineStr">
        <is>
          <t>6</t>
        </is>
      </c>
      <c r="H284" s="703">
        <f>Y284/J284</f>
        <v/>
      </c>
      <c r="I284" s="124" t="n">
        <v>45429</v>
      </c>
      <c r="J284" t="n">
        <v>155916</v>
      </c>
      <c r="L284" t="n">
        <v>155916</v>
      </c>
      <c r="M284" t="n">
        <v>2005</v>
      </c>
      <c r="P284" t="inlineStr">
        <is>
          <t>M-2</t>
        </is>
      </c>
      <c r="R284" t="inlineStr">
        <is>
          <t>Average</t>
        </is>
      </c>
      <c r="S284" t="n">
        <v>408696</v>
      </c>
      <c r="T284" s="121">
        <f>S284/L284</f>
        <v/>
      </c>
      <c r="U284" t="inlineStr">
        <is>
          <t>Average</t>
        </is>
      </c>
      <c r="Y284" s="705" t="n">
        <v>16000000</v>
      </c>
      <c r="AA284" s="705" t="n">
        <v>16000000</v>
      </c>
      <c r="AC284" t="inlineStr">
        <is>
          <t>0182121402001</t>
        </is>
      </c>
      <c r="AD284" t="inlineStr">
        <is>
          <t>2024000026538</t>
        </is>
      </c>
      <c r="AE284" s="575" t="inlineStr">
        <is>
          <t>40TH STREET PARTNERS LLC FKA MUHLENBERG INVESTMENT LLC</t>
        </is>
      </c>
      <c r="AF284" s="575" t="inlineStr">
        <is>
          <t>18245 40TH OWNER LLC</t>
        </is>
      </c>
      <c r="AI284" s="59">
        <f>IF(AND($E284=Subj_OccCode,Subj_BldgSF&gt;0,ABS($L284-Subj_BldgSF)&lt;=Subj_BldgSF*Subj_SizeTol),ABS($L284-Subj_BldgSF),NA())</f>
        <v/>
      </c>
      <c r="AJ284">
        <f>IF(ISNA(AI284),NA(),AI284+ROW()/10000000)</f>
        <v/>
      </c>
      <c r="AK284">
        <f>IF(AND(ISNUMBER($N284),$N284&gt;0,ISNUMBER($Y284)),$Y284/$N284,"")</f>
        <v/>
      </c>
    </row>
    <row r="285" ht="15" customHeight="1" s="518">
      <c r="A285" s="62" t="n">
        <v>7</v>
      </c>
      <c r="B285" s="59" t="n">
        <v>277</v>
      </c>
      <c r="C285" t="inlineStr">
        <is>
          <t>R0169033</t>
        </is>
      </c>
      <c r="D285" t="inlineStr">
        <is>
          <t xml:space="preserve">9790  WASHINGTON ST  </t>
        </is>
      </c>
      <c r="E285" t="n">
        <v>349</v>
      </c>
      <c r="F285" t="inlineStr">
        <is>
          <t>THORNTON</t>
        </is>
      </c>
      <c r="G285" t="inlineStr">
        <is>
          <t>4</t>
        </is>
      </c>
      <c r="H285" s="703">
        <f>Y285/J285</f>
        <v/>
      </c>
      <c r="I285" s="124" t="n">
        <v>45435</v>
      </c>
      <c r="J285" t="n">
        <v>4726</v>
      </c>
      <c r="L285" t="n">
        <v>4726</v>
      </c>
      <c r="M285" t="n">
        <v>2006</v>
      </c>
      <c r="P285" t="inlineStr">
        <is>
          <t>Planned Development</t>
        </is>
      </c>
      <c r="R285" t="inlineStr">
        <is>
          <t>Good</t>
        </is>
      </c>
      <c r="S285" t="n">
        <v>55253</v>
      </c>
      <c r="T285" s="121">
        <f>S285/L285</f>
        <v/>
      </c>
      <c r="U285" t="inlineStr">
        <is>
          <t>Good</t>
        </is>
      </c>
      <c r="Y285" s="705" t="n">
        <v>3940000</v>
      </c>
      <c r="AA285" s="705" t="n">
        <v>3940000</v>
      </c>
      <c r="AC285" t="inlineStr">
        <is>
          <t>0171914318070</t>
        </is>
      </c>
      <c r="AD285" t="inlineStr">
        <is>
          <t>2024000027827</t>
        </is>
      </c>
      <c r="AE285" s="575" t="inlineStr">
        <is>
          <t>PHANTOM IV PARTNERS LLC</t>
        </is>
      </c>
      <c r="AF285" s="575" t="inlineStr">
        <is>
          <t>CRESTLINE INVESTMENT GROUP LLC</t>
        </is>
      </c>
      <c r="AI285" s="59">
        <f>IF(AND($E285=Subj_OccCode,Subj_BldgSF&gt;0,ABS($L285-Subj_BldgSF)&lt;=Subj_BldgSF*Subj_SizeTol),ABS($L285-Subj_BldgSF),NA())</f>
        <v/>
      </c>
      <c r="AJ285">
        <f>IF(ISNA(AI285),NA(),AI285+ROW()/10000000)</f>
        <v/>
      </c>
      <c r="AK285">
        <f>IF(AND(ISNUMBER($N285),$N285&gt;0,ISNUMBER($Y285)),$Y285/$N285,"")</f>
        <v/>
      </c>
    </row>
    <row r="286" ht="15" customHeight="1" s="518">
      <c r="A286" s="62" t="n">
        <v>7</v>
      </c>
      <c r="B286" s="59" t="n">
        <v>278</v>
      </c>
      <c r="C286" t="inlineStr">
        <is>
          <t>R0213618</t>
        </is>
      </c>
      <c r="D286" t="inlineStr">
        <is>
          <t xml:space="preserve">9940  HAVANA ST  </t>
        </is>
      </c>
      <c r="E286" t="n">
        <v>325</v>
      </c>
      <c r="F286" t="inlineStr">
        <is>
          <t>COMMERCE CITY</t>
        </is>
      </c>
      <c r="G286" t="inlineStr">
        <is>
          <t>5</t>
        </is>
      </c>
      <c r="H286" s="703">
        <f>Y286/J286</f>
        <v/>
      </c>
      <c r="I286" s="124" t="n">
        <v>45436</v>
      </c>
      <c r="J286" t="n">
        <v>11318</v>
      </c>
      <c r="L286" t="n">
        <v>11318</v>
      </c>
      <c r="M286" t="n">
        <v>2023</v>
      </c>
      <c r="R286" t="inlineStr">
        <is>
          <t>Average</t>
        </is>
      </c>
      <c r="S286" t="n">
        <v>1151289</v>
      </c>
      <c r="T286" s="121">
        <f>S286/L286</f>
        <v/>
      </c>
      <c r="U286" t="inlineStr">
        <is>
          <t>Average</t>
        </is>
      </c>
      <c r="Y286" s="705" t="n">
        <v>72240000</v>
      </c>
      <c r="AA286" s="705" t="n">
        <v>72240000</v>
      </c>
      <c r="AC286" t="inlineStr">
        <is>
          <t>0172114309001</t>
        </is>
      </c>
      <c r="AD286" t="inlineStr">
        <is>
          <t>2024000027885</t>
        </is>
      </c>
      <c r="AE286" s="575" t="inlineStr">
        <is>
          <t>SCANNELL PROPERTIES #534 LLC</t>
        </is>
      </c>
      <c r="AF286" s="575" t="inlineStr">
        <is>
          <t>BEL COMMERCE LLC, C/O MORGAN STANLEY</t>
        </is>
      </c>
      <c r="AI286" s="59">
        <f>IF(AND($E286=Subj_OccCode,Subj_BldgSF&gt;0,ABS($L286-Subj_BldgSF)&lt;=Subj_BldgSF*Subj_SizeTol),ABS($L286-Subj_BldgSF),NA())</f>
        <v/>
      </c>
      <c r="AJ286">
        <f>IF(ISNA(AI286),NA(),AI286+ROW()/10000000)</f>
        <v/>
      </c>
      <c r="AK286">
        <f>IF(AND(ISNUMBER($N286),$N286&gt;0,ISNUMBER($Y286)),$Y286/$N286,"")</f>
        <v/>
      </c>
    </row>
    <row r="287" ht="15" customHeight="1" s="518">
      <c r="A287" s="62" t="n">
        <v>7</v>
      </c>
      <c r="B287" s="59" t="n">
        <v>279</v>
      </c>
      <c r="C287" t="inlineStr">
        <is>
          <t>R0219436</t>
        </is>
      </c>
      <c r="D287" t="inlineStr">
        <is>
          <t>2323 W 72ND AVE</t>
        </is>
      </c>
      <c r="E287" t="n">
        <v>3441</v>
      </c>
      <c r="G287" t="inlineStr">
        <is>
          <t>4</t>
        </is>
      </c>
      <c r="H287" s="703">
        <f>Y287/J287</f>
        <v/>
      </c>
      <c r="I287" s="124" t="n">
        <v>45450</v>
      </c>
      <c r="J287" t="n">
        <v>1836</v>
      </c>
      <c r="L287" t="n">
        <v>1836</v>
      </c>
      <c r="M287" t="n">
        <v>1957</v>
      </c>
      <c r="P287" t="inlineStr">
        <is>
          <t>Commercial</t>
        </is>
      </c>
      <c r="R287" t="inlineStr">
        <is>
          <t>Average</t>
        </is>
      </c>
      <c r="S287" t="n">
        <v>22416</v>
      </c>
      <c r="T287" s="121">
        <f>S287/L287</f>
        <v/>
      </c>
      <c r="U287" t="inlineStr">
        <is>
          <t>Average</t>
        </is>
      </c>
      <c r="Y287" s="705" t="n">
        <v>655000</v>
      </c>
      <c r="AA287" s="705" t="n">
        <v>655000</v>
      </c>
      <c r="AC287" t="inlineStr">
        <is>
          <t>0171933323001</t>
        </is>
      </c>
      <c r="AD287" t="inlineStr">
        <is>
          <t>2024000031010</t>
        </is>
      </c>
      <c r="AE287" s="575" t="inlineStr">
        <is>
          <t>METRO DENVER RENTAL MANAGEMENT LLC</t>
        </is>
      </c>
      <c r="AF287" s="575" t="inlineStr">
        <is>
          <t>JM COLORADO PROPERTIES LLC</t>
        </is>
      </c>
      <c r="AI287" s="59">
        <f>IF(AND($E287=Subj_OccCode,Subj_BldgSF&gt;0,ABS($L287-Subj_BldgSF)&lt;=Subj_BldgSF*Subj_SizeTol),ABS($L287-Subj_BldgSF),NA())</f>
        <v/>
      </c>
      <c r="AJ287">
        <f>IF(ISNA(AI287),NA(),AI287+ROW()/10000000)</f>
        <v/>
      </c>
      <c r="AK287">
        <f>IF(AND(ISNUMBER($N287),$N287&gt;0,ISNUMBER($Y287)),$Y287/$N287,"")</f>
        <v/>
      </c>
    </row>
    <row r="288" ht="15" customHeight="1" s="518">
      <c r="A288" s="62" t="n">
        <v>7</v>
      </c>
      <c r="B288" s="59" t="n">
        <v>280</v>
      </c>
      <c r="C288" t="inlineStr">
        <is>
          <t>R0178251</t>
        </is>
      </c>
      <c r="D288" t="inlineStr">
        <is>
          <t xml:space="preserve">2400 W 104TH AVE  </t>
        </is>
      </c>
      <c r="E288" t="n">
        <v>303</v>
      </c>
      <c r="F288" t="inlineStr">
        <is>
          <t>FEDERAL HEIGHTS</t>
        </is>
      </c>
      <c r="G288" t="inlineStr">
        <is>
          <t>4</t>
        </is>
      </c>
      <c r="H288" s="703">
        <f>Y288/J288</f>
        <v/>
      </c>
      <c r="I288" s="124" t="n">
        <v>45453</v>
      </c>
      <c r="J288" t="n">
        <v>11520</v>
      </c>
      <c r="L288" t="n">
        <v>11520</v>
      </c>
      <c r="M288" t="n">
        <v>1974</v>
      </c>
      <c r="P288" t="inlineStr">
        <is>
          <t>C-1-Fed</t>
        </is>
      </c>
      <c r="R288" t="inlineStr">
        <is>
          <t>Average</t>
        </is>
      </c>
      <c r="S288" t="n">
        <v>199500</v>
      </c>
      <c r="T288" s="121">
        <f>S288/L288</f>
        <v/>
      </c>
      <c r="U288" t="inlineStr">
        <is>
          <t>Average</t>
        </is>
      </c>
      <c r="Y288" s="705" t="n">
        <v>7300000</v>
      </c>
      <c r="AA288" s="705" t="n">
        <v>7300000</v>
      </c>
      <c r="AC288" t="inlineStr">
        <is>
          <t>0171917100040</t>
        </is>
      </c>
      <c r="AD288" t="inlineStr">
        <is>
          <t>2024000031386</t>
        </is>
      </c>
      <c r="AE288" s="575" t="inlineStr">
        <is>
          <t>LHM DNI LLC</t>
        </is>
      </c>
      <c r="AF288" s="575" t="inlineStr">
        <is>
          <t>DRAWE HOLDINGS LLC</t>
        </is>
      </c>
      <c r="AI288" s="59">
        <f>IF(AND($E288=Subj_OccCode,Subj_BldgSF&gt;0,ABS($L288-Subj_BldgSF)&lt;=Subj_BldgSF*Subj_SizeTol),ABS($L288-Subj_BldgSF),NA())</f>
        <v/>
      </c>
      <c r="AJ288">
        <f>IF(ISNA(AI288),NA(),AI288+ROW()/10000000)</f>
        <v/>
      </c>
      <c r="AK288">
        <f>IF(AND(ISNUMBER($N288),$N288&gt;0,ISNUMBER($Y288)),$Y288/$N288,"")</f>
        <v/>
      </c>
    </row>
    <row r="289" ht="15" customHeight="1" s="518">
      <c r="A289" s="62" t="n">
        <v>7</v>
      </c>
      <c r="B289" s="59" t="n">
        <v>281</v>
      </c>
      <c r="C289" t="inlineStr">
        <is>
          <t>R0108277</t>
        </is>
      </c>
      <c r="D289" t="inlineStr">
        <is>
          <t>9051  I-76</t>
        </is>
      </c>
      <c r="E289" t="n">
        <v>1332</v>
      </c>
      <c r="G289" t="inlineStr">
        <is>
          <t>5</t>
        </is>
      </c>
      <c r="H289" s="703">
        <f>Y289/J289</f>
        <v/>
      </c>
      <c r="I289" s="124" t="n">
        <v>45447</v>
      </c>
      <c r="J289" t="n">
        <v>60</v>
      </c>
      <c r="L289" t="n">
        <v>60</v>
      </c>
      <c r="M289" t="n">
        <v>1993</v>
      </c>
      <c r="P289" t="inlineStr">
        <is>
          <t>Commercial</t>
        </is>
      </c>
      <c r="R289" t="inlineStr">
        <is>
          <t>Average</t>
        </is>
      </c>
      <c r="S289" t="n">
        <v>136935</v>
      </c>
      <c r="T289" s="121">
        <f>S289/L289</f>
        <v/>
      </c>
      <c r="U289" t="inlineStr">
        <is>
          <t>Average</t>
        </is>
      </c>
      <c r="Y289" s="705" t="n">
        <v>5000000</v>
      </c>
      <c r="AA289" s="705" t="n">
        <v>5000000</v>
      </c>
      <c r="AC289" t="inlineStr">
        <is>
          <t>0172120011003</t>
        </is>
      </c>
      <c r="AD289" t="inlineStr">
        <is>
          <t>2024000031967</t>
        </is>
      </c>
      <c r="AE289" s="575" t="inlineStr">
        <is>
          <t>KONG &amp; QUY PROPERTY LLC</t>
        </is>
      </c>
      <c r="AF289" s="575" t="inlineStr">
        <is>
          <t>SUNMAN TWO LLC</t>
        </is>
      </c>
      <c r="AI289" s="59">
        <f>IF(AND($E289=Subj_OccCode,Subj_BldgSF&gt;0,ABS($L289-Subj_BldgSF)&lt;=Subj_BldgSF*Subj_SizeTol),ABS($L289-Subj_BldgSF),NA())</f>
        <v/>
      </c>
      <c r="AJ289">
        <f>IF(ISNA(AI289),NA(),AI289+ROW()/10000000)</f>
        <v/>
      </c>
      <c r="AK289">
        <f>IF(AND(ISNUMBER($N289),$N289&gt;0,ISNUMBER($Y289)),$Y289/$N289,"")</f>
        <v/>
      </c>
    </row>
    <row r="290" ht="15.75" customHeight="1" s="518">
      <c r="A290" s="62" t="n">
        <v>7</v>
      </c>
      <c r="B290" s="59" t="n">
        <v>282</v>
      </c>
      <c r="C290" t="inlineStr">
        <is>
          <t>R0160828</t>
        </is>
      </c>
      <c r="D290" t="inlineStr">
        <is>
          <t xml:space="preserve">4711 W 58TH AVE  </t>
        </is>
      </c>
      <c r="E290" t="n">
        <v>406</v>
      </c>
      <c r="F290" t="inlineStr">
        <is>
          <t>ARVADA</t>
        </is>
      </c>
      <c r="G290" t="inlineStr">
        <is>
          <t>5</t>
        </is>
      </c>
      <c r="H290" s="703">
        <f>Y290/J290</f>
        <v/>
      </c>
      <c r="I290" s="124" t="n">
        <v>45469</v>
      </c>
      <c r="J290" t="n">
        <v>18384</v>
      </c>
      <c r="L290" t="n">
        <v>18384</v>
      </c>
      <c r="M290" t="n">
        <v>1979</v>
      </c>
      <c r="P290" t="inlineStr">
        <is>
          <t>I-2-Arv</t>
        </is>
      </c>
      <c r="R290" t="inlineStr">
        <is>
          <t>Average</t>
        </is>
      </c>
      <c r="S290" t="n">
        <v>180823</v>
      </c>
      <c r="T290" s="121">
        <f>S290/L290</f>
        <v/>
      </c>
      <c r="U290" t="inlineStr">
        <is>
          <t>Average</t>
        </is>
      </c>
      <c r="Y290" s="705" t="n">
        <v>6600000</v>
      </c>
      <c r="AA290" s="705" t="n">
        <v>6600000</v>
      </c>
      <c r="AC290" t="inlineStr">
        <is>
          <t>0182507302004</t>
        </is>
      </c>
      <c r="AD290" t="inlineStr">
        <is>
          <t>2024000035779</t>
        </is>
      </c>
      <c r="AE290" s="575" t="inlineStr">
        <is>
          <t>INDUSTRIAL CHEMICALS, CORPORATION</t>
        </is>
      </c>
      <c r="AF290" s="575" t="inlineStr">
        <is>
          <t>BRENNTAG PACIFIC INC, C/O BRENNTAG NORTH AMERICA INC</t>
        </is>
      </c>
      <c r="AI290" s="59">
        <f>IF(AND($E290=Subj_OccCode,Subj_BldgSF&gt;0,ABS($L290-Subj_BldgSF)&lt;=Subj_BldgSF*Subj_SizeTol),ABS($L290-Subj_BldgSF),NA())</f>
        <v/>
      </c>
      <c r="AJ290" s="93">
        <f>IF(ISNA(AI290),NA(),AI290+ROW()/10000000)</f>
        <v/>
      </c>
      <c r="AK290">
        <f>IF(AND(ISNUMBER($N290),$N290&gt;0,ISNUMBER($Y290)),$Y290/$N290,"")</f>
        <v/>
      </c>
      <c r="AL290" s="93" t="n"/>
      <c r="AM290" s="93" t="n"/>
      <c r="AN290" s="93" t="n"/>
    </row>
    <row r="291" ht="15" customHeight="1" s="518">
      <c r="A291" s="62" t="n">
        <v>7</v>
      </c>
      <c r="B291" s="59" t="n">
        <v>283</v>
      </c>
      <c r="C291" t="inlineStr">
        <is>
          <t>R0160827</t>
        </is>
      </c>
      <c r="D291" t="inlineStr">
        <is>
          <t xml:space="preserve">4631 W 58TH AVE </t>
        </is>
      </c>
      <c r="E291" t="n">
        <v>407</v>
      </c>
      <c r="F291" t="inlineStr">
        <is>
          <t>ARVADA</t>
        </is>
      </c>
      <c r="G291" t="inlineStr">
        <is>
          <t>5</t>
        </is>
      </c>
      <c r="H291" s="703">
        <f>Y291/J291</f>
        <v/>
      </c>
      <c r="I291" s="124" t="n">
        <v>45469</v>
      </c>
      <c r="J291" t="n">
        <v>24960</v>
      </c>
      <c r="L291" t="n">
        <v>24960</v>
      </c>
      <c r="M291" t="n">
        <v>2004</v>
      </c>
      <c r="P291" t="inlineStr">
        <is>
          <t>I-2-Arv</t>
        </is>
      </c>
      <c r="R291" t="inlineStr">
        <is>
          <t>Average</t>
        </is>
      </c>
      <c r="S291" t="n">
        <v>140026</v>
      </c>
      <c r="T291" s="121">
        <f>S291/L291</f>
        <v/>
      </c>
      <c r="U291" t="inlineStr">
        <is>
          <t>Average</t>
        </is>
      </c>
      <c r="Y291" s="705" t="n">
        <v>7500000</v>
      </c>
      <c r="AA291" s="705" t="n">
        <v>7500000</v>
      </c>
      <c r="AC291" t="inlineStr">
        <is>
          <t>0182507302003</t>
        </is>
      </c>
      <c r="AD291" t="inlineStr">
        <is>
          <t>2024000035787</t>
        </is>
      </c>
      <c r="AE291" s="575" t="inlineStr">
        <is>
          <t>BIESEMEIER INDUSTRIAL PARK, INC</t>
        </is>
      </c>
      <c r="AF291" s="575" t="inlineStr">
        <is>
          <t>BRENNTAG PACIFIC INC, C/O BRENNTAG NORTH AMERICA INC</t>
        </is>
      </c>
      <c r="AI291" s="59">
        <f>IF(AND($E291=Subj_OccCode,Subj_BldgSF&gt;0,ABS($L291-Subj_BldgSF)&lt;=Subj_BldgSF*Subj_SizeTol),ABS($L291-Subj_BldgSF),NA())</f>
        <v/>
      </c>
      <c r="AJ291" s="93">
        <f>IF(ISNA(AI291),NA(),AI291+ROW()/10000000)</f>
        <v/>
      </c>
      <c r="AK291">
        <f>IF(AND(ISNUMBER($N291),$N291&gt;0,ISNUMBER($Y291)),$Y291/$N291,"")</f>
        <v/>
      </c>
      <c r="AL291" s="93" t="n"/>
      <c r="AM291" s="93" t="n"/>
      <c r="AN291" s="93" t="n"/>
    </row>
    <row r="292" ht="15" customHeight="1" s="518">
      <c r="A292" s="62" t="n">
        <v>7</v>
      </c>
      <c r="B292" s="59" t="n">
        <v>285</v>
      </c>
      <c r="C292" t="inlineStr">
        <is>
          <t>R0222678</t>
        </is>
      </c>
      <c r="D292" t="inlineStr">
        <is>
          <t>37851 E 51ST AVE #E6</t>
        </is>
      </c>
      <c r="E292" t="n">
        <v>328</v>
      </c>
      <c r="G292" t="inlineStr">
        <is>
          <t>1</t>
        </is>
      </c>
      <c r="H292" s="703">
        <f>Y292/J292</f>
        <v/>
      </c>
      <c r="I292" s="124" t="n">
        <v>45390</v>
      </c>
      <c r="J292" t="n">
        <v>2930</v>
      </c>
      <c r="K292" s="703" t="n"/>
      <c r="L292" t="n">
        <v>2930</v>
      </c>
      <c r="M292" t="n">
        <v>2024</v>
      </c>
      <c r="R292" t="inlineStr">
        <is>
          <t>Average</t>
        </is>
      </c>
      <c r="T292" s="121">
        <f>S292/L292</f>
        <v/>
      </c>
      <c r="U292" t="inlineStr">
        <is>
          <t>Average</t>
        </is>
      </c>
      <c r="V292" s="121" t="n"/>
      <c r="W292" s="121" t="n"/>
      <c r="X292" s="121" t="n"/>
      <c r="Y292" s="705" t="n">
        <v>315708</v>
      </c>
      <c r="Z292" s="705" t="n"/>
      <c r="AA292" s="705" t="n">
        <v>315708</v>
      </c>
      <c r="AB292" s="705" t="n"/>
      <c r="AC292" t="inlineStr">
        <is>
          <t>0181715300036</t>
        </is>
      </c>
      <c r="AD292" t="inlineStr">
        <is>
          <t>2024000022645</t>
        </is>
      </c>
      <c r="AE292" s="575" t="inlineStr">
        <is>
          <t>37851 51ST AVE HANGAR OWNERS ASSOCIATION INC</t>
        </is>
      </c>
      <c r="AF292" s="575" t="inlineStr">
        <is>
          <t>CRAIG RD LLC</t>
        </is>
      </c>
      <c r="AI292" s="59">
        <f>IF(AND($E292=Subj_OccCode,Subj_BldgSF&gt;0,ABS($L292-Subj_BldgSF)&lt;=Subj_BldgSF*Subj_SizeTol),ABS($L292-Subj_BldgSF),NA())</f>
        <v/>
      </c>
      <c r="AJ292" s="93">
        <f>IF(ISNA(AI292),NA(),AI292+ROW()/10000000)</f>
        <v/>
      </c>
      <c r="AK292">
        <f>IF(AND(ISNUMBER($N292),$N292&gt;0,ISNUMBER($Y292)),$Y292/$N292,"")</f>
        <v/>
      </c>
      <c r="AL292" s="93" t="n"/>
      <c r="AM292" s="93" t="n"/>
      <c r="AN292" s="93" t="n"/>
    </row>
    <row r="293" ht="15" customHeight="1" s="518">
      <c r="A293" s="123" t="n">
        <v>8</v>
      </c>
      <c r="B293" s="59" t="n">
        <v>286</v>
      </c>
      <c r="C293" t="inlineStr">
        <is>
          <t>R0079887</t>
        </is>
      </c>
      <c r="D293" t="inlineStr">
        <is>
          <t>7250  MONACO ST</t>
        </is>
      </c>
      <c r="E293" t="n">
        <v>353</v>
      </c>
      <c r="F293" t="inlineStr">
        <is>
          <t>COMMERCE CITY</t>
        </is>
      </c>
      <c r="G293" t="inlineStr">
        <is>
          <t>2</t>
        </is>
      </c>
      <c r="H293" s="703">
        <f>Y293/J293</f>
        <v/>
      </c>
      <c r="I293" s="704" t="n">
        <v>43405</v>
      </c>
      <c r="J293" t="n">
        <v>2592</v>
      </c>
      <c r="L293" t="n">
        <v>2592</v>
      </c>
      <c r="M293" t="n">
        <v>1953</v>
      </c>
      <c r="P293" t="inlineStr">
        <is>
          <t>PUD-Com</t>
        </is>
      </c>
      <c r="R293" t="inlineStr">
        <is>
          <t>Average</t>
        </is>
      </c>
      <c r="S293" t="n">
        <v>7075</v>
      </c>
      <c r="T293" s="119">
        <f>S293/J293</f>
        <v/>
      </c>
      <c r="U293" t="inlineStr">
        <is>
          <t>Average</t>
        </is>
      </c>
      <c r="Y293" t="n">
        <v>405000</v>
      </c>
      <c r="AA293" t="n">
        <v>405000</v>
      </c>
      <c r="AC293" t="inlineStr">
        <is>
          <t>0172132421013</t>
        </is>
      </c>
      <c r="AD293" t="inlineStr">
        <is>
          <t>2018000089106</t>
        </is>
      </c>
      <c r="AE293" s="575" t="inlineStr">
        <is>
          <t>HOME ADDENDA LLC</t>
        </is>
      </c>
      <c r="AF293" s="575" t="inlineStr">
        <is>
          <t>ML-2 LLC</t>
        </is>
      </c>
      <c r="AI293" s="59">
        <f>IF(AND($E293=Subj_OccCode,Subj_BldgSF&gt;0,ABS($L293-Subj_BldgSF)&lt;=Subj_BldgSF*Subj_SizeTol),ABS($L293-Subj_BldgSF),NA())</f>
        <v/>
      </c>
      <c r="AJ293" s="93">
        <f>IF(ISNA(AI293),NA(),AI293+ROW()/10000000)</f>
        <v/>
      </c>
      <c r="AK293">
        <f>IF(AND(ISNUMBER($N293),$N293&gt;0,ISNUMBER($Y293)),$Y293/$N293,"")</f>
        <v/>
      </c>
      <c r="AL293" s="93" t="n"/>
      <c r="AM293" s="93" t="n"/>
      <c r="AN293" s="93" t="n"/>
    </row>
    <row r="294" ht="15" customHeight="1" s="518">
      <c r="A294" s="123" t="n">
        <v>8</v>
      </c>
      <c r="B294" s="59" t="n">
        <v>287</v>
      </c>
      <c r="C294" t="inlineStr">
        <is>
          <t>R0092849</t>
        </is>
      </c>
      <c r="D294" t="inlineStr">
        <is>
          <t>5200  COLORADO BLVD</t>
        </is>
      </c>
      <c r="E294" t="n">
        <v>406</v>
      </c>
      <c r="F294" t="inlineStr">
        <is>
          <t>COMMERCE CITY</t>
        </is>
      </c>
      <c r="G294" t="inlineStr">
        <is>
          <t>2</t>
        </is>
      </c>
      <c r="H294" s="703">
        <f>Y294/J294</f>
        <v/>
      </c>
      <c r="I294" s="704" t="n">
        <v>43343</v>
      </c>
      <c r="J294" t="n">
        <v>27600</v>
      </c>
      <c r="L294" t="n">
        <v>27600</v>
      </c>
      <c r="M294" t="n">
        <v>1980</v>
      </c>
      <c r="P294" t="inlineStr">
        <is>
          <t>I-3-Com</t>
        </is>
      </c>
      <c r="R294" t="inlineStr">
        <is>
          <t>Average</t>
        </is>
      </c>
      <c r="S294" t="n">
        <v>176418</v>
      </c>
      <c r="T294" s="119">
        <f>S294/J294</f>
        <v/>
      </c>
      <c r="U294" t="inlineStr">
        <is>
          <t>Average</t>
        </is>
      </c>
      <c r="Y294" t="n">
        <v>2800000</v>
      </c>
      <c r="AA294" t="n">
        <v>2800000</v>
      </c>
      <c r="AC294" t="inlineStr">
        <is>
          <t>0182318200023</t>
        </is>
      </c>
      <c r="AD294" t="inlineStr">
        <is>
          <t>2018000071026</t>
        </is>
      </c>
      <c r="AE294" s="575" t="inlineStr">
        <is>
          <t>MC CREA CORA BELLE TRUST</t>
        </is>
      </c>
      <c r="AF294" s="575" t="inlineStr">
        <is>
          <t>SEG LLC</t>
        </is>
      </c>
      <c r="AI294" s="59">
        <f>IF(AND($E294=Subj_OccCode,Subj_BldgSF&gt;0,ABS($L294-Subj_BldgSF)&lt;=Subj_BldgSF*Subj_SizeTol),ABS($L294-Subj_BldgSF),NA())</f>
        <v/>
      </c>
      <c r="AJ294" s="93">
        <f>IF(ISNA(AI294),NA(),AI294+ROW()/10000000)</f>
        <v/>
      </c>
      <c r="AK294">
        <f>IF(AND(ISNUMBER($N294),$N294&gt;0,ISNUMBER($Y294)),$Y294/$N294,"")</f>
        <v/>
      </c>
      <c r="AL294" s="93" t="n"/>
      <c r="AM294" s="93" t="n"/>
      <c r="AN294" s="93" t="n"/>
    </row>
    <row r="295" ht="15" customHeight="1" s="518">
      <c r="A295" s="123" t="n">
        <v>8</v>
      </c>
      <c r="B295" s="59" t="n">
        <v>288</v>
      </c>
      <c r="C295" t="inlineStr">
        <is>
          <t>R0097858</t>
        </is>
      </c>
      <c r="D295" t="inlineStr">
        <is>
          <t>3700 E 68TH AVE</t>
        </is>
      </c>
      <c r="E295" t="n">
        <v>407</v>
      </c>
      <c r="F295" t="inlineStr">
        <is>
          <t>COMMERCE CITY</t>
        </is>
      </c>
      <c r="G295" t="inlineStr">
        <is>
          <t>5</t>
        </is>
      </c>
      <c r="H295" s="703">
        <f>Y295/J295</f>
        <v/>
      </c>
      <c r="I295" s="704" t="n">
        <v>43684</v>
      </c>
      <c r="J295" t="n">
        <v>32395</v>
      </c>
      <c r="L295" t="n">
        <v>32395</v>
      </c>
      <c r="M295" t="n">
        <v>1984</v>
      </c>
      <c r="P295" t="inlineStr">
        <is>
          <t>I-2-Com</t>
        </is>
      </c>
      <c r="R295" t="inlineStr">
        <is>
          <t>Average</t>
        </is>
      </c>
      <c r="S295" t="n">
        <v>111949</v>
      </c>
      <c r="T295" s="119">
        <f>S295/J295</f>
        <v/>
      </c>
      <c r="U295" t="inlineStr">
        <is>
          <t>Average</t>
        </is>
      </c>
      <c r="Y295" t="n">
        <v>2940000</v>
      </c>
      <c r="AA295" t="n">
        <v>2940000</v>
      </c>
      <c r="AC295" t="inlineStr">
        <is>
          <t>0182501103001</t>
        </is>
      </c>
      <c r="AD295" t="inlineStr">
        <is>
          <t>2019000064393</t>
        </is>
      </c>
      <c r="AE295" s="575" t="inlineStr">
        <is>
          <t xml:space="preserve">SPRING CREEK PARTNERSHIP LTD UND 85%  , AND SMITH GARY D/LINDA B UND 15% INT </t>
        </is>
      </c>
      <c r="AF295" s="575" t="inlineStr">
        <is>
          <t>INDUSTRIAL CONSTRUCTORS PROPERRTIES LLC</t>
        </is>
      </c>
      <c r="AI295" s="59">
        <f>IF(AND($E295=Subj_OccCode,Subj_BldgSF&gt;0,ABS($L295-Subj_BldgSF)&lt;=Subj_BldgSF*Subj_SizeTol),ABS($L295-Subj_BldgSF),NA())</f>
        <v/>
      </c>
      <c r="AJ295" s="93">
        <f>IF(ISNA(AI295),NA(),AI295+ROW()/10000000)</f>
        <v/>
      </c>
      <c r="AK295">
        <f>IF(AND(ISNUMBER($N295),$N295&gt;0,ISNUMBER($Y295)),$Y295/$N295,"")</f>
        <v/>
      </c>
      <c r="AL295" s="93" t="n"/>
      <c r="AM295" s="93" t="n"/>
      <c r="AN295" s="93" t="n"/>
    </row>
    <row r="296" ht="15" customHeight="1" s="518">
      <c r="A296" s="123" t="n">
        <v>8</v>
      </c>
      <c r="B296" s="59" t="n">
        <v>289</v>
      </c>
      <c r="C296" t="inlineStr">
        <is>
          <t>R0099989</t>
        </is>
      </c>
      <c r="D296" t="inlineStr">
        <is>
          <t>7140  HOOKER ST</t>
        </is>
      </c>
      <c r="E296" t="n">
        <v>353</v>
      </c>
      <c r="F296" t="inlineStr">
        <is>
          <t>WESTMINSTER</t>
        </is>
      </c>
      <c r="G296" t="inlineStr">
        <is>
          <t>4</t>
        </is>
      </c>
      <c r="H296" s="703">
        <f>Y296/J296</f>
        <v/>
      </c>
      <c r="I296" s="704" t="n">
        <v>44439</v>
      </c>
      <c r="J296" t="n">
        <v>7680</v>
      </c>
      <c r="L296" t="n">
        <v>7680</v>
      </c>
      <c r="M296" t="n">
        <v>1966</v>
      </c>
      <c r="P296" t="inlineStr">
        <is>
          <t>SPD</t>
        </is>
      </c>
      <c r="R296" t="inlineStr">
        <is>
          <t>Average</t>
        </is>
      </c>
      <c r="S296" t="n">
        <v>35600</v>
      </c>
      <c r="T296" s="119">
        <f>S296/J296</f>
        <v/>
      </c>
      <c r="U296" t="inlineStr">
        <is>
          <t>Average</t>
        </is>
      </c>
      <c r="Y296" t="n">
        <v>1000000</v>
      </c>
      <c r="AA296" t="n">
        <v>1000000</v>
      </c>
      <c r="AC296" t="inlineStr">
        <is>
          <t>0182505201035</t>
        </is>
      </c>
      <c r="AD296" t="inlineStr">
        <is>
          <t>2021000102768</t>
        </is>
      </c>
      <c r="AE296" s="575" t="inlineStr">
        <is>
          <t>TRAUPE RUTH</t>
        </is>
      </c>
      <c r="AF296" s="575" t="inlineStr">
        <is>
          <t>EISENSTEIN MICHAEL</t>
        </is>
      </c>
      <c r="AI296" s="59">
        <f>IF(AND($E296=Subj_OccCode,Subj_BldgSF&gt;0,ABS($L296-Subj_BldgSF)&lt;=Subj_BldgSF*Subj_SizeTol),ABS($L296-Subj_BldgSF),NA())</f>
        <v/>
      </c>
      <c r="AJ296" s="93">
        <f>IF(ISNA(AI296),NA(),AI296+ROW()/10000000)</f>
        <v/>
      </c>
      <c r="AK296">
        <f>IF(AND(ISNUMBER($N296),$N296&gt;0,ISNUMBER($Y296)),$Y296/$N296,"")</f>
        <v/>
      </c>
      <c r="AL296" s="93" t="n"/>
      <c r="AM296" s="93" t="n"/>
      <c r="AN296" s="93" t="n"/>
    </row>
    <row r="297" ht="15" customHeight="1" s="518">
      <c r="A297" s="123" t="n">
        <v>8</v>
      </c>
      <c r="B297" s="59" t="n">
        <v>290</v>
      </c>
      <c r="C297" t="inlineStr">
        <is>
          <t>R0003782</t>
        </is>
      </c>
      <c r="D297" t="inlineStr">
        <is>
          <t>481 S 8TH AVE</t>
        </is>
      </c>
      <c r="E297" t="n">
        <v>341</v>
      </c>
      <c r="F297" t="inlineStr">
        <is>
          <t>BRIGHTON</t>
        </is>
      </c>
      <c r="G297" t="inlineStr">
        <is>
          <t>2</t>
        </is>
      </c>
      <c r="H297" s="703">
        <f>Y297/J297</f>
        <v/>
      </c>
      <c r="I297" s="704" t="n">
        <v>44665</v>
      </c>
      <c r="J297" t="n">
        <v>2640</v>
      </c>
      <c r="L297" t="n">
        <v>2640</v>
      </c>
      <c r="M297" t="n">
        <v>1984</v>
      </c>
      <c r="P297" t="inlineStr">
        <is>
          <t>PUD-Bri</t>
        </is>
      </c>
      <c r="R297" t="inlineStr">
        <is>
          <t>Average</t>
        </is>
      </c>
      <c r="S297" t="n">
        <v>16500</v>
      </c>
      <c r="T297" s="119">
        <f>S297/J297</f>
        <v/>
      </c>
      <c r="U297" t="inlineStr">
        <is>
          <t>Average</t>
        </is>
      </c>
      <c r="Y297" t="n">
        <v>634600</v>
      </c>
      <c r="AA297" t="n">
        <v>634600</v>
      </c>
      <c r="AC297" t="inlineStr">
        <is>
          <t>0156907127006</t>
        </is>
      </c>
      <c r="AD297" t="inlineStr">
        <is>
          <t>2022000034761</t>
        </is>
      </c>
      <c r="AE297" s="575" t="inlineStr">
        <is>
          <t>MARTIN PHYLLIS M</t>
        </is>
      </c>
      <c r="AF297" s="575" t="inlineStr">
        <is>
          <t>481 S 8TH AVE BRIGHTON LLC</t>
        </is>
      </c>
      <c r="AI297" s="59">
        <f>IF(AND($E297=Subj_OccCode,Subj_BldgSF&gt;0,ABS($L297-Subj_BldgSF)&lt;=Subj_BldgSF*Subj_SizeTol),ABS($L297-Subj_BldgSF),NA())</f>
        <v/>
      </c>
      <c r="AJ297" s="93">
        <f>IF(ISNA(AI297),NA(),AI297+ROW()/10000000)</f>
        <v/>
      </c>
      <c r="AK297">
        <f>IF(AND(ISNUMBER($N297),$N297&gt;0,ISNUMBER($Y297)),$Y297/$N297,"")</f>
        <v/>
      </c>
      <c r="AL297" s="93" t="n"/>
      <c r="AM297" s="93" t="n"/>
      <c r="AN297" s="93" t="n"/>
    </row>
    <row r="298" ht="15" customHeight="1" s="518">
      <c r="A298" s="123" t="n">
        <v>8</v>
      </c>
      <c r="B298" s="59" t="n">
        <v>291</v>
      </c>
      <c r="C298" t="inlineStr">
        <is>
          <t>R0069032</t>
        </is>
      </c>
      <c r="D298" t="inlineStr">
        <is>
          <t>7535  HILLTOP CIR</t>
        </is>
      </c>
      <c r="E298" t="n">
        <v>344</v>
      </c>
      <c r="G298" t="inlineStr">
        <is>
          <t>4</t>
        </is>
      </c>
      <c r="H298" s="703">
        <f>Y298/J298</f>
        <v/>
      </c>
      <c r="I298" s="704" t="n">
        <v>43966</v>
      </c>
      <c r="J298" t="n">
        <v>12288</v>
      </c>
      <c r="L298" t="n">
        <v>12288</v>
      </c>
      <c r="M298" t="n">
        <v>1983</v>
      </c>
      <c r="P298" t="inlineStr">
        <is>
          <t>Commercial</t>
        </is>
      </c>
      <c r="R298" t="inlineStr">
        <is>
          <t>Average</t>
        </is>
      </c>
      <c r="S298" t="n">
        <v>42000</v>
      </c>
      <c r="T298" s="119">
        <f>S298/J298</f>
        <v/>
      </c>
      <c r="U298" t="inlineStr">
        <is>
          <t>Average</t>
        </is>
      </c>
      <c r="Y298" t="n">
        <v>1550000</v>
      </c>
      <c r="AA298" t="n">
        <v>1550000</v>
      </c>
      <c r="AC298" t="inlineStr">
        <is>
          <t>0171933413012</t>
        </is>
      </c>
      <c r="AD298" t="inlineStr">
        <is>
          <t>2020000045368</t>
        </is>
      </c>
      <c r="AE298" s="575" t="inlineStr">
        <is>
          <t>CHANNEN COMPANIES LLC</t>
        </is>
      </c>
      <c r="AF298" s="575" t="inlineStr">
        <is>
          <t>WASH SQUARE 121 LLC</t>
        </is>
      </c>
      <c r="AI298" s="59">
        <f>IF(AND($E298=Subj_OccCode,Subj_BldgSF&gt;0,ABS($L298-Subj_BldgSF)&lt;=Subj_BldgSF*Subj_SizeTol),ABS($L298-Subj_BldgSF),NA())</f>
        <v/>
      </c>
      <c r="AJ298" s="93">
        <f>IF(ISNA(AI298),NA(),AI298+ROW()/10000000)</f>
        <v/>
      </c>
      <c r="AK298">
        <f>IF(AND(ISNUMBER($N298),$N298&gt;0,ISNUMBER($Y298)),$Y298/$N298,"")</f>
        <v/>
      </c>
      <c r="AL298" s="93" t="n"/>
      <c r="AM298" s="93" t="n"/>
      <c r="AN298" s="93" t="n"/>
    </row>
    <row r="299" ht="15" customHeight="1" s="518">
      <c r="A299" s="123" t="n">
        <v>8</v>
      </c>
      <c r="B299" s="59" t="n">
        <v>292</v>
      </c>
      <c r="C299" t="inlineStr">
        <is>
          <t>R0065356</t>
        </is>
      </c>
      <c r="D299" t="inlineStr">
        <is>
          <t>7205  MEADE ST</t>
        </is>
      </c>
      <c r="E299" t="n">
        <v>344</v>
      </c>
      <c r="F299" t="inlineStr">
        <is>
          <t>WESTMINSTER</t>
        </is>
      </c>
      <c r="G299" t="inlineStr">
        <is>
          <t>4</t>
        </is>
      </c>
      <c r="H299" s="703">
        <f>Y299/J299</f>
        <v/>
      </c>
      <c r="I299" s="704" t="n">
        <v>43746</v>
      </c>
      <c r="J299" t="n">
        <v>1880</v>
      </c>
      <c r="L299" t="n">
        <v>1880</v>
      </c>
      <c r="M299" t="n">
        <v>1952</v>
      </c>
      <c r="P299" t="inlineStr">
        <is>
          <t>B-1-Wes</t>
        </is>
      </c>
      <c r="R299" t="inlineStr">
        <is>
          <t>Average</t>
        </is>
      </c>
      <c r="S299" t="n">
        <v>4800</v>
      </c>
      <c r="T299" s="119">
        <f>S299/J299</f>
        <v/>
      </c>
      <c r="U299" t="inlineStr">
        <is>
          <t>Average</t>
        </is>
      </c>
      <c r="Y299" t="n">
        <v>285000</v>
      </c>
      <c r="AA299" t="n">
        <v>285000</v>
      </c>
      <c r="AC299" t="inlineStr">
        <is>
          <t>0171931417024</t>
        </is>
      </c>
      <c r="AD299" t="inlineStr">
        <is>
          <t>2019000087174</t>
        </is>
      </c>
      <c r="AE299" s="575" t="inlineStr">
        <is>
          <t>WANG TONGCHEN</t>
        </is>
      </c>
      <c r="AF299" s="575" t="inlineStr">
        <is>
          <t>7205 MEADE LLC</t>
        </is>
      </c>
      <c r="AI299" s="59">
        <f>IF(AND($E299=Subj_OccCode,Subj_BldgSF&gt;0,ABS($L299-Subj_BldgSF)&lt;=Subj_BldgSF*Subj_SizeTol),ABS($L299-Subj_BldgSF),NA())</f>
        <v/>
      </c>
      <c r="AJ299" s="93">
        <f>IF(ISNA(AI299),NA(),AI299+ROW()/10000000)</f>
        <v/>
      </c>
      <c r="AK299">
        <f>IF(AND(ISNUMBER($N299),$N299&gt;0,ISNUMBER($Y299)),$Y299/$N299,"")</f>
        <v/>
      </c>
      <c r="AL299" s="93" t="n"/>
      <c r="AM299" s="93" t="n"/>
      <c r="AN299" s="93" t="n"/>
    </row>
    <row r="300" ht="15" customHeight="1" s="518">
      <c r="A300" s="123" t="n">
        <v>8</v>
      </c>
      <c r="B300" s="59" t="n">
        <v>293</v>
      </c>
      <c r="C300" t="inlineStr">
        <is>
          <t>R0077392</t>
        </is>
      </c>
      <c r="D300" t="inlineStr">
        <is>
          <t>8461  BRIGHTON RD</t>
        </is>
      </c>
      <c r="E300" t="n">
        <v>406</v>
      </c>
      <c r="G300" t="inlineStr">
        <is>
          <t>5</t>
        </is>
      </c>
      <c r="H300" s="703">
        <f>Y300/J300</f>
        <v/>
      </c>
      <c r="I300" s="704" t="n">
        <v>43118</v>
      </c>
      <c r="J300" t="n">
        <v>2159</v>
      </c>
      <c r="L300" t="n">
        <v>2159</v>
      </c>
      <c r="M300" t="n">
        <v>1962</v>
      </c>
      <c r="P300" t="inlineStr">
        <is>
          <t>Industrial</t>
        </is>
      </c>
      <c r="R300" t="inlineStr">
        <is>
          <t>Average</t>
        </is>
      </c>
      <c r="S300" t="n">
        <v>28183</v>
      </c>
      <c r="T300" s="119">
        <f>S300/J300</f>
        <v/>
      </c>
      <c r="U300" t="inlineStr">
        <is>
          <t>Average</t>
        </is>
      </c>
      <c r="Y300" t="n">
        <v>700000</v>
      </c>
      <c r="AA300" t="n">
        <v>700000</v>
      </c>
      <c r="AC300" t="inlineStr">
        <is>
          <t>0172129200026</t>
        </is>
      </c>
      <c r="AD300" t="inlineStr">
        <is>
          <t>2018000006104</t>
        </is>
      </c>
      <c r="AE300" s="575" t="inlineStr">
        <is>
          <t>LUNNON STEPHEN</t>
        </is>
      </c>
      <c r="AF300" s="575" t="inlineStr">
        <is>
          <t>BRIGHTON INVESTMENTS LLC</t>
        </is>
      </c>
      <c r="AI300" s="59">
        <f>IF(AND($E300=Subj_OccCode,Subj_BldgSF&gt;0,ABS($L300-Subj_BldgSF)&lt;=Subj_BldgSF*Subj_SizeTol),ABS($L300-Subj_BldgSF),NA())</f>
        <v/>
      </c>
      <c r="AJ300" s="93">
        <f>IF(ISNA(AI300),NA(),AI300+ROW()/10000000)</f>
        <v/>
      </c>
      <c r="AK300">
        <f>IF(AND(ISNUMBER($N300),$N300&gt;0,ISNUMBER($Y300)),$Y300/$N300,"")</f>
        <v/>
      </c>
      <c r="AL300" s="93" t="n"/>
      <c r="AM300" s="93" t="n"/>
      <c r="AN300" s="93" t="n"/>
    </row>
    <row r="301" ht="15" customHeight="1" s="518">
      <c r="A301" s="123" t="n">
        <v>8</v>
      </c>
      <c r="B301" s="59" t="n">
        <v>294</v>
      </c>
      <c r="C301" t="inlineStr">
        <is>
          <t>R0079701</t>
        </is>
      </c>
      <c r="D301" t="inlineStr">
        <is>
          <t xml:space="preserve">7576  HIGHWAY 2 </t>
        </is>
      </c>
      <c r="E301" t="n">
        <v>353</v>
      </c>
      <c r="F301" t="inlineStr">
        <is>
          <t>COMMERCE CITY</t>
        </is>
      </c>
      <c r="G301" t="inlineStr">
        <is>
          <t>5</t>
        </is>
      </c>
      <c r="H301" s="703">
        <f>Y301/J301</f>
        <v/>
      </c>
      <c r="I301" s="704" t="n">
        <v>44610</v>
      </c>
      <c r="J301" t="n">
        <v>6500</v>
      </c>
      <c r="L301" t="n">
        <v>6500</v>
      </c>
      <c r="M301" t="n">
        <v>1954</v>
      </c>
      <c r="P301" t="inlineStr">
        <is>
          <t>C-3-Com</t>
        </is>
      </c>
      <c r="R301" t="inlineStr">
        <is>
          <t>Average</t>
        </is>
      </c>
      <c r="S301" t="n">
        <v>43750</v>
      </c>
      <c r="T301" s="119">
        <f>S301/J301</f>
        <v/>
      </c>
      <c r="U301" t="inlineStr">
        <is>
          <t>Average</t>
        </is>
      </c>
      <c r="Y301" t="n">
        <v>950000</v>
      </c>
      <c r="AA301" t="n">
        <v>950000</v>
      </c>
      <c r="AC301" t="inlineStr">
        <is>
          <t>0172132410002</t>
        </is>
      </c>
      <c r="AD301" t="inlineStr">
        <is>
          <t>2022000017336</t>
        </is>
      </c>
      <c r="AE301" s="575" t="inlineStr">
        <is>
          <t>MAGNOLIA ENTERPRISES LLC</t>
        </is>
      </c>
      <c r="AF301" s="575" t="inlineStr">
        <is>
          <t>BONNIE K LISLE ROTH IRA</t>
        </is>
      </c>
      <c r="AI301" s="59">
        <f>IF(AND($E301=Subj_OccCode,Subj_BldgSF&gt;0,ABS($L301-Subj_BldgSF)&lt;=Subj_BldgSF*Subj_SizeTol),ABS($L301-Subj_BldgSF),NA())</f>
        <v/>
      </c>
      <c r="AJ301" s="93">
        <f>IF(ISNA(AI301),NA(),AI301+ROW()/10000000)</f>
        <v/>
      </c>
      <c r="AK301">
        <f>IF(AND(ISNUMBER($N301),$N301&gt;0,ISNUMBER($Y301)),$Y301/$N301,"")</f>
        <v/>
      </c>
      <c r="AL301" s="93" t="n"/>
      <c r="AM301" s="93" t="n"/>
      <c r="AN301" s="93" t="n"/>
    </row>
    <row r="302" ht="15" customHeight="1" s="518">
      <c r="A302" s="123" t="n">
        <v>8</v>
      </c>
      <c r="B302" s="59" t="n">
        <v>295</v>
      </c>
      <c r="C302" t="inlineStr">
        <is>
          <t>R0079858</t>
        </is>
      </c>
      <c r="D302" t="inlineStr">
        <is>
          <t>7290  MAGNOLIA ST</t>
        </is>
      </c>
      <c r="E302" t="n">
        <v>344</v>
      </c>
      <c r="F302" t="inlineStr">
        <is>
          <t>COMMERCE CITY</t>
        </is>
      </c>
      <c r="G302" t="inlineStr">
        <is>
          <t>5</t>
        </is>
      </c>
      <c r="H302" s="703">
        <f>Y302/J302</f>
        <v/>
      </c>
      <c r="I302" s="704" t="n">
        <v>44596</v>
      </c>
      <c r="J302" t="n">
        <v>1664</v>
      </c>
      <c r="L302" t="n">
        <v>1664</v>
      </c>
      <c r="M302" t="n">
        <v>1942</v>
      </c>
      <c r="P302" t="inlineStr">
        <is>
          <t>PUD-Com</t>
        </is>
      </c>
      <c r="R302" t="inlineStr">
        <is>
          <t>Average</t>
        </is>
      </c>
      <c r="S302" t="n">
        <v>7500</v>
      </c>
      <c r="T302" s="119">
        <f>S302/J302</f>
        <v/>
      </c>
      <c r="U302" t="inlineStr">
        <is>
          <t>Average</t>
        </is>
      </c>
      <c r="Y302" t="n">
        <v>400000</v>
      </c>
      <c r="AA302" t="n">
        <v>400000</v>
      </c>
      <c r="AC302" t="inlineStr">
        <is>
          <t>0172132420002</t>
        </is>
      </c>
      <c r="AD302" t="inlineStr">
        <is>
          <t>2022000011068</t>
        </is>
      </c>
      <c r="AE302" s="575" t="inlineStr">
        <is>
          <t>MAGNOLIA ENTERPRISES LLC</t>
        </is>
      </c>
      <c r="AF302" s="575" t="inlineStr">
        <is>
          <t>SOTO IRENE PANDO AND , ISAIS SALVADOR</t>
        </is>
      </c>
      <c r="AI302" s="59">
        <f>IF(AND($E302=Subj_OccCode,Subj_BldgSF&gt;0,ABS($L302-Subj_BldgSF)&lt;=Subj_BldgSF*Subj_SizeTol),ABS($L302-Subj_BldgSF),NA())</f>
        <v/>
      </c>
      <c r="AJ302" s="93">
        <f>IF(ISNA(AI302),NA(),AI302+ROW()/10000000)</f>
        <v/>
      </c>
      <c r="AK302">
        <f>IF(AND(ISNUMBER($N302),$N302&gt;0,ISNUMBER($Y302)),$Y302/$N302,"")</f>
        <v/>
      </c>
      <c r="AL302" s="93" t="n"/>
      <c r="AM302" s="93" t="n"/>
      <c r="AN302" s="93" t="n"/>
    </row>
    <row r="303" ht="15" customHeight="1" s="518">
      <c r="A303" s="123" t="n">
        <v>8</v>
      </c>
      <c r="B303" s="59" t="n">
        <v>296</v>
      </c>
      <c r="C303" t="inlineStr">
        <is>
          <t>R0059360</t>
        </is>
      </c>
      <c r="D303" t="inlineStr">
        <is>
          <t>1551  MILKY WAY</t>
        </is>
      </c>
      <c r="E303" t="n">
        <v>444</v>
      </c>
      <c r="F303" t="inlineStr">
        <is>
          <t>THORNTON</t>
        </is>
      </c>
      <c r="G303" t="inlineStr">
        <is>
          <t>4</t>
        </is>
      </c>
      <c r="H303" s="703">
        <f>Y303/J303</f>
        <v/>
      </c>
      <c r="I303" s="704" t="n">
        <v>44075</v>
      </c>
      <c r="J303" t="n">
        <v>5769</v>
      </c>
      <c r="L303" t="n">
        <v>5769</v>
      </c>
      <c r="M303" t="n">
        <v>1986</v>
      </c>
      <c r="P303" t="inlineStr">
        <is>
          <t>Planned Development</t>
        </is>
      </c>
      <c r="R303" t="inlineStr">
        <is>
          <t>Good</t>
        </is>
      </c>
      <c r="S303" t="n">
        <v>42194</v>
      </c>
      <c r="T303" s="119">
        <f>S303/J303</f>
        <v/>
      </c>
      <c r="U303" t="inlineStr">
        <is>
          <t>Good</t>
        </is>
      </c>
      <c r="Y303" t="n">
        <v>1100000</v>
      </c>
      <c r="AA303" t="n">
        <v>1100000</v>
      </c>
      <c r="AC303" t="inlineStr">
        <is>
          <t>0171928106002</t>
        </is>
      </c>
      <c r="AD303" t="inlineStr">
        <is>
          <t>2020000087823</t>
        </is>
      </c>
      <c r="AE303" s="575" t="inlineStr">
        <is>
          <t>WRIGHT FAMILY 2009 IRREVOCABLE TRUST THE</t>
        </is>
      </c>
      <c r="AF303" s="575" t="inlineStr">
        <is>
          <t>1551 MILKY WAY LLC</t>
        </is>
      </c>
      <c r="AI303" s="59">
        <f>IF(AND($E303=Subj_OccCode,Subj_BldgSF&gt;0,ABS($L303-Subj_BldgSF)&lt;=Subj_BldgSF*Subj_SizeTol),ABS($L303-Subj_BldgSF),NA())</f>
        <v/>
      </c>
      <c r="AJ303" s="93">
        <f>IF(ISNA(AI303),NA(),AI303+ROW()/10000000)</f>
        <v/>
      </c>
      <c r="AK303">
        <f>IF(AND(ISNUMBER($N303),$N303&gt;0,ISNUMBER($Y303)),$Y303/$N303,"")</f>
        <v/>
      </c>
      <c r="AL303" s="93" t="n"/>
      <c r="AM303" s="93" t="n"/>
      <c r="AN303" s="93" t="n"/>
    </row>
    <row r="304" ht="15" customHeight="1" s="518">
      <c r="A304" s="123" t="n">
        <v>8</v>
      </c>
      <c r="B304" s="59" t="n">
        <v>297</v>
      </c>
      <c r="C304" t="inlineStr">
        <is>
          <t>R0070997</t>
        </is>
      </c>
      <c r="D304" t="inlineStr">
        <is>
          <t>909 E 75TH AVE</t>
        </is>
      </c>
      <c r="E304" t="n">
        <v>334</v>
      </c>
      <c r="G304" t="inlineStr">
        <is>
          <t>5</t>
        </is>
      </c>
      <c r="H304" s="703">
        <f>Y304/J304</f>
        <v/>
      </c>
      <c r="I304" s="704" t="n">
        <v>43544</v>
      </c>
      <c r="J304" t="n">
        <v>9250</v>
      </c>
      <c r="L304" t="n">
        <v>9250</v>
      </c>
      <c r="M304" t="n">
        <v>1976</v>
      </c>
      <c r="P304" t="inlineStr">
        <is>
          <t>Industrial</t>
        </is>
      </c>
      <c r="R304" t="inlineStr">
        <is>
          <t>Average</t>
        </is>
      </c>
      <c r="S304" t="n">
        <v>46384</v>
      </c>
      <c r="T304" s="119">
        <f>S304/J304</f>
        <v/>
      </c>
      <c r="U304" t="inlineStr">
        <is>
          <t>Average</t>
        </is>
      </c>
      <c r="Y304" t="n">
        <v>1779500</v>
      </c>
      <c r="AA304" t="n">
        <v>1779500</v>
      </c>
      <c r="AC304" t="inlineStr">
        <is>
          <t>0171935301023</t>
        </is>
      </c>
      <c r="AD304" t="inlineStr">
        <is>
          <t>2019000020504</t>
        </is>
      </c>
      <c r="AE304" s="575" t="inlineStr">
        <is>
          <t>909 E 75TH LLC</t>
        </is>
      </c>
      <c r="AF304" s="575" t="inlineStr">
        <is>
          <t>LEE DONALD C AND, LONG STEPHANIE M</t>
        </is>
      </c>
      <c r="AI304" s="59">
        <f>IF(AND($E304=Subj_OccCode,Subj_BldgSF&gt;0,ABS($L304-Subj_BldgSF)&lt;=Subj_BldgSF*Subj_SizeTol),ABS($L304-Subj_BldgSF),NA())</f>
        <v/>
      </c>
      <c r="AJ304" s="93">
        <f>IF(ISNA(AI304),NA(),AI304+ROW()/10000000)</f>
        <v/>
      </c>
      <c r="AK304">
        <f>IF(AND(ISNUMBER($N304),$N304&gt;0,ISNUMBER($Y304)),$Y304/$N304,"")</f>
        <v/>
      </c>
      <c r="AL304" s="93" t="n"/>
      <c r="AM304" s="93" t="n"/>
      <c r="AN304" s="93" t="n"/>
    </row>
    <row r="305" ht="15" customHeight="1" s="518">
      <c r="A305" s="123" t="n">
        <v>8</v>
      </c>
      <c r="B305" s="59" t="n">
        <v>298</v>
      </c>
      <c r="C305" t="inlineStr">
        <is>
          <t>R0103701</t>
        </is>
      </c>
      <c r="D305" t="inlineStr">
        <is>
          <t>5700  WASHINGTON ST</t>
        </is>
      </c>
      <c r="E305" t="n">
        <v>407</v>
      </c>
      <c r="G305" t="inlineStr">
        <is>
          <t>5</t>
        </is>
      </c>
      <c r="H305" s="703">
        <f>Y305/J305</f>
        <v/>
      </c>
      <c r="I305" s="704" t="n">
        <v>44456</v>
      </c>
      <c r="J305" t="n">
        <v>12000</v>
      </c>
      <c r="L305" t="n">
        <v>12000</v>
      </c>
      <c r="M305" t="n">
        <v>1977</v>
      </c>
      <c r="P305" t="inlineStr">
        <is>
          <t>Industrial</t>
        </is>
      </c>
      <c r="R305" t="inlineStr">
        <is>
          <t>Average</t>
        </is>
      </c>
      <c r="S305" t="n">
        <v>34848</v>
      </c>
      <c r="T305" s="119">
        <f>S305/J305</f>
        <v/>
      </c>
      <c r="U305" t="inlineStr">
        <is>
          <t>Average</t>
        </is>
      </c>
      <c r="Y305" t="n">
        <v>2500000</v>
      </c>
      <c r="AA305" t="n">
        <v>2500000</v>
      </c>
      <c r="AC305" t="inlineStr">
        <is>
          <t>0182511300064</t>
        </is>
      </c>
      <c r="AD305" t="inlineStr">
        <is>
          <t>2021000111243</t>
        </is>
      </c>
      <c r="AE305" s="575" t="inlineStr">
        <is>
          <t>BATS INVESTMENTS LLC</t>
        </is>
      </c>
      <c r="AF305" s="575" t="inlineStr">
        <is>
          <t>W &amp; J INVESTMENTS LLC</t>
        </is>
      </c>
      <c r="AI305" s="59">
        <f>IF(AND($E305=Subj_OccCode,Subj_BldgSF&gt;0,ABS($L305-Subj_BldgSF)&lt;=Subj_BldgSF*Subj_SizeTol),ABS($L305-Subj_BldgSF),NA())</f>
        <v/>
      </c>
      <c r="AJ305" s="93">
        <f>IF(ISNA(AI305),NA(),AI305+ROW()/10000000)</f>
        <v/>
      </c>
      <c r="AK305">
        <f>IF(AND(ISNUMBER($N305),$N305&gt;0,ISNUMBER($Y305)),$Y305/$N305,"")</f>
        <v/>
      </c>
      <c r="AL305" s="93" t="n"/>
      <c r="AM305" s="93" t="n"/>
      <c r="AN305" s="93" t="n"/>
    </row>
    <row r="306" ht="15" customHeight="1" s="518">
      <c r="A306" s="123" t="n">
        <v>8</v>
      </c>
      <c r="B306" s="59" t="n">
        <v>299</v>
      </c>
      <c r="C306" t="inlineStr">
        <is>
          <t>R0037745</t>
        </is>
      </c>
      <c r="D306" t="inlineStr">
        <is>
          <t>11155  IRMA DR</t>
        </is>
      </c>
      <c r="E306" t="n">
        <v>434</v>
      </c>
      <c r="F306" t="inlineStr">
        <is>
          <t>NORTHGLENN</t>
        </is>
      </c>
      <c r="G306" t="inlineStr">
        <is>
          <t>4</t>
        </is>
      </c>
      <c r="H306" s="703">
        <f>Y306/J306</f>
        <v/>
      </c>
      <c r="I306" s="704" t="n">
        <v>43189</v>
      </c>
      <c r="J306" t="n">
        <v>2640</v>
      </c>
      <c r="L306" t="n">
        <v>2640</v>
      </c>
      <c r="M306" t="n">
        <v>1970</v>
      </c>
      <c r="P306" t="inlineStr">
        <is>
          <t>Northglenn</t>
        </is>
      </c>
      <c r="R306" t="inlineStr">
        <is>
          <t>Average</t>
        </is>
      </c>
      <c r="S306" t="n">
        <v>26550</v>
      </c>
      <c r="T306" s="119">
        <f>S306/J306</f>
        <v/>
      </c>
      <c r="U306" t="inlineStr">
        <is>
          <t>Average</t>
        </is>
      </c>
      <c r="Y306" t="n">
        <v>345400</v>
      </c>
      <c r="AA306" t="n">
        <v>345400</v>
      </c>
      <c r="AC306" t="inlineStr">
        <is>
          <t>0171911103015</t>
        </is>
      </c>
      <c r="AD306" t="inlineStr">
        <is>
          <t>2018000026473</t>
        </is>
      </c>
      <c r="AE306" s="575" t="inlineStr">
        <is>
          <t>ZAYAC PROPERTIES IRMA LLLP, C/O PROCLEAN AUTO WASH</t>
        </is>
      </c>
      <c r="AF306" s="575" t="inlineStr">
        <is>
          <t>BLANCO PROPERTIES IRMA LLC</t>
        </is>
      </c>
      <c r="AI306" s="59">
        <f>IF(AND($E306=Subj_OccCode,Subj_BldgSF&gt;0,ABS($L306-Subj_BldgSF)&lt;=Subj_BldgSF*Subj_SizeTol),ABS($L306-Subj_BldgSF),NA())</f>
        <v/>
      </c>
      <c r="AJ306" s="93">
        <f>IF(ISNA(AI306),NA(),AI306+ROW()/10000000)</f>
        <v/>
      </c>
      <c r="AK306">
        <f>IF(AND(ISNUMBER($N306),$N306&gt;0,ISNUMBER($Y306)),$Y306/$N306,"")</f>
        <v/>
      </c>
      <c r="AL306" s="93" t="n"/>
      <c r="AM306" s="93" t="n"/>
      <c r="AN306" s="93" t="n"/>
    </row>
    <row r="307" ht="15" customHeight="1" s="518">
      <c r="A307" s="123" t="n">
        <v>8</v>
      </c>
      <c r="B307" s="59" t="n">
        <v>300</v>
      </c>
      <c r="C307" t="inlineStr">
        <is>
          <t>R0110352</t>
        </is>
      </c>
      <c r="D307" t="inlineStr">
        <is>
          <t>12141 PENNSYLVANIA ST</t>
        </is>
      </c>
      <c r="E307" t="n">
        <v>210</v>
      </c>
      <c r="F307" t="inlineStr">
        <is>
          <t>THORNTON</t>
        </is>
      </c>
      <c r="G307" t="inlineStr">
        <is>
          <t>3</t>
        </is>
      </c>
      <c r="H307" s="703">
        <f>Y307/J307</f>
        <v/>
      </c>
      <c r="I307" s="704" t="n">
        <v>44706</v>
      </c>
      <c r="J307" t="n">
        <v>14680</v>
      </c>
      <c r="L307" t="n">
        <v>14680</v>
      </c>
      <c r="M307" t="n">
        <v>1998</v>
      </c>
      <c r="P307" t="inlineStr">
        <is>
          <t>Business Park</t>
        </is>
      </c>
      <c r="R307" t="inlineStr">
        <is>
          <t>Average</t>
        </is>
      </c>
      <c r="S307" t="n">
        <v>86945</v>
      </c>
      <c r="T307" s="119">
        <f>S307/J307</f>
        <v/>
      </c>
      <c r="U307" t="inlineStr">
        <is>
          <t>Average</t>
        </is>
      </c>
      <c r="Y307" t="n">
        <v>3795000</v>
      </c>
      <c r="AA307" t="n">
        <v>3795000</v>
      </c>
      <c r="AC307" t="inlineStr">
        <is>
          <t>0157334010019</t>
        </is>
      </c>
      <c r="AD307" t="inlineStr">
        <is>
          <t>2022000046653</t>
        </is>
      </c>
      <c r="AE307" s="575" t="inlineStr">
        <is>
          <t>12141 PENNSYLVANIA LLC</t>
        </is>
      </c>
      <c r="AF307" s="575" t="inlineStr">
        <is>
          <t>SDNS INC</t>
        </is>
      </c>
      <c r="AI307" s="59">
        <f>IF(AND($E307=Subj_OccCode,Subj_BldgSF&gt;0,ABS($L307-Subj_BldgSF)&lt;=Subj_BldgSF*Subj_SizeTol),ABS($L307-Subj_BldgSF),NA())</f>
        <v/>
      </c>
      <c r="AJ307" s="93">
        <f>IF(ISNA(AI307),NA(),AI307+ROW()/10000000)</f>
        <v/>
      </c>
      <c r="AK307">
        <f>IF(AND(ISNUMBER($N307),$N307&gt;0,ISNUMBER($Y307)),$Y307/$N307,"")</f>
        <v/>
      </c>
      <c r="AL307" s="93" t="n"/>
      <c r="AM307" s="93" t="n"/>
      <c r="AN307" s="93" t="n"/>
    </row>
    <row r="308" ht="15" customHeight="1" s="518">
      <c r="A308" s="123" t="n">
        <v>8</v>
      </c>
      <c r="B308" s="59" t="n">
        <v>301</v>
      </c>
      <c r="C308" t="inlineStr">
        <is>
          <t>R0098079</t>
        </is>
      </c>
      <c r="D308" t="inlineStr">
        <is>
          <t>851 E 71ST AVE #A3</t>
        </is>
      </c>
      <c r="E308" t="n">
        <v>425</v>
      </c>
      <c r="G308" t="inlineStr">
        <is>
          <t>5</t>
        </is>
      </c>
      <c r="H308" s="703">
        <f>Y308/J308</f>
        <v/>
      </c>
      <c r="I308" s="704" t="n">
        <v>43144</v>
      </c>
      <c r="J308" t="n">
        <v>1500</v>
      </c>
      <c r="L308" t="n">
        <v>1500</v>
      </c>
      <c r="M308" t="n">
        <v>1984</v>
      </c>
      <c r="P308" t="inlineStr">
        <is>
          <t>Industrial</t>
        </is>
      </c>
      <c r="R308" t="inlineStr">
        <is>
          <t>Average</t>
        </is>
      </c>
      <c r="S308" t="n">
        <v>4340</v>
      </c>
      <c r="T308" s="119">
        <f>S308/J308</f>
        <v/>
      </c>
      <c r="U308" t="inlineStr">
        <is>
          <t>Average</t>
        </is>
      </c>
      <c r="Y308" t="n">
        <v>215000</v>
      </c>
      <c r="AA308" t="n">
        <v>215000</v>
      </c>
      <c r="AC308" t="inlineStr">
        <is>
          <t>0182502203043</t>
        </is>
      </c>
      <c r="AD308" t="inlineStr">
        <is>
          <t>2018000012737</t>
        </is>
      </c>
      <c r="AE308" s="575" t="inlineStr">
        <is>
          <t>BALES BOHR 851 A4 LLC</t>
        </is>
      </c>
      <c r="AF308" s="575" t="inlineStr">
        <is>
          <t>851 E HWY 224 LLC</t>
        </is>
      </c>
      <c r="AI308" s="59">
        <f>IF(AND($E308=Subj_OccCode,Subj_BldgSF&gt;0,ABS($L308-Subj_BldgSF)&lt;=Subj_BldgSF*Subj_SizeTol),ABS($L308-Subj_BldgSF),NA())</f>
        <v/>
      </c>
      <c r="AJ308" s="93">
        <f>IF(ISNA(AI308),NA(),AI308+ROW()/10000000)</f>
        <v/>
      </c>
      <c r="AK308">
        <f>IF(AND(ISNUMBER($N308),$N308&gt;0,ISNUMBER($Y308)),$Y308/$N308,"")</f>
        <v/>
      </c>
      <c r="AL308" s="93" t="n"/>
      <c r="AM308" s="93" t="n"/>
      <c r="AN308" s="93" t="n"/>
    </row>
    <row r="309" ht="15" customHeight="1" s="518">
      <c r="A309" s="123" t="n">
        <v>8</v>
      </c>
      <c r="B309" s="59" t="n">
        <v>302</v>
      </c>
      <c r="C309" t="inlineStr">
        <is>
          <t>R0098079</t>
        </is>
      </c>
      <c r="D309" t="inlineStr">
        <is>
          <t>852 E 71ST AVE #A3</t>
        </is>
      </c>
      <c r="E309" t="n">
        <v>425</v>
      </c>
      <c r="G309" t="inlineStr">
        <is>
          <t>5</t>
        </is>
      </c>
      <c r="H309" s="703">
        <f>Y309/J309</f>
        <v/>
      </c>
      <c r="I309" s="704" t="n">
        <v>44270</v>
      </c>
      <c r="J309" t="n">
        <v>1500</v>
      </c>
      <c r="L309" t="n">
        <v>1500</v>
      </c>
      <c r="M309" t="n">
        <v>1984</v>
      </c>
      <c r="P309" t="inlineStr">
        <is>
          <t>Industrial</t>
        </is>
      </c>
      <c r="R309" t="inlineStr">
        <is>
          <t>Average</t>
        </is>
      </c>
      <c r="S309" t="n">
        <v>4340</v>
      </c>
      <c r="T309" s="119">
        <f>S309/J309</f>
        <v/>
      </c>
      <c r="U309" t="inlineStr">
        <is>
          <t>Average</t>
        </is>
      </c>
      <c r="Y309" t="n">
        <v>290000</v>
      </c>
      <c r="AA309" t="n">
        <v>290000</v>
      </c>
      <c r="AC309" t="inlineStr">
        <is>
          <t>0182502203043</t>
        </is>
      </c>
      <c r="AD309" t="inlineStr">
        <is>
          <t>2021000032505</t>
        </is>
      </c>
      <c r="AE309" s="575" t="inlineStr">
        <is>
          <t>KIM DANIEL</t>
        </is>
      </c>
      <c r="AF309" s="575" t="inlineStr">
        <is>
          <t>BLUE ROOF RENTALS LLC</t>
        </is>
      </c>
      <c r="AI309" s="59">
        <f>IF(AND($E309=Subj_OccCode,Subj_BldgSF&gt;0,ABS($L309-Subj_BldgSF)&lt;=Subj_BldgSF*Subj_SizeTol),ABS($L309-Subj_BldgSF),NA())</f>
        <v/>
      </c>
      <c r="AJ309" s="93">
        <f>IF(ISNA(AI309),NA(),AI309+ROW()/10000000)</f>
        <v/>
      </c>
      <c r="AK309">
        <f>IF(AND(ISNUMBER($N309),$N309&gt;0,ISNUMBER($Y309)),$Y309/$N309,"")</f>
        <v/>
      </c>
      <c r="AL309" s="93" t="n"/>
      <c r="AM309" s="93" t="n"/>
      <c r="AN309" s="93" t="n"/>
    </row>
    <row r="310" ht="15" customHeight="1" s="518">
      <c r="A310" s="123" t="n">
        <v>8</v>
      </c>
      <c r="B310" s="59" t="n">
        <v>303</v>
      </c>
      <c r="C310" t="inlineStr">
        <is>
          <t>R0003907</t>
        </is>
      </c>
      <c r="D310" t="inlineStr">
        <is>
          <t>175 S MAIN ST</t>
        </is>
      </c>
      <c r="E310" t="n">
        <v>353</v>
      </c>
      <c r="F310" t="inlineStr">
        <is>
          <t>BRIGHTON</t>
        </is>
      </c>
      <c r="G310" t="inlineStr">
        <is>
          <t>2</t>
        </is>
      </c>
      <c r="H310" s="703">
        <f>Y310/J310</f>
        <v/>
      </c>
      <c r="I310" s="704" t="n">
        <v>44648</v>
      </c>
      <c r="J310" t="n">
        <v>1120</v>
      </c>
      <c r="L310" t="n">
        <v>1120</v>
      </c>
      <c r="M310" t="n">
        <v>1913</v>
      </c>
      <c r="P310" t="inlineStr">
        <is>
          <t>DT</t>
        </is>
      </c>
      <c r="R310" t="inlineStr">
        <is>
          <t>Average</t>
        </is>
      </c>
      <c r="S310" t="n">
        <v>8100</v>
      </c>
      <c r="T310" s="119">
        <f>S310/J310</f>
        <v/>
      </c>
      <c r="U310" t="inlineStr">
        <is>
          <t>Average</t>
        </is>
      </c>
      <c r="Y310" t="n">
        <v>345000</v>
      </c>
      <c r="AA310" t="n">
        <v>345000</v>
      </c>
      <c r="AC310" t="inlineStr">
        <is>
          <t>0156907207010</t>
        </is>
      </c>
      <c r="AD310" t="inlineStr">
        <is>
          <t>2022000033064</t>
        </is>
      </c>
      <c r="AE310" s="575" t="inlineStr">
        <is>
          <t>PNJ INVESTMENTS LLC</t>
        </is>
      </c>
      <c r="AF310" s="575" t="inlineStr">
        <is>
          <t>CHAVEZ DAVID AND , CHAVEZ PAMELA</t>
        </is>
      </c>
      <c r="AI310" s="59">
        <f>IF(AND($E310=Subj_OccCode,Subj_BldgSF&gt;0,ABS($L310-Subj_BldgSF)&lt;=Subj_BldgSF*Subj_SizeTol),ABS($L310-Subj_BldgSF),NA())</f>
        <v/>
      </c>
      <c r="AJ310" s="93">
        <f>IF(ISNA(AI310),NA(),AI310+ROW()/10000000)</f>
        <v/>
      </c>
      <c r="AK310">
        <f>IF(AND(ISNUMBER($N310),$N310&gt;0,ISNUMBER($Y310)),$Y310/$N310,"")</f>
        <v/>
      </c>
      <c r="AL310" s="93" t="n"/>
      <c r="AM310" s="93" t="n"/>
      <c r="AN310" s="93" t="n"/>
    </row>
    <row r="311" ht="15" customHeight="1" s="518">
      <c r="A311" s="123" t="n">
        <v>8</v>
      </c>
      <c r="B311" s="59" t="n">
        <v>304</v>
      </c>
      <c r="C311" t="inlineStr">
        <is>
          <t>R0059555</t>
        </is>
      </c>
      <c r="D311" t="inlineStr">
        <is>
          <t>2235 W 84TH AVE</t>
        </is>
      </c>
      <c r="E311" t="n">
        <v>353</v>
      </c>
      <c r="G311" t="inlineStr">
        <is>
          <t>4</t>
        </is>
      </c>
      <c r="H311" s="703">
        <f>Y311/J311</f>
        <v/>
      </c>
      <c r="I311" s="704" t="n">
        <v>43705</v>
      </c>
      <c r="J311" t="n">
        <v>3025</v>
      </c>
      <c r="L311" t="n">
        <v>3025</v>
      </c>
      <c r="M311" t="n">
        <v>1974</v>
      </c>
      <c r="P311" t="inlineStr">
        <is>
          <t>Residential</t>
        </is>
      </c>
      <c r="R311" t="inlineStr">
        <is>
          <t>Average</t>
        </is>
      </c>
      <c r="S311" t="n">
        <v>12100</v>
      </c>
      <c r="T311" s="119">
        <f>S311/J311</f>
        <v/>
      </c>
      <c r="U311" t="inlineStr">
        <is>
          <t>Average</t>
        </is>
      </c>
      <c r="Y311" t="n">
        <v>400000</v>
      </c>
      <c r="AA311" t="n">
        <v>400000</v>
      </c>
      <c r="AC311" t="inlineStr">
        <is>
          <t>0171928201008</t>
        </is>
      </c>
      <c r="AD311" t="inlineStr">
        <is>
          <t>2019000071392</t>
        </is>
      </c>
      <c r="AE311" s="575" t="inlineStr">
        <is>
          <t>WAFCO LTD</t>
        </is>
      </c>
      <c r="AF311" s="575" t="inlineStr">
        <is>
          <t>KUKU LLC</t>
        </is>
      </c>
      <c r="AI311" s="59">
        <f>IF(AND($E311=Subj_OccCode,Subj_BldgSF&gt;0,ABS($L311-Subj_BldgSF)&lt;=Subj_BldgSF*Subj_SizeTol),ABS($L311-Subj_BldgSF),NA())</f>
        <v/>
      </c>
      <c r="AJ311" s="93">
        <f>IF(ISNA(AI311),NA(),AI311+ROW()/10000000)</f>
        <v/>
      </c>
      <c r="AK311">
        <f>IF(AND(ISNUMBER($N311),$N311&gt;0,ISNUMBER($Y311)),$Y311/$N311,"")</f>
        <v/>
      </c>
      <c r="AL311" s="93" t="n"/>
      <c r="AM311" s="93" t="n"/>
      <c r="AN311" s="93" t="n"/>
    </row>
    <row r="312" ht="15" customHeight="1" s="518">
      <c r="A312" s="123" t="n">
        <v>8</v>
      </c>
      <c r="B312" s="59" t="n">
        <v>305</v>
      </c>
      <c r="C312" t="inlineStr">
        <is>
          <t>R0075329</t>
        </is>
      </c>
      <c r="D312" t="inlineStr">
        <is>
          <t>9685  BRIGHTON RD</t>
        </is>
      </c>
      <c r="E312" t="n">
        <v>325</v>
      </c>
      <c r="G312" t="inlineStr">
        <is>
          <t>5</t>
        </is>
      </c>
      <c r="H312" s="703">
        <f>Y312/J312</f>
        <v/>
      </c>
      <c r="I312" s="704" t="n">
        <v>43587</v>
      </c>
      <c r="J312" t="n">
        <v>9000</v>
      </c>
      <c r="L312" t="n">
        <v>9000</v>
      </c>
      <c r="M312" t="n">
        <v>1981</v>
      </c>
      <c r="R312" t="inlineStr">
        <is>
          <t>Average</t>
        </is>
      </c>
      <c r="S312" t="n">
        <v>30099.96</v>
      </c>
      <c r="T312" s="119">
        <f>S312/J312</f>
        <v/>
      </c>
      <c r="U312" t="inlineStr">
        <is>
          <t>Average</t>
        </is>
      </c>
      <c r="Y312" t="n">
        <v>1100000</v>
      </c>
      <c r="AA312" t="n">
        <v>1100000</v>
      </c>
      <c r="AC312" t="inlineStr">
        <is>
          <t>0172116000022</t>
        </is>
      </c>
      <c r="AD312" t="inlineStr">
        <is>
          <t>2019000032873</t>
        </is>
      </c>
      <c r="AE312" s="575" t="inlineStr">
        <is>
          <t>BURR JOANN L AND, GULLION CAROLYN KAY LIVING TRUST</t>
        </is>
      </c>
      <c r="AF312" s="575" t="inlineStr">
        <is>
          <t>9685 BRIGHTON LLC</t>
        </is>
      </c>
      <c r="AI312" s="59">
        <f>IF(AND($E312=Subj_OccCode,Subj_BldgSF&gt;0,ABS($L312-Subj_BldgSF)&lt;=Subj_BldgSF*Subj_SizeTol),ABS($L312-Subj_BldgSF),NA())</f>
        <v/>
      </c>
      <c r="AJ312" s="93">
        <f>IF(ISNA(AI312),NA(),AI312+ROW()/10000000)</f>
        <v/>
      </c>
      <c r="AK312">
        <f>IF(AND(ISNUMBER($N312),$N312&gt;0,ISNUMBER($Y312)),$Y312/$N312,"")</f>
        <v/>
      </c>
      <c r="AL312" s="93" t="n"/>
      <c r="AM312" s="93" t="n"/>
      <c r="AN312" s="93" t="n"/>
    </row>
    <row r="313" ht="15" customHeight="1" s="518">
      <c r="A313" s="123" t="n">
        <v>8</v>
      </c>
      <c r="B313" s="59" t="n">
        <v>306</v>
      </c>
      <c r="C313" t="inlineStr">
        <is>
          <t>R0002808</t>
        </is>
      </c>
      <c r="D313" t="inlineStr">
        <is>
          <t>123 N MAIN ST</t>
        </is>
      </c>
      <c r="E313" t="n">
        <v>353</v>
      </c>
      <c r="F313" t="inlineStr">
        <is>
          <t>BRIGHTON</t>
        </is>
      </c>
      <c r="G313" t="inlineStr">
        <is>
          <t>2</t>
        </is>
      </c>
      <c r="H313" s="703">
        <f>Y313/J313</f>
        <v/>
      </c>
      <c r="I313" s="704" t="n">
        <v>44176</v>
      </c>
      <c r="J313" t="n">
        <v>3900</v>
      </c>
      <c r="L313" t="n">
        <v>3900</v>
      </c>
      <c r="M313" t="n">
        <v>1897</v>
      </c>
      <c r="P313" t="inlineStr">
        <is>
          <t>DT</t>
        </is>
      </c>
      <c r="R313" t="inlineStr">
        <is>
          <t>Average</t>
        </is>
      </c>
      <c r="S313" t="n">
        <v>10000</v>
      </c>
      <c r="T313" s="119">
        <f>S313/J313</f>
        <v/>
      </c>
      <c r="U313" t="inlineStr">
        <is>
          <t>Good</t>
        </is>
      </c>
      <c r="Y313" t="n">
        <v>717000</v>
      </c>
      <c r="AA313" t="n">
        <v>717000</v>
      </c>
      <c r="AC313" t="inlineStr">
        <is>
          <t>0156906311007</t>
        </is>
      </c>
      <c r="AD313" t="inlineStr">
        <is>
          <t>2021000002489</t>
        </is>
      </c>
      <c r="AE313" s="575" t="inlineStr">
        <is>
          <t>HERR FAMILY LLC</t>
        </is>
      </c>
      <c r="AF313" s="575" t="inlineStr">
        <is>
          <t>123 N MAIN LLC</t>
        </is>
      </c>
      <c r="AI313" s="59">
        <f>IF(AND($E313=Subj_OccCode,Subj_BldgSF&gt;0,ABS($L313-Subj_BldgSF)&lt;=Subj_BldgSF*Subj_SizeTol),ABS($L313-Subj_BldgSF),NA())</f>
        <v/>
      </c>
      <c r="AJ313" s="93">
        <f>IF(ISNA(AI313),NA(),AI313+ROW()/10000000)</f>
        <v/>
      </c>
      <c r="AK313">
        <f>IF(AND(ISNUMBER($N313),$N313&gt;0,ISNUMBER($Y313)),$Y313/$N313,"")</f>
        <v/>
      </c>
      <c r="AL313" s="93" t="n"/>
      <c r="AM313" s="93" t="n"/>
      <c r="AN313" s="93" t="n"/>
    </row>
    <row r="314" ht="15" customHeight="1" s="518">
      <c r="A314" s="123" t="n">
        <v>8</v>
      </c>
      <c r="B314" s="59" t="n">
        <v>307</v>
      </c>
      <c r="C314" t="inlineStr">
        <is>
          <t>R0050977</t>
        </is>
      </c>
      <c r="D314" t="inlineStr">
        <is>
          <t>9351  GRANT ST</t>
        </is>
      </c>
      <c r="E314" t="n">
        <v>344</v>
      </c>
      <c r="F314" t="inlineStr">
        <is>
          <t>THORNTON</t>
        </is>
      </c>
      <c r="G314" t="inlineStr">
        <is>
          <t>4</t>
        </is>
      </c>
      <c r="H314" s="703">
        <f>Y314/J314</f>
        <v/>
      </c>
      <c r="I314" s="704" t="n">
        <v>43199</v>
      </c>
      <c r="J314" t="n">
        <v>96190</v>
      </c>
      <c r="L314" t="n">
        <v>96190</v>
      </c>
      <c r="M314" t="n">
        <v>1985</v>
      </c>
      <c r="P314" t="inlineStr">
        <is>
          <t>Thornton</t>
        </is>
      </c>
      <c r="R314" t="inlineStr">
        <is>
          <t>Good</t>
        </is>
      </c>
      <c r="S314" t="n">
        <v>49833</v>
      </c>
      <c r="T314" s="119">
        <f>S314/J314</f>
        <v/>
      </c>
      <c r="U314" t="inlineStr">
        <is>
          <t>Average</t>
        </is>
      </c>
      <c r="Y314" t="n">
        <v>9075000</v>
      </c>
      <c r="AA314" t="n">
        <v>9075000</v>
      </c>
      <c r="AC314" t="inlineStr">
        <is>
          <t>0171922102003</t>
        </is>
      </c>
      <c r="AD314" t="inlineStr">
        <is>
          <t>2018000028658</t>
        </is>
      </c>
      <c r="AE314" s="575" t="inlineStr">
        <is>
          <t>HORIZON TERRACE PACIFIC LTD</t>
        </is>
      </c>
      <c r="AF314" s="575" t="inlineStr">
        <is>
          <t>1641 CALIFORNIA LLC</t>
        </is>
      </c>
      <c r="AI314" s="59">
        <f>IF(AND($E314=Subj_OccCode,Subj_BldgSF&gt;0,ABS($L314-Subj_BldgSF)&lt;=Subj_BldgSF*Subj_SizeTol),ABS($L314-Subj_BldgSF),NA())</f>
        <v/>
      </c>
      <c r="AJ314" s="93">
        <f>IF(ISNA(AI314),NA(),AI314+ROW()/10000000)</f>
        <v/>
      </c>
      <c r="AK314">
        <f>IF(AND(ISNUMBER($N314),$N314&gt;0,ISNUMBER($Y314)),$Y314/$N314,"")</f>
        <v/>
      </c>
      <c r="AL314" s="93" t="n"/>
      <c r="AM314" s="93" t="n"/>
      <c r="AN314" s="93" t="n"/>
    </row>
    <row r="315" ht="15" customHeight="1" s="518">
      <c r="A315" s="123" t="n">
        <v>8</v>
      </c>
      <c r="B315" s="59" t="n">
        <v>308</v>
      </c>
      <c r="C315" t="inlineStr">
        <is>
          <t>R0002810</t>
        </is>
      </c>
      <c r="D315" t="inlineStr">
        <is>
          <t>119 N MAIN ST</t>
        </is>
      </c>
      <c r="E315" t="n">
        <v>353</v>
      </c>
      <c r="F315" t="inlineStr">
        <is>
          <t>BRIGHTON</t>
        </is>
      </c>
      <c r="G315" t="inlineStr">
        <is>
          <t>2</t>
        </is>
      </c>
      <c r="H315" s="703">
        <f>Y315/J315</f>
        <v/>
      </c>
      <c r="I315" s="704" t="n">
        <v>43892</v>
      </c>
      <c r="J315" t="n">
        <v>2160</v>
      </c>
      <c r="L315" t="n">
        <v>2160</v>
      </c>
      <c r="M315" t="n">
        <v>1926</v>
      </c>
      <c r="P315" t="inlineStr">
        <is>
          <t>DT</t>
        </is>
      </c>
      <c r="R315" t="inlineStr">
        <is>
          <t>Average</t>
        </is>
      </c>
      <c r="S315" t="n">
        <v>5125</v>
      </c>
      <c r="T315" s="119">
        <f>S315/J315</f>
        <v/>
      </c>
      <c r="U315" t="inlineStr">
        <is>
          <t>Average</t>
        </is>
      </c>
      <c r="Y315" t="n">
        <v>400000</v>
      </c>
      <c r="AA315" t="n">
        <v>400000</v>
      </c>
      <c r="AC315" t="inlineStr">
        <is>
          <t>0156906311009</t>
        </is>
      </c>
      <c r="AD315" t="inlineStr">
        <is>
          <t>2020000020537</t>
        </is>
      </c>
      <c r="AE315" s="575" t="inlineStr">
        <is>
          <t>DYCO HOLDINGS LLC</t>
        </is>
      </c>
      <c r="AF315" s="575" t="inlineStr">
        <is>
          <t>JOINT VENTURES LLC</t>
        </is>
      </c>
      <c r="AI315" s="59">
        <f>IF(AND($E315=Subj_OccCode,Subj_BldgSF&gt;0,ABS($L315-Subj_BldgSF)&lt;=Subj_BldgSF*Subj_SizeTol),ABS($L315-Subj_BldgSF),NA())</f>
        <v/>
      </c>
      <c r="AJ315" s="93">
        <f>IF(ISNA(AI315),NA(),AI315+ROW()/10000000)</f>
        <v/>
      </c>
      <c r="AK315">
        <f>IF(AND(ISNUMBER($N315),$N315&gt;0,ISNUMBER($Y315)),$Y315/$N315,"")</f>
        <v/>
      </c>
      <c r="AL315" s="93" t="n"/>
      <c r="AM315" s="93" t="n"/>
      <c r="AN315" s="93" t="n"/>
    </row>
    <row r="316" ht="15" customHeight="1" s="518">
      <c r="A316" s="123" t="n">
        <v>8</v>
      </c>
      <c r="B316" s="59" t="n">
        <v>309</v>
      </c>
      <c r="C316" t="inlineStr">
        <is>
          <t>R0001910</t>
        </is>
      </c>
      <c r="D316" t="inlineStr">
        <is>
          <t>1181  BRIDGE ST</t>
        </is>
      </c>
      <c r="E316" t="n">
        <v>100</v>
      </c>
      <c r="F316" t="inlineStr">
        <is>
          <t>BRIGHTON</t>
        </is>
      </c>
      <c r="G316" t="inlineStr">
        <is>
          <t>122</t>
        </is>
      </c>
      <c r="H316" s="703">
        <f>Y316/J316</f>
        <v/>
      </c>
      <c r="I316" s="704" t="n">
        <v>43637</v>
      </c>
      <c r="J316" t="n">
        <v>670</v>
      </c>
      <c r="L316" t="n">
        <v>670</v>
      </c>
      <c r="M316" t="n">
        <v>1949</v>
      </c>
      <c r="P316" t="inlineStr">
        <is>
          <t>C-2-Bri</t>
        </is>
      </c>
      <c r="R316" t="inlineStr">
        <is>
          <t>Average</t>
        </is>
      </c>
      <c r="S316" t="n">
        <v>6098</v>
      </c>
      <c r="T316" s="119">
        <f>S316/J316</f>
        <v/>
      </c>
      <c r="U316" t="inlineStr">
        <is>
          <t>Average</t>
        </is>
      </c>
      <c r="Y316" t="n">
        <v>249000</v>
      </c>
      <c r="AA316" t="n">
        <v>249000</v>
      </c>
      <c r="AC316" t="inlineStr">
        <is>
          <t>0156905300011</t>
        </is>
      </c>
      <c r="AD316" t="inlineStr">
        <is>
          <t>2019000049917</t>
        </is>
      </c>
      <c r="AE316" s="575" t="inlineStr">
        <is>
          <t>RAICHLE INTERESTS LLC</t>
        </is>
      </c>
      <c r="AF316" s="575" t="inlineStr">
        <is>
          <t>GREYSON HOLDINGS LLC</t>
        </is>
      </c>
      <c r="AI316" s="59">
        <f>IF(AND($E316=Subj_OccCode,Subj_BldgSF&gt;0,ABS($L316-Subj_BldgSF)&lt;=Subj_BldgSF*Subj_SizeTol),ABS($L316-Subj_BldgSF),NA())</f>
        <v/>
      </c>
      <c r="AJ316" s="93">
        <f>IF(ISNA(AI316),NA(),AI316+ROW()/10000000)</f>
        <v/>
      </c>
      <c r="AK316">
        <f>IF(AND(ISNUMBER($N316),$N316&gt;0,ISNUMBER($Y316)),$Y316/$N316,"")</f>
        <v/>
      </c>
      <c r="AL316" s="93" t="n"/>
      <c r="AM316" s="93" t="n"/>
      <c r="AN316" s="93" t="n"/>
    </row>
    <row r="317" ht="15" customHeight="1" s="518">
      <c r="A317" s="123" t="n">
        <v>8</v>
      </c>
      <c r="B317" s="59" t="n">
        <v>310</v>
      </c>
      <c r="C317" t="inlineStr">
        <is>
          <t>R0037128</t>
        </is>
      </c>
      <c r="D317" t="inlineStr">
        <is>
          <t>11166 HURON ST #28</t>
        </is>
      </c>
      <c r="E317" t="n">
        <v>344</v>
      </c>
      <c r="F317" t="inlineStr">
        <is>
          <t>NORTHGLENN</t>
        </is>
      </c>
      <c r="G317" t="inlineStr">
        <is>
          <t>4</t>
        </is>
      </c>
      <c r="H317" s="703">
        <f>Y317/J317</f>
        <v/>
      </c>
      <c r="I317" s="704" t="n">
        <v>43693</v>
      </c>
      <c r="J317" t="n">
        <v>1841</v>
      </c>
      <c r="L317" t="n">
        <v>1841</v>
      </c>
      <c r="M317" t="n">
        <v>1984</v>
      </c>
      <c r="P317" t="inlineStr">
        <is>
          <t>C-3-Nor</t>
        </is>
      </c>
      <c r="R317" t="inlineStr">
        <is>
          <t>Average</t>
        </is>
      </c>
      <c r="S317" t="n">
        <v>1118.78</v>
      </c>
      <c r="T317" s="119">
        <f>S317/J317</f>
        <v/>
      </c>
      <c r="U317" t="inlineStr">
        <is>
          <t>Average</t>
        </is>
      </c>
      <c r="Y317" t="n">
        <v>300000</v>
      </c>
      <c r="AA317" t="n">
        <v>300000</v>
      </c>
      <c r="AC317" t="inlineStr">
        <is>
          <t>0171910217028</t>
        </is>
      </c>
      <c r="AD317" t="inlineStr">
        <is>
          <t>2019000067076</t>
        </is>
      </c>
      <c r="AE317" s="575" t="inlineStr">
        <is>
          <t>MARTIN MICHAEL T AND, MARTIN BETH E</t>
        </is>
      </c>
      <c r="AF317" s="575" t="inlineStr">
        <is>
          <t>CHUONG KELLY</t>
        </is>
      </c>
      <c r="AI317" s="59">
        <f>IF(AND($E317=Subj_OccCode,Subj_BldgSF&gt;0,ABS($L317-Subj_BldgSF)&lt;=Subj_BldgSF*Subj_SizeTol),ABS($L317-Subj_BldgSF),NA())</f>
        <v/>
      </c>
      <c r="AJ317" s="93">
        <f>IF(ISNA(AI317),NA(),AI317+ROW()/10000000)</f>
        <v/>
      </c>
      <c r="AK317">
        <f>IF(AND(ISNUMBER($N317),$N317&gt;0,ISNUMBER($Y317)),$Y317/$N317,"")</f>
        <v/>
      </c>
      <c r="AL317" s="93" t="n"/>
      <c r="AM317" s="93" t="n"/>
      <c r="AN317" s="93" t="n"/>
    </row>
    <row r="318" ht="15" customHeight="1" s="518">
      <c r="A318" s="123" t="n">
        <v>8</v>
      </c>
      <c r="B318" s="59" t="n">
        <v>311</v>
      </c>
      <c r="C318" t="inlineStr">
        <is>
          <t>R0037129</t>
        </is>
      </c>
      <c r="D318" t="inlineStr">
        <is>
          <t>11166 HURON ST #29</t>
        </is>
      </c>
      <c r="E318" t="n">
        <v>344</v>
      </c>
      <c r="F318" t="inlineStr">
        <is>
          <t>NORTHGLENN</t>
        </is>
      </c>
      <c r="G318" t="inlineStr">
        <is>
          <t>4</t>
        </is>
      </c>
      <c r="H318" s="703">
        <f>Y318/J318</f>
        <v/>
      </c>
      <c r="I318" s="704" t="n">
        <v>44540</v>
      </c>
      <c r="J318" t="n">
        <v>1841</v>
      </c>
      <c r="L318" t="n">
        <v>1841</v>
      </c>
      <c r="M318" t="n">
        <v>1984</v>
      </c>
      <c r="P318" t="inlineStr">
        <is>
          <t>C-3-Nor</t>
        </is>
      </c>
      <c r="R318" t="inlineStr">
        <is>
          <t>Average</t>
        </is>
      </c>
      <c r="S318" t="n">
        <v>1118.78</v>
      </c>
      <c r="T318" s="119">
        <f>S318/J318</f>
        <v/>
      </c>
      <c r="U318" t="inlineStr">
        <is>
          <t>fair</t>
        </is>
      </c>
      <c r="Y318" t="n">
        <v>300000</v>
      </c>
      <c r="AA318" t="n">
        <v>300000</v>
      </c>
      <c r="AC318" t="inlineStr">
        <is>
          <t>0171910217029</t>
        </is>
      </c>
      <c r="AD318" t="inlineStr">
        <is>
          <t>2021000144383</t>
        </is>
      </c>
      <c r="AE318" s="575" t="inlineStr">
        <is>
          <t>LAMM DEVELOPMENTS LTD</t>
        </is>
      </c>
      <c r="AF318" s="575" t="inlineStr">
        <is>
          <t>BELLA IN YOU DAY SPA</t>
        </is>
      </c>
      <c r="AI318" s="59">
        <f>IF(AND($E318=Subj_OccCode,Subj_BldgSF&gt;0,ABS($L318-Subj_BldgSF)&lt;=Subj_BldgSF*Subj_SizeTol),ABS($L318-Subj_BldgSF),NA())</f>
        <v/>
      </c>
      <c r="AJ318" s="93">
        <f>IF(ISNA(AI318),NA(),AI318+ROW()/10000000)</f>
        <v/>
      </c>
      <c r="AK318">
        <f>IF(AND(ISNUMBER($N318),$N318&gt;0,ISNUMBER($Y318)),$Y318/$N318,"")</f>
        <v/>
      </c>
      <c r="AL318" s="93" t="n"/>
      <c r="AM318" s="93" t="n"/>
      <c r="AN318" s="93" t="n"/>
    </row>
    <row r="319" ht="15" customHeight="1" s="518">
      <c r="A319" s="123" t="n">
        <v>8</v>
      </c>
      <c r="B319" s="59" t="n">
        <v>312</v>
      </c>
      <c r="C319" t="inlineStr">
        <is>
          <t>R0095208</t>
        </is>
      </c>
      <c r="D319" t="inlineStr">
        <is>
          <t>10190  MONTVIEW BLVD</t>
        </is>
      </c>
      <c r="E319" t="n">
        <v>344</v>
      </c>
      <c r="F319" t="inlineStr">
        <is>
          <t>AURORA</t>
        </is>
      </c>
      <c r="G319" t="inlineStr">
        <is>
          <t>6</t>
        </is>
      </c>
      <c r="H319" s="703">
        <f>Y319/J319</f>
        <v/>
      </c>
      <c r="I319" s="704" t="n">
        <v>44740</v>
      </c>
      <c r="J319" t="n">
        <v>3668</v>
      </c>
      <c r="L319" t="n">
        <v>3668</v>
      </c>
      <c r="M319" t="n">
        <v>1962</v>
      </c>
      <c r="P319" t="inlineStr">
        <is>
          <t>OA-MS</t>
        </is>
      </c>
      <c r="R319" t="inlineStr">
        <is>
          <t>Average</t>
        </is>
      </c>
      <c r="S319" t="n">
        <v>15868</v>
      </c>
      <c r="T319" s="119">
        <f>S319/J319</f>
        <v/>
      </c>
      <c r="U319" t="inlineStr">
        <is>
          <t>Average</t>
        </is>
      </c>
      <c r="Y319" t="n">
        <v>2000000</v>
      </c>
      <c r="AA319" t="n">
        <v>2000000</v>
      </c>
      <c r="AC319" t="inlineStr">
        <is>
          <t>0182334404020</t>
        </is>
      </c>
      <c r="AD319" t="inlineStr">
        <is>
          <t>2022000057389</t>
        </is>
      </c>
      <c r="AE319" s="575" t="inlineStr">
        <is>
          <t>ONUOHA FRANCISCA I</t>
        </is>
      </c>
      <c r="AF319" s="575" t="inlineStr">
        <is>
          <t>MILE HIGH COUNCIL ON ALCOHOLISM AND DRUG ABUSE</t>
        </is>
      </c>
      <c r="AI319" s="59">
        <f>IF(AND($E319=Subj_OccCode,Subj_BldgSF&gt;0,ABS($L319-Subj_BldgSF)&lt;=Subj_BldgSF*Subj_SizeTol),ABS($L319-Subj_BldgSF),NA())</f>
        <v/>
      </c>
      <c r="AJ319" s="93">
        <f>IF(ISNA(AI319),NA(),AI319+ROW()/10000000)</f>
        <v/>
      </c>
      <c r="AK319">
        <f>IF(AND(ISNUMBER($N319),$N319&gt;0,ISNUMBER($Y319)),$Y319/$N319,"")</f>
        <v/>
      </c>
      <c r="AL319" s="93" t="n"/>
      <c r="AM319" s="93" t="n"/>
      <c r="AN319" s="93" t="n"/>
    </row>
    <row r="320" ht="15" customHeight="1" s="518">
      <c r="A320" s="123" t="n">
        <v>8</v>
      </c>
      <c r="B320" s="59" t="n">
        <v>313</v>
      </c>
      <c r="C320" t="inlineStr">
        <is>
          <t>R0100831</t>
        </is>
      </c>
      <c r="D320" t="inlineStr">
        <is>
          <t>3698 W 72ND AVE</t>
        </is>
      </c>
      <c r="E320" t="n">
        <v>325</v>
      </c>
      <c r="F320" t="inlineStr">
        <is>
          <t>WESTMINSTER</t>
        </is>
      </c>
      <c r="G320" t="inlineStr">
        <is>
          <t>4</t>
        </is>
      </c>
      <c r="H320" s="703">
        <f>Y320/J320</f>
        <v/>
      </c>
      <c r="I320" s="704" t="n">
        <v>44355</v>
      </c>
      <c r="J320" t="n">
        <v>7597</v>
      </c>
      <c r="L320" t="n">
        <v>7597</v>
      </c>
      <c r="M320" t="n">
        <v>1926</v>
      </c>
      <c r="P320" t="inlineStr">
        <is>
          <t>C-1-Wes</t>
        </is>
      </c>
      <c r="R320" t="inlineStr">
        <is>
          <t>Average</t>
        </is>
      </c>
      <c r="S320" t="n">
        <v>21780</v>
      </c>
      <c r="T320" s="119">
        <f>S320/J320</f>
        <v/>
      </c>
      <c r="U320" t="inlineStr">
        <is>
          <t>Average</t>
        </is>
      </c>
      <c r="Y320" t="n">
        <v>800000</v>
      </c>
      <c r="AA320" t="n">
        <v>800000</v>
      </c>
      <c r="AC320" t="inlineStr">
        <is>
          <t>0182506100012</t>
        </is>
      </c>
      <c r="AD320" t="inlineStr">
        <is>
          <t>2021000069334</t>
        </is>
      </c>
      <c r="AE320" s="575" t="inlineStr">
        <is>
          <t>ANDERSON SHYRLEE F</t>
        </is>
      </c>
      <c r="AF320" s="575" t="inlineStr">
        <is>
          <t>RELAY HILL C LLC</t>
        </is>
      </c>
      <c r="AI320" s="59">
        <f>IF(AND($E320=Subj_OccCode,Subj_BldgSF&gt;0,ABS($L320-Subj_BldgSF)&lt;=Subj_BldgSF*Subj_SizeTol),ABS($L320-Subj_BldgSF),NA())</f>
        <v/>
      </c>
      <c r="AJ320" s="93">
        <f>IF(ISNA(AI320),NA(),AI320+ROW()/10000000)</f>
        <v/>
      </c>
      <c r="AK320">
        <f>IF(AND(ISNUMBER($N320),$N320&gt;0,ISNUMBER($Y320)),$Y320/$N320,"")</f>
        <v/>
      </c>
      <c r="AL320" s="93" t="n"/>
      <c r="AM320" s="93" t="n"/>
      <c r="AN320" s="93" t="n"/>
    </row>
    <row r="321" ht="15" customHeight="1" s="518">
      <c r="A321" s="123" t="n">
        <v>8</v>
      </c>
      <c r="B321" s="59" t="n">
        <v>314</v>
      </c>
      <c r="C321" t="inlineStr">
        <is>
          <t>R0100901</t>
        </is>
      </c>
      <c r="D321" t="inlineStr">
        <is>
          <t>7155  NEWTON ST</t>
        </is>
      </c>
      <c r="E321" t="n">
        <v>406</v>
      </c>
      <c r="F321" t="inlineStr">
        <is>
          <t>WESTMINSTER</t>
        </is>
      </c>
      <c r="G321" t="inlineStr">
        <is>
          <t>4</t>
        </is>
      </c>
      <c r="H321" s="703">
        <f>Y321/J321</f>
        <v/>
      </c>
      <c r="I321" s="704" t="n">
        <v>43238</v>
      </c>
      <c r="J321" t="n">
        <v>7720</v>
      </c>
      <c r="L321" t="n">
        <v>7720</v>
      </c>
      <c r="M321" t="n">
        <v>1972</v>
      </c>
      <c r="P321" t="inlineStr">
        <is>
          <t>Westminster</t>
        </is>
      </c>
      <c r="R321" t="inlineStr">
        <is>
          <t>Average</t>
        </is>
      </c>
      <c r="S321" t="n">
        <v>15500</v>
      </c>
      <c r="T321" s="119">
        <f>S321/J321</f>
        <v/>
      </c>
      <c r="U321" t="inlineStr">
        <is>
          <t>Average</t>
        </is>
      </c>
      <c r="Y321" t="n">
        <v>950000</v>
      </c>
      <c r="AA321" t="n">
        <v>950000</v>
      </c>
      <c r="AC321" t="inlineStr">
        <is>
          <t>0182506108003</t>
        </is>
      </c>
      <c r="AD321" t="inlineStr">
        <is>
          <t>2018000040742</t>
        </is>
      </c>
      <c r="AE321" s="575" t="inlineStr">
        <is>
          <t>MEYER ROBERT CARL JR LIVING TRUST 50% , MEYER ROBIN LEE LIVING TRUST 50% INT</t>
        </is>
      </c>
      <c r="AF321" s="575" t="inlineStr">
        <is>
          <t>RMER PROPERTIES LLC</t>
        </is>
      </c>
      <c r="AI321" s="59">
        <f>IF(AND($E321=Subj_OccCode,Subj_BldgSF&gt;0,ABS($L321-Subj_BldgSF)&lt;=Subj_BldgSF*Subj_SizeTol),ABS($L321-Subj_BldgSF),NA())</f>
        <v/>
      </c>
      <c r="AJ321" s="93">
        <f>IF(ISNA(AI321),NA(),AI321+ROW()/10000000)</f>
        <v/>
      </c>
      <c r="AK321">
        <f>IF(AND(ISNUMBER($N321),$N321&gt;0,ISNUMBER($Y321)),$Y321/$N321,"")</f>
        <v/>
      </c>
      <c r="AL321" s="93" t="n"/>
      <c r="AM321" s="93" t="n"/>
      <c r="AN321" s="93" t="n"/>
    </row>
    <row r="322" ht="15" customHeight="1" s="518">
      <c r="A322" s="123" t="n">
        <v>8</v>
      </c>
      <c r="B322" s="59" t="n">
        <v>315</v>
      </c>
      <c r="C322" t="inlineStr">
        <is>
          <t>R0113852</t>
        </is>
      </c>
      <c r="D322" t="inlineStr">
        <is>
          <t>70 S 20TH AVE</t>
        </is>
      </c>
      <c r="E322" t="n">
        <v>341</v>
      </c>
      <c r="F322" t="inlineStr">
        <is>
          <t>BRIGHTON</t>
        </is>
      </c>
      <c r="G322" t="inlineStr">
        <is>
          <t>2</t>
        </is>
      </c>
      <c r="H322" s="703">
        <f>Y322/J322</f>
        <v/>
      </c>
      <c r="I322" s="704" t="n">
        <v>44602</v>
      </c>
      <c r="J322" t="n">
        <v>5776</v>
      </c>
      <c r="L322" t="n">
        <v>5776</v>
      </c>
      <c r="M322" t="n">
        <v>1986</v>
      </c>
      <c r="P322" t="inlineStr">
        <is>
          <t>C-2-Bri</t>
        </is>
      </c>
      <c r="R322" t="inlineStr">
        <is>
          <t>Average</t>
        </is>
      </c>
      <c r="S322" t="n">
        <v>23314</v>
      </c>
      <c r="T322" s="119">
        <f>S322/J322</f>
        <v/>
      </c>
      <c r="U322" t="inlineStr">
        <is>
          <t>Average</t>
        </is>
      </c>
      <c r="Y322" t="n">
        <v>1300000</v>
      </c>
      <c r="AA322" t="n">
        <v>1300000</v>
      </c>
      <c r="AC322" t="inlineStr">
        <is>
          <t>0156908120007</t>
        </is>
      </c>
      <c r="AD322" t="inlineStr">
        <is>
          <t>2022000013254</t>
        </is>
      </c>
      <c r="AE322" s="575" t="inlineStr">
        <is>
          <t>JOHNSON WARREN T.</t>
        </is>
      </c>
      <c r="AF322" s="575" t="inlineStr">
        <is>
          <t>BUNGALOW VENTURES LLC</t>
        </is>
      </c>
      <c r="AI322" s="59">
        <f>IF(AND($E322=Subj_OccCode,Subj_BldgSF&gt;0,ABS($L322-Subj_BldgSF)&lt;=Subj_BldgSF*Subj_SizeTol),ABS($L322-Subj_BldgSF),NA())</f>
        <v/>
      </c>
      <c r="AJ322" s="93">
        <f>IF(ISNA(AI322),NA(),AI322+ROW()/10000000)</f>
        <v/>
      </c>
      <c r="AK322">
        <f>IF(AND(ISNUMBER($N322),$N322&gt;0,ISNUMBER($Y322)),$Y322/$N322,"")</f>
        <v/>
      </c>
      <c r="AL322" s="93" t="n"/>
      <c r="AM322" s="93" t="n"/>
      <c r="AN322" s="93" t="n"/>
    </row>
    <row r="323" ht="15" customHeight="1" s="518">
      <c r="A323" s="123" t="n">
        <v>8</v>
      </c>
      <c r="B323" s="59" t="n">
        <v>316</v>
      </c>
      <c r="C323" t="inlineStr">
        <is>
          <t>R0119529</t>
        </is>
      </c>
      <c r="D323" t="inlineStr">
        <is>
          <t>4950 E 56TH AVE</t>
        </is>
      </c>
      <c r="E323" t="n">
        <v>325</v>
      </c>
      <c r="F323" t="inlineStr">
        <is>
          <t>COMMERCE CITY</t>
        </is>
      </c>
      <c r="G323" t="inlineStr">
        <is>
          <t>5</t>
        </is>
      </c>
      <c r="H323" s="703">
        <f>Y323/J323</f>
        <v/>
      </c>
      <c r="I323" s="704" t="n">
        <v>43655</v>
      </c>
      <c r="J323" t="n">
        <v>5000</v>
      </c>
      <c r="L323" t="n">
        <v>5000</v>
      </c>
      <c r="M323" t="n">
        <v>2006</v>
      </c>
      <c r="P323" t="inlineStr">
        <is>
          <t>Commerce City</t>
        </is>
      </c>
      <c r="R323" t="inlineStr">
        <is>
          <t>Average</t>
        </is>
      </c>
      <c r="S323" t="n">
        <v>36111.24</v>
      </c>
      <c r="T323" s="119">
        <f>S323/J323</f>
        <v/>
      </c>
      <c r="U323" t="inlineStr">
        <is>
          <t>Average</t>
        </is>
      </c>
      <c r="Y323" t="n">
        <v>1350000</v>
      </c>
      <c r="AA323" t="n">
        <v>1350000</v>
      </c>
      <c r="AC323" t="inlineStr">
        <is>
          <t>0182318100096</t>
        </is>
      </c>
      <c r="AD323" t="inlineStr">
        <is>
          <t>2019000053682</t>
        </is>
      </c>
      <c r="AE323" s="575" t="inlineStr">
        <is>
          <t>TITCO LLC</t>
        </is>
      </c>
      <c r="AF323" s="575" t="inlineStr">
        <is>
          <t>4950 E 56TH AVE LLC</t>
        </is>
      </c>
      <c r="AI323" s="59">
        <f>IF(AND($E323=Subj_OccCode,Subj_BldgSF&gt;0,ABS($L323-Subj_BldgSF)&lt;=Subj_BldgSF*Subj_SizeTol),ABS($L323-Subj_BldgSF),NA())</f>
        <v/>
      </c>
      <c r="AJ323" s="93">
        <f>IF(ISNA(AI323),NA(),AI323+ROW()/10000000)</f>
        <v/>
      </c>
      <c r="AK323">
        <f>IF(AND(ISNUMBER($N323),$N323&gt;0,ISNUMBER($Y323)),$Y323/$N323,"")</f>
        <v/>
      </c>
      <c r="AL323" s="93" t="n"/>
      <c r="AM323" s="93" t="n"/>
      <c r="AN323" s="93" t="n"/>
    </row>
    <row r="324" ht="15" customHeight="1" s="518">
      <c r="A324" s="123" t="n">
        <v>8</v>
      </c>
      <c r="B324" s="59" t="n">
        <v>317</v>
      </c>
      <c r="C324" t="inlineStr">
        <is>
          <t>R0025233</t>
        </is>
      </c>
      <c r="D324" t="inlineStr">
        <is>
          <t>12590 N 1ST ST</t>
        </is>
      </c>
      <c r="E324" t="n">
        <v>325</v>
      </c>
      <c r="F324" t="inlineStr">
        <is>
          <t>THORNTON</t>
        </is>
      </c>
      <c r="G324" t="inlineStr">
        <is>
          <t>3</t>
        </is>
      </c>
      <c r="H324" s="703">
        <f>Y324/J324</f>
        <v/>
      </c>
      <c r="I324" s="704" t="n">
        <v>44742</v>
      </c>
      <c r="J324" t="n">
        <v>3200</v>
      </c>
      <c r="L324" t="n">
        <v>3200</v>
      </c>
      <c r="M324" t="n">
        <v>1973</v>
      </c>
      <c r="P324" t="inlineStr">
        <is>
          <t>Eastlake Services</t>
        </is>
      </c>
      <c r="R324" t="inlineStr">
        <is>
          <t>Average</t>
        </is>
      </c>
      <c r="S324" t="n">
        <v>15625</v>
      </c>
      <c r="T324" s="119">
        <f>S324/J324</f>
        <v/>
      </c>
      <c r="U324" t="inlineStr">
        <is>
          <t>Average</t>
        </is>
      </c>
      <c r="Y324" t="n">
        <v>1595000</v>
      </c>
      <c r="AA324" t="n">
        <v>1595000</v>
      </c>
      <c r="AC324" t="inlineStr">
        <is>
          <t>0157335103020</t>
        </is>
      </c>
      <c r="AD324" t="inlineStr">
        <is>
          <t>2022000058314</t>
        </is>
      </c>
      <c r="AE324" s="575" t="inlineStr">
        <is>
          <t>CHAMBERLAIN MARK A AND TAMMY D</t>
        </is>
      </c>
      <c r="AF324" s="575" t="inlineStr">
        <is>
          <t>A&amp;C AUTOWORKS INC</t>
        </is>
      </c>
      <c r="AI324" s="59">
        <f>IF(AND($E324=Subj_OccCode,Subj_BldgSF&gt;0,ABS($L324-Subj_BldgSF)&lt;=Subj_BldgSF*Subj_SizeTol),ABS($L324-Subj_BldgSF),NA())</f>
        <v/>
      </c>
      <c r="AJ324" s="93">
        <f>IF(ISNA(AI324),NA(),AI324+ROW()/10000000)</f>
        <v/>
      </c>
      <c r="AK324">
        <f>IF(AND(ISNUMBER($N324),$N324&gt;0,ISNUMBER($Y324)),$Y324/$N324,"")</f>
        <v/>
      </c>
      <c r="AL324" s="93" t="n"/>
      <c r="AM324" s="93" t="n"/>
      <c r="AN324" s="93" t="n"/>
    </row>
    <row r="325" ht="15" customHeight="1" s="518">
      <c r="A325" s="123" t="n">
        <v>8</v>
      </c>
      <c r="B325" s="59" t="n">
        <v>318</v>
      </c>
      <c r="C325" t="inlineStr">
        <is>
          <t>R0059106</t>
        </is>
      </c>
      <c r="D325" t="inlineStr">
        <is>
          <t>680 E 84TH AVE</t>
        </is>
      </c>
      <c r="E325" t="n">
        <v>419</v>
      </c>
      <c r="F325" t="inlineStr">
        <is>
          <t>THORNTON</t>
        </is>
      </c>
      <c r="G325" t="inlineStr">
        <is>
          <t>4</t>
        </is>
      </c>
      <c r="H325" s="703">
        <f>Y325/J325</f>
        <v/>
      </c>
      <c r="I325" s="704" t="n">
        <v>44586</v>
      </c>
      <c r="J325" t="n">
        <v>1849</v>
      </c>
      <c r="L325" t="n">
        <v>1849</v>
      </c>
      <c r="M325" t="n">
        <v>1990</v>
      </c>
      <c r="P325" t="inlineStr">
        <is>
          <t>Regional Commercial</t>
        </is>
      </c>
      <c r="R325" t="inlineStr">
        <is>
          <t>Average</t>
        </is>
      </c>
      <c r="S325" t="n">
        <v>29962</v>
      </c>
      <c r="T325" s="119">
        <f>S325/J325</f>
        <v/>
      </c>
      <c r="U325" t="inlineStr">
        <is>
          <t>Average</t>
        </is>
      </c>
      <c r="Y325" t="n">
        <v>2400000</v>
      </c>
      <c r="AA325" t="n">
        <v>2400000</v>
      </c>
      <c r="AC325" t="inlineStr">
        <is>
          <t>0171927418001</t>
        </is>
      </c>
      <c r="AD325" t="inlineStr">
        <is>
          <t>2022000008336</t>
        </is>
      </c>
      <c r="AE325" s="575" t="inlineStr">
        <is>
          <t>TEKLEZGHI MEHARENA AND, ATSEBAHA SABA YEMESGEN</t>
        </is>
      </c>
      <c r="AF325" s="575" t="inlineStr">
        <is>
          <t>Z &amp; T LLC</t>
        </is>
      </c>
      <c r="AI325" s="59">
        <f>IF(AND($E325=Subj_OccCode,Subj_BldgSF&gt;0,ABS($L325-Subj_BldgSF)&lt;=Subj_BldgSF*Subj_SizeTol),ABS($L325-Subj_BldgSF),NA())</f>
        <v/>
      </c>
      <c r="AJ325" s="93">
        <f>IF(ISNA(AI325),NA(),AI325+ROW()/10000000)</f>
        <v/>
      </c>
      <c r="AK325">
        <f>IF(AND(ISNUMBER($N325),$N325&gt;0,ISNUMBER($Y325)),$Y325/$N325,"")</f>
        <v/>
      </c>
      <c r="AL325" s="93" t="n"/>
      <c r="AM325" s="93" t="n"/>
      <c r="AN325" s="93" t="n"/>
    </row>
    <row r="326" ht="15" customHeight="1" s="518">
      <c r="A326" s="123" t="n">
        <v>8</v>
      </c>
      <c r="B326" s="59" t="n">
        <v>319</v>
      </c>
      <c r="C326" t="inlineStr">
        <is>
          <t>R0050044</t>
        </is>
      </c>
      <c r="D326" t="inlineStr">
        <is>
          <t>9170  FEDERAL BLVD</t>
        </is>
      </c>
      <c r="E326" t="n">
        <v>350</v>
      </c>
      <c r="F326" t="inlineStr">
        <is>
          <t>FEDERAL HEIGHTS</t>
        </is>
      </c>
      <c r="G326" t="inlineStr">
        <is>
          <t>4</t>
        </is>
      </c>
      <c r="H326" s="703">
        <f>Y326/J326</f>
        <v/>
      </c>
      <c r="I326" s="704" t="n">
        <v>43558</v>
      </c>
      <c r="J326" t="n">
        <v>720</v>
      </c>
      <c r="L326" t="n">
        <v>720</v>
      </c>
      <c r="M326" t="n">
        <v>1968</v>
      </c>
      <c r="P326" t="inlineStr">
        <is>
          <t>Federal Heights</t>
        </is>
      </c>
      <c r="R326" t="inlineStr">
        <is>
          <t>Average</t>
        </is>
      </c>
      <c r="S326" t="n">
        <v>7565</v>
      </c>
      <c r="T326" s="119">
        <f>S326/J326</f>
        <v/>
      </c>
      <c r="U326" t="inlineStr">
        <is>
          <t>Average</t>
        </is>
      </c>
      <c r="Y326" t="n">
        <v>369000</v>
      </c>
      <c r="AA326" t="n">
        <v>369000</v>
      </c>
      <c r="AC326" t="inlineStr">
        <is>
          <t>0171920401004</t>
        </is>
      </c>
      <c r="AD326" t="inlineStr">
        <is>
          <t>2019000024357</t>
        </is>
      </c>
      <c r="AE326" s="575" t="inlineStr">
        <is>
          <t>COLOROSO FAMILY PARTNERSHIP I LTD</t>
        </is>
      </c>
      <c r="AF326" s="575" t="inlineStr">
        <is>
          <t>ZHENG BIAO AND, YUAN JIN RONG</t>
        </is>
      </c>
      <c r="AI326" s="59">
        <f>IF(AND($E326=Subj_OccCode,Subj_BldgSF&gt;0,ABS($L326-Subj_BldgSF)&lt;=Subj_BldgSF*Subj_SizeTol),ABS($L326-Subj_BldgSF),NA())</f>
        <v/>
      </c>
      <c r="AJ326" s="93">
        <f>IF(ISNA(AI326),NA(),AI326+ROW()/10000000)</f>
        <v/>
      </c>
      <c r="AK326">
        <f>IF(AND(ISNUMBER($N326),$N326&gt;0,ISNUMBER($Y326)),$Y326/$N326,"")</f>
        <v/>
      </c>
      <c r="AL326" s="93" t="n"/>
      <c r="AM326" s="93" t="n"/>
      <c r="AN326" s="93" t="n"/>
    </row>
    <row r="327" ht="15" customHeight="1" s="518">
      <c r="A327" s="123" t="n">
        <v>8</v>
      </c>
      <c r="B327" s="59" t="n">
        <v>320</v>
      </c>
      <c r="C327" t="inlineStr">
        <is>
          <t>R0005773</t>
        </is>
      </c>
      <c r="D327" t="inlineStr">
        <is>
          <t>1300  BRIDGE ST</t>
        </is>
      </c>
      <c r="E327" t="n">
        <v>344</v>
      </c>
      <c r="F327" t="inlineStr">
        <is>
          <t>BRIGHTON</t>
        </is>
      </c>
      <c r="G327" t="inlineStr">
        <is>
          <t>2</t>
        </is>
      </c>
      <c r="H327" s="703">
        <f>Y327/J327</f>
        <v/>
      </c>
      <c r="I327" s="704" t="n">
        <v>44438</v>
      </c>
      <c r="J327" t="n">
        <v>2547</v>
      </c>
      <c r="L327" t="n">
        <v>2547</v>
      </c>
      <c r="M327" t="n">
        <v>1954</v>
      </c>
      <c r="P327" t="inlineStr">
        <is>
          <t>C-O</t>
        </is>
      </c>
      <c r="R327" t="inlineStr">
        <is>
          <t>Average</t>
        </is>
      </c>
      <c r="S327" t="n">
        <v>11000</v>
      </c>
      <c r="T327" s="119">
        <f>S327/J327</f>
        <v/>
      </c>
      <c r="U327" t="inlineStr">
        <is>
          <t>Good</t>
        </is>
      </c>
      <c r="Y327" t="n">
        <v>505000</v>
      </c>
      <c r="AA327" t="n">
        <v>505000</v>
      </c>
      <c r="AC327" t="inlineStr">
        <is>
          <t>0156908203001</t>
        </is>
      </c>
      <c r="AD327" t="inlineStr">
        <is>
          <t>2021000103730</t>
        </is>
      </c>
      <c r="AE327" s="575" t="inlineStr">
        <is>
          <t>ZIMIK KHACHUNGLA</t>
        </is>
      </c>
      <c r="AF327" s="575" t="inlineStr">
        <is>
          <t>ONE FACIAL AESTHETICS &amp; SPA LLC</t>
        </is>
      </c>
      <c r="AI327" s="59">
        <f>IF(AND($E327=Subj_OccCode,Subj_BldgSF&gt;0,ABS($L327-Subj_BldgSF)&lt;=Subj_BldgSF*Subj_SizeTol),ABS($L327-Subj_BldgSF),NA())</f>
        <v/>
      </c>
      <c r="AJ327" s="93">
        <f>IF(ISNA(AI327),NA(),AI327+ROW()/10000000)</f>
        <v/>
      </c>
      <c r="AK327">
        <f>IF(AND(ISNUMBER($N327),$N327&gt;0,ISNUMBER($Y327)),$Y327/$N327,"")</f>
        <v/>
      </c>
      <c r="AL327" s="93" t="n"/>
      <c r="AM327" s="93" t="n"/>
      <c r="AN327" s="93" t="n"/>
    </row>
    <row r="328" ht="15" customHeight="1" s="518">
      <c r="A328" s="123" t="n">
        <v>8</v>
      </c>
      <c r="B328" s="59" t="n">
        <v>321</v>
      </c>
      <c r="C328" t="inlineStr">
        <is>
          <t>R0035891</t>
        </is>
      </c>
      <c r="D328" t="inlineStr">
        <is>
          <t>1470  ROSEANNA DR</t>
        </is>
      </c>
      <c r="E328" t="n">
        <v>325</v>
      </c>
      <c r="F328" t="inlineStr">
        <is>
          <t>NORTHGLENN</t>
        </is>
      </c>
      <c r="G328" t="inlineStr">
        <is>
          <t>4</t>
        </is>
      </c>
      <c r="H328" s="703">
        <f>Y328/J328</f>
        <v/>
      </c>
      <c r="I328" s="704" t="n">
        <v>44483</v>
      </c>
      <c r="J328" t="n">
        <v>1152</v>
      </c>
      <c r="L328" t="n">
        <v>1152</v>
      </c>
      <c r="M328" t="n">
        <v>1963</v>
      </c>
      <c r="P328" t="inlineStr">
        <is>
          <t>R-1-B-Nor</t>
        </is>
      </c>
      <c r="R328" t="inlineStr">
        <is>
          <t>Average</t>
        </is>
      </c>
      <c r="S328" t="n">
        <v>24678</v>
      </c>
      <c r="T328" s="119">
        <f>S328/J328</f>
        <v/>
      </c>
      <c r="U328" t="inlineStr">
        <is>
          <t>Average</t>
        </is>
      </c>
      <c r="Y328" t="n">
        <v>325000</v>
      </c>
      <c r="AA328" t="n">
        <v>325000</v>
      </c>
      <c r="AC328" t="inlineStr">
        <is>
          <t>0171909407004</t>
        </is>
      </c>
      <c r="AD328" t="inlineStr">
        <is>
          <t>2021000122847</t>
        </is>
      </c>
      <c r="AE328" s="575" t="inlineStr">
        <is>
          <t>GROTHENDICK DANIEL M</t>
        </is>
      </c>
      <c r="AF328" s="575" t="inlineStr">
        <is>
          <t>LOPEZ RODNEY KENT</t>
        </is>
      </c>
      <c r="AI328" s="59">
        <f>IF(AND($E328=Subj_OccCode,Subj_BldgSF&gt;0,ABS($L328-Subj_BldgSF)&lt;=Subj_BldgSF*Subj_SizeTol),ABS($L328-Subj_BldgSF),NA())</f>
        <v/>
      </c>
      <c r="AJ328" s="93">
        <f>IF(ISNA(AI328),NA(),AI328+ROW()/10000000)</f>
        <v/>
      </c>
      <c r="AK328">
        <f>IF(AND(ISNUMBER($N328),$N328&gt;0,ISNUMBER($Y328)),$Y328/$N328,"")</f>
        <v/>
      </c>
      <c r="AL328" s="93" t="n"/>
      <c r="AM328" s="93" t="n"/>
      <c r="AN328" s="93" t="n"/>
    </row>
    <row r="329" ht="15" customHeight="1" s="518">
      <c r="A329" s="123" t="n">
        <v>8</v>
      </c>
      <c r="B329" s="59" t="n">
        <v>322</v>
      </c>
      <c r="C329" t="inlineStr">
        <is>
          <t>R0008948</t>
        </is>
      </c>
      <c r="D329" t="inlineStr">
        <is>
          <t>404  BROMLEY LN</t>
        </is>
      </c>
      <c r="E329" t="n">
        <v>423</v>
      </c>
      <c r="F329" t="inlineStr">
        <is>
          <t>BRIGHTON</t>
        </is>
      </c>
      <c r="G329" t="inlineStr">
        <is>
          <t>2</t>
        </is>
      </c>
      <c r="H329" s="703">
        <f>Y329/J329</f>
        <v/>
      </c>
      <c r="I329" s="704" t="n">
        <v>43472</v>
      </c>
      <c r="J329" t="n">
        <v>1882</v>
      </c>
      <c r="L329" t="n">
        <v>1882</v>
      </c>
      <c r="M329" t="n">
        <v>1994</v>
      </c>
      <c r="P329" t="inlineStr">
        <is>
          <t>Brighton</t>
        </is>
      </c>
      <c r="R329" t="inlineStr">
        <is>
          <t>Average</t>
        </is>
      </c>
      <c r="S329" t="n">
        <v>16650</v>
      </c>
      <c r="T329" s="119">
        <f>S329/J329</f>
        <v/>
      </c>
      <c r="U329" t="inlineStr">
        <is>
          <t>Average</t>
        </is>
      </c>
      <c r="Y329" t="n">
        <v>1430300</v>
      </c>
      <c r="AA329" t="n">
        <v>1430300</v>
      </c>
      <c r="AC329" t="inlineStr">
        <is>
          <t>0157113008006</t>
        </is>
      </c>
      <c r="AD329" t="inlineStr">
        <is>
          <t>2019000002027</t>
        </is>
      </c>
      <c r="AE329" s="575" t="inlineStr">
        <is>
          <t>RPM PROPERTIES RLLLP</t>
        </is>
      </c>
      <c r="AF329" s="575" t="inlineStr">
        <is>
          <t>SCF RC FUNDING IV LLC</t>
        </is>
      </c>
      <c r="AI329" s="59">
        <f>IF(AND($E329=Subj_OccCode,Subj_BldgSF&gt;0,ABS($L329-Subj_BldgSF)&lt;=Subj_BldgSF*Subj_SizeTol),ABS($L329-Subj_BldgSF),NA())</f>
        <v/>
      </c>
      <c r="AJ329" s="93">
        <f>IF(ISNA(AI329),NA(),AI329+ROW()/10000000)</f>
        <v/>
      </c>
      <c r="AK329">
        <f>IF(AND(ISNUMBER($N329),$N329&gt;0,ISNUMBER($Y329)),$Y329/$N329,"")</f>
        <v/>
      </c>
      <c r="AL329" s="93" t="n"/>
      <c r="AM329" s="93" t="n"/>
      <c r="AN329" s="93" t="n"/>
    </row>
    <row r="330" ht="15" customHeight="1" s="518">
      <c r="A330" s="123" t="n">
        <v>8</v>
      </c>
      <c r="B330" s="59" t="n">
        <v>323</v>
      </c>
      <c r="C330" t="inlineStr">
        <is>
          <t>R0100554</t>
        </is>
      </c>
      <c r="D330" t="inlineStr">
        <is>
          <t>6455  FEDERAL BLVD</t>
        </is>
      </c>
      <c r="E330" t="n">
        <v>343</v>
      </c>
      <c r="G330" t="inlineStr">
        <is>
          <t>5</t>
        </is>
      </c>
      <c r="H330" s="703">
        <f>Y330/J330</f>
        <v/>
      </c>
      <c r="I330" s="704" t="n">
        <v>44483</v>
      </c>
      <c r="J330" t="n">
        <v>3093</v>
      </c>
      <c r="L330" t="n">
        <v>3093</v>
      </c>
      <c r="M330" t="n">
        <v>1946</v>
      </c>
      <c r="P330" t="inlineStr">
        <is>
          <t>Commercial</t>
        </is>
      </c>
      <c r="R330" t="inlineStr">
        <is>
          <t>Low</t>
        </is>
      </c>
      <c r="S330" t="n">
        <v>11520</v>
      </c>
      <c r="T330" s="119">
        <f>S330/J330</f>
        <v/>
      </c>
      <c r="U330" t="inlineStr">
        <is>
          <t>Average</t>
        </is>
      </c>
      <c r="Y330" t="n">
        <v>540000</v>
      </c>
      <c r="AA330" t="n">
        <v>540000</v>
      </c>
      <c r="AC330" t="inlineStr">
        <is>
          <t>0182505321021</t>
        </is>
      </c>
      <c r="AD330" t="inlineStr">
        <is>
          <t>2021000125202</t>
        </is>
      </c>
      <c r="AE330" s="575" t="inlineStr">
        <is>
          <t>SUNRISE COTTAGES LLC</t>
        </is>
      </c>
      <c r="AF330" s="575" t="inlineStr">
        <is>
          <t>DENVER CASITAS LLC</t>
        </is>
      </c>
      <c r="AI330" s="59">
        <f>IF(AND($E330=Subj_OccCode,Subj_BldgSF&gt;0,ABS($L330-Subj_BldgSF)&lt;=Subj_BldgSF*Subj_SizeTol),ABS($L330-Subj_BldgSF),NA())</f>
        <v/>
      </c>
      <c r="AJ330" s="93">
        <f>IF(ISNA(AI330),NA(),AI330+ROW()/10000000)</f>
        <v/>
      </c>
      <c r="AK330">
        <f>IF(AND(ISNUMBER($N330),$N330&gt;0,ISNUMBER($Y330)),$Y330/$N330,"")</f>
        <v/>
      </c>
      <c r="AL330" s="93" t="n"/>
      <c r="AM330" s="93" t="n"/>
      <c r="AN330" s="93" t="n"/>
    </row>
    <row r="331" ht="15" customHeight="1" s="518">
      <c r="A331" s="123" t="n">
        <v>8</v>
      </c>
      <c r="B331" s="59" t="n">
        <v>324</v>
      </c>
      <c r="C331" t="inlineStr">
        <is>
          <t>R0100713</t>
        </is>
      </c>
      <c r="D331" t="inlineStr">
        <is>
          <t>6530  FEDERAL BLVD</t>
        </is>
      </c>
      <c r="E331" t="n">
        <v>344</v>
      </c>
      <c r="G331" t="inlineStr">
        <is>
          <t>1</t>
        </is>
      </c>
      <c r="H331" s="703">
        <f>Y331/J331</f>
        <v/>
      </c>
      <c r="I331" s="704" t="n">
        <v>43350</v>
      </c>
      <c r="J331" t="n">
        <v>4501</v>
      </c>
      <c r="L331" t="n">
        <v>4501</v>
      </c>
      <c r="M331" t="n">
        <v>1950</v>
      </c>
      <c r="P331" t="inlineStr">
        <is>
          <t>Commercial</t>
        </is>
      </c>
      <c r="R331" t="inlineStr">
        <is>
          <t>Average</t>
        </is>
      </c>
      <c r="S331" t="n">
        <v>19920</v>
      </c>
      <c r="T331" s="119">
        <f>S331/J331</f>
        <v/>
      </c>
      <c r="U331" t="inlineStr">
        <is>
          <t>Average</t>
        </is>
      </c>
      <c r="Y331" t="n">
        <v>625000</v>
      </c>
      <c r="AA331" t="n">
        <v>625000</v>
      </c>
      <c r="AC331" t="inlineStr">
        <is>
          <t>0182505405003</t>
        </is>
      </c>
      <c r="AD331" t="inlineStr">
        <is>
          <t>2018000073695</t>
        </is>
      </c>
      <c r="AE331" s="575" t="inlineStr">
        <is>
          <t>ONEMANIVONG LINTHONG AND, PHOMMACHAN TINGKHAM</t>
        </is>
      </c>
      <c r="AF331" s="575" t="inlineStr">
        <is>
          <t>APEX AUTOS</t>
        </is>
      </c>
      <c r="AI331" s="59">
        <f>IF(AND($E331=Subj_OccCode,Subj_BldgSF&gt;0,ABS($L331-Subj_BldgSF)&lt;=Subj_BldgSF*Subj_SizeTol),ABS($L331-Subj_BldgSF),NA())</f>
        <v/>
      </c>
      <c r="AJ331" s="93">
        <f>IF(ISNA(AI331),NA(),AI331+ROW()/10000000)</f>
        <v/>
      </c>
      <c r="AK331">
        <f>IF(AND(ISNUMBER($N331),$N331&gt;0,ISNUMBER($Y331)),$Y331/$N331,"")</f>
        <v/>
      </c>
      <c r="AL331" s="93" t="n"/>
      <c r="AM331" s="93" t="n"/>
      <c r="AN331" s="93" t="n"/>
    </row>
    <row r="332" ht="15" customHeight="1" s="518">
      <c r="A332" s="123" t="n">
        <v>8</v>
      </c>
      <c r="B332" s="59" t="n">
        <v>325</v>
      </c>
      <c r="C332" t="inlineStr">
        <is>
          <t>R0075378</t>
        </is>
      </c>
      <c r="D332" t="inlineStr">
        <is>
          <t>9695  BRIGHTON RD</t>
        </is>
      </c>
      <c r="E332" t="n">
        <v>344</v>
      </c>
      <c r="G332" t="inlineStr">
        <is>
          <t>2</t>
        </is>
      </c>
      <c r="H332" s="703">
        <f>Y332/J332</f>
        <v/>
      </c>
      <c r="I332" s="704" t="n">
        <v>43308</v>
      </c>
      <c r="J332" t="n">
        <v>3801</v>
      </c>
      <c r="L332" t="n">
        <v>3801</v>
      </c>
      <c r="M332" t="n">
        <v>1994</v>
      </c>
      <c r="P332" t="inlineStr">
        <is>
          <t>Industrial</t>
        </is>
      </c>
      <c r="R332" t="inlineStr">
        <is>
          <t>Average</t>
        </is>
      </c>
      <c r="S332" t="n">
        <v>87120</v>
      </c>
      <c r="T332" s="119">
        <f>S332/J332</f>
        <v/>
      </c>
      <c r="U332" t="inlineStr">
        <is>
          <t>Average</t>
        </is>
      </c>
      <c r="Y332" t="n">
        <v>736000</v>
      </c>
      <c r="AA332" t="n">
        <v>736000</v>
      </c>
      <c r="AC332" t="inlineStr">
        <is>
          <t>0172116009005</t>
        </is>
      </c>
      <c r="AD332" t="inlineStr">
        <is>
          <t>2018000061479</t>
        </is>
      </c>
      <c r="AE332" s="575" t="inlineStr">
        <is>
          <t>KOSMISKI FAMILY PARTNERSHIP LLLP</t>
        </is>
      </c>
      <c r="AF332" s="575" t="inlineStr">
        <is>
          <t>JT EMERY HOLDINGS LLC</t>
        </is>
      </c>
      <c r="AI332" s="59">
        <f>IF(AND($E332=Subj_OccCode,Subj_BldgSF&gt;0,ABS($L332-Subj_BldgSF)&lt;=Subj_BldgSF*Subj_SizeTol),ABS($L332-Subj_BldgSF),NA())</f>
        <v/>
      </c>
      <c r="AJ332" s="93">
        <f>IF(ISNA(AI332),NA(),AI332+ROW()/10000000)</f>
        <v/>
      </c>
      <c r="AK332">
        <f>IF(AND(ISNUMBER($N332),$N332&gt;0,ISNUMBER($Y332)),$Y332/$N332,"")</f>
        <v/>
      </c>
      <c r="AL332" s="93" t="n"/>
      <c r="AM332" s="93" t="n"/>
      <c r="AN332" s="93" t="n"/>
    </row>
    <row r="333" ht="15" customHeight="1" s="518">
      <c r="A333" s="123" t="n">
        <v>8</v>
      </c>
      <c r="B333" s="59" t="n">
        <v>326</v>
      </c>
      <c r="C333" t="inlineStr">
        <is>
          <t>R0070677</t>
        </is>
      </c>
      <c r="D333" t="inlineStr">
        <is>
          <t>7855  YORK ST</t>
        </is>
      </c>
      <c r="E333" t="n">
        <v>353</v>
      </c>
      <c r="G333" t="inlineStr">
        <is>
          <t>4</t>
        </is>
      </c>
      <c r="H333" s="703">
        <f>Y333/J333</f>
        <v/>
      </c>
      <c r="I333" s="704" t="n">
        <v>44315</v>
      </c>
      <c r="J333" t="n">
        <v>4560</v>
      </c>
      <c r="L333" t="n">
        <v>4560</v>
      </c>
      <c r="M333" t="n">
        <v>1985</v>
      </c>
      <c r="P333" t="inlineStr">
        <is>
          <t>Commercial</t>
        </is>
      </c>
      <c r="R333" t="inlineStr">
        <is>
          <t>Average</t>
        </is>
      </c>
      <c r="S333" t="n">
        <v>25700</v>
      </c>
      <c r="T333" s="119">
        <f>S333/J333</f>
        <v/>
      </c>
      <c r="U333" t="inlineStr">
        <is>
          <t>Average</t>
        </is>
      </c>
      <c r="Y333" t="n">
        <v>1350000</v>
      </c>
      <c r="AA333" t="n">
        <v>1350000</v>
      </c>
      <c r="AC333" t="inlineStr">
        <is>
          <t>0171935103004</t>
        </is>
      </c>
      <c r="AD333" t="inlineStr">
        <is>
          <t>2021000053173</t>
        </is>
      </c>
      <c r="AE333" s="575" t="inlineStr">
        <is>
          <t>SANG SOO ENTERPRISES LLC</t>
        </is>
      </c>
      <c r="AF333" s="575" t="inlineStr">
        <is>
          <t>CHANG EUN JA</t>
        </is>
      </c>
      <c r="AI333" s="59">
        <f>IF(AND($E333=Subj_OccCode,Subj_BldgSF&gt;0,ABS($L333-Subj_BldgSF)&lt;=Subj_BldgSF*Subj_SizeTol),ABS($L333-Subj_BldgSF),NA())</f>
        <v/>
      </c>
      <c r="AJ333" s="93">
        <f>IF(ISNA(AI333),NA(),AI333+ROW()/10000000)</f>
        <v/>
      </c>
      <c r="AK333">
        <f>IF(AND(ISNUMBER($N333),$N333&gt;0,ISNUMBER($Y333)),$Y333/$N333,"")</f>
        <v/>
      </c>
      <c r="AL333" s="93" t="n"/>
      <c r="AM333" s="93" t="n"/>
      <c r="AN333" s="93" t="n"/>
    </row>
    <row r="334" ht="15" customHeight="1" s="518">
      <c r="A334" s="123" t="n">
        <v>8</v>
      </c>
      <c r="B334" s="59" t="n">
        <v>327</v>
      </c>
      <c r="C334" t="inlineStr">
        <is>
          <t>R0097742</t>
        </is>
      </c>
      <c r="D334" t="inlineStr">
        <is>
          <t>11703 E COLFAX AVE</t>
        </is>
      </c>
      <c r="E334" t="n">
        <v>353</v>
      </c>
      <c r="F334" t="inlineStr">
        <is>
          <t>AURORA</t>
        </is>
      </c>
      <c r="G334" t="inlineStr">
        <is>
          <t>6</t>
        </is>
      </c>
      <c r="H334" s="703">
        <f>Y334/J334</f>
        <v/>
      </c>
      <c r="I334" s="704" t="n">
        <v>44592</v>
      </c>
      <c r="J334" t="n">
        <v>1624</v>
      </c>
      <c r="L334" t="n">
        <v>1624</v>
      </c>
      <c r="M334" t="n">
        <v>1970</v>
      </c>
      <c r="P334" t="inlineStr">
        <is>
          <t>OA-G</t>
        </is>
      </c>
      <c r="R334" t="inlineStr">
        <is>
          <t>Average</t>
        </is>
      </c>
      <c r="S334" t="n">
        <v>9520</v>
      </c>
      <c r="T334" s="119">
        <f>S334/J334</f>
        <v/>
      </c>
      <c r="U334" t="inlineStr">
        <is>
          <t>Average</t>
        </is>
      </c>
      <c r="Y334" t="n">
        <v>550000</v>
      </c>
      <c r="AA334" t="n">
        <v>550000</v>
      </c>
      <c r="AC334" t="inlineStr">
        <is>
          <t>0182335428005</t>
        </is>
      </c>
      <c r="AD334" t="inlineStr">
        <is>
          <t>2022000009896</t>
        </is>
      </c>
      <c r="AE334" s="575" t="inlineStr">
        <is>
          <t>TSAO RICK</t>
        </is>
      </c>
      <c r="AF334" s="575" t="inlineStr">
        <is>
          <t>WETTSTEIN HENRY</t>
        </is>
      </c>
      <c r="AI334" s="59">
        <f>IF(AND($E334=Subj_OccCode,Subj_BldgSF&gt;0,ABS($L334-Subj_BldgSF)&lt;=Subj_BldgSF*Subj_SizeTol),ABS($L334-Subj_BldgSF),NA())</f>
        <v/>
      </c>
      <c r="AJ334" s="93">
        <f>IF(ISNA(AI334),NA(),AI334+ROW()/10000000)</f>
        <v/>
      </c>
      <c r="AK334">
        <f>IF(AND(ISNUMBER($N334),$N334&gt;0,ISNUMBER($Y334)),$Y334/$N334,"")</f>
        <v/>
      </c>
      <c r="AL334" s="93" t="n"/>
      <c r="AM334" s="93" t="n"/>
      <c r="AN334" s="93" t="n"/>
    </row>
    <row r="335" ht="15" customHeight="1" s="518">
      <c r="A335" s="123" t="n">
        <v>8</v>
      </c>
      <c r="B335" s="59" t="n">
        <v>328</v>
      </c>
      <c r="C335" t="inlineStr">
        <is>
          <t>R0092773</t>
        </is>
      </c>
      <c r="D335" t="inlineStr">
        <is>
          <t>4810  NEWPORT ST</t>
        </is>
      </c>
      <c r="E335" t="n">
        <v>407</v>
      </c>
      <c r="F335" t="inlineStr">
        <is>
          <t>COMMERCE CITY</t>
        </is>
      </c>
      <c r="G335" t="inlineStr">
        <is>
          <t>5</t>
        </is>
      </c>
      <c r="H335" s="703">
        <f>Y335/J335</f>
        <v/>
      </c>
      <c r="I335" s="704" t="n">
        <v>44134</v>
      </c>
      <c r="J335" t="n">
        <v>15500</v>
      </c>
      <c r="L335" t="n">
        <v>15500</v>
      </c>
      <c r="M335" t="n">
        <v>1970</v>
      </c>
      <c r="P335" t="inlineStr">
        <is>
          <t>I-1S</t>
        </is>
      </c>
      <c r="R335" t="inlineStr">
        <is>
          <t>Average</t>
        </is>
      </c>
      <c r="S335" t="n">
        <v>34300</v>
      </c>
      <c r="T335" s="119">
        <f>S335/J335</f>
        <v/>
      </c>
      <c r="U335" t="inlineStr">
        <is>
          <t>Average</t>
        </is>
      </c>
      <c r="Y335" t="n">
        <v>2000000</v>
      </c>
      <c r="AA335" t="n">
        <v>2000000</v>
      </c>
      <c r="AC335" t="inlineStr">
        <is>
          <t>0182317408037</t>
        </is>
      </c>
      <c r="AD335" t="inlineStr">
        <is>
          <t>2020000112839</t>
        </is>
      </c>
      <c r="AE335" s="575" t="inlineStr">
        <is>
          <t>ROCKING K PROPERTIES LLC</t>
        </is>
      </c>
      <c r="AF335" s="575" t="inlineStr">
        <is>
          <t>REDDY MALIREDDY S AND, REDDY SYAMA M</t>
        </is>
      </c>
      <c r="AI335" s="59">
        <f>IF(AND($E335=Subj_OccCode,Subj_BldgSF&gt;0,ABS($L335-Subj_BldgSF)&lt;=Subj_BldgSF*Subj_SizeTol),ABS($L335-Subj_BldgSF),NA())</f>
        <v/>
      </c>
      <c r="AJ335" s="93">
        <f>IF(ISNA(AI335),NA(),AI335+ROW()/10000000)</f>
        <v/>
      </c>
      <c r="AK335">
        <f>IF(AND(ISNUMBER($N335),$N335&gt;0,ISNUMBER($Y335)),$Y335/$N335,"")</f>
        <v/>
      </c>
      <c r="AL335" s="93" t="n"/>
      <c r="AM335" s="93" t="n"/>
      <c r="AN335" s="93" t="n"/>
    </row>
    <row r="336" ht="15" customHeight="1" s="518">
      <c r="A336" s="123" t="n">
        <v>8</v>
      </c>
      <c r="B336" s="59" t="n">
        <v>329</v>
      </c>
      <c r="C336" t="inlineStr">
        <is>
          <t>R0002808</t>
        </is>
      </c>
      <c r="D336" t="inlineStr">
        <is>
          <t>123 N MAIN ST</t>
        </is>
      </c>
      <c r="E336" t="n">
        <v>353</v>
      </c>
      <c r="F336" t="inlineStr">
        <is>
          <t>BRIGHTON</t>
        </is>
      </c>
      <c r="G336" t="inlineStr">
        <is>
          <t>2</t>
        </is>
      </c>
      <c r="H336" s="703">
        <f>Y336/J336</f>
        <v/>
      </c>
      <c r="I336" s="704" t="n">
        <v>43194</v>
      </c>
      <c r="J336" t="n">
        <v>3900</v>
      </c>
      <c r="L336" t="n">
        <v>3900</v>
      </c>
      <c r="M336" t="n">
        <v>1897</v>
      </c>
      <c r="P336" t="inlineStr">
        <is>
          <t>Brighton</t>
        </is>
      </c>
      <c r="R336" t="inlineStr">
        <is>
          <t>Average</t>
        </is>
      </c>
      <c r="S336" t="n">
        <v>10000</v>
      </c>
      <c r="T336" s="119">
        <f>S336/J336</f>
        <v/>
      </c>
      <c r="U336" t="inlineStr">
        <is>
          <t>Good</t>
        </is>
      </c>
      <c r="Y336" t="n">
        <v>650000</v>
      </c>
      <c r="AA336" t="n">
        <v>650000</v>
      </c>
      <c r="AC336" t="inlineStr">
        <is>
          <t>0156906311007</t>
        </is>
      </c>
      <c r="AD336" t="inlineStr">
        <is>
          <t>2018000028585</t>
        </is>
      </c>
      <c r="AE336" s="575" t="inlineStr">
        <is>
          <t>FERGUSON LANCE A/VINCENT DEBRA A, FERGUSON JENNIFER L/VINCENT JAMES W</t>
        </is>
      </c>
      <c r="AF336" s="575" t="inlineStr">
        <is>
          <t>HERR FAMILY LLC</t>
        </is>
      </c>
      <c r="AI336" s="59">
        <f>IF(AND($E336=Subj_OccCode,Subj_BldgSF&gt;0,ABS($L336-Subj_BldgSF)&lt;=Subj_BldgSF*Subj_SizeTol),ABS($L336-Subj_BldgSF),NA())</f>
        <v/>
      </c>
      <c r="AJ336" s="93">
        <f>IF(ISNA(AI336),NA(),AI336+ROW()/10000000)</f>
        <v/>
      </c>
      <c r="AK336">
        <f>IF(AND(ISNUMBER($N336),$N336&gt;0,ISNUMBER($Y336)),$Y336/$N336,"")</f>
        <v/>
      </c>
      <c r="AL336" s="93" t="n"/>
      <c r="AM336" s="93" t="n"/>
      <c r="AN336" s="93" t="n"/>
    </row>
    <row r="337" ht="15" customHeight="1" s="518">
      <c r="A337" s="123" t="n">
        <v>8</v>
      </c>
      <c r="B337" s="59" t="n">
        <v>330</v>
      </c>
      <c r="C337" t="inlineStr">
        <is>
          <t>R0002784</t>
        </is>
      </c>
      <c r="D337" t="inlineStr">
        <is>
          <t>323  WALNUT ST</t>
        </is>
      </c>
      <c r="E337" t="n">
        <v>406</v>
      </c>
      <c r="F337" t="inlineStr">
        <is>
          <t>BRIGHTON</t>
        </is>
      </c>
      <c r="G337" t="inlineStr">
        <is>
          <t>2</t>
        </is>
      </c>
      <c r="H337" s="703">
        <f>Y337/J337</f>
        <v/>
      </c>
      <c r="I337" s="704" t="n">
        <v>43549</v>
      </c>
      <c r="J337" t="n">
        <v>5760</v>
      </c>
      <c r="L337" t="n">
        <v>5760</v>
      </c>
      <c r="M337" t="n">
        <v>1979</v>
      </c>
      <c r="P337" t="inlineStr">
        <is>
          <t>Brighton</t>
        </is>
      </c>
      <c r="R337" t="inlineStr">
        <is>
          <t>Average</t>
        </is>
      </c>
      <c r="S337" t="n">
        <v>15000</v>
      </c>
      <c r="T337" s="119">
        <f>S337/J337</f>
        <v/>
      </c>
      <c r="U337" t="inlineStr">
        <is>
          <t>Average</t>
        </is>
      </c>
      <c r="Y337" t="n">
        <v>575000</v>
      </c>
      <c r="AA337" t="n">
        <v>575000</v>
      </c>
      <c r="AC337" t="inlineStr">
        <is>
          <t>0156906308014</t>
        </is>
      </c>
      <c r="AD337" t="inlineStr">
        <is>
          <t>2019000022090</t>
        </is>
      </c>
      <c r="AE337" s="575" t="inlineStr">
        <is>
          <t>D AND R EZZELL INC</t>
        </is>
      </c>
      <c r="AF337" s="575" t="inlineStr">
        <is>
          <t>323 WALNUT ST LLC</t>
        </is>
      </c>
      <c r="AI337" s="59">
        <f>IF(AND($E337=Subj_OccCode,Subj_BldgSF&gt;0,ABS($L337-Subj_BldgSF)&lt;=Subj_BldgSF*Subj_SizeTol),ABS($L337-Subj_BldgSF),NA())</f>
        <v/>
      </c>
      <c r="AJ337" s="93">
        <f>IF(ISNA(AI337),NA(),AI337+ROW()/10000000)</f>
        <v/>
      </c>
      <c r="AK337">
        <f>IF(AND(ISNUMBER($N337),$N337&gt;0,ISNUMBER($Y337)),$Y337/$N337,"")</f>
        <v/>
      </c>
      <c r="AL337" s="93" t="n"/>
      <c r="AM337" s="93" t="n"/>
      <c r="AN337" s="93" t="n"/>
    </row>
    <row r="338" ht="15" customHeight="1" s="518">
      <c r="A338" s="123" t="n">
        <v>8</v>
      </c>
      <c r="B338" s="59" t="n">
        <v>331</v>
      </c>
      <c r="C338" t="inlineStr">
        <is>
          <t>R0002727</t>
        </is>
      </c>
      <c r="D338" t="inlineStr">
        <is>
          <t>361 N MAIN ST</t>
        </is>
      </c>
      <c r="E338" t="n">
        <v>350</v>
      </c>
      <c r="F338" t="inlineStr">
        <is>
          <t>BRIGHTON</t>
        </is>
      </c>
      <c r="G338" t="inlineStr">
        <is>
          <t>2</t>
        </is>
      </c>
      <c r="H338" s="703">
        <f>Y338/J338</f>
        <v/>
      </c>
      <c r="I338" s="704" t="n">
        <v>44063</v>
      </c>
      <c r="J338" t="n">
        <v>704</v>
      </c>
      <c r="L338" t="n">
        <v>704</v>
      </c>
      <c r="M338" t="n">
        <v>1945</v>
      </c>
      <c r="P338" t="inlineStr">
        <is>
          <t>I-1-Bri</t>
        </is>
      </c>
      <c r="R338" t="inlineStr">
        <is>
          <t>Good</t>
        </is>
      </c>
      <c r="S338" t="n">
        <v>5000</v>
      </c>
      <c r="T338" s="119">
        <f>S338/J338</f>
        <v/>
      </c>
      <c r="U338" t="inlineStr">
        <is>
          <t>Good</t>
        </is>
      </c>
      <c r="Y338" t="n">
        <v>275000</v>
      </c>
      <c r="AA338" t="n">
        <v>275000</v>
      </c>
      <c r="AC338" t="inlineStr">
        <is>
          <t>0156906302004</t>
        </is>
      </c>
      <c r="AD338" t="inlineStr">
        <is>
          <t>2020000084065</t>
        </is>
      </c>
      <c r="AE338" s="575" t="inlineStr">
        <is>
          <t>HERNANDEZ GUADALUPE MERAZ AND, MERAZ HEIDY L</t>
        </is>
      </c>
      <c r="AF338" s="575" t="inlineStr">
        <is>
          <t>ROJO ORDONES ERICK MANUEL AND, ROJO ISABEL</t>
        </is>
      </c>
      <c r="AI338" s="59">
        <f>IF(AND($E338=Subj_OccCode,Subj_BldgSF&gt;0,ABS($L338-Subj_BldgSF)&lt;=Subj_BldgSF*Subj_SizeTol),ABS($L338-Subj_BldgSF),NA())</f>
        <v/>
      </c>
      <c r="AJ338" s="93">
        <f>IF(ISNA(AI338),NA(),AI338+ROW()/10000000)</f>
        <v/>
      </c>
      <c r="AK338">
        <f>IF(AND(ISNUMBER($N338),$N338&gt;0,ISNUMBER($Y338)),$Y338/$N338,"")</f>
        <v/>
      </c>
      <c r="AL338" s="93" t="n"/>
      <c r="AM338" s="93" t="n"/>
      <c r="AN338" s="93" t="n"/>
    </row>
    <row r="339" ht="15" customHeight="1" s="518">
      <c r="A339" s="123" t="n">
        <v>8</v>
      </c>
      <c r="B339" s="59" t="n">
        <v>332</v>
      </c>
      <c r="C339" t="inlineStr">
        <is>
          <t>R0082776</t>
        </is>
      </c>
      <c r="D339" t="inlineStr">
        <is>
          <t>675  PALMER AVE</t>
        </is>
      </c>
      <c r="E339" t="n">
        <v>353</v>
      </c>
      <c r="F339" t="inlineStr">
        <is>
          <t>BENNETT</t>
        </is>
      </c>
      <c r="G339" t="inlineStr">
        <is>
          <t>1</t>
        </is>
      </c>
      <c r="H339" s="703">
        <f>Y339/J339</f>
        <v/>
      </c>
      <c r="I339" s="704" t="n">
        <v>44650</v>
      </c>
      <c r="J339" t="n">
        <v>1189</v>
      </c>
      <c r="L339" t="n">
        <v>1189</v>
      </c>
      <c r="M339" t="n">
        <v>1961</v>
      </c>
      <c r="P339" t="inlineStr">
        <is>
          <t>Bennett</t>
        </is>
      </c>
      <c r="R339" t="inlineStr">
        <is>
          <t>Average</t>
        </is>
      </c>
      <c r="S339" t="n">
        <v>8250</v>
      </c>
      <c r="T339" s="119">
        <f>S339/J339</f>
        <v/>
      </c>
      <c r="U339" t="inlineStr">
        <is>
          <t>Average</t>
        </is>
      </c>
      <c r="Y339" t="n">
        <v>280000</v>
      </c>
      <c r="AA339" t="n">
        <v>280000</v>
      </c>
      <c r="AC339" t="inlineStr">
        <is>
          <t>0181527316010</t>
        </is>
      </c>
      <c r="AD339" t="inlineStr">
        <is>
          <t>2022000031446</t>
        </is>
      </c>
      <c r="AE339" s="575" t="inlineStr">
        <is>
          <t>TAM REALTY LLC</t>
        </is>
      </c>
      <c r="AF339" s="575" t="inlineStr">
        <is>
          <t>NASA BURROUGHS LLC</t>
        </is>
      </c>
      <c r="AI339" s="59">
        <f>IF(AND($E339=Subj_OccCode,Subj_BldgSF&gt;0,ABS($L339-Subj_BldgSF)&lt;=Subj_BldgSF*Subj_SizeTol),ABS($L339-Subj_BldgSF),NA())</f>
        <v/>
      </c>
      <c r="AJ339" s="93">
        <f>IF(ISNA(AI339),NA(),AI339+ROW()/10000000)</f>
        <v/>
      </c>
      <c r="AK339">
        <f>IF(AND(ISNUMBER($N339),$N339&gt;0,ISNUMBER($Y339)),$Y339/$N339,"")</f>
        <v/>
      </c>
      <c r="AL339" s="93" t="n"/>
      <c r="AM339" s="93" t="n"/>
      <c r="AN339" s="93" t="n"/>
    </row>
    <row r="340" ht="15" customHeight="1" s="518">
      <c r="A340" s="123" t="n">
        <v>8</v>
      </c>
      <c r="B340" s="59" t="n">
        <v>333</v>
      </c>
      <c r="C340" t="inlineStr">
        <is>
          <t>R0081717</t>
        </is>
      </c>
      <c r="D340" t="inlineStr">
        <is>
          <t>3803 HEADLIGHT RD</t>
        </is>
      </c>
      <c r="E340" t="n">
        <v>406</v>
      </c>
      <c r="G340" t="inlineStr">
        <is>
          <t>1</t>
        </is>
      </c>
      <c r="H340" s="703">
        <f>Y340/J340</f>
        <v/>
      </c>
      <c r="I340" s="704" t="n">
        <v>43102</v>
      </c>
      <c r="J340" t="n">
        <v>19887</v>
      </c>
      <c r="L340" t="n">
        <v>19887</v>
      </c>
      <c r="M340" t="n">
        <v>1993</v>
      </c>
      <c r="P340" t="inlineStr">
        <is>
          <t>Agricultural</t>
        </is>
      </c>
      <c r="R340" t="inlineStr">
        <is>
          <t>Low</t>
        </is>
      </c>
      <c r="S340" t="n">
        <v>1244073.6</v>
      </c>
      <c r="T340" s="119">
        <f>S340/J340</f>
        <v/>
      </c>
      <c r="U340" t="inlineStr">
        <is>
          <t>Fair</t>
        </is>
      </c>
      <c r="Y340" t="n">
        <v>975000</v>
      </c>
      <c r="AA340" t="n">
        <v>975000</v>
      </c>
      <c r="AC340" t="inlineStr">
        <is>
          <t>0181300008008</t>
        </is>
      </c>
      <c r="AD340" t="inlineStr">
        <is>
          <t>2018000001180</t>
        </is>
      </c>
      <c r="AE340" s="575" t="inlineStr">
        <is>
          <t>HUTTON CONTRACTING COMPANY, INC</t>
        </is>
      </c>
      <c r="AF340" s="575" t="inlineStr">
        <is>
          <t>JONES JEFFREY A</t>
        </is>
      </c>
      <c r="AI340" s="59">
        <f>IF(AND($E340=Subj_OccCode,Subj_BldgSF&gt;0,ABS($L340-Subj_BldgSF)&lt;=Subj_BldgSF*Subj_SizeTol),ABS($L340-Subj_BldgSF),NA())</f>
        <v/>
      </c>
      <c r="AJ340" s="93">
        <f>IF(ISNA(AI340),NA(),AI340+ROW()/10000000)</f>
        <v/>
      </c>
      <c r="AK340">
        <f>IF(AND(ISNUMBER($N340),$N340&gt;0,ISNUMBER($Y340)),$Y340/$N340,"")</f>
        <v/>
      </c>
      <c r="AL340" s="93" t="n"/>
      <c r="AM340" s="93" t="n"/>
      <c r="AN340" s="93" t="n"/>
    </row>
    <row r="341" ht="15" customHeight="1" s="518">
      <c r="A341" s="123" t="n">
        <v>8</v>
      </c>
      <c r="B341" s="59" t="n">
        <v>334</v>
      </c>
      <c r="C341" t="inlineStr">
        <is>
          <t>R0098103</t>
        </is>
      </c>
      <c r="D341" t="inlineStr">
        <is>
          <t>1247 E 68TH AVE</t>
        </is>
      </c>
      <c r="E341" t="n">
        <v>406</v>
      </c>
      <c r="G341" t="inlineStr">
        <is>
          <t>5</t>
        </is>
      </c>
      <c r="H341" s="703">
        <f>Y341/J341</f>
        <v/>
      </c>
      <c r="I341" s="704" t="n">
        <v>43705</v>
      </c>
      <c r="J341" t="n">
        <v>25300</v>
      </c>
      <c r="L341" t="n">
        <v>25300</v>
      </c>
      <c r="M341" t="n">
        <v>1994</v>
      </c>
      <c r="P341" t="inlineStr">
        <is>
          <t>Industrial</t>
        </is>
      </c>
      <c r="R341" t="inlineStr">
        <is>
          <t>Average</t>
        </is>
      </c>
      <c r="S341" t="n">
        <v>197703</v>
      </c>
      <c r="T341" s="119">
        <f>S341/J341</f>
        <v/>
      </c>
      <c r="U341" t="inlineStr">
        <is>
          <t>Average</t>
        </is>
      </c>
      <c r="Y341" t="n">
        <v>3285000</v>
      </c>
      <c r="AA341" t="n">
        <v>3285000</v>
      </c>
      <c r="AC341" t="inlineStr">
        <is>
          <t>0182502205015</t>
        </is>
      </c>
      <c r="AD341" t="inlineStr">
        <is>
          <t>2019000071126</t>
        </is>
      </c>
      <c r="AE341" s="575" t="inlineStr">
        <is>
          <t>JHDS LLC</t>
        </is>
      </c>
      <c r="AF341" s="575" t="inlineStr">
        <is>
          <t>JECO HOLDINGS INC</t>
        </is>
      </c>
      <c r="AI341" s="59">
        <f>IF(AND($E341=Subj_OccCode,Subj_BldgSF&gt;0,ABS($L341-Subj_BldgSF)&lt;=Subj_BldgSF*Subj_SizeTol),ABS($L341-Subj_BldgSF),NA())</f>
        <v/>
      </c>
      <c r="AJ341" s="93">
        <f>IF(ISNA(AI341),NA(),AI341+ROW()/10000000)</f>
        <v/>
      </c>
      <c r="AK341">
        <f>IF(AND(ISNUMBER($N341),$N341&gt;0,ISNUMBER($Y341)),$Y341/$N341,"")</f>
        <v/>
      </c>
      <c r="AL341" s="93" t="n"/>
      <c r="AM341" s="93" t="n"/>
      <c r="AN341" s="93" t="n"/>
    </row>
    <row r="342" ht="15" customHeight="1" s="518">
      <c r="A342" s="123" t="n">
        <v>8</v>
      </c>
      <c r="B342" s="59" t="n">
        <v>335</v>
      </c>
      <c r="C342" t="inlineStr">
        <is>
          <t>R0093109</t>
        </is>
      </c>
      <c r="D342" t="inlineStr">
        <is>
          <t>3250  QUENTIN ST</t>
        </is>
      </c>
      <c r="E342" t="n">
        <v>407</v>
      </c>
      <c r="F342" t="inlineStr">
        <is>
          <t>AURORA</t>
        </is>
      </c>
      <c r="G342" t="inlineStr">
        <is>
          <t>6</t>
        </is>
      </c>
      <c r="H342" s="703">
        <f>Y342/J342</f>
        <v/>
      </c>
      <c r="I342" s="704" t="n">
        <v>44168</v>
      </c>
      <c r="J342" t="n">
        <v>144468</v>
      </c>
      <c r="L342" t="n">
        <v>144468</v>
      </c>
      <c r="M342" t="n">
        <v>1985</v>
      </c>
      <c r="P342" t="inlineStr">
        <is>
          <t>M-1-Aur</t>
        </is>
      </c>
      <c r="R342" t="inlineStr">
        <is>
          <t>Good</t>
        </is>
      </c>
      <c r="S342" t="n">
        <v>363339</v>
      </c>
      <c r="T342" s="119">
        <f>S342/J342</f>
        <v/>
      </c>
      <c r="U342" t="inlineStr">
        <is>
          <t>Average</t>
        </is>
      </c>
      <c r="Y342" t="n">
        <v>16000000</v>
      </c>
      <c r="AA342" t="n">
        <v>16000000</v>
      </c>
      <c r="AC342" t="inlineStr">
        <is>
          <t>0182325212001</t>
        </is>
      </c>
      <c r="AD342" t="inlineStr">
        <is>
          <t>2020000126568</t>
        </is>
      </c>
      <c r="AE342" s="575" t="inlineStr">
        <is>
          <t>FIRST INDUSTRIAL LP</t>
        </is>
      </c>
      <c r="AF342" s="575" t="inlineStr">
        <is>
          <t>HZ SORRENTO HIGHPOINTE SQUARE LLC ET AL</t>
        </is>
      </c>
      <c r="AI342" s="59">
        <f>IF(AND($E342=Subj_OccCode,Subj_BldgSF&gt;0,ABS($L342-Subj_BldgSF)&lt;=Subj_BldgSF*Subj_SizeTol),ABS($L342-Subj_BldgSF),NA())</f>
        <v/>
      </c>
      <c r="AJ342" s="93">
        <f>IF(ISNA(AI342),NA(),AI342+ROW()/10000000)</f>
        <v/>
      </c>
      <c r="AK342">
        <f>IF(AND(ISNUMBER($N342),$N342&gt;0,ISNUMBER($Y342)),$Y342/$N342,"")</f>
        <v/>
      </c>
      <c r="AL342" s="93" t="n"/>
      <c r="AM342" s="93" t="n"/>
      <c r="AN342" s="93" t="n"/>
    </row>
    <row r="343" ht="15" customHeight="1" s="518">
      <c r="A343" s="123" t="n">
        <v>8</v>
      </c>
      <c r="B343" s="59" t="n">
        <v>336</v>
      </c>
      <c r="C343" t="inlineStr">
        <is>
          <t>R0092662</t>
        </is>
      </c>
      <c r="D343" t="inlineStr">
        <is>
          <t>6440 E 50TH AVE</t>
        </is>
      </c>
      <c r="E343" t="n">
        <v>407</v>
      </c>
      <c r="F343" t="inlineStr">
        <is>
          <t>COMMERCE CITY</t>
        </is>
      </c>
      <c r="G343" t="inlineStr">
        <is>
          <t>5</t>
        </is>
      </c>
      <c r="H343" s="703">
        <f>Y343/J343</f>
        <v/>
      </c>
      <c r="I343" s="704" t="n">
        <v>44309</v>
      </c>
      <c r="J343" t="n">
        <v>5840</v>
      </c>
      <c r="L343" t="n">
        <v>5840</v>
      </c>
      <c r="M343" t="n">
        <v>1962</v>
      </c>
      <c r="P343" t="inlineStr">
        <is>
          <t>I-1S</t>
        </is>
      </c>
      <c r="R343" t="inlineStr">
        <is>
          <t>Average</t>
        </is>
      </c>
      <c r="S343" t="n">
        <v>11725</v>
      </c>
      <c r="T343" s="119">
        <f>S343/J343</f>
        <v/>
      </c>
      <c r="U343" t="inlineStr">
        <is>
          <t>Average</t>
        </is>
      </c>
      <c r="Y343" t="n">
        <v>1075000</v>
      </c>
      <c r="AA343" t="n">
        <v>1075000</v>
      </c>
      <c r="AC343" t="inlineStr">
        <is>
          <t>0182317301021</t>
        </is>
      </c>
      <c r="AD343" t="inlineStr">
        <is>
          <t>2021000050390</t>
        </is>
      </c>
      <c r="AE343" s="575" t="inlineStr">
        <is>
          <t>NORTH SHORE PROPERTIES LLC</t>
        </is>
      </c>
      <c r="AF343" s="575" t="inlineStr">
        <is>
          <t>MPI LAND BROKERS LLC</t>
        </is>
      </c>
      <c r="AI343" s="59">
        <f>IF(AND($E343=Subj_OccCode,Subj_BldgSF&gt;0,ABS($L343-Subj_BldgSF)&lt;=Subj_BldgSF*Subj_SizeTol),ABS($L343-Subj_BldgSF),NA())</f>
        <v/>
      </c>
      <c r="AJ343" s="93">
        <f>IF(ISNA(AI343),NA(),AI343+ROW()/10000000)</f>
        <v/>
      </c>
      <c r="AK343">
        <f>IF(AND(ISNUMBER($N343),$N343&gt;0,ISNUMBER($Y343)),$Y343/$N343,"")</f>
        <v/>
      </c>
      <c r="AL343" s="93" t="n"/>
      <c r="AM343" s="93" t="n"/>
      <c r="AN343" s="93" t="n"/>
    </row>
    <row r="344" ht="15" customHeight="1" s="518">
      <c r="A344" s="123" t="n">
        <v>8</v>
      </c>
      <c r="B344" s="59" t="n">
        <v>337</v>
      </c>
      <c r="C344" t="inlineStr">
        <is>
          <t>R0103633</t>
        </is>
      </c>
      <c r="D344" t="inlineStr">
        <is>
          <t>6348  DOWNING ST</t>
        </is>
      </c>
      <c r="E344" t="n">
        <v>325</v>
      </c>
      <c r="G344" t="inlineStr">
        <is>
          <t>2</t>
        </is>
      </c>
      <c r="H344" s="703">
        <f>Y344/J344</f>
        <v/>
      </c>
      <c r="I344" s="704" t="n">
        <v>43356</v>
      </c>
      <c r="J344" t="n">
        <v>4816</v>
      </c>
      <c r="L344" t="n">
        <v>4816</v>
      </c>
      <c r="M344" t="n">
        <v>1983</v>
      </c>
      <c r="P344" t="inlineStr">
        <is>
          <t>Industrial</t>
        </is>
      </c>
      <c r="R344" t="inlineStr">
        <is>
          <t>Average</t>
        </is>
      </c>
      <c r="S344" t="n">
        <v>15000</v>
      </c>
      <c r="T344" s="119">
        <f>S344/J344</f>
        <v/>
      </c>
      <c r="U344" t="inlineStr">
        <is>
          <t>Average</t>
        </is>
      </c>
      <c r="Y344" t="n">
        <v>475000</v>
      </c>
      <c r="AA344" t="n">
        <v>475000</v>
      </c>
      <c r="AC344" t="inlineStr">
        <is>
          <t>0182511201005</t>
        </is>
      </c>
      <c r="AD344" t="inlineStr">
        <is>
          <t>2018000075103</t>
        </is>
      </c>
      <c r="AE344" s="575" t="inlineStr">
        <is>
          <t>C B QUICK AND CO</t>
        </is>
      </c>
      <c r="AF344" s="575" t="inlineStr">
        <is>
          <t>SPEEDWAY GARAGES LLC</t>
        </is>
      </c>
      <c r="AI344" s="59">
        <f>IF(AND($E344=Subj_OccCode,Subj_BldgSF&gt;0,ABS($L344-Subj_BldgSF)&lt;=Subj_BldgSF*Subj_SizeTol),ABS($L344-Subj_BldgSF),NA())</f>
        <v/>
      </c>
      <c r="AJ344" s="93">
        <f>IF(ISNA(AI344),NA(),AI344+ROW()/10000000)</f>
        <v/>
      </c>
      <c r="AK344">
        <f>IF(AND(ISNUMBER($N344),$N344&gt;0,ISNUMBER($Y344)),$Y344/$N344,"")</f>
        <v/>
      </c>
      <c r="AL344" s="93" t="n"/>
      <c r="AM344" s="93" t="n"/>
      <c r="AN344" s="93" t="n"/>
    </row>
    <row r="345" ht="15" customHeight="1" s="518">
      <c r="A345" s="123" t="n">
        <v>8</v>
      </c>
      <c r="B345" s="59" t="n">
        <v>338</v>
      </c>
      <c r="C345" t="inlineStr">
        <is>
          <t>R0103645</t>
        </is>
      </c>
      <c r="D345" t="inlineStr">
        <is>
          <t>6260  DOWNING ST</t>
        </is>
      </c>
      <c r="E345" t="n">
        <v>407</v>
      </c>
      <c r="G345" t="inlineStr">
        <is>
          <t>5</t>
        </is>
      </c>
      <c r="H345" s="703">
        <f>Y345/J345</f>
        <v/>
      </c>
      <c r="I345" s="704" t="n">
        <v>44281</v>
      </c>
      <c r="J345" t="n">
        <v>56000</v>
      </c>
      <c r="L345" t="n">
        <v>56000</v>
      </c>
      <c r="M345" t="n">
        <v>1978</v>
      </c>
      <c r="P345" t="inlineStr">
        <is>
          <t>Industrial</t>
        </is>
      </c>
      <c r="R345" t="inlineStr">
        <is>
          <t>Average</t>
        </is>
      </c>
      <c r="S345" t="n">
        <v>162914</v>
      </c>
      <c r="T345" s="119">
        <f>S345/J345</f>
        <v/>
      </c>
      <c r="U345" t="inlineStr">
        <is>
          <t>Average</t>
        </is>
      </c>
      <c r="Y345" t="n">
        <v>7400000</v>
      </c>
      <c r="AA345" t="n">
        <v>7400000</v>
      </c>
      <c r="AC345" t="inlineStr">
        <is>
          <t>0182511201024</t>
        </is>
      </c>
      <c r="AD345" t="inlineStr">
        <is>
          <t>2021000037593</t>
        </is>
      </c>
      <c r="AE345" s="575" t="inlineStr">
        <is>
          <t>H &amp; S PROPERTIES LLC</t>
        </is>
      </c>
      <c r="AF345" s="575" t="inlineStr">
        <is>
          <t>BWR HOLDINGS LLLP</t>
        </is>
      </c>
      <c r="AI345" s="59">
        <f>IF(AND($E345=Subj_OccCode,Subj_BldgSF&gt;0,ABS($L345-Subj_BldgSF)&lt;=Subj_BldgSF*Subj_SizeTol),ABS($L345-Subj_BldgSF),NA())</f>
        <v/>
      </c>
      <c r="AJ345" s="93">
        <f>IF(ISNA(AI345),NA(),AI345+ROW()/10000000)</f>
        <v/>
      </c>
      <c r="AK345">
        <f>IF(AND(ISNUMBER($N345),$N345&gt;0,ISNUMBER($Y345)),$Y345/$N345,"")</f>
        <v/>
      </c>
      <c r="AL345" s="93" t="n"/>
      <c r="AM345" s="93" t="n"/>
      <c r="AN345" s="93" t="n"/>
    </row>
    <row r="346" ht="15" customHeight="1" s="518">
      <c r="A346" s="123" t="n">
        <v>8</v>
      </c>
      <c r="B346" s="59" t="n">
        <v>339</v>
      </c>
      <c r="C346" t="inlineStr">
        <is>
          <t>R0112007</t>
        </is>
      </c>
      <c r="D346" t="inlineStr">
        <is>
          <t>6510  FRANKLIN ST</t>
        </is>
      </c>
      <c r="E346" t="n">
        <v>407</v>
      </c>
      <c r="G346" t="inlineStr">
        <is>
          <t>5</t>
        </is>
      </c>
      <c r="H346" s="703">
        <f>Y346/J346</f>
        <v/>
      </c>
      <c r="I346" s="704" t="n">
        <v>43251</v>
      </c>
      <c r="J346" t="n">
        <v>15112</v>
      </c>
      <c r="L346" t="n">
        <v>15112</v>
      </c>
      <c r="M346" t="n">
        <v>1998</v>
      </c>
      <c r="P346" t="inlineStr">
        <is>
          <t>Planned Unit Development</t>
        </is>
      </c>
      <c r="R346" t="inlineStr">
        <is>
          <t>Average</t>
        </is>
      </c>
      <c r="S346" t="n">
        <v>43995.6016</v>
      </c>
      <c r="T346" s="119">
        <f>S346/J346</f>
        <v/>
      </c>
      <c r="U346" t="inlineStr">
        <is>
          <t>Average</t>
        </is>
      </c>
      <c r="Y346" t="n">
        <v>2100000</v>
      </c>
      <c r="AA346" t="n">
        <v>2100000</v>
      </c>
      <c r="AC346" t="inlineStr">
        <is>
          <t>0182502403035</t>
        </is>
      </c>
      <c r="AD346" t="inlineStr">
        <is>
          <t>2018000044587</t>
        </is>
      </c>
      <c r="AE346" s="575" t="inlineStr">
        <is>
          <t>FPT PROPERTIES LLC</t>
        </is>
      </c>
      <c r="AF346" s="575" t="inlineStr">
        <is>
          <t>6510 PROPERTIES LLC</t>
        </is>
      </c>
      <c r="AI346" s="59">
        <f>IF(AND($E346=Subj_OccCode,Subj_BldgSF&gt;0,ABS($L346-Subj_BldgSF)&lt;=Subj_BldgSF*Subj_SizeTol),ABS($L346-Subj_BldgSF),NA())</f>
        <v/>
      </c>
      <c r="AJ346" s="93">
        <f>IF(ISNA(AI346),NA(),AI346+ROW()/10000000)</f>
        <v/>
      </c>
      <c r="AK346">
        <f>IF(AND(ISNUMBER($N346),$N346&gt;0,ISNUMBER($Y346)),$Y346/$N346,"")</f>
        <v/>
      </c>
      <c r="AL346" s="93" t="n"/>
      <c r="AM346" s="93" t="n"/>
      <c r="AN346" s="93" t="n"/>
    </row>
    <row r="347" ht="15" customHeight="1" s="518">
      <c r="A347" s="123" t="n">
        <v>8</v>
      </c>
      <c r="B347" s="59" t="n">
        <v>340</v>
      </c>
      <c r="C347" t="inlineStr">
        <is>
          <t>R0112005</t>
        </is>
      </c>
      <c r="D347" t="inlineStr">
        <is>
          <t>1780 E 66TH AVE</t>
        </is>
      </c>
      <c r="E347" t="n">
        <v>334</v>
      </c>
      <c r="G347" t="inlineStr">
        <is>
          <t>5</t>
        </is>
      </c>
      <c r="H347" s="703">
        <f>Y347/J347</f>
        <v/>
      </c>
      <c r="I347" s="704" t="n">
        <v>44399</v>
      </c>
      <c r="J347" t="n">
        <v>49054</v>
      </c>
      <c r="L347" t="n">
        <v>49054</v>
      </c>
      <c r="M347" t="n">
        <v>1999</v>
      </c>
      <c r="P347" t="inlineStr">
        <is>
          <t>Planned Unit Development</t>
        </is>
      </c>
      <c r="R347" t="inlineStr">
        <is>
          <t>Average</t>
        </is>
      </c>
      <c r="S347" t="n">
        <v>87555.60159999999</v>
      </c>
      <c r="T347" s="119">
        <f>S347/J347</f>
        <v/>
      </c>
      <c r="U347" t="inlineStr">
        <is>
          <t>Average</t>
        </is>
      </c>
      <c r="Y347" t="n">
        <v>6323500</v>
      </c>
      <c r="AA347" t="n">
        <v>6323500</v>
      </c>
      <c r="AC347" t="inlineStr">
        <is>
          <t>0182502403033</t>
        </is>
      </c>
      <c r="AD347" t="inlineStr">
        <is>
          <t>2021000090265</t>
        </is>
      </c>
      <c r="AE347" s="575" t="inlineStr">
        <is>
          <t>TRUSTILE DOORS LLC</t>
        </is>
      </c>
      <c r="AF347" s="575" t="inlineStr">
        <is>
          <t>GWP LLC</t>
        </is>
      </c>
      <c r="AI347" s="59">
        <f>IF(AND($E347=Subj_OccCode,Subj_BldgSF&gt;0,ABS($L347-Subj_BldgSF)&lt;=Subj_BldgSF*Subj_SizeTol),ABS($L347-Subj_BldgSF),NA())</f>
        <v/>
      </c>
      <c r="AJ347" s="93">
        <f>IF(ISNA(AI347),NA(),AI347+ROW()/10000000)</f>
        <v/>
      </c>
      <c r="AK347">
        <f>IF(AND(ISNUMBER($N347),$N347&gt;0,ISNUMBER($Y347)),$Y347/$N347,"")</f>
        <v/>
      </c>
      <c r="AL347" s="93" t="n"/>
      <c r="AM347" s="93" t="n"/>
      <c r="AN347" s="93" t="n"/>
    </row>
    <row r="348" ht="15" customHeight="1" s="518">
      <c r="A348" s="123" t="n">
        <v>8</v>
      </c>
      <c r="B348" s="59" t="n">
        <v>341</v>
      </c>
      <c r="C348" t="inlineStr">
        <is>
          <t>R0104136</t>
        </is>
      </c>
      <c r="D348" t="inlineStr">
        <is>
          <t>5270  FOX ST</t>
        </is>
      </c>
      <c r="E348" t="n">
        <v>407</v>
      </c>
      <c r="G348" t="inlineStr">
        <is>
          <t>5</t>
        </is>
      </c>
      <c r="H348" s="703">
        <f>Y348/J348</f>
        <v/>
      </c>
      <c r="I348" s="704" t="n">
        <v>44358</v>
      </c>
      <c r="J348" t="n">
        <v>130296</v>
      </c>
      <c r="L348" t="n">
        <v>130296</v>
      </c>
      <c r="M348" t="n">
        <v>1969</v>
      </c>
      <c r="P348" t="inlineStr">
        <is>
          <t>Industrial</t>
        </is>
      </c>
      <c r="R348" t="inlineStr">
        <is>
          <t>Average</t>
        </is>
      </c>
      <c r="S348" t="n">
        <v>217800</v>
      </c>
      <c r="T348" s="119">
        <f>S348/J348</f>
        <v/>
      </c>
      <c r="U348" t="inlineStr">
        <is>
          <t>Average</t>
        </is>
      </c>
      <c r="Y348" t="n">
        <v>11950000</v>
      </c>
      <c r="AA348" t="n">
        <v>11950000</v>
      </c>
      <c r="AC348" t="inlineStr">
        <is>
          <t>0182515206003</t>
        </is>
      </c>
      <c r="AD348" t="inlineStr">
        <is>
          <t>2021000071484</t>
        </is>
      </c>
      <c r="AE348" s="575" t="inlineStr">
        <is>
          <t>5180-5270 FOX PROPERTY OWNER LLC</t>
        </is>
      </c>
      <c r="AF348" s="575" t="inlineStr">
        <is>
          <t>ABARCA TEN LLC</t>
        </is>
      </c>
      <c r="AI348" s="59">
        <f>IF(AND($E348=Subj_OccCode,Subj_BldgSF&gt;0,ABS($L348-Subj_BldgSF)&lt;=Subj_BldgSF*Subj_SizeTol),ABS($L348-Subj_BldgSF),NA())</f>
        <v/>
      </c>
      <c r="AJ348" s="93">
        <f>IF(ISNA(AI348),NA(),AI348+ROW()/10000000)</f>
        <v/>
      </c>
      <c r="AK348">
        <f>IF(AND(ISNUMBER($N348),$N348&gt;0,ISNUMBER($Y348)),$Y348/$N348,"")</f>
        <v/>
      </c>
      <c r="AL348" s="93" t="n"/>
      <c r="AM348" s="93" t="n"/>
      <c r="AN348" s="93" t="n"/>
    </row>
    <row r="349" ht="15" customHeight="1" s="518">
      <c r="A349" s="123" t="n">
        <v>8</v>
      </c>
      <c r="B349" s="59" t="n">
        <v>342</v>
      </c>
      <c r="C349" t="inlineStr">
        <is>
          <t>R0085792</t>
        </is>
      </c>
      <c r="D349" t="inlineStr">
        <is>
          <t>2200 N CHAMBERS RD</t>
        </is>
      </c>
      <c r="E349" t="n">
        <v>425</v>
      </c>
      <c r="F349" t="inlineStr">
        <is>
          <t>AURORA</t>
        </is>
      </c>
      <c r="G349" t="inlineStr">
        <is>
          <t>6</t>
        </is>
      </c>
      <c r="H349" s="703">
        <f>Y349/J349</f>
        <v/>
      </c>
      <c r="I349" s="704" t="n">
        <v>44040</v>
      </c>
      <c r="J349" t="n">
        <v>1500</v>
      </c>
      <c r="L349" t="n">
        <v>1500</v>
      </c>
      <c r="M349" t="n">
        <v>1984</v>
      </c>
      <c r="P349" t="inlineStr">
        <is>
          <t>M-1-Aur</t>
        </is>
      </c>
      <c r="R349" t="inlineStr">
        <is>
          <t>Good</t>
        </is>
      </c>
      <c r="S349" t="n">
        <v>5227</v>
      </c>
      <c r="T349" s="119">
        <f>S349/J349</f>
        <v/>
      </c>
      <c r="U349" t="inlineStr">
        <is>
          <t>Average</t>
        </is>
      </c>
      <c r="Y349" t="n">
        <v>212000</v>
      </c>
      <c r="AA349" t="n">
        <v>212000</v>
      </c>
      <c r="AC349" t="inlineStr">
        <is>
          <t>0182132008008</t>
        </is>
      </c>
      <c r="AD349" t="inlineStr">
        <is>
          <t>2020000073933</t>
        </is>
      </c>
      <c r="AE349" s="575" t="inlineStr">
        <is>
          <t>JPJ ENTERPRISES LLC</t>
        </is>
      </c>
      <c r="AF349" s="575" t="inlineStr">
        <is>
          <t>SCHWARTZ JOSH JON</t>
        </is>
      </c>
      <c r="AI349" s="59">
        <f>IF(AND($E349=Subj_OccCode,Subj_BldgSF&gt;0,ABS($L349-Subj_BldgSF)&lt;=Subj_BldgSF*Subj_SizeTol),ABS($L349-Subj_BldgSF),NA())</f>
        <v/>
      </c>
      <c r="AJ349" s="93">
        <f>IF(ISNA(AI349),NA(),AI349+ROW()/10000000)</f>
        <v/>
      </c>
      <c r="AK349">
        <f>IF(AND(ISNUMBER($N349),$N349&gt;0,ISNUMBER($Y349)),$Y349/$N349,"")</f>
        <v/>
      </c>
      <c r="AL349" s="93" t="n"/>
      <c r="AM349" s="93" t="n"/>
      <c r="AN349" s="93" t="n"/>
    </row>
    <row r="350" ht="15" customHeight="1" s="518">
      <c r="A350" s="123" t="n">
        <v>8</v>
      </c>
      <c r="B350" s="59" t="n">
        <v>343</v>
      </c>
      <c r="C350" t="inlineStr">
        <is>
          <t>R0094484</t>
        </is>
      </c>
      <c r="D350" t="inlineStr">
        <is>
          <t>9655 E 25TH AVE #105</t>
        </is>
      </c>
      <c r="E350" t="n">
        <v>425</v>
      </c>
      <c r="F350" t="inlineStr">
        <is>
          <t>AURORA</t>
        </is>
      </c>
      <c r="G350" t="inlineStr">
        <is>
          <t>6</t>
        </is>
      </c>
      <c r="H350" s="703">
        <f>Y350/J350</f>
        <v/>
      </c>
      <c r="I350" s="704" t="n">
        <v>44712</v>
      </c>
      <c r="J350" t="n">
        <v>1472</v>
      </c>
      <c r="L350" t="n">
        <v>1472</v>
      </c>
      <c r="M350" t="n">
        <v>1984</v>
      </c>
      <c r="P350" t="inlineStr">
        <is>
          <t>OA-G</t>
        </is>
      </c>
      <c r="R350" t="inlineStr">
        <is>
          <t>Average</t>
        </is>
      </c>
      <c r="S350" t="n">
        <v>5095</v>
      </c>
      <c r="T350" s="119">
        <f>S350/J350</f>
        <v/>
      </c>
      <c r="U350" t="inlineStr">
        <is>
          <t>Average</t>
        </is>
      </c>
      <c r="Y350" t="n">
        <v>400000</v>
      </c>
      <c r="AA350" t="n">
        <v>400000</v>
      </c>
      <c r="AC350" t="inlineStr">
        <is>
          <t>0182334201028</t>
        </is>
      </c>
      <c r="AD350" t="inlineStr">
        <is>
          <t>2022000048122</t>
        </is>
      </c>
      <c r="AE350" s="575" t="inlineStr">
        <is>
          <t>9655 E 25TH LLC</t>
        </is>
      </c>
      <c r="AF350" s="575" t="inlineStr">
        <is>
          <t>14195 MOUNTVIEW BLVD PARTNERS LLC</t>
        </is>
      </c>
      <c r="AI350" s="59">
        <f>IF(AND($E350=Subj_OccCode,Subj_BldgSF&gt;0,ABS($L350-Subj_BldgSF)&lt;=Subj_BldgSF*Subj_SizeTol),ABS($L350-Subj_BldgSF),NA())</f>
        <v/>
      </c>
      <c r="AJ350" s="93">
        <f>IF(ISNA(AI350),NA(),AI350+ROW()/10000000)</f>
        <v/>
      </c>
      <c r="AK350">
        <f>IF(AND(ISNUMBER($N350),$N350&gt;0,ISNUMBER($Y350)),$Y350/$N350,"")</f>
        <v/>
      </c>
      <c r="AL350" s="93" t="n"/>
      <c r="AM350" s="93" t="n"/>
      <c r="AN350" s="93" t="n"/>
    </row>
    <row r="351" ht="15" customHeight="1" s="518">
      <c r="A351" s="123" t="n">
        <v>8</v>
      </c>
      <c r="B351" s="59" t="n">
        <v>344</v>
      </c>
      <c r="C351" t="inlineStr">
        <is>
          <t>R0068500</t>
        </is>
      </c>
      <c r="D351" t="inlineStr">
        <is>
          <t>7305  PECOS ST</t>
        </is>
      </c>
      <c r="E351" t="n">
        <v>340</v>
      </c>
      <c r="G351" t="inlineStr">
        <is>
          <t>1</t>
        </is>
      </c>
      <c r="H351" s="703">
        <f>Y351/J351</f>
        <v/>
      </c>
      <c r="I351" s="704" t="n">
        <v>43367</v>
      </c>
      <c r="J351" t="n">
        <v>30700</v>
      </c>
      <c r="L351" t="n">
        <v>30700</v>
      </c>
      <c r="M351" t="n">
        <v>2002</v>
      </c>
      <c r="P351" t="inlineStr">
        <is>
          <t>Commercial</t>
        </is>
      </c>
      <c r="R351" t="inlineStr">
        <is>
          <t>Average</t>
        </is>
      </c>
      <c r="S351" t="n">
        <v>88718</v>
      </c>
      <c r="T351" s="119">
        <f>S351/J351</f>
        <v/>
      </c>
      <c r="U351" t="inlineStr">
        <is>
          <t>Good</t>
        </is>
      </c>
      <c r="Y351" t="n">
        <v>4225000</v>
      </c>
      <c r="AA351" t="n">
        <v>4225000</v>
      </c>
      <c r="AC351" t="inlineStr">
        <is>
          <t>0171933307024</t>
        </is>
      </c>
      <c r="AD351" t="inlineStr">
        <is>
          <t>2018000078584</t>
        </is>
      </c>
      <c r="AE351" s="575" t="inlineStr">
        <is>
          <t>WEJ LLC</t>
        </is>
      </c>
      <c r="AF351" s="575" t="inlineStr">
        <is>
          <t>WAGERS PROPERTIES LLC</t>
        </is>
      </c>
      <c r="AI351" s="59">
        <f>IF(AND($E351=Subj_OccCode,Subj_BldgSF&gt;0,ABS($L351-Subj_BldgSF)&lt;=Subj_BldgSF*Subj_SizeTol),ABS($L351-Subj_BldgSF),NA())</f>
        <v/>
      </c>
      <c r="AJ351" s="93">
        <f>IF(ISNA(AI351),NA(),AI351+ROW()/10000000)</f>
        <v/>
      </c>
      <c r="AK351">
        <f>IF(AND(ISNUMBER($N351),$N351&gt;0,ISNUMBER($Y351)),$Y351/$N351,"")</f>
        <v/>
      </c>
      <c r="AL351" s="93" t="n"/>
      <c r="AM351" s="93" t="n"/>
      <c r="AN351" s="93" t="n"/>
    </row>
    <row r="352" ht="15" customHeight="1" s="518">
      <c r="A352" s="123" t="n">
        <v>8</v>
      </c>
      <c r="B352" s="59" t="n">
        <v>345</v>
      </c>
      <c r="C352" t="inlineStr">
        <is>
          <t>R0100904</t>
        </is>
      </c>
      <c r="D352" t="inlineStr">
        <is>
          <t>7125  NEWTON ST</t>
        </is>
      </c>
      <c r="E352" t="n">
        <v>406</v>
      </c>
      <c r="F352" t="inlineStr">
        <is>
          <t>WESTMINSTER</t>
        </is>
      </c>
      <c r="G352" t="inlineStr">
        <is>
          <t>4</t>
        </is>
      </c>
      <c r="H352" s="703">
        <f>Y352/J352</f>
        <v/>
      </c>
      <c r="I352" s="704" t="n">
        <v>43902</v>
      </c>
      <c r="J352" t="n">
        <v>8850</v>
      </c>
      <c r="L352" t="n">
        <v>8850</v>
      </c>
      <c r="M352" t="n">
        <v>1974</v>
      </c>
      <c r="P352" t="inlineStr">
        <is>
          <t>M-1-Wes</t>
        </is>
      </c>
      <c r="R352" t="inlineStr">
        <is>
          <t>Average</t>
        </is>
      </c>
      <c r="S352" t="n">
        <v>23100</v>
      </c>
      <c r="T352" s="119">
        <f>S352/J352</f>
        <v/>
      </c>
      <c r="U352" t="inlineStr">
        <is>
          <t>Average</t>
        </is>
      </c>
      <c r="Y352" t="n">
        <v>1295000</v>
      </c>
      <c r="AA352" t="n">
        <v>1295000</v>
      </c>
      <c r="AC352" t="inlineStr">
        <is>
          <t>0182506108006</t>
        </is>
      </c>
      <c r="AD352" t="inlineStr">
        <is>
          <t>2020000024276</t>
        </is>
      </c>
      <c r="AE352" s="575" t="inlineStr">
        <is>
          <t>STOWERS GEORGETTE I</t>
        </is>
      </c>
      <c r="AF352" s="575" t="inlineStr">
        <is>
          <t>7125 NEWTON ST LLC</t>
        </is>
      </c>
      <c r="AI352" s="59">
        <f>IF(AND($E352=Subj_OccCode,Subj_BldgSF&gt;0,ABS($L352-Subj_BldgSF)&lt;=Subj_BldgSF*Subj_SizeTol),ABS($L352-Subj_BldgSF),NA())</f>
        <v/>
      </c>
      <c r="AJ352" s="93">
        <f>IF(ISNA(AI352),NA(),AI352+ROW()/10000000)</f>
        <v/>
      </c>
      <c r="AK352">
        <f>IF(AND(ISNUMBER($N352),$N352&gt;0,ISNUMBER($Y352)),$Y352/$N352,"")</f>
        <v/>
      </c>
      <c r="AL352" s="93" t="n"/>
      <c r="AM352" s="93" t="n"/>
      <c r="AN352" s="93" t="n"/>
    </row>
    <row r="353" ht="15" customHeight="1" s="518">
      <c r="A353" s="123" t="n">
        <v>8</v>
      </c>
      <c r="B353" s="59" t="n">
        <v>346</v>
      </c>
      <c r="C353" t="inlineStr">
        <is>
          <t>R0132006</t>
        </is>
      </c>
      <c r="D353" t="inlineStr">
        <is>
          <t>12021  PENNSYLVANIA ST #206</t>
        </is>
      </c>
      <c r="E353" t="n">
        <v>1344</v>
      </c>
      <c r="F353" t="inlineStr">
        <is>
          <t>THORNTON</t>
        </is>
      </c>
      <c r="G353" t="inlineStr">
        <is>
          <t>3</t>
        </is>
      </c>
      <c r="H353" s="703">
        <f>Y353/J353</f>
        <v/>
      </c>
      <c r="I353" s="704" t="n">
        <v>44557</v>
      </c>
      <c r="J353" t="n">
        <v>1440</v>
      </c>
      <c r="L353" t="n">
        <v>1440</v>
      </c>
      <c r="M353" t="n">
        <v>2000</v>
      </c>
      <c r="P353" t="inlineStr">
        <is>
          <t>Regional Commercial</t>
        </is>
      </c>
      <c r="R353" t="inlineStr">
        <is>
          <t>Average</t>
        </is>
      </c>
      <c r="S353" t="n">
        <v>3838.69</v>
      </c>
      <c r="T353" s="119">
        <f>S353/J353</f>
        <v/>
      </c>
      <c r="U353" t="inlineStr">
        <is>
          <t>Average</t>
        </is>
      </c>
      <c r="Y353" t="n">
        <v>275000</v>
      </c>
      <c r="AA353" t="n">
        <v>275000</v>
      </c>
      <c r="AC353" t="inlineStr">
        <is>
          <t>0157334401018</t>
        </is>
      </c>
      <c r="AD353" t="inlineStr">
        <is>
          <t>2021000150792</t>
        </is>
      </c>
      <c r="AE353" s="575" t="inlineStr">
        <is>
          <t>COLORADO DISTRICT OF THE, CHURCH OF THE NAZARENE</t>
        </is>
      </c>
      <c r="AF353" s="575" t="inlineStr">
        <is>
          <t>GRAND PROPERTIES CO LLC</t>
        </is>
      </c>
      <c r="AI353" s="59">
        <f>IF(AND($E353=Subj_OccCode,Subj_BldgSF&gt;0,ABS($L353-Subj_BldgSF)&lt;=Subj_BldgSF*Subj_SizeTol),ABS($L353-Subj_BldgSF),NA())</f>
        <v/>
      </c>
      <c r="AJ353" s="93">
        <f>IF(ISNA(AI353),NA(),AI353+ROW()/10000000)</f>
        <v/>
      </c>
      <c r="AK353">
        <f>IF(AND(ISNUMBER($N353),$N353&gt;0,ISNUMBER($Y353)),$Y353/$N353,"")</f>
        <v/>
      </c>
      <c r="AL353" s="93" t="n"/>
      <c r="AM353" s="93" t="n"/>
      <c r="AN353" s="93" t="n"/>
    </row>
    <row r="354" ht="15" customHeight="1" s="518">
      <c r="A354" s="123" t="n">
        <v>8</v>
      </c>
      <c r="B354" s="59" t="n">
        <v>347</v>
      </c>
      <c r="C354" t="inlineStr">
        <is>
          <t>R0124482</t>
        </is>
      </c>
      <c r="D354" t="inlineStr">
        <is>
          <t>631 E 120TH AVE</t>
        </is>
      </c>
      <c r="E354" t="n">
        <v>325</v>
      </c>
      <c r="F354" t="inlineStr">
        <is>
          <t>THORNTON</t>
        </is>
      </c>
      <c r="G354" t="inlineStr">
        <is>
          <t>3</t>
        </is>
      </c>
      <c r="H354" s="703">
        <f>Y354/J354</f>
        <v/>
      </c>
      <c r="I354" s="704" t="n">
        <v>43698</v>
      </c>
      <c r="J354" t="n">
        <v>16000</v>
      </c>
      <c r="L354" t="n">
        <v>16000</v>
      </c>
      <c r="M354" t="n">
        <v>2002</v>
      </c>
      <c r="P354" t="inlineStr">
        <is>
          <t>Regional Commercial</t>
        </is>
      </c>
      <c r="R354" t="inlineStr">
        <is>
          <t>Good</t>
        </is>
      </c>
      <c r="S354" t="n">
        <v>104463</v>
      </c>
      <c r="T354" s="119">
        <f>S354/J354</f>
        <v/>
      </c>
      <c r="U354" t="inlineStr">
        <is>
          <t>Average</t>
        </is>
      </c>
      <c r="Y354" t="n">
        <v>3758000</v>
      </c>
      <c r="AA354" t="n">
        <v>3758000</v>
      </c>
      <c r="AC354" t="inlineStr">
        <is>
          <t>0157334402001</t>
        </is>
      </c>
      <c r="AD354" t="inlineStr">
        <is>
          <t>2019000068346</t>
        </is>
      </c>
      <c r="AE354" s="575" t="inlineStr">
        <is>
          <t xml:space="preserve">STERLING-THORNTON CO LLC,  </t>
        </is>
      </c>
      <c r="AF354" s="575" t="inlineStr">
        <is>
          <t>SHIN YONG SIN TRUSTEE OF , THE YONG S SHIN LIVING TRUST</t>
        </is>
      </c>
      <c r="AI354" s="59">
        <f>IF(AND($E354=Subj_OccCode,Subj_BldgSF&gt;0,ABS($L354-Subj_BldgSF)&lt;=Subj_BldgSF*Subj_SizeTol),ABS($L354-Subj_BldgSF),NA())</f>
        <v/>
      </c>
      <c r="AJ354" s="93">
        <f>IF(ISNA(AI354),NA(),AI354+ROW()/10000000)</f>
        <v/>
      </c>
      <c r="AK354">
        <f>IF(AND(ISNUMBER($N354),$N354&gt;0,ISNUMBER($Y354)),$Y354/$N354,"")</f>
        <v/>
      </c>
      <c r="AL354" s="93" t="n"/>
      <c r="AM354" s="93" t="n"/>
      <c r="AN354" s="93" t="n"/>
    </row>
    <row r="355" ht="15" customHeight="1" s="518">
      <c r="A355" s="123" t="n">
        <v>8</v>
      </c>
      <c r="B355" s="59" t="n">
        <v>348</v>
      </c>
      <c r="C355" t="inlineStr">
        <is>
          <t>R0008999</t>
        </is>
      </c>
      <c r="D355" t="inlineStr">
        <is>
          <t>14465 DAHLIA ST</t>
        </is>
      </c>
      <c r="E355" t="n">
        <v>404</v>
      </c>
      <c r="G355" t="inlineStr">
        <is>
          <t>3</t>
        </is>
      </c>
      <c r="H355" s="703">
        <f>Y355/J355</f>
        <v/>
      </c>
      <c r="I355" s="704" t="n">
        <v>43636</v>
      </c>
      <c r="J355" t="n">
        <v>924</v>
      </c>
      <c r="L355" t="n">
        <v>924</v>
      </c>
      <c r="M355" t="n">
        <v>1955</v>
      </c>
      <c r="P355" t="inlineStr">
        <is>
          <t>Agricultural</t>
        </is>
      </c>
      <c r="R355" t="inlineStr">
        <is>
          <t>Low</t>
        </is>
      </c>
      <c r="S355" t="n">
        <v>12197</v>
      </c>
      <c r="T355" s="119">
        <f>S355/J355</f>
        <v/>
      </c>
      <c r="U355" t="inlineStr">
        <is>
          <t>Low</t>
        </is>
      </c>
      <c r="Y355" t="n">
        <v>40000</v>
      </c>
      <c r="AA355" t="n">
        <v>40000</v>
      </c>
      <c r="AC355" t="inlineStr">
        <is>
          <t>0157118000005</t>
        </is>
      </c>
      <c r="AD355" t="inlineStr">
        <is>
          <t>2019000047926</t>
        </is>
      </c>
      <c r="AE355" s="575" t="inlineStr">
        <is>
          <t>MC CLANE MELVIN G AND, MC CLANE DOROTHY N</t>
        </is>
      </c>
      <c r="AF355" s="575" t="inlineStr">
        <is>
          <t>SEIBERT SCOTT A</t>
        </is>
      </c>
      <c r="AI355" s="59">
        <f>IF(AND($E355=Subj_OccCode,Subj_BldgSF&gt;0,ABS($L355-Subj_BldgSF)&lt;=Subj_BldgSF*Subj_SizeTol),ABS($L355-Subj_BldgSF),NA())</f>
        <v/>
      </c>
      <c r="AJ355" s="93">
        <f>IF(ISNA(AI355),NA(),AI355+ROW()/10000000)</f>
        <v/>
      </c>
      <c r="AK355">
        <f>IF(AND(ISNUMBER($N355),$N355&gt;0,ISNUMBER($Y355)),$Y355/$N355,"")</f>
        <v/>
      </c>
      <c r="AL355" s="93" t="n"/>
      <c r="AM355" s="93" t="n"/>
      <c r="AN355" s="93" t="n"/>
    </row>
    <row r="356" ht="15" customHeight="1" s="518">
      <c r="A356" s="123" t="n">
        <v>8</v>
      </c>
      <c r="B356" s="59" t="n">
        <v>349</v>
      </c>
      <c r="C356" t="inlineStr">
        <is>
          <t>R0090931</t>
        </is>
      </c>
      <c r="D356" t="inlineStr">
        <is>
          <t>6255  DEXTER ST</t>
        </is>
      </c>
      <c r="E356" t="n">
        <v>407</v>
      </c>
      <c r="F356" t="inlineStr">
        <is>
          <t>COMMERCE CITY</t>
        </is>
      </c>
      <c r="G356" t="inlineStr">
        <is>
          <t>5</t>
        </is>
      </c>
      <c r="H356" s="703">
        <f>Y356/J356</f>
        <v/>
      </c>
      <c r="I356" s="704" t="n">
        <v>44232</v>
      </c>
      <c r="J356" t="n">
        <v>30434</v>
      </c>
      <c r="L356" t="n">
        <v>30434</v>
      </c>
      <c r="M356" t="n">
        <v>1951</v>
      </c>
      <c r="P356" t="inlineStr">
        <is>
          <t>I-3-Com</t>
        </is>
      </c>
      <c r="R356" t="inlineStr">
        <is>
          <t>Average</t>
        </is>
      </c>
      <c r="S356" t="n">
        <v>161608</v>
      </c>
      <c r="T356" s="119">
        <f>S356/J356</f>
        <v/>
      </c>
      <c r="U356" t="inlineStr">
        <is>
          <t>Average</t>
        </is>
      </c>
      <c r="Y356" t="n">
        <v>3625000</v>
      </c>
      <c r="AA356" t="n">
        <v>3625000</v>
      </c>
      <c r="AC356" t="inlineStr">
        <is>
          <t>0182307200018</t>
        </is>
      </c>
      <c r="AD356" t="inlineStr">
        <is>
          <t>2021000016133</t>
        </is>
      </c>
      <c r="AE356" s="575" t="inlineStr">
        <is>
          <t>RICHARDS AND DEXTER LLC</t>
        </is>
      </c>
      <c r="AF356" s="575" t="inlineStr">
        <is>
          <t>CAH CO COMMERCE CITY LLC</t>
        </is>
      </c>
      <c r="AI356" s="59">
        <f>IF(AND($E356=Subj_OccCode,Subj_BldgSF&gt;0,ABS($L356-Subj_BldgSF)&lt;=Subj_BldgSF*Subj_SizeTol),ABS($L356-Subj_BldgSF),NA())</f>
        <v/>
      </c>
      <c r="AJ356" s="93">
        <f>IF(ISNA(AI356),NA(),AI356+ROW()/10000000)</f>
        <v/>
      </c>
      <c r="AK356">
        <f>IF(AND(ISNUMBER($N356),$N356&gt;0,ISNUMBER($Y356)),$Y356/$N356,"")</f>
        <v/>
      </c>
      <c r="AL356" s="93" t="n"/>
      <c r="AM356" s="93" t="n"/>
      <c r="AN356" s="93" t="n"/>
    </row>
    <row r="357" ht="15" customHeight="1" s="518">
      <c r="A357" s="123" t="n">
        <v>8</v>
      </c>
      <c r="B357" s="59" t="n">
        <v>350</v>
      </c>
      <c r="C357" t="inlineStr">
        <is>
          <t>R0089808</t>
        </is>
      </c>
      <c r="D357" t="inlineStr">
        <is>
          <t xml:space="preserve">6872  HIGHWAY 2 </t>
        </is>
      </c>
      <c r="E357" t="n">
        <v>325</v>
      </c>
      <c r="F357" t="inlineStr">
        <is>
          <t>COMMERCE CITY</t>
        </is>
      </c>
      <c r="G357" t="inlineStr">
        <is>
          <t>5</t>
        </is>
      </c>
      <c r="H357" s="703">
        <f>Y357/J357</f>
        <v/>
      </c>
      <c r="I357" s="704" t="n">
        <v>44376</v>
      </c>
      <c r="J357" t="n">
        <v>3063</v>
      </c>
      <c r="L357" t="n">
        <v>3063</v>
      </c>
      <c r="M357" t="n">
        <v>1951</v>
      </c>
      <c r="P357" t="inlineStr">
        <is>
          <t>C-3-Com</t>
        </is>
      </c>
      <c r="R357" t="inlineStr">
        <is>
          <t>Average</t>
        </is>
      </c>
      <c r="S357" t="n">
        <v>21971</v>
      </c>
      <c r="T357" s="119">
        <f>S357/J357</f>
        <v/>
      </c>
      <c r="U357" t="inlineStr">
        <is>
          <t>Average</t>
        </is>
      </c>
      <c r="Y357" t="n">
        <v>649750</v>
      </c>
      <c r="AA357" t="n">
        <v>649750</v>
      </c>
      <c r="AC357" t="inlineStr">
        <is>
          <t>0182306118001</t>
        </is>
      </c>
      <c r="AD357" t="inlineStr">
        <is>
          <t>2021000079462</t>
        </is>
      </c>
      <c r="AE357" s="575" t="inlineStr">
        <is>
          <t>FEHR MATTHEW W</t>
        </is>
      </c>
      <c r="AF357" s="575" t="inlineStr">
        <is>
          <t>6872 HWY 2 LLC</t>
        </is>
      </c>
      <c r="AI357" s="59">
        <f>IF(AND($E357=Subj_OccCode,Subj_BldgSF&gt;0,ABS($L357-Subj_BldgSF)&lt;=Subj_BldgSF*Subj_SizeTol),ABS($L357-Subj_BldgSF),NA())</f>
        <v/>
      </c>
      <c r="AJ357" s="93">
        <f>IF(ISNA(AI357),NA(),AI357+ROW()/10000000)</f>
        <v/>
      </c>
      <c r="AK357">
        <f>IF(AND(ISNUMBER($N357),$N357&gt;0,ISNUMBER($Y357)),$Y357/$N357,"")</f>
        <v/>
      </c>
      <c r="AL357" s="93" t="n"/>
      <c r="AM357" s="93" t="n"/>
      <c r="AN357" s="93" t="n"/>
    </row>
    <row r="358" ht="15" customHeight="1" s="518">
      <c r="A358" s="123" t="n">
        <v>8</v>
      </c>
      <c r="B358" s="59" t="n">
        <v>351</v>
      </c>
      <c r="C358" t="inlineStr">
        <is>
          <t>R0090948</t>
        </is>
      </c>
      <c r="D358" t="inlineStr">
        <is>
          <t>4407 E 60TH AVE</t>
        </is>
      </c>
      <c r="E358" t="n">
        <v>406</v>
      </c>
      <c r="F358" t="inlineStr">
        <is>
          <t>COMMERCE CITY</t>
        </is>
      </c>
      <c r="G358" t="inlineStr">
        <is>
          <t>5</t>
        </is>
      </c>
      <c r="H358" s="703">
        <f>Y358/J358</f>
        <v/>
      </c>
      <c r="I358" s="704" t="n">
        <v>44284</v>
      </c>
      <c r="J358" t="n">
        <v>3328</v>
      </c>
      <c r="L358" t="n">
        <v>3328</v>
      </c>
      <c r="M358" t="n">
        <v>1965</v>
      </c>
      <c r="P358" t="inlineStr">
        <is>
          <t>I-3-Com</t>
        </is>
      </c>
      <c r="R358" t="inlineStr">
        <is>
          <t>Average</t>
        </is>
      </c>
      <c r="S358" t="n">
        <v>105415.2</v>
      </c>
      <c r="T358" s="119">
        <f>S358/J358</f>
        <v/>
      </c>
      <c r="U358" t="inlineStr">
        <is>
          <t>Average</t>
        </is>
      </c>
      <c r="Y358" t="n">
        <v>1600000</v>
      </c>
      <c r="AA358" t="n">
        <v>1600000</v>
      </c>
      <c r="AC358" t="inlineStr">
        <is>
          <t>0182307200048</t>
        </is>
      </c>
      <c r="AD358" t="inlineStr">
        <is>
          <t>2021000038243</t>
        </is>
      </c>
      <c r="AE358" s="575" t="inlineStr">
        <is>
          <t>MC CALLIN REAL ESTATE LLC</t>
        </is>
      </c>
      <c r="AF358" s="575" t="inlineStr">
        <is>
          <t>DCPS REAL ESTATE CLERMONT LLC</t>
        </is>
      </c>
      <c r="AI358" s="59">
        <f>IF(AND($E358=Subj_OccCode,Subj_BldgSF&gt;0,ABS($L358-Subj_BldgSF)&lt;=Subj_BldgSF*Subj_SizeTol),ABS($L358-Subj_BldgSF),NA())</f>
        <v/>
      </c>
      <c r="AJ358" s="93">
        <f>IF(ISNA(AI358),NA(),AI358+ROW()/10000000)</f>
        <v/>
      </c>
      <c r="AK358">
        <f>IF(AND(ISNUMBER($N358),$N358&gt;0,ISNUMBER($Y358)),$Y358/$N358,"")</f>
        <v/>
      </c>
      <c r="AL358" s="93" t="n"/>
      <c r="AM358" s="93" t="n"/>
      <c r="AN358" s="93" t="n"/>
    </row>
    <row r="359" ht="15" customHeight="1" s="518">
      <c r="A359" s="123" t="n">
        <v>8</v>
      </c>
      <c r="B359" s="59" t="n">
        <v>352</v>
      </c>
      <c r="C359" t="inlineStr">
        <is>
          <t>R0112112</t>
        </is>
      </c>
      <c r="D359" t="inlineStr">
        <is>
          <t>7500  WASHINTON ST</t>
        </is>
      </c>
      <c r="E359" t="n">
        <v>344</v>
      </c>
      <c r="G359" t="inlineStr">
        <is>
          <t>5</t>
        </is>
      </c>
      <c r="H359" s="703">
        <f>Y359/J359</f>
        <v/>
      </c>
      <c r="I359" s="704" t="n">
        <v>44127</v>
      </c>
      <c r="J359" t="n">
        <v>780</v>
      </c>
      <c r="L359" t="n">
        <v>780</v>
      </c>
      <c r="M359" t="n">
        <v>1907</v>
      </c>
      <c r="P359" t="inlineStr">
        <is>
          <t>Industrial</t>
        </is>
      </c>
      <c r="R359" t="inlineStr">
        <is>
          <t>Fair</t>
        </is>
      </c>
      <c r="S359" t="n">
        <v>209423.8</v>
      </c>
      <c r="T359" s="119">
        <f>S359/J359</f>
        <v/>
      </c>
      <c r="U359" t="inlineStr">
        <is>
          <t>Average</t>
        </is>
      </c>
      <c r="Y359" t="n">
        <v>2300000</v>
      </c>
      <c r="AA359" t="n">
        <v>2300000</v>
      </c>
      <c r="AC359" t="inlineStr">
        <is>
          <t>0171935301037</t>
        </is>
      </c>
      <c r="AD359" t="inlineStr">
        <is>
          <t>2020000109210</t>
        </is>
      </c>
      <c r="AE359" s="575" t="inlineStr">
        <is>
          <t>FRANKLIN L SACCOMANNO FAMILY TRUST ET AL 1/2 INT AND, VENEY CYNTHIA 1/4 I et al.</t>
        </is>
      </c>
      <c r="AF359" s="575" t="inlineStr">
        <is>
          <t>IN SELF STORAGE 24 LLC</t>
        </is>
      </c>
      <c r="AI359" s="59">
        <f>IF(AND($E359=Subj_OccCode,Subj_BldgSF&gt;0,ABS($L359-Subj_BldgSF)&lt;=Subj_BldgSF*Subj_SizeTol),ABS($L359-Subj_BldgSF),NA())</f>
        <v/>
      </c>
      <c r="AJ359" s="93">
        <f>IF(ISNA(AI359),NA(),AI359+ROW()/10000000)</f>
        <v/>
      </c>
      <c r="AK359">
        <f>IF(AND(ISNUMBER($N359),$N359&gt;0,ISNUMBER($Y359)),$Y359/$N359,"")</f>
        <v/>
      </c>
      <c r="AL359" s="93" t="n"/>
      <c r="AM359" s="93" t="n"/>
      <c r="AN359" s="93" t="n"/>
    </row>
    <row r="360" ht="15" customHeight="1" s="518">
      <c r="A360" s="123" t="n">
        <v>8</v>
      </c>
      <c r="B360" s="59" t="n">
        <v>353</v>
      </c>
      <c r="C360" t="inlineStr">
        <is>
          <t>R0150320</t>
        </is>
      </c>
      <c r="D360" t="inlineStr">
        <is>
          <t>9690  DALLAS ST #L</t>
        </is>
      </c>
      <c r="E360" t="n">
        <v>425</v>
      </c>
      <c r="G360" t="inlineStr">
        <is>
          <t>5</t>
        </is>
      </c>
      <c r="H360" s="703">
        <f>Y360/J360</f>
        <v/>
      </c>
      <c r="I360" s="704" t="n">
        <v>44631</v>
      </c>
      <c r="J360" t="n">
        <v>2500</v>
      </c>
      <c r="L360" t="n">
        <v>2500</v>
      </c>
      <c r="M360" t="n">
        <v>2001</v>
      </c>
      <c r="P360" t="inlineStr">
        <is>
          <t>I-3-Com</t>
        </is>
      </c>
      <c r="R360" t="inlineStr">
        <is>
          <t>Average</t>
        </is>
      </c>
      <c r="S360" t="n">
        <v>14885</v>
      </c>
      <c r="T360" s="119">
        <f>S360/J360</f>
        <v/>
      </c>
      <c r="U360" t="inlineStr">
        <is>
          <t>Average</t>
        </is>
      </c>
      <c r="Y360" t="n">
        <v>525000</v>
      </c>
      <c r="AA360" t="n">
        <v>525000</v>
      </c>
      <c r="AC360" t="inlineStr">
        <is>
          <t>0172115303024</t>
        </is>
      </c>
      <c r="AD360" t="inlineStr">
        <is>
          <t>2022000022642</t>
        </is>
      </c>
      <c r="AE360" s="575" t="inlineStr">
        <is>
          <t>DEL MAR ACCENTS LLC</t>
        </is>
      </c>
      <c r="AF360" s="575" t="inlineStr">
        <is>
          <t>DOMENICO REAL ESTATE PARTNERSHIP II LLLP</t>
        </is>
      </c>
      <c r="AI360" s="59">
        <f>IF(AND($E360=Subj_OccCode,Subj_BldgSF&gt;0,ABS($L360-Subj_BldgSF)&lt;=Subj_BldgSF*Subj_SizeTol),ABS($L360-Subj_BldgSF),NA())</f>
        <v/>
      </c>
      <c r="AJ360" s="93">
        <f>IF(ISNA(AI360),NA(),AI360+ROW()/10000000)</f>
        <v/>
      </c>
      <c r="AK360">
        <f>IF(AND(ISNUMBER($N360),$N360&gt;0,ISNUMBER($Y360)),$Y360/$N360,"")</f>
        <v/>
      </c>
      <c r="AL360" s="93" t="n"/>
      <c r="AM360" s="93" t="n"/>
      <c r="AN360" s="93" t="n"/>
    </row>
    <row r="361" ht="15" customHeight="1" s="518">
      <c r="A361" s="123" t="n">
        <v>8</v>
      </c>
      <c r="B361" s="59" t="n">
        <v>354</v>
      </c>
      <c r="C361" t="inlineStr">
        <is>
          <t>R0178224</t>
        </is>
      </c>
      <c r="D361" t="inlineStr">
        <is>
          <t>9156  BRIGHTON RD</t>
        </is>
      </c>
      <c r="E361" t="n">
        <v>325</v>
      </c>
      <c r="G361" t="inlineStr">
        <is>
          <t>5</t>
        </is>
      </c>
      <c r="H361" s="703">
        <f>Y361/J361</f>
        <v/>
      </c>
      <c r="I361" s="704" t="n">
        <v>43889</v>
      </c>
      <c r="J361" t="n">
        <v>27000</v>
      </c>
      <c r="L361" t="n">
        <v>27000</v>
      </c>
      <c r="M361" t="n">
        <v>2003</v>
      </c>
      <c r="P361" t="inlineStr">
        <is>
          <t>Industrial</t>
        </is>
      </c>
      <c r="R361" t="inlineStr">
        <is>
          <t>Average</t>
        </is>
      </c>
      <c r="S361" t="n">
        <v>182516.4</v>
      </c>
      <c r="T361" s="119">
        <f>S361/J361</f>
        <v/>
      </c>
      <c r="U361" t="inlineStr">
        <is>
          <t>Average</t>
        </is>
      </c>
      <c r="Y361" t="n">
        <v>4642000</v>
      </c>
      <c r="AA361" t="n">
        <v>4642000</v>
      </c>
      <c r="AC361" t="inlineStr">
        <is>
          <t>0172120401004</t>
        </is>
      </c>
      <c r="AD361" t="inlineStr">
        <is>
          <t>2020000019366</t>
        </is>
      </c>
      <c r="AE361" s="575" t="inlineStr">
        <is>
          <t>9156 BRIGHTON ROAD LLC</t>
        </is>
      </c>
      <c r="AF361" s="575" t="inlineStr">
        <is>
          <t>BRINELL PROPERTIES LLC</t>
        </is>
      </c>
      <c r="AI361" s="59">
        <f>IF(AND($E361=Subj_OccCode,Subj_BldgSF&gt;0,ABS($L361-Subj_BldgSF)&lt;=Subj_BldgSF*Subj_SizeTol),ABS($L361-Subj_BldgSF),NA())</f>
        <v/>
      </c>
      <c r="AJ361" s="93">
        <f>IF(ISNA(AI361),NA(),AI361+ROW()/10000000)</f>
        <v/>
      </c>
      <c r="AK361">
        <f>IF(AND(ISNUMBER($N361),$N361&gt;0,ISNUMBER($Y361)),$Y361/$N361,"")</f>
        <v/>
      </c>
      <c r="AL361" s="93" t="n"/>
      <c r="AM361" s="93" t="n"/>
      <c r="AN361" s="93" t="n"/>
    </row>
    <row r="362" ht="15" customHeight="1" s="518">
      <c r="A362" s="123" t="n">
        <v>8</v>
      </c>
      <c r="B362" s="59" t="n">
        <v>355</v>
      </c>
      <c r="C362" t="inlineStr">
        <is>
          <t>R0117231</t>
        </is>
      </c>
      <c r="D362" t="inlineStr">
        <is>
          <t>1861 W 64TH LN</t>
        </is>
      </c>
      <c r="E362" t="n">
        <v>344</v>
      </c>
      <c r="G362" t="inlineStr">
        <is>
          <t>5</t>
        </is>
      </c>
      <c r="H362" s="703">
        <f>Y362/J362</f>
        <v/>
      </c>
      <c r="I362" s="704" t="n">
        <v>44363</v>
      </c>
      <c r="J362" t="n">
        <v>19050</v>
      </c>
      <c r="L362" t="n">
        <v>19050</v>
      </c>
      <c r="M362" t="n">
        <v>2001</v>
      </c>
      <c r="P362" t="inlineStr">
        <is>
          <t>Planned Unit Development</t>
        </is>
      </c>
      <c r="R362" t="inlineStr">
        <is>
          <t>Fair</t>
        </is>
      </c>
      <c r="S362" t="n">
        <v>43995.6</v>
      </c>
      <c r="T362" s="119">
        <f>S362/J362</f>
        <v/>
      </c>
      <c r="U362" t="inlineStr">
        <is>
          <t>Good</t>
        </is>
      </c>
      <c r="Y362" t="n">
        <v>2750000</v>
      </c>
      <c r="AA362" t="n">
        <v>2750000</v>
      </c>
      <c r="AC362" t="inlineStr">
        <is>
          <t>0182504302004</t>
        </is>
      </c>
      <c r="AD362" t="inlineStr">
        <is>
          <t>2021000073205</t>
        </is>
      </c>
      <c r="AE362" s="575" t="inlineStr">
        <is>
          <t>AIR PURIFICATION COMPANY</t>
        </is>
      </c>
      <c r="AF362" s="575" t="inlineStr">
        <is>
          <t>ACME CRE LLC</t>
        </is>
      </c>
      <c r="AI362" s="59">
        <f>IF(AND($E362=Subj_OccCode,Subj_BldgSF&gt;0,ABS($L362-Subj_BldgSF)&lt;=Subj_BldgSF*Subj_SizeTol),ABS($L362-Subj_BldgSF),NA())</f>
        <v/>
      </c>
      <c r="AJ362" s="93">
        <f>IF(ISNA(AI362),NA(),AI362+ROW()/10000000)</f>
        <v/>
      </c>
      <c r="AK362">
        <f>IF(AND(ISNUMBER($N362),$N362&gt;0,ISNUMBER($Y362)),$Y362/$N362,"")</f>
        <v/>
      </c>
      <c r="AL362" s="93" t="n"/>
      <c r="AM362" s="93" t="n"/>
      <c r="AN362" s="93" t="n"/>
    </row>
    <row r="363" ht="15" customHeight="1" s="518">
      <c r="A363" s="123" t="n">
        <v>8</v>
      </c>
      <c r="B363" s="59" t="n">
        <v>356</v>
      </c>
      <c r="C363" t="inlineStr">
        <is>
          <t>R0100737</t>
        </is>
      </c>
      <c r="D363" t="inlineStr">
        <is>
          <t>6500  FEDERAL BLVD</t>
        </is>
      </c>
      <c r="E363" t="n">
        <v>325</v>
      </c>
      <c r="G363" t="inlineStr">
        <is>
          <t>5</t>
        </is>
      </c>
      <c r="H363" s="703">
        <f>Y363/J363</f>
        <v/>
      </c>
      <c r="I363" s="704" t="n">
        <v>43553</v>
      </c>
      <c r="J363" t="n">
        <v>17350</v>
      </c>
      <c r="L363" t="n">
        <v>17350</v>
      </c>
      <c r="M363" t="n">
        <v>1964</v>
      </c>
      <c r="P363" t="inlineStr">
        <is>
          <t>Commercial</t>
        </is>
      </c>
      <c r="R363" t="inlineStr">
        <is>
          <t>Average</t>
        </is>
      </c>
      <c r="S363" t="n">
        <v>54000</v>
      </c>
      <c r="T363" s="119">
        <f>S363/J363</f>
        <v/>
      </c>
      <c r="U363" t="inlineStr">
        <is>
          <t>Average</t>
        </is>
      </c>
      <c r="Y363" t="n">
        <v>1000000</v>
      </c>
      <c r="AA363" t="n">
        <v>1000000</v>
      </c>
      <c r="AC363" t="inlineStr">
        <is>
          <t>0182505405029</t>
        </is>
      </c>
      <c r="AD363" t="inlineStr">
        <is>
          <t>2019000059642</t>
        </is>
      </c>
      <c r="AE363" s="575" t="inlineStr">
        <is>
          <t>NORTHLAWN PROPERTY LLC, C/O SPERRY PROPERTIES</t>
        </is>
      </c>
      <c r="AF363" s="575" t="inlineStr">
        <is>
          <t>LOCOFORTIS LLC</t>
        </is>
      </c>
      <c r="AI363" s="59">
        <f>IF(AND($E363=Subj_OccCode,Subj_BldgSF&gt;0,ABS($L363-Subj_BldgSF)&lt;=Subj_BldgSF*Subj_SizeTol),ABS($L363-Subj_BldgSF),NA())</f>
        <v/>
      </c>
      <c r="AJ363" s="93">
        <f>IF(ISNA(AI363),NA(),AI363+ROW()/10000000)</f>
        <v/>
      </c>
      <c r="AK363">
        <f>IF(AND(ISNUMBER($N363),$N363&gt;0,ISNUMBER($Y363)),$Y363/$N363,"")</f>
        <v/>
      </c>
      <c r="AL363" s="93" t="n"/>
      <c r="AM363" s="93" t="n"/>
      <c r="AN363" s="93" t="n"/>
    </row>
    <row r="364" ht="15" customHeight="1" s="518">
      <c r="A364" s="123" t="n">
        <v>8</v>
      </c>
      <c r="B364" s="59" t="n">
        <v>357</v>
      </c>
      <c r="C364" t="inlineStr">
        <is>
          <t>R0100737</t>
        </is>
      </c>
      <c r="D364" t="inlineStr">
        <is>
          <t>6500  FEDERAL BLVD</t>
        </is>
      </c>
      <c r="E364" t="n">
        <v>325</v>
      </c>
      <c r="G364" t="inlineStr">
        <is>
          <t>5</t>
        </is>
      </c>
      <c r="H364" s="703">
        <f>Y364/J364</f>
        <v/>
      </c>
      <c r="I364" s="704" t="n">
        <v>44655</v>
      </c>
      <c r="J364" t="n">
        <v>17350</v>
      </c>
      <c r="L364" t="n">
        <v>17350</v>
      </c>
      <c r="M364" t="n">
        <v>1964</v>
      </c>
      <c r="P364" t="inlineStr">
        <is>
          <t>Commercial</t>
        </is>
      </c>
      <c r="R364" t="inlineStr">
        <is>
          <t>Average</t>
        </is>
      </c>
      <c r="S364" t="n">
        <v>54000</v>
      </c>
      <c r="T364" s="119">
        <f>S364/J364</f>
        <v/>
      </c>
      <c r="U364" t="inlineStr">
        <is>
          <t>Average</t>
        </is>
      </c>
      <c r="Y364" t="n">
        <v>2100000</v>
      </c>
      <c r="AA364" t="n">
        <v>2100000</v>
      </c>
      <c r="AC364" t="inlineStr">
        <is>
          <t>0182505405029</t>
        </is>
      </c>
      <c r="AD364" t="inlineStr">
        <is>
          <t>2022000031284</t>
        </is>
      </c>
      <c r="AE364" s="575" t="inlineStr">
        <is>
          <t>LOCOFORTIS LLC</t>
        </is>
      </c>
      <c r="AF364" s="575" t="inlineStr">
        <is>
          <t>2626 SARIKOV LLC</t>
        </is>
      </c>
      <c r="AI364" s="59">
        <f>IF(AND($E364=Subj_OccCode,Subj_BldgSF&gt;0,ABS($L364-Subj_BldgSF)&lt;=Subj_BldgSF*Subj_SizeTol),ABS($L364-Subj_BldgSF),NA())</f>
        <v/>
      </c>
      <c r="AJ364" s="93">
        <f>IF(ISNA(AI364),NA(),AI364+ROW()/10000000)</f>
        <v/>
      </c>
      <c r="AK364">
        <f>IF(AND(ISNUMBER($N364),$N364&gt;0,ISNUMBER($Y364)),$Y364/$N364,"")</f>
        <v/>
      </c>
      <c r="AL364" s="93" t="n"/>
      <c r="AM364" s="93" t="n"/>
      <c r="AN364" s="93" t="n"/>
    </row>
    <row r="365" ht="15" customHeight="1" s="518">
      <c r="A365" s="123" t="n">
        <v>8</v>
      </c>
      <c r="B365" s="59" t="n">
        <v>358</v>
      </c>
      <c r="C365" t="inlineStr">
        <is>
          <t>R0098588</t>
        </is>
      </c>
      <c r="D365" t="inlineStr">
        <is>
          <t>6591  WASHINGTON ST</t>
        </is>
      </c>
      <c r="E365" t="n">
        <v>407</v>
      </c>
      <c r="G365" t="inlineStr">
        <is>
          <t>5</t>
        </is>
      </c>
      <c r="H365" s="703">
        <f>Y365/J365</f>
        <v/>
      </c>
      <c r="I365" s="704" t="n">
        <v>43236</v>
      </c>
      <c r="J365" t="n">
        <v>16254</v>
      </c>
      <c r="L365" t="n">
        <v>16254</v>
      </c>
      <c r="M365" t="n">
        <v>1974</v>
      </c>
      <c r="P365" t="inlineStr">
        <is>
          <t>Industrial</t>
        </is>
      </c>
      <c r="R365" t="inlineStr">
        <is>
          <t>Average</t>
        </is>
      </c>
      <c r="S365" t="n">
        <v>120528</v>
      </c>
      <c r="T365" s="119">
        <f>S365/J365</f>
        <v/>
      </c>
      <c r="U365" t="inlineStr">
        <is>
          <t>Average</t>
        </is>
      </c>
      <c r="Y365" t="n">
        <v>2400000</v>
      </c>
      <c r="AA365" t="n">
        <v>2400000</v>
      </c>
      <c r="AC365" t="inlineStr">
        <is>
          <t>0182503402009</t>
        </is>
      </c>
      <c r="AD365" t="inlineStr">
        <is>
          <t>2018000040473</t>
        </is>
      </c>
      <c r="AE365" s="575" t="inlineStr">
        <is>
          <t>JWBSK INVESTMENT GROUP LLC</t>
        </is>
      </c>
      <c r="AF365" s="575" t="inlineStr">
        <is>
          <t>SUBLETTE JACOBS PROPERTIES LLC</t>
        </is>
      </c>
      <c r="AI365" s="59">
        <f>IF(AND($E365=Subj_OccCode,Subj_BldgSF&gt;0,ABS($L365-Subj_BldgSF)&lt;=Subj_BldgSF*Subj_SizeTol),ABS($L365-Subj_BldgSF),NA())</f>
        <v/>
      </c>
      <c r="AJ365" s="93">
        <f>IF(ISNA(AI365),NA(),AI365+ROW()/10000000)</f>
        <v/>
      </c>
      <c r="AK365">
        <f>IF(AND(ISNUMBER($N365),$N365&gt;0,ISNUMBER($Y365)),$Y365/$N365,"")</f>
        <v/>
      </c>
      <c r="AL365" s="93" t="n"/>
      <c r="AM365" s="93" t="n"/>
      <c r="AN365" s="93" t="n"/>
    </row>
    <row r="366" ht="15" customHeight="1" s="518">
      <c r="A366" s="123" t="n">
        <v>8</v>
      </c>
      <c r="B366" s="59" t="n">
        <v>359</v>
      </c>
      <c r="C366" t="inlineStr">
        <is>
          <t>R0077599</t>
        </is>
      </c>
      <c r="D366" t="inlineStr">
        <is>
          <t>8245  QUEBEC ST</t>
        </is>
      </c>
      <c r="E366" t="n">
        <v>344</v>
      </c>
      <c r="F366" t="inlineStr">
        <is>
          <t>COMMERCE CITY</t>
        </is>
      </c>
      <c r="G366" t="inlineStr">
        <is>
          <t>5</t>
        </is>
      </c>
      <c r="H366" s="703">
        <f>Y366/J366</f>
        <v/>
      </c>
      <c r="I366" s="704" t="n">
        <v>44603</v>
      </c>
      <c r="J366" t="n">
        <v>5900</v>
      </c>
      <c r="L366" t="n">
        <v>5900</v>
      </c>
      <c r="M366" t="n">
        <v>1971</v>
      </c>
      <c r="P366" t="inlineStr">
        <is>
          <t>I-2-Com</t>
        </is>
      </c>
      <c r="R366" t="inlineStr">
        <is>
          <t>Low</t>
        </is>
      </c>
      <c r="S366" t="n">
        <v>41382</v>
      </c>
      <c r="T366" s="119">
        <f>S366/J366</f>
        <v/>
      </c>
      <c r="U366" t="inlineStr">
        <is>
          <t>Average</t>
        </is>
      </c>
      <c r="Y366" t="n">
        <v>946820</v>
      </c>
      <c r="AA366" t="n">
        <v>946820</v>
      </c>
      <c r="AC366" t="inlineStr">
        <is>
          <t>0172129403028</t>
        </is>
      </c>
      <c r="AD366" t="inlineStr">
        <is>
          <t>2022000013715</t>
        </is>
      </c>
      <c r="AE366" s="575" t="inlineStr">
        <is>
          <t>ELWESS DAVID L</t>
        </is>
      </c>
      <c r="AF366" s="575" t="inlineStr">
        <is>
          <t>JANUARY22 PONTIAC LLC</t>
        </is>
      </c>
      <c r="AI366" s="59">
        <f>IF(AND($E366=Subj_OccCode,Subj_BldgSF&gt;0,ABS($L366-Subj_BldgSF)&lt;=Subj_BldgSF*Subj_SizeTol),ABS($L366-Subj_BldgSF),NA())</f>
        <v/>
      </c>
      <c r="AJ366" s="93">
        <f>IF(ISNA(AI366),NA(),AI366+ROW()/10000000)</f>
        <v/>
      </c>
      <c r="AK366">
        <f>IF(AND(ISNUMBER($N366),$N366&gt;0,ISNUMBER($Y366)),$Y366/$N366,"")</f>
        <v/>
      </c>
      <c r="AL366" s="93" t="n"/>
      <c r="AM366" s="93" t="n"/>
      <c r="AN366" s="93" t="n"/>
    </row>
    <row r="367" ht="15" customHeight="1" s="518">
      <c r="A367" s="123" t="n">
        <v>8</v>
      </c>
      <c r="B367" s="59" t="n">
        <v>360</v>
      </c>
      <c r="C367" t="inlineStr">
        <is>
          <t>R0071220</t>
        </is>
      </c>
      <c r="D367" t="inlineStr">
        <is>
          <t xml:space="preserve">11200  HIWAY 2 </t>
        </is>
      </c>
      <c r="E367" t="n">
        <v>406</v>
      </c>
      <c r="G367" t="inlineStr">
        <is>
          <t>2</t>
        </is>
      </c>
      <c r="H367" s="703">
        <f>Y367/J367</f>
        <v/>
      </c>
      <c r="I367" s="704" t="n">
        <v>43238</v>
      </c>
      <c r="J367" t="n">
        <v>20400</v>
      </c>
      <c r="L367" t="n">
        <v>20400</v>
      </c>
      <c r="M367" t="n">
        <v>1960</v>
      </c>
      <c r="P367" t="inlineStr">
        <is>
          <t>Industrial</t>
        </is>
      </c>
      <c r="R367" t="inlineStr">
        <is>
          <t>Average</t>
        </is>
      </c>
      <c r="S367" t="n">
        <v>345967</v>
      </c>
      <c r="T367" s="119">
        <f>S367/J367</f>
        <v/>
      </c>
      <c r="U367" t="inlineStr">
        <is>
          <t>Average</t>
        </is>
      </c>
      <c r="Y367" t="n">
        <v>1950000</v>
      </c>
      <c r="AA367" t="n">
        <v>1950000</v>
      </c>
      <c r="AC367" t="inlineStr">
        <is>
          <t>0172101000016</t>
        </is>
      </c>
      <c r="AD367" t="inlineStr">
        <is>
          <t>2018000040304</t>
        </is>
      </c>
      <c r="AE367" s="575" t="inlineStr">
        <is>
          <t>111489 CORPORATION INC</t>
        </is>
      </c>
      <c r="AF367" s="575" t="inlineStr">
        <is>
          <t>BK ENTERPRISES LLC</t>
        </is>
      </c>
      <c r="AI367" s="59">
        <f>IF(AND($E367=Subj_OccCode,Subj_BldgSF&gt;0,ABS($L367-Subj_BldgSF)&lt;=Subj_BldgSF*Subj_SizeTol),ABS($L367-Subj_BldgSF),NA())</f>
        <v/>
      </c>
      <c r="AJ367" s="93">
        <f>IF(ISNA(AI367),NA(),AI367+ROW()/10000000)</f>
        <v/>
      </c>
      <c r="AK367">
        <f>IF(AND(ISNUMBER($N367),$N367&gt;0,ISNUMBER($Y367)),$Y367/$N367,"")</f>
        <v/>
      </c>
      <c r="AL367" s="93" t="n"/>
      <c r="AM367" s="93" t="n"/>
      <c r="AN367" s="93" t="n"/>
    </row>
    <row r="368" ht="15" customHeight="1" s="518">
      <c r="A368" s="123" t="n">
        <v>8</v>
      </c>
      <c r="B368" s="59" t="n">
        <v>361</v>
      </c>
      <c r="C368" t="inlineStr">
        <is>
          <t>R0071220</t>
        </is>
      </c>
      <c r="D368" t="inlineStr">
        <is>
          <t xml:space="preserve">11200  HIWAY 2 </t>
        </is>
      </c>
      <c r="E368" t="n">
        <v>406</v>
      </c>
      <c r="G368" t="inlineStr">
        <is>
          <t>2</t>
        </is>
      </c>
      <c r="H368" s="703">
        <f>Y368/J368</f>
        <v/>
      </c>
      <c r="I368" s="704" t="n">
        <v>44671</v>
      </c>
      <c r="J368" t="n">
        <v>20400</v>
      </c>
      <c r="L368" t="n">
        <v>20400</v>
      </c>
      <c r="M368" t="n">
        <v>1960</v>
      </c>
      <c r="P368" t="inlineStr">
        <is>
          <t>Industrial</t>
        </is>
      </c>
      <c r="R368" t="inlineStr">
        <is>
          <t>Low</t>
        </is>
      </c>
      <c r="S368" t="n">
        <v>345967</v>
      </c>
      <c r="T368" s="119">
        <f>S368/J368</f>
        <v/>
      </c>
      <c r="U368" t="inlineStr">
        <is>
          <t>Average</t>
        </is>
      </c>
      <c r="Y368" t="n">
        <v>4950000</v>
      </c>
      <c r="AA368" t="n">
        <v>4950000</v>
      </c>
      <c r="AC368" t="inlineStr">
        <is>
          <t>0172101000016</t>
        </is>
      </c>
      <c r="AD368" t="inlineStr">
        <is>
          <t>2022000035759</t>
        </is>
      </c>
      <c r="AE368" s="575" t="inlineStr">
        <is>
          <t>BK ENTERPRISES LLC</t>
        </is>
      </c>
      <c r="AF368" s="575" t="inlineStr">
        <is>
          <t>13505 E 112TH V1 LLC, C/O CZD ZENITH</t>
        </is>
      </c>
      <c r="AI368" s="59">
        <f>IF(AND($E368=Subj_OccCode,Subj_BldgSF&gt;0,ABS($L368-Subj_BldgSF)&lt;=Subj_BldgSF*Subj_SizeTol),ABS($L368-Subj_BldgSF),NA())</f>
        <v/>
      </c>
      <c r="AJ368" s="93">
        <f>IF(ISNA(AI368),NA(),AI368+ROW()/10000000)</f>
        <v/>
      </c>
      <c r="AK368">
        <f>IF(AND(ISNUMBER($N368),$N368&gt;0,ISNUMBER($Y368)),$Y368/$N368,"")</f>
        <v/>
      </c>
      <c r="AL368" s="93" t="n"/>
      <c r="AM368" s="93" t="n"/>
      <c r="AN368" s="93" t="n"/>
    </row>
    <row r="369" ht="15" customHeight="1" s="518">
      <c r="A369" s="123" t="n">
        <v>8</v>
      </c>
      <c r="B369" s="59" t="n">
        <v>362</v>
      </c>
      <c r="C369" t="inlineStr">
        <is>
          <t>R0100631</t>
        </is>
      </c>
      <c r="D369" t="inlineStr">
        <is>
          <t>6780  FEDERAL BLVD</t>
        </is>
      </c>
      <c r="E369" t="n">
        <v>325</v>
      </c>
      <c r="G369" t="inlineStr">
        <is>
          <t>5</t>
        </is>
      </c>
      <c r="H369" s="703">
        <f>Y369/J369</f>
        <v/>
      </c>
      <c r="I369" s="704" t="n">
        <v>44130</v>
      </c>
      <c r="J369" t="n">
        <v>4719</v>
      </c>
      <c r="L369" t="n">
        <v>4719</v>
      </c>
      <c r="M369" t="n">
        <v>2001</v>
      </c>
      <c r="P369" t="inlineStr">
        <is>
          <t>Residential</t>
        </is>
      </c>
      <c r="R369" t="inlineStr">
        <is>
          <t>Average</t>
        </is>
      </c>
      <c r="S369" t="n">
        <v>17981</v>
      </c>
      <c r="T369" s="119">
        <f>S369/J369</f>
        <v/>
      </c>
      <c r="U369" t="inlineStr">
        <is>
          <t>Average</t>
        </is>
      </c>
      <c r="Y369" t="n">
        <v>1594000</v>
      </c>
      <c r="AA369" t="n">
        <v>1594000</v>
      </c>
      <c r="AC369" t="inlineStr">
        <is>
          <t>0182505402001</t>
        </is>
      </c>
      <c r="AD369" t="inlineStr">
        <is>
          <t>2020000109934</t>
        </is>
      </c>
      <c r="AE369" s="575" t="inlineStr">
        <is>
          <t>ROBINSON JAMES E AND, ROBINSON SHARON A</t>
        </is>
      </c>
      <c r="AF369" s="575" t="inlineStr">
        <is>
          <t>SAYKALLY INVESTMENT GROUP LLC</t>
        </is>
      </c>
      <c r="AI369" s="59">
        <f>IF(AND($E369=Subj_OccCode,Subj_BldgSF&gt;0,ABS($L369-Subj_BldgSF)&lt;=Subj_BldgSF*Subj_SizeTol),ABS($L369-Subj_BldgSF),NA())</f>
        <v/>
      </c>
      <c r="AJ369" s="93">
        <f>IF(ISNA(AI369),NA(),AI369+ROW()/10000000)</f>
        <v/>
      </c>
      <c r="AK369">
        <f>IF(AND(ISNUMBER($N369),$N369&gt;0,ISNUMBER($Y369)),$Y369/$N369,"")</f>
        <v/>
      </c>
      <c r="AL369" s="93" t="n"/>
      <c r="AM369" s="93" t="n"/>
      <c r="AN369" s="93" t="n"/>
    </row>
    <row r="370" ht="15" customHeight="1" s="518">
      <c r="A370" s="123" t="n">
        <v>8</v>
      </c>
      <c r="B370" s="59" t="n">
        <v>363</v>
      </c>
      <c r="C370" t="inlineStr">
        <is>
          <t>R0062954</t>
        </is>
      </c>
      <c r="D370" t="inlineStr">
        <is>
          <t>5051 W 80TH AVE</t>
        </is>
      </c>
      <c r="E370" t="n">
        <v>436</v>
      </c>
      <c r="F370" t="inlineStr">
        <is>
          <t>WESTMINSTER</t>
        </is>
      </c>
      <c r="G370" t="inlineStr">
        <is>
          <t>4</t>
        </is>
      </c>
      <c r="H370" s="703">
        <f>Y370/J370</f>
        <v/>
      </c>
      <c r="I370" s="704" t="n">
        <v>43761</v>
      </c>
      <c r="J370" t="n">
        <v>5424</v>
      </c>
      <c r="L370" t="n">
        <v>5424</v>
      </c>
      <c r="M370" t="n">
        <v>1988</v>
      </c>
      <c r="P370" t="inlineStr">
        <is>
          <t>B-1-Wes</t>
        </is>
      </c>
      <c r="R370" t="inlineStr">
        <is>
          <t>Average</t>
        </is>
      </c>
      <c r="S370" t="n">
        <v>25264</v>
      </c>
      <c r="T370" s="119">
        <f>S370/J370</f>
        <v/>
      </c>
      <c r="U370" t="inlineStr">
        <is>
          <t>Average</t>
        </is>
      </c>
      <c r="Y370" t="n">
        <v>625000</v>
      </c>
      <c r="AA370" t="n">
        <v>625000</v>
      </c>
      <c r="AC370" t="inlineStr">
        <is>
          <t>0171930300008</t>
        </is>
      </c>
      <c r="AD370" t="inlineStr">
        <is>
          <t>2019000091630</t>
        </is>
      </c>
      <c r="AE370" s="575" t="inlineStr">
        <is>
          <t>WASH ME III LLC</t>
        </is>
      </c>
      <c r="AF370" s="575" t="inlineStr">
        <is>
          <t>NGUYEN TAI AND, NGUYEN LOI</t>
        </is>
      </c>
      <c r="AI370" s="59">
        <f>IF(AND($E370=Subj_OccCode,Subj_BldgSF&gt;0,ABS($L370-Subj_BldgSF)&lt;=Subj_BldgSF*Subj_SizeTol),ABS($L370-Subj_BldgSF),NA())</f>
        <v/>
      </c>
      <c r="AJ370" s="93">
        <f>IF(ISNA(AI370),NA(),AI370+ROW()/10000000)</f>
        <v/>
      </c>
      <c r="AK370">
        <f>IF(AND(ISNUMBER($N370),$N370&gt;0,ISNUMBER($Y370)),$Y370/$N370,"")</f>
        <v/>
      </c>
      <c r="AL370" s="93" t="n"/>
      <c r="AM370" s="93" t="n"/>
      <c r="AN370" s="93" t="n"/>
    </row>
    <row r="371" ht="15" customHeight="1" s="518">
      <c r="A371" s="123" t="n">
        <v>8</v>
      </c>
      <c r="B371" s="59" t="n">
        <v>364</v>
      </c>
      <c r="C371" t="inlineStr">
        <is>
          <t>R0059105</t>
        </is>
      </c>
      <c r="D371" t="inlineStr">
        <is>
          <t>6 W 83RD PL</t>
        </is>
      </c>
      <c r="E371" t="n">
        <v>343</v>
      </c>
      <c r="F371" t="inlineStr">
        <is>
          <t>THORNTON</t>
        </is>
      </c>
      <c r="G371" t="inlineStr">
        <is>
          <t>4</t>
        </is>
      </c>
      <c r="H371" s="703">
        <f>Y371/J371</f>
        <v/>
      </c>
      <c r="I371" s="704" t="n">
        <v>44096</v>
      </c>
      <c r="J371" t="n">
        <v>32224</v>
      </c>
      <c r="L371" t="n">
        <v>32224</v>
      </c>
      <c r="M371" t="n">
        <v>1983</v>
      </c>
      <c r="P371" t="inlineStr">
        <is>
          <t>Business Park</t>
        </is>
      </c>
      <c r="R371" t="inlineStr">
        <is>
          <t>Average</t>
        </is>
      </c>
      <c r="S371" t="n">
        <v>104108</v>
      </c>
      <c r="T371" s="119">
        <f>S371/J371</f>
        <v/>
      </c>
      <c r="U371" t="inlineStr">
        <is>
          <t>Average</t>
        </is>
      </c>
      <c r="Y371" t="n">
        <v>7350000</v>
      </c>
      <c r="AA371" t="n">
        <v>7350000</v>
      </c>
      <c r="AC371" t="inlineStr">
        <is>
          <t>0171927417005</t>
        </is>
      </c>
      <c r="AD371" t="inlineStr">
        <is>
          <t>2020000113615</t>
        </is>
      </c>
      <c r="AE371" s="575" t="inlineStr">
        <is>
          <t>G6 HOSPITALITY PROPERTY LLC</t>
        </is>
      </c>
      <c r="AF371" s="575" t="inlineStr">
        <is>
          <t>D THOR HOTEL LLC</t>
        </is>
      </c>
      <c r="AI371" s="59">
        <f>IF(AND($E371=Subj_OccCode,Subj_BldgSF&gt;0,ABS($L371-Subj_BldgSF)&lt;=Subj_BldgSF*Subj_SizeTol),ABS($L371-Subj_BldgSF),NA())</f>
        <v/>
      </c>
      <c r="AJ371" s="93">
        <f>IF(ISNA(AI371),NA(),AI371+ROW()/10000000)</f>
        <v/>
      </c>
      <c r="AK371">
        <f>IF(AND(ISNUMBER($N371),$N371&gt;0,ISNUMBER($Y371)),$Y371/$N371,"")</f>
        <v/>
      </c>
      <c r="AL371" s="93" t="n"/>
      <c r="AM371" s="93" t="n"/>
      <c r="AN371" s="93" t="n"/>
    </row>
    <row r="372" ht="15" customHeight="1" s="518">
      <c r="A372" s="123" t="n">
        <v>8</v>
      </c>
      <c r="B372" s="59" t="n">
        <v>365</v>
      </c>
      <c r="C372" t="inlineStr">
        <is>
          <t>R0030049</t>
        </is>
      </c>
      <c r="D372" t="inlineStr">
        <is>
          <t>11428  CHEROKEE ST</t>
        </is>
      </c>
      <c r="E372" t="n">
        <v>386</v>
      </c>
      <c r="F372" t="inlineStr">
        <is>
          <t>NORTHGLENN</t>
        </is>
      </c>
      <c r="G372" t="inlineStr">
        <is>
          <t>4</t>
        </is>
      </c>
      <c r="H372" s="703">
        <f>Y372/J372</f>
        <v/>
      </c>
      <c r="I372" s="704" t="n">
        <v>44453</v>
      </c>
      <c r="J372" t="n">
        <v>44436</v>
      </c>
      <c r="L372" t="n">
        <v>44436</v>
      </c>
      <c r="M372" t="n">
        <v>1980</v>
      </c>
      <c r="P372" t="inlineStr">
        <is>
          <t>I-2-Nor</t>
        </is>
      </c>
      <c r="R372" t="inlineStr">
        <is>
          <t>Average</t>
        </is>
      </c>
      <c r="S372" t="n">
        <v>131672</v>
      </c>
      <c r="T372" s="119">
        <f>S372/J372</f>
        <v/>
      </c>
      <c r="U372" t="inlineStr">
        <is>
          <t>Average</t>
        </is>
      </c>
      <c r="Y372" t="n">
        <v>7700000</v>
      </c>
      <c r="AA372" t="n">
        <v>7700000</v>
      </c>
      <c r="AC372" t="inlineStr">
        <is>
          <t>0171903004007</t>
        </is>
      </c>
      <c r="AD372" t="inlineStr">
        <is>
          <t>2021000111448</t>
        </is>
      </c>
      <c r="AE372" s="575" t="inlineStr">
        <is>
          <t>CUBE SMART LP #229</t>
        </is>
      </c>
      <c r="AF372" s="575" t="inlineStr">
        <is>
          <t>SELF-STORAGE PORTFOLIO  XIV DST</t>
        </is>
      </c>
      <c r="AI372" s="59">
        <f>IF(AND($E372=Subj_OccCode,Subj_BldgSF&gt;0,ABS($L372-Subj_BldgSF)&lt;=Subj_BldgSF*Subj_SizeTol),ABS($L372-Subj_BldgSF),NA())</f>
        <v/>
      </c>
      <c r="AJ372" s="93">
        <f>IF(ISNA(AI372),NA(),AI372+ROW()/10000000)</f>
        <v/>
      </c>
      <c r="AK372">
        <f>IF(AND(ISNUMBER($N372),$N372&gt;0,ISNUMBER($Y372)),$Y372/$N372,"")</f>
        <v/>
      </c>
      <c r="AL372" s="93" t="n"/>
      <c r="AM372" s="93" t="n"/>
      <c r="AN372" s="93" t="n"/>
    </row>
    <row r="373" ht="15" customHeight="1" s="518">
      <c r="A373" s="123" t="n">
        <v>8</v>
      </c>
      <c r="B373" s="59" t="n">
        <v>366</v>
      </c>
      <c r="C373" t="inlineStr">
        <is>
          <t>R0037120</t>
        </is>
      </c>
      <c r="D373" t="inlineStr">
        <is>
          <t>11172 HURON ST #20 #20</t>
        </is>
      </c>
      <c r="E373" t="n">
        <v>341</v>
      </c>
      <c r="F373" t="inlineStr">
        <is>
          <t>NORTHGLENN</t>
        </is>
      </c>
      <c r="G373" t="inlineStr">
        <is>
          <t>4</t>
        </is>
      </c>
      <c r="H373" s="703">
        <f>Y373/J373</f>
        <v/>
      </c>
      <c r="I373" s="704" t="n">
        <v>43490</v>
      </c>
      <c r="J373" t="n">
        <v>1848</v>
      </c>
      <c r="L373" t="n">
        <v>1848</v>
      </c>
      <c r="M373" t="n">
        <v>1984</v>
      </c>
      <c r="P373" t="inlineStr">
        <is>
          <t>Northglenn</t>
        </is>
      </c>
      <c r="R373" t="inlineStr">
        <is>
          <t>Average</t>
        </is>
      </c>
      <c r="S373" t="n">
        <v>1108</v>
      </c>
      <c r="T373" s="119">
        <f>S373/J373</f>
        <v/>
      </c>
      <c r="U373" t="inlineStr">
        <is>
          <t>Average</t>
        </is>
      </c>
      <c r="Y373" t="n">
        <v>300000</v>
      </c>
      <c r="AA373" t="n">
        <v>300000</v>
      </c>
      <c r="AC373" t="inlineStr">
        <is>
          <t>0171910217020</t>
        </is>
      </c>
      <c r="AD373" t="inlineStr">
        <is>
          <t>2019000006568</t>
        </is>
      </c>
      <c r="AE373" s="575" t="inlineStr">
        <is>
          <t>BERGH CALE AND, BERGH KAREN</t>
        </is>
      </c>
      <c r="AF373" s="575" t="inlineStr">
        <is>
          <t>CLANDERSON LLC ET AL</t>
        </is>
      </c>
      <c r="AI373" s="59">
        <f>IF(AND($E373=Subj_OccCode,Subj_BldgSF&gt;0,ABS($L373-Subj_BldgSF)&lt;=Subj_BldgSF*Subj_SizeTol),ABS($L373-Subj_BldgSF),NA())</f>
        <v/>
      </c>
      <c r="AJ373" s="93">
        <f>IF(ISNA(AI373),NA(),AI373+ROW()/10000000)</f>
        <v/>
      </c>
      <c r="AK373">
        <f>IF(AND(ISNUMBER($N373),$N373&gt;0,ISNUMBER($Y373)),$Y373/$N373,"")</f>
        <v/>
      </c>
      <c r="AL373" s="93" t="n"/>
      <c r="AM373" s="93" t="n"/>
      <c r="AN373" s="93" t="n"/>
    </row>
    <row r="374" ht="15" customHeight="1" s="518">
      <c r="A374" s="123" t="n">
        <v>8</v>
      </c>
      <c r="B374" s="59" t="n">
        <v>367</v>
      </c>
      <c r="C374" t="inlineStr">
        <is>
          <t>R0013647</t>
        </is>
      </c>
      <c r="D374" t="inlineStr">
        <is>
          <t>12251  BRIGHTON RD</t>
        </is>
      </c>
      <c r="E374" t="n">
        <v>325</v>
      </c>
      <c r="G374" t="inlineStr">
        <is>
          <t>3</t>
        </is>
      </c>
      <c r="H374" s="703">
        <f>Y374/J374</f>
        <v/>
      </c>
      <c r="I374" s="704" t="n">
        <v>43138</v>
      </c>
      <c r="J374" t="n">
        <v>2208</v>
      </c>
      <c r="L374" t="n">
        <v>2208</v>
      </c>
      <c r="M374" t="n">
        <v>1914</v>
      </c>
      <c r="P374" t="inlineStr">
        <is>
          <t>Commercial</t>
        </is>
      </c>
      <c r="R374" t="inlineStr">
        <is>
          <t>Average</t>
        </is>
      </c>
      <c r="S374" t="n">
        <v>21780</v>
      </c>
      <c r="T374" s="119">
        <f>S374/J374</f>
        <v/>
      </c>
      <c r="U374" t="inlineStr">
        <is>
          <t>Average</t>
        </is>
      </c>
      <c r="Y374" t="n">
        <v>160000</v>
      </c>
      <c r="AA374" t="n">
        <v>160000</v>
      </c>
      <c r="AC374" t="inlineStr">
        <is>
          <t>0157134000022</t>
        </is>
      </c>
      <c r="AD374" t="inlineStr">
        <is>
          <t>2018000011344</t>
        </is>
      </c>
      <c r="AE374" s="575" t="inlineStr">
        <is>
          <t>PAPOI HAROLD M</t>
        </is>
      </c>
      <c r="AF374" s="575" t="inlineStr">
        <is>
          <t>SHURTLEFF JOSEPH AND, SHURTLEFF MINDY</t>
        </is>
      </c>
      <c r="AI374" s="59">
        <f>IF(AND($E374=Subj_OccCode,Subj_BldgSF&gt;0,ABS($L374-Subj_BldgSF)&lt;=Subj_BldgSF*Subj_SizeTol),ABS($L374-Subj_BldgSF),NA())</f>
        <v/>
      </c>
      <c r="AJ374" s="93">
        <f>IF(ISNA(AI374),NA(),AI374+ROW()/10000000)</f>
        <v/>
      </c>
      <c r="AK374">
        <f>IF(AND(ISNUMBER($N374),$N374&gt;0,ISNUMBER($Y374)),$Y374/$N374,"")</f>
        <v/>
      </c>
      <c r="AL374" s="93" t="n"/>
      <c r="AM374" s="93" t="n"/>
      <c r="AN374" s="93" t="n"/>
    </row>
    <row r="375" ht="15" customHeight="1" s="518">
      <c r="A375" s="123" t="n">
        <v>8</v>
      </c>
      <c r="B375" s="59" t="n">
        <v>368</v>
      </c>
      <c r="C375" t="inlineStr">
        <is>
          <t>R0013688</t>
        </is>
      </c>
      <c r="D375" t="inlineStr">
        <is>
          <t>12345  BRIGHTON RD</t>
        </is>
      </c>
      <c r="E375" t="n">
        <v>353</v>
      </c>
      <c r="G375" t="inlineStr">
        <is>
          <t>3</t>
        </is>
      </c>
      <c r="H375" s="703">
        <f>Y375/J375</f>
        <v/>
      </c>
      <c r="I375" s="704" t="n">
        <v>44189</v>
      </c>
      <c r="J375" t="n">
        <v>3028</v>
      </c>
      <c r="L375" t="n">
        <v>3028</v>
      </c>
      <c r="M375" t="n">
        <v>1924</v>
      </c>
      <c r="P375" t="inlineStr">
        <is>
          <t>Commercial</t>
        </is>
      </c>
      <c r="R375" t="inlineStr">
        <is>
          <t>Average</t>
        </is>
      </c>
      <c r="S375" t="n">
        <v>25800</v>
      </c>
      <c r="T375" s="119">
        <f>S375/J375</f>
        <v/>
      </c>
      <c r="U375" t="inlineStr">
        <is>
          <t>Average</t>
        </is>
      </c>
      <c r="Y375" t="n">
        <v>490000</v>
      </c>
      <c r="AA375" t="n">
        <v>490000</v>
      </c>
      <c r="AC375" t="inlineStr">
        <is>
          <t>0157134001006</t>
        </is>
      </c>
      <c r="AD375" t="inlineStr">
        <is>
          <t>2020000138992</t>
        </is>
      </c>
      <c r="AE375" s="575" t="inlineStr">
        <is>
          <t>KIM SO YEON</t>
        </is>
      </c>
      <c r="AF375" s="575" t="inlineStr">
        <is>
          <t>YI YOUNG JIN AND, HARN GWI SUK</t>
        </is>
      </c>
      <c r="AI375" s="59">
        <f>IF(AND($E375=Subj_OccCode,Subj_BldgSF&gt;0,ABS($L375-Subj_BldgSF)&lt;=Subj_BldgSF*Subj_SizeTol),ABS($L375-Subj_BldgSF),NA())</f>
        <v/>
      </c>
      <c r="AJ375" s="93">
        <f>IF(ISNA(AI375),NA(),AI375+ROW()/10000000)</f>
        <v/>
      </c>
      <c r="AK375">
        <f>IF(AND(ISNUMBER($N375),$N375&gt;0,ISNUMBER($Y375)),$Y375/$N375,"")</f>
        <v/>
      </c>
      <c r="AL375" s="93" t="n"/>
      <c r="AM375" s="93" t="n"/>
      <c r="AN375" s="93" t="n"/>
    </row>
    <row r="376" ht="15" customHeight="1" s="518">
      <c r="A376" s="123" t="n">
        <v>8</v>
      </c>
      <c r="B376" s="59" t="n">
        <v>369</v>
      </c>
      <c r="C376" t="inlineStr">
        <is>
          <t>R0058010</t>
        </is>
      </c>
      <c r="D376" t="inlineStr">
        <is>
          <t>2025  NUEVA VISTA DR</t>
        </is>
      </c>
      <c r="E376" t="n">
        <v>434</v>
      </c>
      <c r="G376" t="inlineStr">
        <is>
          <t>4</t>
        </is>
      </c>
      <c r="H376" s="703">
        <f>Y376/J376</f>
        <v/>
      </c>
      <c r="I376" s="704" t="n">
        <v>43263</v>
      </c>
      <c r="J376" t="n">
        <v>1512</v>
      </c>
      <c r="L376" t="n">
        <v>1512</v>
      </c>
      <c r="M376" t="n">
        <v>1980</v>
      </c>
      <c r="P376" t="inlineStr">
        <is>
          <t>Commercial</t>
        </is>
      </c>
      <c r="R376" t="inlineStr">
        <is>
          <t>Average</t>
        </is>
      </c>
      <c r="S376" t="n">
        <v>16198</v>
      </c>
      <c r="T376" s="119">
        <f>S376/J376</f>
        <v/>
      </c>
      <c r="U376" t="inlineStr">
        <is>
          <t>Average</t>
        </is>
      </c>
      <c r="Y376" t="n">
        <v>280000</v>
      </c>
      <c r="AA376" t="n">
        <v>280000</v>
      </c>
      <c r="AC376" t="inlineStr">
        <is>
          <t>0171926416143</t>
        </is>
      </c>
      <c r="AD376" t="inlineStr">
        <is>
          <t>2018000048092</t>
        </is>
      </c>
      <c r="AE376" s="575" t="inlineStr">
        <is>
          <t>GENS ROBERT M</t>
        </is>
      </c>
      <c r="AF376" s="575" t="inlineStr">
        <is>
          <t>SPLASH CAR WASH LLC</t>
        </is>
      </c>
      <c r="AI376" s="59">
        <f>IF(AND($E376=Subj_OccCode,Subj_BldgSF&gt;0,ABS($L376-Subj_BldgSF)&lt;=Subj_BldgSF*Subj_SizeTol),ABS($L376-Subj_BldgSF),NA())</f>
        <v/>
      </c>
      <c r="AJ376" s="93">
        <f>IF(ISNA(AI376),NA(),AI376+ROW()/10000000)</f>
        <v/>
      </c>
      <c r="AK376">
        <f>IF(AND(ISNUMBER($N376),$N376&gt;0,ISNUMBER($Y376)),$Y376/$N376,"")</f>
        <v/>
      </c>
      <c r="AL376" s="93" t="n"/>
      <c r="AM376" s="93" t="n"/>
      <c r="AN376" s="93" t="n"/>
    </row>
    <row r="377" ht="15" customHeight="1" s="518">
      <c r="A377" s="123" t="n">
        <v>8</v>
      </c>
      <c r="B377" s="59" t="n">
        <v>370</v>
      </c>
      <c r="C377" t="inlineStr">
        <is>
          <t>R0092769</t>
        </is>
      </c>
      <c r="D377" t="inlineStr">
        <is>
          <t>6845 E 48TH AVE</t>
        </is>
      </c>
      <c r="E377" t="n">
        <v>334</v>
      </c>
      <c r="F377" t="inlineStr">
        <is>
          <t>COMMERCE CITY</t>
        </is>
      </c>
      <c r="G377" t="inlineStr">
        <is>
          <t>5</t>
        </is>
      </c>
      <c r="H377" s="703">
        <f>Y377/J377</f>
        <v/>
      </c>
      <c r="I377" s="704" t="n">
        <v>43830</v>
      </c>
      <c r="J377" t="n">
        <v>12368</v>
      </c>
      <c r="L377" t="n">
        <v>12368</v>
      </c>
      <c r="M377" t="n">
        <v>1972</v>
      </c>
      <c r="P377" t="inlineStr">
        <is>
          <t>I-1S</t>
        </is>
      </c>
      <c r="R377" t="inlineStr">
        <is>
          <t>Average</t>
        </is>
      </c>
      <c r="S377" t="n">
        <v>24026</v>
      </c>
      <c r="T377" s="119">
        <f>S377/J377</f>
        <v/>
      </c>
      <c r="U377" t="inlineStr">
        <is>
          <t>Average</t>
        </is>
      </c>
      <c r="Y377" t="n">
        <v>1700000</v>
      </c>
      <c r="AA377" t="n">
        <v>1700000</v>
      </c>
      <c r="AC377" t="inlineStr">
        <is>
          <t>0182317408031</t>
        </is>
      </c>
      <c r="AD377" t="inlineStr">
        <is>
          <t>2020000003548</t>
        </is>
      </c>
      <c r="AE377" s="575" t="inlineStr">
        <is>
          <t>MITECH LLC</t>
        </is>
      </c>
      <c r="AF377" s="575" t="inlineStr">
        <is>
          <t>FRC HOLDINGS LLC</t>
        </is>
      </c>
      <c r="AI377" s="59">
        <f>IF(AND($E377=Subj_OccCode,Subj_BldgSF&gt;0,ABS($L377-Subj_BldgSF)&lt;=Subj_BldgSF*Subj_SizeTol),ABS($L377-Subj_BldgSF),NA())</f>
        <v/>
      </c>
      <c r="AJ377" s="93">
        <f>IF(ISNA(AI377),NA(),AI377+ROW()/10000000)</f>
        <v/>
      </c>
      <c r="AK377">
        <f>IF(AND(ISNUMBER($N377),$N377&gt;0,ISNUMBER($Y377)),$Y377/$N377,"")</f>
        <v/>
      </c>
      <c r="AL377" s="93" t="n"/>
      <c r="AM377" s="93" t="n"/>
      <c r="AN377" s="93" t="n"/>
    </row>
    <row r="378" ht="15" customHeight="1" s="518">
      <c r="A378" s="123" t="n">
        <v>8</v>
      </c>
      <c r="B378" s="59" t="n">
        <v>371</v>
      </c>
      <c r="C378" t="inlineStr">
        <is>
          <t>R0069190</t>
        </is>
      </c>
      <c r="D378" t="inlineStr">
        <is>
          <t>7667  WASHINGTON ST</t>
        </is>
      </c>
      <c r="E378" t="n">
        <v>353</v>
      </c>
      <c r="G378" t="inlineStr">
        <is>
          <t>4</t>
        </is>
      </c>
      <c r="H378" s="703">
        <f>Y378/J378</f>
        <v/>
      </c>
      <c r="I378" s="704" t="n">
        <v>44098</v>
      </c>
      <c r="J378" t="n">
        <v>3440</v>
      </c>
      <c r="L378" t="n">
        <v>3440</v>
      </c>
      <c r="M378" t="n">
        <v>1964</v>
      </c>
      <c r="P378" t="inlineStr">
        <is>
          <t>Planned Unit Development</t>
        </is>
      </c>
      <c r="R378" t="inlineStr">
        <is>
          <t>Average</t>
        </is>
      </c>
      <c r="S378" t="n">
        <v>47459</v>
      </c>
      <c r="T378" s="119">
        <f>S378/J378</f>
        <v/>
      </c>
      <c r="U378" t="inlineStr">
        <is>
          <t>Average</t>
        </is>
      </c>
      <c r="Y378" t="n">
        <v>497000</v>
      </c>
      <c r="AA378" t="n">
        <v>497000</v>
      </c>
      <c r="AC378" t="inlineStr">
        <is>
          <t>0171934100009</t>
        </is>
      </c>
      <c r="AD378" t="inlineStr">
        <is>
          <t>2020000096995</t>
        </is>
      </c>
      <c r="AE378" s="575" t="inlineStr">
        <is>
          <t>ADDUCCI LISA M ET AL</t>
        </is>
      </c>
      <c r="AF378" s="575" t="inlineStr">
        <is>
          <t>7667 WASHINGTON ST LLC</t>
        </is>
      </c>
      <c r="AI378" s="59">
        <f>IF(AND($E378=Subj_OccCode,Subj_BldgSF&gt;0,ABS($L378-Subj_BldgSF)&lt;=Subj_BldgSF*Subj_SizeTol),ABS($L378-Subj_BldgSF),NA())</f>
        <v/>
      </c>
      <c r="AJ378" s="93">
        <f>IF(ISNA(AI378),NA(),AI378+ROW()/10000000)</f>
        <v/>
      </c>
      <c r="AK378">
        <f>IF(AND(ISNUMBER($N378),$N378&gt;0,ISNUMBER($Y378)),$Y378/$N378,"")</f>
        <v/>
      </c>
      <c r="AL378" s="93" t="n"/>
      <c r="AM378" s="93" t="n"/>
      <c r="AN378" s="93" t="n"/>
    </row>
    <row r="379" ht="15" customHeight="1" s="518">
      <c r="A379" s="123" t="n">
        <v>8</v>
      </c>
      <c r="B379" s="59" t="n">
        <v>372</v>
      </c>
      <c r="C379" t="inlineStr">
        <is>
          <t>R0068515</t>
        </is>
      </c>
      <c r="D379" t="inlineStr">
        <is>
          <t>7333  PECOS ST</t>
        </is>
      </c>
      <c r="E379" t="n">
        <v>343</v>
      </c>
      <c r="G379" t="inlineStr">
        <is>
          <t>4</t>
        </is>
      </c>
      <c r="H379" s="703">
        <f>Y379/J379</f>
        <v/>
      </c>
      <c r="I379" s="704" t="n">
        <v>44530</v>
      </c>
      <c r="J379" t="n">
        <v>14156</v>
      </c>
      <c r="L379" t="n">
        <v>14156</v>
      </c>
      <c r="M379" t="n">
        <v>1982</v>
      </c>
      <c r="P379" t="inlineStr">
        <is>
          <t>Planned Unit Development</t>
        </is>
      </c>
      <c r="R379" t="inlineStr">
        <is>
          <t>Average</t>
        </is>
      </c>
      <c r="S379" t="n">
        <v>39829</v>
      </c>
      <c r="T379" s="119">
        <f>S379/J379</f>
        <v/>
      </c>
      <c r="U379" t="inlineStr">
        <is>
          <t>Average</t>
        </is>
      </c>
      <c r="Y379" t="n">
        <v>1750000</v>
      </c>
      <c r="AA379" t="n">
        <v>1750000</v>
      </c>
      <c r="AC379" t="inlineStr">
        <is>
          <t>0171933307043</t>
        </is>
      </c>
      <c r="AD379" t="inlineStr">
        <is>
          <t>2021000142090</t>
        </is>
      </c>
      <c r="AE379" s="575" t="inlineStr">
        <is>
          <t>VENTURE HOSPITALITY INC</t>
        </is>
      </c>
      <c r="AF379" s="575" t="inlineStr">
        <is>
          <t>CO VENTURE LLC</t>
        </is>
      </c>
      <c r="AI379" s="59">
        <f>IF(AND($E379=Subj_OccCode,Subj_BldgSF&gt;0,ABS($L379-Subj_BldgSF)&lt;=Subj_BldgSF*Subj_SizeTol),ABS($L379-Subj_BldgSF),NA())</f>
        <v/>
      </c>
      <c r="AJ379" s="93">
        <f>IF(ISNA(AI379),NA(),AI379+ROW()/10000000)</f>
        <v/>
      </c>
      <c r="AK379">
        <f>IF(AND(ISNUMBER($N379),$N379&gt;0,ISNUMBER($Y379)),$Y379/$N379,"")</f>
        <v/>
      </c>
      <c r="AL379" s="93" t="n"/>
      <c r="AM379" s="93" t="n"/>
      <c r="AN379" s="93" t="n"/>
    </row>
    <row r="380" ht="15" customHeight="1" s="518">
      <c r="A380" s="123" t="n">
        <v>8</v>
      </c>
      <c r="B380" s="59" t="n">
        <v>373</v>
      </c>
      <c r="C380" t="inlineStr">
        <is>
          <t>R0084319</t>
        </is>
      </c>
      <c r="D380" t="inlineStr">
        <is>
          <t>13858 E SMITH DR #E</t>
        </is>
      </c>
      <c r="E380" t="n">
        <v>425</v>
      </c>
      <c r="F380" t="inlineStr">
        <is>
          <t>AURORA</t>
        </is>
      </c>
      <c r="G380" t="inlineStr">
        <is>
          <t>6</t>
        </is>
      </c>
      <c r="H380" s="703">
        <f>Y380/J380</f>
        <v/>
      </c>
      <c r="I380" s="704" t="n">
        <v>43588</v>
      </c>
      <c r="J380" t="n">
        <v>1500</v>
      </c>
      <c r="L380" t="n">
        <v>1500</v>
      </c>
      <c r="M380" t="n">
        <v>1982</v>
      </c>
      <c r="P380" t="inlineStr">
        <is>
          <t>Aurora</t>
        </is>
      </c>
      <c r="R380" t="inlineStr">
        <is>
          <t>Average</t>
        </is>
      </c>
      <c r="S380" t="n">
        <v>4608</v>
      </c>
      <c r="T380" s="119">
        <f>S380/J380</f>
        <v/>
      </c>
      <c r="U380" t="inlineStr">
        <is>
          <t>Average</t>
        </is>
      </c>
      <c r="Y380" t="n">
        <v>181000</v>
      </c>
      <c r="AA380" t="n">
        <v>181000</v>
      </c>
      <c r="AC380" t="inlineStr">
        <is>
          <t>0182130013019</t>
        </is>
      </c>
      <c r="AD380" t="inlineStr">
        <is>
          <t>2019000033209</t>
        </is>
      </c>
      <c r="AE380" s="575" t="inlineStr">
        <is>
          <t>SONNENFELD QUENTON D AND, SONNENFELD SHARON A</t>
        </is>
      </c>
      <c r="AF380" s="575" t="inlineStr">
        <is>
          <t>ASR LLC</t>
        </is>
      </c>
      <c r="AI380" s="59">
        <f>IF(AND($E380=Subj_OccCode,Subj_BldgSF&gt;0,ABS($L380-Subj_BldgSF)&lt;=Subj_BldgSF*Subj_SizeTol),ABS($L380-Subj_BldgSF),NA())</f>
        <v/>
      </c>
      <c r="AJ380" s="93">
        <f>IF(ISNA(AI380),NA(),AI380+ROW()/10000000)</f>
        <v/>
      </c>
      <c r="AK380">
        <f>IF(AND(ISNUMBER($N380),$N380&gt;0,ISNUMBER($Y380)),$Y380/$N380,"")</f>
        <v/>
      </c>
      <c r="AL380" s="93" t="n"/>
      <c r="AM380" s="93" t="n"/>
      <c r="AN380" s="93" t="n"/>
    </row>
    <row r="381" ht="15" customHeight="1" s="518">
      <c r="A381" s="123" t="n">
        <v>8</v>
      </c>
      <c r="B381" s="59" t="n">
        <v>374</v>
      </c>
      <c r="C381" t="inlineStr">
        <is>
          <t>R0081885</t>
        </is>
      </c>
      <c r="D381" t="inlineStr">
        <is>
          <t>56481 E COLFAX AVE</t>
        </is>
      </c>
      <c r="E381" t="n">
        <v>344</v>
      </c>
      <c r="F381" t="inlineStr">
        <is>
          <t>STRASBURG</t>
        </is>
      </c>
      <c r="G381" t="inlineStr">
        <is>
          <t>1</t>
        </is>
      </c>
      <c r="H381" s="703">
        <f>Y381/J381</f>
        <v/>
      </c>
      <c r="I381" s="704" t="n">
        <v>43208</v>
      </c>
      <c r="J381" t="n">
        <v>1296</v>
      </c>
      <c r="L381" t="n">
        <v>1296</v>
      </c>
      <c r="M381" t="n">
        <v>1949</v>
      </c>
      <c r="P381" t="inlineStr">
        <is>
          <t>Commercial</t>
        </is>
      </c>
      <c r="R381" t="inlineStr">
        <is>
          <t>Average</t>
        </is>
      </c>
      <c r="S381" t="n">
        <v>6525</v>
      </c>
      <c r="T381" s="119">
        <f>S381/J381</f>
        <v/>
      </c>
      <c r="U381" t="inlineStr">
        <is>
          <t>Average</t>
        </is>
      </c>
      <c r="Y381" t="n">
        <v>210000</v>
      </c>
      <c r="AA381" t="n">
        <v>210000</v>
      </c>
      <c r="AC381" t="inlineStr">
        <is>
          <t>0181333411010</t>
        </is>
      </c>
      <c r="AD381" t="inlineStr">
        <is>
          <t>2018000032427</t>
        </is>
      </c>
      <c r="AE381" s="575" t="inlineStr">
        <is>
          <t>BATES FAMILY  TRUST</t>
        </is>
      </c>
      <c r="AF381" s="575" t="inlineStr">
        <is>
          <t>AMERICAN ENTERPRISES  LTD</t>
        </is>
      </c>
      <c r="AI381" s="59">
        <f>IF(AND($E381=Subj_OccCode,Subj_BldgSF&gt;0,ABS($L381-Subj_BldgSF)&lt;=Subj_BldgSF*Subj_SizeTol),ABS($L381-Subj_BldgSF),NA())</f>
        <v/>
      </c>
      <c r="AJ381" s="93">
        <f>IF(ISNA(AI381),NA(),AI381+ROW()/10000000)</f>
        <v/>
      </c>
      <c r="AK381">
        <f>IF(AND(ISNUMBER($N381),$N381&gt;0,ISNUMBER($Y381)),$Y381/$N381,"")</f>
        <v/>
      </c>
      <c r="AL381" s="93" t="n"/>
      <c r="AM381" s="93" t="n"/>
      <c r="AN381" s="93" t="n"/>
    </row>
    <row r="382" ht="15" customHeight="1" s="518">
      <c r="A382" s="123" t="n">
        <v>8</v>
      </c>
      <c r="B382" s="59" t="n">
        <v>375</v>
      </c>
      <c r="C382" t="inlineStr">
        <is>
          <t>R0067174</t>
        </is>
      </c>
      <c r="D382" t="inlineStr">
        <is>
          <t>2735 W 72ND AVE</t>
        </is>
      </c>
      <c r="E382" t="n">
        <v>353</v>
      </c>
      <c r="F382" t="inlineStr">
        <is>
          <t>WESTMINSTER</t>
        </is>
      </c>
      <c r="G382" t="inlineStr">
        <is>
          <t>4</t>
        </is>
      </c>
      <c r="H382" s="703">
        <f>Y382/J382</f>
        <v/>
      </c>
      <c r="I382" s="704" t="n">
        <v>43601</v>
      </c>
      <c r="J382" t="n">
        <v>2563</v>
      </c>
      <c r="L382" t="n">
        <v>2563</v>
      </c>
      <c r="M382" t="n">
        <v>1962</v>
      </c>
      <c r="R382" t="inlineStr">
        <is>
          <t>Average</t>
        </is>
      </c>
      <c r="S382" t="n">
        <v>15600</v>
      </c>
      <c r="T382" s="119">
        <f>S382/J382</f>
        <v/>
      </c>
      <c r="U382" t="inlineStr">
        <is>
          <t>Average</t>
        </is>
      </c>
      <c r="Y382" t="n">
        <v>607000</v>
      </c>
      <c r="AA382" t="n">
        <v>607000</v>
      </c>
      <c r="AC382" t="inlineStr">
        <is>
          <t>0171932417050</t>
        </is>
      </c>
      <c r="AD382" t="inlineStr">
        <is>
          <t>2019000038513</t>
        </is>
      </c>
      <c r="AE382" s="575" t="inlineStr">
        <is>
          <t>REGASSA TEFERA AND, HAILE ABAYNESH</t>
        </is>
      </c>
      <c r="AF382" s="575" t="inlineStr">
        <is>
          <t>HAGOS BARAKI G AND, GAZE RAHWA MEHRETEAB</t>
        </is>
      </c>
      <c r="AI382" s="59">
        <f>IF(AND($E382=Subj_OccCode,Subj_BldgSF&gt;0,ABS($L382-Subj_BldgSF)&lt;=Subj_BldgSF*Subj_SizeTol),ABS($L382-Subj_BldgSF),NA())</f>
        <v/>
      </c>
      <c r="AJ382" s="93">
        <f>IF(ISNA(AI382),NA(),AI382+ROW()/10000000)</f>
        <v/>
      </c>
      <c r="AK382">
        <f>IF(AND(ISNUMBER($N382),$N382&gt;0,ISNUMBER($Y382)),$Y382/$N382,"")</f>
        <v/>
      </c>
      <c r="AL382" s="93" t="n"/>
      <c r="AM382" s="93" t="n"/>
      <c r="AN382" s="93" t="n"/>
    </row>
    <row r="383" ht="15" customHeight="1" s="518">
      <c r="A383" s="123" t="n">
        <v>8</v>
      </c>
      <c r="B383" s="59" t="n">
        <v>376</v>
      </c>
      <c r="C383" t="inlineStr">
        <is>
          <t>R0129953</t>
        </is>
      </c>
      <c r="D383" t="inlineStr">
        <is>
          <t>1865 W 121ST AVE</t>
        </is>
      </c>
      <c r="E383" t="n">
        <v>534</v>
      </c>
      <c r="F383" t="inlineStr">
        <is>
          <t>WESTMINSTER</t>
        </is>
      </c>
      <c r="G383" t="inlineStr">
        <is>
          <t>3</t>
        </is>
      </c>
      <c r="H383" s="703">
        <f>Y383/J383</f>
        <v/>
      </c>
      <c r="I383" s="704" t="n">
        <v>43251</v>
      </c>
      <c r="J383" t="n">
        <v>125320</v>
      </c>
      <c r="L383" t="n">
        <v>125320</v>
      </c>
      <c r="M383" t="n">
        <v>2001</v>
      </c>
      <c r="R383" t="inlineStr">
        <is>
          <t>Good</t>
        </is>
      </c>
      <c r="S383" t="n">
        <v>553942</v>
      </c>
      <c r="T383" s="119">
        <f>S383/J383</f>
        <v/>
      </c>
      <c r="U383" t="inlineStr">
        <is>
          <t>Good</t>
        </is>
      </c>
      <c r="Y383" t="n">
        <v>17100000</v>
      </c>
      <c r="AA383" t="n">
        <v>17100000</v>
      </c>
      <c r="AC383" t="inlineStr">
        <is>
          <t>0157333302003</t>
        </is>
      </c>
      <c r="AD383" t="inlineStr">
        <is>
          <t>2018000044310</t>
        </is>
      </c>
      <c r="AE383" s="575" t="inlineStr">
        <is>
          <t>NORTHRIDGE EQUITIES LLC</t>
        </is>
      </c>
      <c r="AF383" s="575" t="inlineStr">
        <is>
          <t>NORTHRIDGE PROPERTY OWNER LLC UND 64.29% INT AND , WESTMINSTER 121 LLC UN et al.</t>
        </is>
      </c>
      <c r="AI383" s="59">
        <f>IF(AND($E383=Subj_OccCode,Subj_BldgSF&gt;0,ABS($L383-Subj_BldgSF)&lt;=Subj_BldgSF*Subj_SizeTol),ABS($L383-Subj_BldgSF),NA())</f>
        <v/>
      </c>
      <c r="AJ383" s="93">
        <f>IF(ISNA(AI383),NA(),AI383+ROW()/10000000)</f>
        <v/>
      </c>
      <c r="AK383">
        <f>IF(AND(ISNUMBER($N383),$N383&gt;0,ISNUMBER($Y383)),$Y383/$N383,"")</f>
        <v/>
      </c>
      <c r="AL383" s="93" t="n"/>
      <c r="AM383" s="93" t="n"/>
      <c r="AN383" s="93" t="n"/>
    </row>
    <row r="384" ht="15" customHeight="1" s="518">
      <c r="A384" s="123" t="n">
        <v>8</v>
      </c>
      <c r="B384" s="59" t="n">
        <v>377</v>
      </c>
      <c r="C384" t="inlineStr">
        <is>
          <t>R0037103</t>
        </is>
      </c>
      <c r="D384" t="inlineStr">
        <is>
          <t>11178  HURON ST</t>
        </is>
      </c>
      <c r="E384" t="n">
        <v>1344</v>
      </c>
      <c r="F384" t="inlineStr">
        <is>
          <t>NORTHGLENN</t>
        </is>
      </c>
      <c r="G384" t="inlineStr">
        <is>
          <t>4</t>
        </is>
      </c>
      <c r="H384" s="703">
        <f>Y384/J384</f>
        <v/>
      </c>
      <c r="I384" s="704" t="n">
        <v>44614</v>
      </c>
      <c r="J384" t="n">
        <v>2216</v>
      </c>
      <c r="L384" t="n">
        <v>2216</v>
      </c>
      <c r="M384" t="n">
        <v>1984</v>
      </c>
      <c r="P384" t="inlineStr">
        <is>
          <t>C-3-Nor</t>
        </is>
      </c>
      <c r="R384" t="inlineStr">
        <is>
          <t>Average</t>
        </is>
      </c>
      <c r="S384" t="n">
        <v>1108</v>
      </c>
      <c r="T384" s="119">
        <f>S384/J384</f>
        <v/>
      </c>
      <c r="U384" t="inlineStr">
        <is>
          <t>Average</t>
        </is>
      </c>
      <c r="Y384" t="n">
        <v>285000</v>
      </c>
      <c r="AA384" t="n">
        <v>285000</v>
      </c>
      <c r="AC384" t="inlineStr">
        <is>
          <t>0171910217003</t>
        </is>
      </c>
      <c r="AD384" t="inlineStr">
        <is>
          <t>2022000016996</t>
        </is>
      </c>
      <c r="AE384" s="575" t="inlineStr">
        <is>
          <t>HIGHVIEW REALESTATE HOLDINGS LLC</t>
        </is>
      </c>
      <c r="AF384" s="575" t="inlineStr">
        <is>
          <t>11178 HURON ST LLC</t>
        </is>
      </c>
      <c r="AI384" s="59">
        <f>IF(AND($E384=Subj_OccCode,Subj_BldgSF&gt;0,ABS($L384-Subj_BldgSF)&lt;=Subj_BldgSF*Subj_SizeTol),ABS($L384-Subj_BldgSF),NA())</f>
        <v/>
      </c>
      <c r="AJ384" s="93">
        <f>IF(ISNA(AI384),NA(),AI384+ROW()/10000000)</f>
        <v/>
      </c>
      <c r="AK384">
        <f>IF(AND(ISNUMBER($N384),$N384&gt;0,ISNUMBER($Y384)),$Y384/$N384,"")</f>
        <v/>
      </c>
      <c r="AL384" s="93" t="n"/>
      <c r="AM384" s="93" t="n"/>
      <c r="AN384" s="93" t="n"/>
    </row>
    <row r="385" ht="15" customHeight="1" s="518">
      <c r="A385" s="123" t="n">
        <v>8</v>
      </c>
      <c r="B385" s="59" t="n">
        <v>378</v>
      </c>
      <c r="C385" t="inlineStr">
        <is>
          <t>R0114828</t>
        </is>
      </c>
      <c r="D385" t="inlineStr">
        <is>
          <t>8700  GRANT ST</t>
        </is>
      </c>
      <c r="E385" t="n">
        <v>344</v>
      </c>
      <c r="F385" t="inlineStr">
        <is>
          <t>THORNTON</t>
        </is>
      </c>
      <c r="G385" t="inlineStr">
        <is>
          <t>2</t>
        </is>
      </c>
      <c r="H385" s="703">
        <f>Y385/J385</f>
        <v/>
      </c>
      <c r="I385" s="704" t="n">
        <v>43374</v>
      </c>
      <c r="J385" t="n">
        <v>20636</v>
      </c>
      <c r="L385" t="n">
        <v>20636</v>
      </c>
      <c r="M385" t="n">
        <v>1985</v>
      </c>
      <c r="P385" t="inlineStr">
        <is>
          <t>Thornton</t>
        </is>
      </c>
      <c r="R385" t="inlineStr">
        <is>
          <t>Average</t>
        </is>
      </c>
      <c r="S385" t="n">
        <v>54189</v>
      </c>
      <c r="T385" s="119">
        <f>S385/J385</f>
        <v/>
      </c>
      <c r="U385" t="inlineStr">
        <is>
          <t>Average</t>
        </is>
      </c>
      <c r="Y385" t="n">
        <v>2375000</v>
      </c>
      <c r="AA385" t="n">
        <v>2375000</v>
      </c>
      <c r="AC385" t="inlineStr">
        <is>
          <t>0171927114006</t>
        </is>
      </c>
      <c r="AD385" t="inlineStr">
        <is>
          <t>2018000080040</t>
        </is>
      </c>
      <c r="AE385" s="575" t="inlineStr">
        <is>
          <t xml:space="preserve">120 HOLMAN LLC, C/O TRUSTED ACCOUNTING </t>
        </is>
      </c>
      <c r="AF385" s="575" t="inlineStr">
        <is>
          <t>MLS PROPERTIES LLC</t>
        </is>
      </c>
      <c r="AI385" s="59">
        <f>IF(AND($E385=Subj_OccCode,Subj_BldgSF&gt;0,ABS($L385-Subj_BldgSF)&lt;=Subj_BldgSF*Subj_SizeTol),ABS($L385-Subj_BldgSF),NA())</f>
        <v/>
      </c>
      <c r="AJ385" s="93">
        <f>IF(ISNA(AI385),NA(),AI385+ROW()/10000000)</f>
        <v/>
      </c>
      <c r="AK385">
        <f>IF(AND(ISNUMBER($N385),$N385&gt;0,ISNUMBER($Y385)),$Y385/$N385,"")</f>
        <v/>
      </c>
      <c r="AL385" s="93" t="n"/>
      <c r="AM385" s="93" t="n"/>
      <c r="AN385" s="93" t="n"/>
    </row>
    <row r="386" ht="15" customHeight="1" s="518">
      <c r="A386" s="123" t="n">
        <v>8</v>
      </c>
      <c r="B386" s="59" t="n">
        <v>379</v>
      </c>
      <c r="C386" t="inlineStr">
        <is>
          <t>R0150307</t>
        </is>
      </c>
      <c r="D386" t="inlineStr">
        <is>
          <t>7140  IVY ST</t>
        </is>
      </c>
      <c r="E386" t="n">
        <v>425</v>
      </c>
      <c r="F386" t="inlineStr">
        <is>
          <t>COMMERCE CITY</t>
        </is>
      </c>
      <c r="G386" t="inlineStr">
        <is>
          <t>5</t>
        </is>
      </c>
      <c r="H386" s="703">
        <f>Y386/J386</f>
        <v/>
      </c>
      <c r="I386" s="704" t="n">
        <v>43395</v>
      </c>
      <c r="J386" t="n">
        <v>9000</v>
      </c>
      <c r="L386" t="n">
        <v>9000</v>
      </c>
      <c r="M386" t="n">
        <v>2002</v>
      </c>
      <c r="R386" t="inlineStr">
        <is>
          <t>Average</t>
        </is>
      </c>
      <c r="S386" t="n">
        <v>6448</v>
      </c>
      <c r="T386" s="119">
        <f>S386/J386</f>
        <v/>
      </c>
      <c r="U386" t="inlineStr">
        <is>
          <t>Average</t>
        </is>
      </c>
      <c r="Y386" t="n">
        <v>233500</v>
      </c>
      <c r="AA386" t="n">
        <v>233500</v>
      </c>
      <c r="AC386" t="inlineStr">
        <is>
          <t>0182305221048</t>
        </is>
      </c>
      <c r="AD386" t="inlineStr">
        <is>
          <t>2018000085734</t>
        </is>
      </c>
      <c r="AE386" s="575" t="inlineStr">
        <is>
          <t>GLOBAL IMAGES ENTERPRISES LLC, C/O ERIC SURRATT</t>
        </is>
      </c>
      <c r="AF386" s="575" t="inlineStr">
        <is>
          <t>MCE PROPERTY I GROUP LLC</t>
        </is>
      </c>
      <c r="AI386" s="59">
        <f>IF(AND($E386=Subj_OccCode,Subj_BldgSF&gt;0,ABS($L386-Subj_BldgSF)&lt;=Subj_BldgSF*Subj_SizeTol),ABS($L386-Subj_BldgSF),NA())</f>
        <v/>
      </c>
      <c r="AJ386" s="93">
        <f>IF(ISNA(AI386),NA(),AI386+ROW()/10000000)</f>
        <v/>
      </c>
      <c r="AK386">
        <f>IF(AND(ISNUMBER($N386),$N386&gt;0,ISNUMBER($Y386)),$Y386/$N386,"")</f>
        <v/>
      </c>
      <c r="AL386" s="93" t="n"/>
      <c r="AM386" s="93" t="n"/>
      <c r="AN386" s="93" t="n"/>
    </row>
    <row r="387" ht="15" customHeight="1" s="518">
      <c r="A387" s="123" t="n">
        <v>8</v>
      </c>
      <c r="B387" s="59" t="n">
        <v>380</v>
      </c>
      <c r="C387" t="inlineStr">
        <is>
          <t>R0077400</t>
        </is>
      </c>
      <c r="D387" t="inlineStr">
        <is>
          <t>8401 BRIGHTON RD</t>
        </is>
      </c>
      <c r="E387" t="n">
        <v>325</v>
      </c>
      <c r="G387" t="inlineStr">
        <is>
          <t>5</t>
        </is>
      </c>
      <c r="H387" s="703">
        <f>Y387/J387</f>
        <v/>
      </c>
      <c r="I387" s="704" t="n">
        <v>44386</v>
      </c>
      <c r="J387" t="n">
        <v>2400</v>
      </c>
      <c r="L387" t="n">
        <v>2400</v>
      </c>
      <c r="M387" t="n">
        <v>1936</v>
      </c>
      <c r="P387" t="inlineStr">
        <is>
          <t>Industrial</t>
        </is>
      </c>
      <c r="R387" t="inlineStr">
        <is>
          <t>Low</t>
        </is>
      </c>
      <c r="S387" t="n">
        <v>9580</v>
      </c>
      <c r="T387" s="119">
        <f>S387/J387</f>
        <v/>
      </c>
      <c r="U387" t="inlineStr">
        <is>
          <t>Average</t>
        </is>
      </c>
      <c r="Y387" t="n">
        <v>615000</v>
      </c>
      <c r="AA387" t="n">
        <v>615000</v>
      </c>
      <c r="AC387" t="inlineStr">
        <is>
          <t>0172129200034</t>
        </is>
      </c>
      <c r="AD387" t="inlineStr">
        <is>
          <t>2021000082867</t>
        </is>
      </c>
      <c r="AE387" s="575" t="inlineStr">
        <is>
          <t>DELUXE CUSTOM WOOD FINISH CORP</t>
        </is>
      </c>
      <c r="AF387" s="575" t="inlineStr">
        <is>
          <t>EUCLID ELEMENTS LLC</t>
        </is>
      </c>
      <c r="AI387" s="59">
        <f>IF(AND($E387=Subj_OccCode,Subj_BldgSF&gt;0,ABS($L387-Subj_BldgSF)&lt;=Subj_BldgSF*Subj_SizeTol),ABS($L387-Subj_BldgSF),NA())</f>
        <v/>
      </c>
      <c r="AJ387" s="93">
        <f>IF(ISNA(AI387),NA(),AI387+ROW()/10000000)</f>
        <v/>
      </c>
      <c r="AK387">
        <f>IF(AND(ISNUMBER($N387),$N387&gt;0,ISNUMBER($Y387)),$Y387/$N387,"")</f>
        <v/>
      </c>
      <c r="AL387" s="93" t="n"/>
      <c r="AM387" s="93" t="n"/>
      <c r="AN387" s="93" t="n"/>
    </row>
    <row r="388" ht="15" customHeight="1" s="518">
      <c r="A388" s="123" t="n">
        <v>8</v>
      </c>
      <c r="B388" s="59" t="n">
        <v>381</v>
      </c>
      <c r="C388" t="inlineStr">
        <is>
          <t>R0112038</t>
        </is>
      </c>
      <c r="D388" t="inlineStr">
        <is>
          <t>5790  DAHLIA ST</t>
        </is>
      </c>
      <c r="E388" t="n">
        <v>406</v>
      </c>
      <c r="F388" t="inlineStr">
        <is>
          <t>COMMERCE CITY</t>
        </is>
      </c>
      <c r="G388" t="inlineStr">
        <is>
          <t>5</t>
        </is>
      </c>
      <c r="H388" s="703">
        <f>Y388/J388</f>
        <v/>
      </c>
      <c r="I388" s="704" t="n">
        <v>44722</v>
      </c>
      <c r="J388" t="n">
        <v>7000</v>
      </c>
      <c r="L388" t="n">
        <v>7000</v>
      </c>
      <c r="M388" t="n">
        <v>1966</v>
      </c>
      <c r="P388" t="inlineStr">
        <is>
          <t>I-2-Com</t>
        </is>
      </c>
      <c r="R388" t="inlineStr">
        <is>
          <t>Average</t>
        </is>
      </c>
      <c r="S388" t="n">
        <v>91829</v>
      </c>
      <c r="T388" s="119">
        <f>S388/J388</f>
        <v/>
      </c>
      <c r="U388" t="inlineStr">
        <is>
          <t>Average</t>
        </is>
      </c>
      <c r="Y388" t="n">
        <v>2100000</v>
      </c>
      <c r="AA388" t="n">
        <v>2100000</v>
      </c>
      <c r="AC388" t="inlineStr">
        <is>
          <t>0182307406001</t>
        </is>
      </c>
      <c r="AD388" t="inlineStr">
        <is>
          <t>2022000051703</t>
        </is>
      </c>
      <c r="AE388" s="575" t="inlineStr">
        <is>
          <t>5790 DAHLIA INVESTMENT LLC</t>
        </is>
      </c>
      <c r="AF388" s="575" t="inlineStr">
        <is>
          <t>DISCO CAPITAL LLC</t>
        </is>
      </c>
      <c r="AI388" s="59">
        <f>IF(AND($E388=Subj_OccCode,Subj_BldgSF&gt;0,ABS($L388-Subj_BldgSF)&lt;=Subj_BldgSF*Subj_SizeTol),ABS($L388-Subj_BldgSF),NA())</f>
        <v/>
      </c>
      <c r="AJ388" s="93">
        <f>IF(ISNA(AI388),NA(),AI388+ROW()/10000000)</f>
        <v/>
      </c>
      <c r="AK388">
        <f>IF(AND(ISNUMBER($N388),$N388&gt;0,ISNUMBER($Y388)),$Y388/$N388,"")</f>
        <v/>
      </c>
      <c r="AL388" s="93" t="n"/>
      <c r="AM388" s="93" t="n"/>
      <c r="AN388" s="93" t="n"/>
    </row>
    <row r="389" ht="15" customHeight="1" s="518">
      <c r="A389" s="123" t="n">
        <v>8</v>
      </c>
      <c r="B389" s="59" t="n">
        <v>382</v>
      </c>
      <c r="C389" t="inlineStr">
        <is>
          <t>R0061304</t>
        </is>
      </c>
      <c r="D389" t="inlineStr">
        <is>
          <t>2955 W 80TH AVE</t>
        </is>
      </c>
      <c r="E389" t="n">
        <v>353</v>
      </c>
      <c r="F389" t="inlineStr">
        <is>
          <t>WESTMINSTER</t>
        </is>
      </c>
      <c r="G389" t="inlineStr">
        <is>
          <t>4</t>
        </is>
      </c>
      <c r="H389" s="703">
        <f>Y389/J389</f>
        <v/>
      </c>
      <c r="I389" s="704" t="n">
        <v>44124</v>
      </c>
      <c r="J389" t="n">
        <v>3895</v>
      </c>
      <c r="L389" t="n">
        <v>3895</v>
      </c>
      <c r="M389" t="n">
        <v>1965</v>
      </c>
      <c r="P389" t="inlineStr">
        <is>
          <t>B-1-Wes</t>
        </is>
      </c>
      <c r="R389" t="inlineStr">
        <is>
          <t>Average</t>
        </is>
      </c>
      <c r="S389" t="n">
        <v>12500</v>
      </c>
      <c r="T389" s="119">
        <f>S389/J389</f>
        <v/>
      </c>
      <c r="U389" t="inlineStr">
        <is>
          <t>Average</t>
        </is>
      </c>
      <c r="Y389" t="n">
        <v>742500</v>
      </c>
      <c r="AA389" t="n">
        <v>742500</v>
      </c>
      <c r="AC389" t="inlineStr">
        <is>
          <t>0171929404007</t>
        </is>
      </c>
      <c r="AD389" t="inlineStr">
        <is>
          <t>2020000107033</t>
        </is>
      </c>
      <c r="AE389" s="575" t="inlineStr">
        <is>
          <t>SPEEDMAN PROPERTIES LLC</t>
        </is>
      </c>
      <c r="AF389" s="575" t="inlineStr">
        <is>
          <t>COLORADO KARETE CLUB</t>
        </is>
      </c>
      <c r="AI389" s="59">
        <f>IF(AND($E389=Subj_OccCode,Subj_BldgSF&gt;0,ABS($L389-Subj_BldgSF)&lt;=Subj_BldgSF*Subj_SizeTol),ABS($L389-Subj_BldgSF),NA())</f>
        <v/>
      </c>
      <c r="AJ389" s="93">
        <f>IF(ISNA(AI389),NA(),AI389+ROW()/10000000)</f>
        <v/>
      </c>
      <c r="AK389">
        <f>IF(AND(ISNUMBER($N389),$N389&gt;0,ISNUMBER($Y389)),$Y389/$N389,"")</f>
        <v/>
      </c>
      <c r="AL389" s="93" t="n"/>
      <c r="AM389" s="93" t="n"/>
      <c r="AN389" s="93" t="n"/>
    </row>
    <row r="390" ht="15" customHeight="1" s="518">
      <c r="A390" s="123" t="n">
        <v>8</v>
      </c>
      <c r="B390" s="59" t="n">
        <v>383</v>
      </c>
      <c r="C390" t="inlineStr">
        <is>
          <t>R0103576</t>
        </is>
      </c>
      <c r="D390" t="inlineStr">
        <is>
          <t>5641  WASHINGTON ST</t>
        </is>
      </c>
      <c r="E390" t="n">
        <v>334</v>
      </c>
      <c r="G390" t="inlineStr">
        <is>
          <t>5</t>
        </is>
      </c>
      <c r="H390" s="703">
        <f>Y390/J390</f>
        <v/>
      </c>
      <c r="I390" s="704" t="n">
        <v>44405</v>
      </c>
      <c r="J390" t="n">
        <v>20285</v>
      </c>
      <c r="L390" t="n">
        <v>20285</v>
      </c>
      <c r="M390" t="n">
        <v>1968</v>
      </c>
      <c r="P390" t="inlineStr">
        <is>
          <t>Industrial</t>
        </is>
      </c>
      <c r="R390" t="inlineStr">
        <is>
          <t>Average</t>
        </is>
      </c>
      <c r="S390" t="n">
        <v>62664</v>
      </c>
      <c r="T390" s="119">
        <f>S390/J390</f>
        <v/>
      </c>
      <c r="U390" t="inlineStr">
        <is>
          <t>Average</t>
        </is>
      </c>
      <c r="Y390" t="n">
        <v>3500000</v>
      </c>
      <c r="AA390" t="n">
        <v>3500000</v>
      </c>
      <c r="AC390" t="inlineStr">
        <is>
          <t>0182510407021</t>
        </is>
      </c>
      <c r="AD390" t="inlineStr">
        <is>
          <t>2021000090746</t>
        </is>
      </c>
      <c r="AE390" s="575" t="inlineStr">
        <is>
          <t>BNC SERVICES LLC</t>
        </is>
      </c>
      <c r="AF390" s="575" t="inlineStr">
        <is>
          <t>5641 N WASHINGTON LLC</t>
        </is>
      </c>
      <c r="AI390" s="59">
        <f>IF(AND($E390=Subj_OccCode,Subj_BldgSF&gt;0,ABS($L390-Subj_BldgSF)&lt;=Subj_BldgSF*Subj_SizeTol),ABS($L390-Subj_BldgSF),NA())</f>
        <v/>
      </c>
      <c r="AJ390" s="93">
        <f>IF(ISNA(AI390),NA(),AI390+ROW()/10000000)</f>
        <v/>
      </c>
      <c r="AK390">
        <f>IF(AND(ISNUMBER($N390),$N390&gt;0,ISNUMBER($Y390)),$Y390/$N390,"")</f>
        <v/>
      </c>
      <c r="AL390" s="93" t="n"/>
      <c r="AM390" s="93" t="n"/>
      <c r="AN390" s="93" t="n"/>
    </row>
    <row r="391" ht="15" customHeight="1" s="518">
      <c r="A391" s="123" t="n">
        <v>8</v>
      </c>
      <c r="B391" s="59" t="n">
        <v>384</v>
      </c>
      <c r="C391" t="inlineStr">
        <is>
          <t>R0091001</t>
        </is>
      </c>
      <c r="D391" t="inlineStr">
        <is>
          <t>5750  FAIRFAX ST</t>
        </is>
      </c>
      <c r="E391" t="n">
        <v>325</v>
      </c>
      <c r="F391" t="inlineStr">
        <is>
          <t>COMMERCE CITY</t>
        </is>
      </c>
      <c r="G391" t="inlineStr">
        <is>
          <t>5</t>
        </is>
      </c>
      <c r="H391" s="703">
        <f>Y391/J391</f>
        <v/>
      </c>
      <c r="I391" s="704" t="n">
        <v>43971</v>
      </c>
      <c r="J391" t="n">
        <v>16320</v>
      </c>
      <c r="L391" t="n">
        <v>16320</v>
      </c>
      <c r="M391" t="n">
        <v>1966</v>
      </c>
      <c r="P391" t="inlineStr">
        <is>
          <t>I-2-Com</t>
        </is>
      </c>
      <c r="R391" t="inlineStr">
        <is>
          <t>Average</t>
        </is>
      </c>
      <c r="S391" t="n">
        <v>80586</v>
      </c>
      <c r="T391" s="119">
        <f>S391/J391</f>
        <v/>
      </c>
      <c r="U391" t="inlineStr">
        <is>
          <t>Average</t>
        </is>
      </c>
      <c r="Y391" t="n">
        <v>2500000</v>
      </c>
      <c r="AA391" t="n">
        <v>2500000</v>
      </c>
      <c r="AC391" t="inlineStr">
        <is>
          <t>0182307400028</t>
        </is>
      </c>
      <c r="AD391" t="inlineStr">
        <is>
          <t>2020000046324</t>
        </is>
      </c>
      <c r="AE391" s="575" t="inlineStr">
        <is>
          <t>J L FAIRFAX LLC</t>
        </is>
      </c>
      <c r="AF391" s="575" t="inlineStr">
        <is>
          <t>GTCLS 5701 COLFAX RD LLC</t>
        </is>
      </c>
      <c r="AI391" s="59">
        <f>IF(AND($E391=Subj_OccCode,Subj_BldgSF&gt;0,ABS($L391-Subj_BldgSF)&lt;=Subj_BldgSF*Subj_SizeTol),ABS($L391-Subj_BldgSF),NA())</f>
        <v/>
      </c>
      <c r="AJ391" s="93">
        <f>IF(ISNA(AI391),NA(),AI391+ROW()/10000000)</f>
        <v/>
      </c>
      <c r="AK391">
        <f>IF(AND(ISNUMBER($N391),$N391&gt;0,ISNUMBER($Y391)),$Y391/$N391,"")</f>
        <v/>
      </c>
      <c r="AL391" s="93" t="n"/>
      <c r="AM391" s="93" t="n"/>
      <c r="AN391" s="93" t="n"/>
    </row>
    <row r="392" ht="15" customHeight="1" s="518">
      <c r="A392" s="123" t="n">
        <v>8</v>
      </c>
      <c r="B392" s="59" t="n">
        <v>385</v>
      </c>
      <c r="C392" t="inlineStr">
        <is>
          <t>R0185551</t>
        </is>
      </c>
      <c r="D392" t="inlineStr">
        <is>
          <t>18351 E COLFAX AVE</t>
        </is>
      </c>
      <c r="E392" t="n">
        <v>419</v>
      </c>
      <c r="F392" t="inlineStr">
        <is>
          <t>AURORA</t>
        </is>
      </c>
      <c r="G392" t="inlineStr">
        <is>
          <t>6</t>
        </is>
      </c>
      <c r="H392" s="703">
        <f>Y392/J392</f>
        <v/>
      </c>
      <c r="I392" s="704" t="n">
        <v>44466</v>
      </c>
      <c r="J392" t="n">
        <v>3010</v>
      </c>
      <c r="L392" t="n">
        <v>3010</v>
      </c>
      <c r="M392" t="n">
        <v>2014</v>
      </c>
      <c r="P392" t="inlineStr">
        <is>
          <t>B-3-Aur</t>
        </is>
      </c>
      <c r="R392" t="inlineStr">
        <is>
          <t>Average</t>
        </is>
      </c>
      <c r="S392" t="n">
        <v>43243</v>
      </c>
      <c r="T392" s="119">
        <f>S392/J392</f>
        <v/>
      </c>
      <c r="U392" t="inlineStr">
        <is>
          <t>Average</t>
        </is>
      </c>
      <c r="Y392" t="n">
        <v>3102700</v>
      </c>
      <c r="AA392" t="n">
        <v>3102700</v>
      </c>
      <c r="AC392" t="inlineStr">
        <is>
          <t>0182133401001</t>
        </is>
      </c>
      <c r="AD392" t="inlineStr">
        <is>
          <t>2021000116162</t>
        </is>
      </c>
      <c r="AE392" s="575" t="inlineStr">
        <is>
          <t>SEMANTIC REALTY LLC, C/O 7 ELEVEN INC ATTN TAX DEPT 37033</t>
        </is>
      </c>
      <c r="AF392" s="575" t="inlineStr">
        <is>
          <t>US-STABLE-P1 18351 EAST , COLFAX AVENUE AURORA LLC</t>
        </is>
      </c>
      <c r="AI392" s="59">
        <f>IF(AND($E392=Subj_OccCode,Subj_BldgSF&gt;0,ABS($L392-Subj_BldgSF)&lt;=Subj_BldgSF*Subj_SizeTol),ABS($L392-Subj_BldgSF),NA())</f>
        <v/>
      </c>
      <c r="AJ392" s="93">
        <f>IF(ISNA(AI392),NA(),AI392+ROW()/10000000)</f>
        <v/>
      </c>
      <c r="AK392">
        <f>IF(AND(ISNUMBER($N392),$N392&gt;0,ISNUMBER($Y392)),$Y392/$N392,"")</f>
        <v/>
      </c>
      <c r="AL392" s="93" t="n"/>
      <c r="AM392" s="93" t="n"/>
      <c r="AN392" s="93" t="n"/>
    </row>
    <row r="393" ht="15" customHeight="1" s="518">
      <c r="A393" s="123" t="n">
        <v>8</v>
      </c>
      <c r="B393" s="59" t="n">
        <v>386</v>
      </c>
      <c r="C393" t="inlineStr">
        <is>
          <t>R0117237</t>
        </is>
      </c>
      <c r="D393" t="inlineStr">
        <is>
          <t>1830 W 64TH LN</t>
        </is>
      </c>
      <c r="E393" t="n">
        <v>406</v>
      </c>
      <c r="G393" t="inlineStr">
        <is>
          <t>5</t>
        </is>
      </c>
      <c r="H393" s="703">
        <f>Y393/J393</f>
        <v/>
      </c>
      <c r="I393" s="704" t="n">
        <v>44362</v>
      </c>
      <c r="J393" t="n">
        <v>7500</v>
      </c>
      <c r="L393" t="n">
        <v>7500</v>
      </c>
      <c r="M393" t="n">
        <v>2000</v>
      </c>
      <c r="P393" t="inlineStr">
        <is>
          <t>Industrial</t>
        </is>
      </c>
      <c r="R393" t="inlineStr">
        <is>
          <t>Average</t>
        </is>
      </c>
      <c r="S393" t="n">
        <v>47044.8</v>
      </c>
      <c r="T393" s="119">
        <f>S393/J393</f>
        <v/>
      </c>
      <c r="U393" t="inlineStr">
        <is>
          <t>Average</t>
        </is>
      </c>
      <c r="Y393" t="n">
        <v>1600000</v>
      </c>
      <c r="AA393" t="n">
        <v>1600000</v>
      </c>
      <c r="AC393" t="inlineStr">
        <is>
          <t>0182504302010</t>
        </is>
      </c>
      <c r="AD393" t="inlineStr">
        <is>
          <t>2021000076597</t>
        </is>
      </c>
      <c r="AE393" s="575" t="inlineStr">
        <is>
          <t>MARK ALLEN BUTMAN LIVING TRUST</t>
        </is>
      </c>
      <c r="AF393" s="575" t="inlineStr">
        <is>
          <t>L &amp; M UNDERGROUND INC</t>
        </is>
      </c>
      <c r="AI393" s="59">
        <f>IF(AND($E393=Subj_OccCode,Subj_BldgSF&gt;0,ABS($L393-Subj_BldgSF)&lt;=Subj_BldgSF*Subj_SizeTol),ABS($L393-Subj_BldgSF),NA())</f>
        <v/>
      </c>
      <c r="AJ393">
        <f>IF(ISNA(AI393),NA(),AI393+ROW()/10000000)</f>
        <v/>
      </c>
      <c r="AK393">
        <f>IF(AND(ISNUMBER($N393),$N393&gt;0,ISNUMBER($Y393)),$Y393/$N393,"")</f>
        <v/>
      </c>
    </row>
    <row r="394" ht="15" customHeight="1" s="518">
      <c r="A394" s="123" t="n">
        <v>8</v>
      </c>
      <c r="B394" s="59" t="n">
        <v>387</v>
      </c>
      <c r="C394" t="inlineStr">
        <is>
          <t>R0084269</t>
        </is>
      </c>
      <c r="D394" t="inlineStr">
        <is>
          <t>14603 E MONCRIEFF PL</t>
        </is>
      </c>
      <c r="E394" t="n">
        <v>407</v>
      </c>
      <c r="F394" t="inlineStr">
        <is>
          <t>AURORA</t>
        </is>
      </c>
      <c r="G394" t="inlineStr">
        <is>
          <t>6</t>
        </is>
      </c>
      <c r="H394" s="703">
        <f>Y394/J394</f>
        <v/>
      </c>
      <c r="I394" s="704" t="n">
        <v>43784</v>
      </c>
      <c r="J394" t="n">
        <v>99860</v>
      </c>
      <c r="L394" t="n">
        <v>99860</v>
      </c>
      <c r="M394" t="n">
        <v>1984</v>
      </c>
      <c r="P394" t="inlineStr">
        <is>
          <t>M-1-Aur</t>
        </is>
      </c>
      <c r="R394" t="inlineStr">
        <is>
          <t>Average</t>
        </is>
      </c>
      <c r="S394" t="n">
        <v>184258</v>
      </c>
      <c r="T394" s="119">
        <f>S394/J394</f>
        <v/>
      </c>
      <c r="U394" t="inlineStr">
        <is>
          <t>Average</t>
        </is>
      </c>
      <c r="Y394" t="n">
        <v>9990000</v>
      </c>
      <c r="AA394" t="n">
        <v>9990000</v>
      </c>
      <c r="AC394" t="inlineStr">
        <is>
          <t>0182130008017</t>
        </is>
      </c>
      <c r="AD394" t="inlineStr">
        <is>
          <t>2019000100114</t>
        </is>
      </c>
      <c r="AE394" s="575" t="inlineStr">
        <is>
          <t>BPAZ HOLDINGS 12 LLC</t>
        </is>
      </c>
      <c r="AF394" s="575" t="inlineStr">
        <is>
          <t>DEN INDUSTRIAL 1 LLC</t>
        </is>
      </c>
      <c r="AI394" s="59">
        <f>IF(AND($E394=Subj_OccCode,Subj_BldgSF&gt;0,ABS($L394-Subj_BldgSF)&lt;=Subj_BldgSF*Subj_SizeTol),ABS($L394-Subj_BldgSF),NA())</f>
        <v/>
      </c>
      <c r="AJ394">
        <f>IF(ISNA(AI394),NA(),AI394+ROW()/10000000)</f>
        <v/>
      </c>
      <c r="AK394">
        <f>IF(AND(ISNUMBER($N394),$N394&gt;0,ISNUMBER($Y394)),$Y394/$N394,"")</f>
        <v/>
      </c>
    </row>
    <row r="395" ht="15" customHeight="1" s="518">
      <c r="A395" s="123" t="n">
        <v>8</v>
      </c>
      <c r="B395" s="59" t="n">
        <v>388</v>
      </c>
      <c r="C395" t="inlineStr">
        <is>
          <t>R0002801</t>
        </is>
      </c>
      <c r="D395" t="inlineStr">
        <is>
          <t>112 N MAIN ST</t>
        </is>
      </c>
      <c r="E395" t="n">
        <v>353</v>
      </c>
      <c r="F395" t="inlineStr">
        <is>
          <t>BRIGHTON</t>
        </is>
      </c>
      <c r="G395" t="inlineStr">
        <is>
          <t>4</t>
        </is>
      </c>
      <c r="H395" s="703">
        <f>Y395/J395</f>
        <v/>
      </c>
      <c r="I395" s="704" t="n">
        <v>43369</v>
      </c>
      <c r="J395" t="n">
        <v>840</v>
      </c>
      <c r="L395" t="n">
        <v>840</v>
      </c>
      <c r="M395" t="n">
        <v>1973</v>
      </c>
      <c r="P395" t="inlineStr">
        <is>
          <t>Brighton</t>
        </is>
      </c>
      <c r="R395" t="inlineStr">
        <is>
          <t>Average</t>
        </is>
      </c>
      <c r="S395" t="n">
        <v>5625</v>
      </c>
      <c r="T395" s="119">
        <f>S395/J395</f>
        <v/>
      </c>
      <c r="U395" t="inlineStr">
        <is>
          <t>Average</t>
        </is>
      </c>
      <c r="Y395" t="n">
        <v>225000</v>
      </c>
      <c r="AA395" t="n">
        <v>225000</v>
      </c>
      <c r="AC395" t="inlineStr">
        <is>
          <t>0156906310007</t>
        </is>
      </c>
      <c r="AD395" t="inlineStr">
        <is>
          <t>2018000078539</t>
        </is>
      </c>
      <c r="AE395" s="575" t="inlineStr">
        <is>
          <t>A AND A LLC</t>
        </is>
      </c>
      <c r="AF395" s="575" t="inlineStr">
        <is>
          <t>HIGHLAND PROPERTIES 4018 LLC</t>
        </is>
      </c>
      <c r="AI395" s="59">
        <f>IF(AND($E395=Subj_OccCode,Subj_BldgSF&gt;0,ABS($L395-Subj_BldgSF)&lt;=Subj_BldgSF*Subj_SizeTol),ABS($L395-Subj_BldgSF),NA())</f>
        <v/>
      </c>
      <c r="AJ395">
        <f>IF(ISNA(AI395),NA(),AI395+ROW()/10000000)</f>
        <v/>
      </c>
      <c r="AK395">
        <f>IF(AND(ISNUMBER($N395),$N395&gt;0,ISNUMBER($Y395)),$Y395/$N395,"")</f>
        <v/>
      </c>
    </row>
    <row r="396" ht="15" customHeight="1" s="518">
      <c r="A396" s="123" t="n">
        <v>8</v>
      </c>
      <c r="B396" s="59" t="n">
        <v>389</v>
      </c>
      <c r="C396" t="inlineStr">
        <is>
          <t>R0094562</t>
        </is>
      </c>
      <c r="D396" t="inlineStr">
        <is>
          <t>9598  MONTVIEW BLVD</t>
        </is>
      </c>
      <c r="E396" t="n">
        <v>384</v>
      </c>
      <c r="F396" t="inlineStr">
        <is>
          <t>AURORA</t>
        </is>
      </c>
      <c r="G396" t="inlineStr">
        <is>
          <t>6</t>
        </is>
      </c>
      <c r="H396" s="703">
        <f>Y396/J396</f>
        <v/>
      </c>
      <c r="I396" s="704" t="n">
        <v>43166</v>
      </c>
      <c r="J396" t="n">
        <v>1004</v>
      </c>
      <c r="L396" t="n">
        <v>1004</v>
      </c>
      <c r="M396" t="n">
        <v>1970</v>
      </c>
      <c r="P396" t="inlineStr">
        <is>
          <t>Aurora</t>
        </is>
      </c>
      <c r="R396" t="inlineStr">
        <is>
          <t>Average</t>
        </is>
      </c>
      <c r="S396" t="n">
        <v>8750</v>
      </c>
      <c r="T396" s="119">
        <f>S396/J396</f>
        <v/>
      </c>
      <c r="U396" t="inlineStr">
        <is>
          <t>Average</t>
        </is>
      </c>
      <c r="Y396" t="n">
        <v>307000</v>
      </c>
      <c r="AA396" t="n">
        <v>307000</v>
      </c>
      <c r="AC396" t="inlineStr">
        <is>
          <t>0182334302018</t>
        </is>
      </c>
      <c r="AD396" t="inlineStr">
        <is>
          <t>2018000019551</t>
        </is>
      </c>
      <c r="AE396" s="575" t="inlineStr">
        <is>
          <t>GARCIA LUIS AND, GARCIA MARIBEL</t>
        </is>
      </c>
      <c r="AF396" s="575" t="inlineStr">
        <is>
          <t>MARIMBAL LLC</t>
        </is>
      </c>
      <c r="AI396" s="59">
        <f>IF(AND($E396=Subj_OccCode,Subj_BldgSF&gt;0,ABS($L396-Subj_BldgSF)&lt;=Subj_BldgSF*Subj_SizeTol),ABS($L396-Subj_BldgSF),NA())</f>
        <v/>
      </c>
      <c r="AJ396">
        <f>IF(ISNA(AI396),NA(),AI396+ROW()/10000000)</f>
        <v/>
      </c>
      <c r="AK396">
        <f>IF(AND(ISNUMBER($N396),$N396&gt;0,ISNUMBER($Y396)),$Y396/$N396,"")</f>
        <v/>
      </c>
    </row>
    <row r="397" ht="15" customHeight="1" s="518">
      <c r="A397" s="123" t="n">
        <v>8</v>
      </c>
      <c r="B397" s="59" t="n">
        <v>390</v>
      </c>
      <c r="C397" t="inlineStr">
        <is>
          <t>R0103674</t>
        </is>
      </c>
      <c r="D397" t="inlineStr">
        <is>
          <t>1480 E 61ST AVE</t>
        </is>
      </c>
      <c r="E397" t="n">
        <v>334</v>
      </c>
      <c r="G397" t="inlineStr">
        <is>
          <t>5</t>
        </is>
      </c>
      <c r="H397" s="703">
        <f>Y397/J397</f>
        <v/>
      </c>
      <c r="I397" s="704" t="n">
        <v>43697</v>
      </c>
      <c r="J397" t="n">
        <v>26640</v>
      </c>
      <c r="L397" t="n">
        <v>26640</v>
      </c>
      <c r="M397" t="n">
        <v>1972</v>
      </c>
      <c r="P397" t="inlineStr">
        <is>
          <t>Industrial</t>
        </is>
      </c>
      <c r="R397" t="inlineStr">
        <is>
          <t>Average</t>
        </is>
      </c>
      <c r="S397" t="n">
        <v>111074</v>
      </c>
      <c r="T397" s="119">
        <f>S397/J397</f>
        <v/>
      </c>
      <c r="U397" t="inlineStr">
        <is>
          <t>Average</t>
        </is>
      </c>
      <c r="Y397" t="n">
        <v>3566000</v>
      </c>
      <c r="AA397" t="n">
        <v>3566000</v>
      </c>
      <c r="AC397" t="inlineStr">
        <is>
          <t>0182511205009</t>
        </is>
      </c>
      <c r="AD397" t="inlineStr">
        <is>
          <t>2019000067784</t>
        </is>
      </c>
      <c r="AE397" s="575" t="inlineStr">
        <is>
          <t>FAULTLESS LAUNDRY COMPANY</t>
        </is>
      </c>
      <c r="AF397" s="575" t="inlineStr">
        <is>
          <t>NM FHL LLC, C/O NEW MOUNTAIN NET LEASE ACQUISITION CORP</t>
        </is>
      </c>
      <c r="AI397" s="59">
        <f>IF(AND($E397=Subj_OccCode,Subj_BldgSF&gt;0,ABS($L397-Subj_BldgSF)&lt;=Subj_BldgSF*Subj_SizeTol),ABS($L397-Subj_BldgSF),NA())</f>
        <v/>
      </c>
      <c r="AJ397">
        <f>IF(ISNA(AI397),NA(),AI397+ROW()/10000000)</f>
        <v/>
      </c>
      <c r="AK397">
        <f>IF(AND(ISNUMBER($N397),$N397&gt;0,ISNUMBER($Y397)),$Y397/$N397,"")</f>
        <v/>
      </c>
    </row>
    <row r="398" ht="15" customHeight="1" s="518">
      <c r="A398" s="123" t="n">
        <v>8</v>
      </c>
      <c r="B398" s="59" t="n">
        <v>391</v>
      </c>
      <c r="C398" t="inlineStr">
        <is>
          <t>R0103723</t>
        </is>
      </c>
      <c r="D398" t="inlineStr">
        <is>
          <t>5970  MARION DR</t>
        </is>
      </c>
      <c r="E398" t="n">
        <v>407</v>
      </c>
      <c r="G398" t="inlineStr">
        <is>
          <t>5</t>
        </is>
      </c>
      <c r="H398" s="703">
        <f>Y398/J398</f>
        <v/>
      </c>
      <c r="I398" s="704" t="n">
        <v>43812</v>
      </c>
      <c r="J398" t="n">
        <v>14400</v>
      </c>
      <c r="L398" t="n">
        <v>14400</v>
      </c>
      <c r="M398" t="n">
        <v>1983</v>
      </c>
      <c r="P398" t="inlineStr">
        <is>
          <t>Industrial</t>
        </is>
      </c>
      <c r="R398" t="inlineStr">
        <is>
          <t>Average</t>
        </is>
      </c>
      <c r="S398" t="n">
        <v>28749</v>
      </c>
      <c r="T398" s="119">
        <f>S398/J398</f>
        <v/>
      </c>
      <c r="U398" t="inlineStr">
        <is>
          <t>Average</t>
        </is>
      </c>
      <c r="Y398" t="n">
        <v>1260000</v>
      </c>
      <c r="AA398" t="n">
        <v>1260000</v>
      </c>
      <c r="AC398" t="inlineStr">
        <is>
          <t>0182511303018</t>
        </is>
      </c>
      <c r="AD398" t="inlineStr">
        <is>
          <t>2019000110369</t>
        </is>
      </c>
      <c r="AE398" s="575" t="inlineStr">
        <is>
          <t>WERNSTEIN PROPERTIES INC</t>
        </is>
      </c>
      <c r="AF398" s="575" t="inlineStr">
        <is>
          <t>5970 MARION DRIVE LLC</t>
        </is>
      </c>
      <c r="AI398" s="59">
        <f>IF(AND($E398=Subj_OccCode,Subj_BldgSF&gt;0,ABS($L398-Subj_BldgSF)&lt;=Subj_BldgSF*Subj_SizeTol),ABS($L398-Subj_BldgSF),NA())</f>
        <v/>
      </c>
      <c r="AJ398">
        <f>IF(ISNA(AI398),NA(),AI398+ROW()/10000000)</f>
        <v/>
      </c>
      <c r="AK398">
        <f>IF(AND(ISNUMBER($N398),$N398&gt;0,ISNUMBER($Y398)),$Y398/$N398,"")</f>
        <v/>
      </c>
    </row>
    <row r="399" ht="15" customHeight="1" s="518">
      <c r="A399" s="123" t="n">
        <v>8</v>
      </c>
      <c r="B399" s="59" t="n">
        <v>392</v>
      </c>
      <c r="C399" t="inlineStr">
        <is>
          <t>R0064417</t>
        </is>
      </c>
      <c r="D399" t="inlineStr">
        <is>
          <t>7905  ZENOBIA ST</t>
        </is>
      </c>
      <c r="E399" t="n">
        <v>1344</v>
      </c>
      <c r="F399" t="inlineStr">
        <is>
          <t>WESTMINSTER</t>
        </is>
      </c>
      <c r="G399" t="inlineStr">
        <is>
          <t>4</t>
        </is>
      </c>
      <c r="H399" s="703">
        <f>Y399/J399</f>
        <v/>
      </c>
      <c r="I399" s="704" t="n">
        <v>44495</v>
      </c>
      <c r="J399" t="n">
        <v>5700</v>
      </c>
      <c r="L399" t="n">
        <v>5700</v>
      </c>
      <c r="M399" t="n">
        <v>1981</v>
      </c>
      <c r="P399" t="inlineStr">
        <is>
          <t>B-1-Wes</t>
        </is>
      </c>
      <c r="R399" t="inlineStr">
        <is>
          <t>Average</t>
        </is>
      </c>
      <c r="S399" t="n">
        <v>720</v>
      </c>
      <c r="T399" s="119">
        <f>S399/J399</f>
        <v/>
      </c>
      <c r="U399" t="inlineStr">
        <is>
          <t>Average</t>
        </is>
      </c>
      <c r="Y399" t="n">
        <v>332500</v>
      </c>
      <c r="AA399" t="n">
        <v>332500</v>
      </c>
      <c r="AC399" t="inlineStr">
        <is>
          <t>0171931213023</t>
        </is>
      </c>
      <c r="AD399" t="inlineStr">
        <is>
          <t>2021000126150</t>
        </is>
      </c>
      <c r="AE399" s="575" t="inlineStr">
        <is>
          <t>CMS HOLDINGS LLC</t>
        </is>
      </c>
      <c r="AF399" s="575" t="inlineStr">
        <is>
          <t>SWEET ABUNDANCE LLC</t>
        </is>
      </c>
      <c r="AI399" s="59">
        <f>IF(AND($E399=Subj_OccCode,Subj_BldgSF&gt;0,ABS($L399-Subj_BldgSF)&lt;=Subj_BldgSF*Subj_SizeTol),ABS($L399-Subj_BldgSF),NA())</f>
        <v/>
      </c>
      <c r="AJ399">
        <f>IF(ISNA(AI399),NA(),AI399+ROW()/10000000)</f>
        <v/>
      </c>
      <c r="AK399">
        <f>IF(AND(ISNUMBER($N399),$N399&gt;0,ISNUMBER($Y399)),$Y399/$N399,"")</f>
        <v/>
      </c>
    </row>
    <row r="400" ht="15" customHeight="1" s="518">
      <c r="A400" s="123" t="n">
        <v>8</v>
      </c>
      <c r="B400" s="59" t="n">
        <v>393</v>
      </c>
      <c r="C400" t="inlineStr">
        <is>
          <t>R0110659</t>
        </is>
      </c>
      <c r="D400" t="inlineStr">
        <is>
          <t>1291 E 54TH AVE</t>
        </is>
      </c>
      <c r="E400" t="n">
        <v>407</v>
      </c>
      <c r="G400" t="inlineStr">
        <is>
          <t>5</t>
        </is>
      </c>
      <c r="H400" s="703">
        <f>Y400/J400</f>
        <v/>
      </c>
      <c r="I400" s="704" t="n">
        <v>43577</v>
      </c>
      <c r="J400" t="n">
        <v>20000</v>
      </c>
      <c r="L400" t="n">
        <v>20000</v>
      </c>
      <c r="M400" t="n">
        <v>1997</v>
      </c>
      <c r="P400" t="inlineStr">
        <is>
          <t>Planned Unit Development</t>
        </is>
      </c>
      <c r="R400" t="inlineStr">
        <is>
          <t>Average</t>
        </is>
      </c>
      <c r="S400" t="n">
        <v>52990</v>
      </c>
      <c r="T400" s="119">
        <f>S400/J400</f>
        <v/>
      </c>
      <c r="U400" t="inlineStr">
        <is>
          <t>Average</t>
        </is>
      </c>
      <c r="Y400" t="n">
        <v>2800000</v>
      </c>
      <c r="AA400" t="n">
        <v>2800000</v>
      </c>
      <c r="AC400" t="inlineStr">
        <is>
          <t>0182514208030</t>
        </is>
      </c>
      <c r="AD400" t="inlineStr">
        <is>
          <t>2019000029418</t>
        </is>
      </c>
      <c r="AE400" s="575" t="inlineStr">
        <is>
          <t>DENVER ELECTRICAL JOINT APPRENTICESHIP, AND TRAINING TRUST FUND A TRUST</t>
        </is>
      </c>
      <c r="AF400" s="575" t="inlineStr">
        <is>
          <t>PROSOSKI INVESTMENTS LLC</t>
        </is>
      </c>
      <c r="AI400" s="59">
        <f>IF(AND($E400=Subj_OccCode,Subj_BldgSF&gt;0,ABS($L400-Subj_BldgSF)&lt;=Subj_BldgSF*Subj_SizeTol),ABS($L400-Subj_BldgSF),NA())</f>
        <v/>
      </c>
      <c r="AJ400">
        <f>IF(ISNA(AI400),NA(),AI400+ROW()/10000000)</f>
        <v/>
      </c>
      <c r="AK400">
        <f>IF(AND(ISNUMBER($N400),$N400&gt;0,ISNUMBER($Y400)),$Y400/$N400,"")</f>
        <v/>
      </c>
    </row>
    <row r="401" ht="15" customHeight="1" s="518">
      <c r="A401" s="123" t="n">
        <v>8</v>
      </c>
      <c r="B401" s="59" t="n">
        <v>394</v>
      </c>
      <c r="C401" t="inlineStr">
        <is>
          <t>R0103765</t>
        </is>
      </c>
      <c r="D401" t="inlineStr">
        <is>
          <t>1200 E 58TH AVE</t>
        </is>
      </c>
      <c r="E401" t="n">
        <v>407</v>
      </c>
      <c r="G401" t="inlineStr">
        <is>
          <t>5</t>
        </is>
      </c>
      <c r="H401" s="703">
        <f>Y401/J401</f>
        <v/>
      </c>
      <c r="I401" s="704" t="n">
        <v>44090</v>
      </c>
      <c r="J401" t="n">
        <v>40420</v>
      </c>
      <c r="L401" t="n">
        <v>40420</v>
      </c>
      <c r="M401" t="n">
        <v>1986</v>
      </c>
      <c r="P401" t="inlineStr">
        <is>
          <t>Industrial</t>
        </is>
      </c>
      <c r="R401" t="inlineStr">
        <is>
          <t>Average</t>
        </is>
      </c>
      <c r="S401" t="n">
        <v>110595</v>
      </c>
      <c r="T401" s="119">
        <f>S401/J401</f>
        <v/>
      </c>
      <c r="U401" t="inlineStr">
        <is>
          <t>Average</t>
        </is>
      </c>
      <c r="Y401" t="n">
        <v>5300000</v>
      </c>
      <c r="AA401" t="n">
        <v>5300000</v>
      </c>
      <c r="AC401" t="inlineStr">
        <is>
          <t>0182511312008</t>
        </is>
      </c>
      <c r="AD401" t="inlineStr">
        <is>
          <t>2020000092287</t>
        </is>
      </c>
      <c r="AE401" s="575" t="inlineStr">
        <is>
          <t>WELBY ASSOCIATES LLC, C/O TIMOTHY J MCMANUS</t>
        </is>
      </c>
      <c r="AF401" s="575" t="inlineStr">
        <is>
          <t>ZARA ES LLC</t>
        </is>
      </c>
      <c r="AI401" s="59">
        <f>IF(AND($E401=Subj_OccCode,Subj_BldgSF&gt;0,ABS($L401-Subj_BldgSF)&lt;=Subj_BldgSF*Subj_SizeTol),ABS($L401-Subj_BldgSF),NA())</f>
        <v/>
      </c>
      <c r="AJ401">
        <f>IF(ISNA(AI401),NA(),AI401+ROW()/10000000)</f>
        <v/>
      </c>
      <c r="AK401">
        <f>IF(AND(ISNUMBER($N401),$N401&gt;0,ISNUMBER($Y401)),$Y401/$N401,"")</f>
        <v/>
      </c>
    </row>
    <row r="402" ht="15" customHeight="1" s="518">
      <c r="A402" s="123" t="n">
        <v>8</v>
      </c>
      <c r="B402" s="59" t="n">
        <v>395</v>
      </c>
      <c r="C402" t="inlineStr">
        <is>
          <t>R0068508</t>
        </is>
      </c>
      <c r="D402" t="inlineStr">
        <is>
          <t>7290  SAMUEL DR</t>
        </is>
      </c>
      <c r="E402" t="n">
        <v>344</v>
      </c>
      <c r="G402" t="inlineStr">
        <is>
          <t>4</t>
        </is>
      </c>
      <c r="H402" s="703">
        <f>Y402/J402</f>
        <v/>
      </c>
      <c r="I402" s="704" t="n">
        <v>43979</v>
      </c>
      <c r="J402" t="n">
        <v>34470</v>
      </c>
      <c r="L402" t="n">
        <v>34470</v>
      </c>
      <c r="M402" t="n">
        <v>1971</v>
      </c>
      <c r="P402" t="inlineStr">
        <is>
          <t>Commercial</t>
        </is>
      </c>
      <c r="R402" t="inlineStr">
        <is>
          <t>Average</t>
        </is>
      </c>
      <c r="S402" t="n">
        <v>50094</v>
      </c>
      <c r="T402" s="119">
        <f>S402/J402</f>
        <v/>
      </c>
      <c r="U402" t="inlineStr">
        <is>
          <t>Average</t>
        </is>
      </c>
      <c r="Y402" t="n">
        <v>1500000</v>
      </c>
      <c r="AA402" t="n">
        <v>1500000</v>
      </c>
      <c r="AC402" t="inlineStr">
        <is>
          <t>0171933307035</t>
        </is>
      </c>
      <c r="AD402" t="inlineStr">
        <is>
          <t>2020000048564</t>
        </is>
      </c>
      <c r="AE402" s="575" t="inlineStr">
        <is>
          <t>WALBLAKE LLC</t>
        </is>
      </c>
      <c r="AF402" s="575" t="inlineStr">
        <is>
          <t>1616 CHAMPA LLC</t>
        </is>
      </c>
      <c r="AI402" s="59">
        <f>IF(AND($E402=Subj_OccCode,Subj_BldgSF&gt;0,ABS($L402-Subj_BldgSF)&lt;=Subj_BldgSF*Subj_SizeTol),ABS($L402-Subj_BldgSF),NA())</f>
        <v/>
      </c>
      <c r="AJ402">
        <f>IF(ISNA(AI402),NA(),AI402+ROW()/10000000)</f>
        <v/>
      </c>
      <c r="AK402">
        <f>IF(AND(ISNUMBER($N402),$N402&gt;0,ISNUMBER($Y402)),$Y402/$N402,"")</f>
        <v/>
      </c>
    </row>
    <row r="403" ht="15" customHeight="1" s="518">
      <c r="A403" s="123" t="n">
        <v>8</v>
      </c>
      <c r="B403" s="59" t="n">
        <v>396</v>
      </c>
      <c r="C403" t="inlineStr">
        <is>
          <t>R0084316</t>
        </is>
      </c>
      <c r="D403" t="inlineStr">
        <is>
          <t>13891 E SMITH DR #B</t>
        </is>
      </c>
      <c r="E403" t="n">
        <v>425</v>
      </c>
      <c r="F403" t="inlineStr">
        <is>
          <t>AURORA</t>
        </is>
      </c>
      <c r="G403" t="inlineStr">
        <is>
          <t>6</t>
        </is>
      </c>
      <c r="H403" s="703">
        <f>Y403/J403</f>
        <v/>
      </c>
      <c r="I403" s="704" t="n">
        <v>44718</v>
      </c>
      <c r="J403" t="n">
        <v>1500</v>
      </c>
      <c r="L403" t="n">
        <v>1500</v>
      </c>
      <c r="M403" t="n">
        <v>1982</v>
      </c>
      <c r="P403" t="inlineStr">
        <is>
          <t>M-1-Aur</t>
        </is>
      </c>
      <c r="R403" t="inlineStr">
        <is>
          <t>Average</t>
        </is>
      </c>
      <c r="S403" t="n">
        <v>4608</v>
      </c>
      <c r="T403" s="119">
        <f>S403/J403</f>
        <v/>
      </c>
      <c r="U403" t="inlineStr">
        <is>
          <t>Average</t>
        </is>
      </c>
      <c r="Y403" t="n">
        <v>200000</v>
      </c>
      <c r="AA403" t="n">
        <v>200000</v>
      </c>
      <c r="AC403" t="inlineStr">
        <is>
          <t>0182130013016</t>
        </is>
      </c>
      <c r="AD403" t="inlineStr">
        <is>
          <t>2022000050499</t>
        </is>
      </c>
      <c r="AE403" s="575" t="inlineStr">
        <is>
          <t>PROVASI KENNETH D TRUST THE</t>
        </is>
      </c>
      <c r="AF403" s="575" t="inlineStr">
        <is>
          <t>CRM REAL ESTATE HOLDINGS LLC</t>
        </is>
      </c>
      <c r="AI403" s="59">
        <f>IF(AND($E403=Subj_OccCode,Subj_BldgSF&gt;0,ABS($L403-Subj_BldgSF)&lt;=Subj_BldgSF*Subj_SizeTol),ABS($L403-Subj_BldgSF),NA())</f>
        <v/>
      </c>
      <c r="AJ403">
        <f>IF(ISNA(AI403),NA(),AI403+ROW()/10000000)</f>
        <v/>
      </c>
      <c r="AK403">
        <f>IF(AND(ISNUMBER($N403),$N403&gt;0,ISNUMBER($Y403)),$Y403/$N403,"")</f>
        <v/>
      </c>
    </row>
    <row r="404" ht="15" customHeight="1" s="518">
      <c r="A404" s="123" t="n">
        <v>8</v>
      </c>
      <c r="B404" s="59" t="n">
        <v>397</v>
      </c>
      <c r="C404" t="inlineStr">
        <is>
          <t>R0103416</t>
        </is>
      </c>
      <c r="D404" t="inlineStr">
        <is>
          <t>5686  PECOS ST</t>
        </is>
      </c>
      <c r="E404" t="n">
        <v>442</v>
      </c>
      <c r="G404" t="inlineStr">
        <is>
          <t>5</t>
        </is>
      </c>
      <c r="H404" s="703">
        <f>Y404/J404</f>
        <v/>
      </c>
      <c r="I404" s="704" t="n">
        <v>44530</v>
      </c>
      <c r="J404" t="n">
        <v>1500</v>
      </c>
      <c r="L404" t="n">
        <v>1500</v>
      </c>
      <c r="M404" t="n">
        <v>1957</v>
      </c>
      <c r="P404" t="inlineStr">
        <is>
          <t>Commercial</t>
        </is>
      </c>
      <c r="R404" t="inlineStr">
        <is>
          <t>Average</t>
        </is>
      </c>
      <c r="S404" t="n">
        <v>6964</v>
      </c>
      <c r="T404" s="119">
        <f>S404/J404</f>
        <v/>
      </c>
      <c r="U404" t="inlineStr">
        <is>
          <t>Average</t>
        </is>
      </c>
      <c r="Y404" t="n">
        <v>620000</v>
      </c>
      <c r="AA404" t="n">
        <v>620000</v>
      </c>
      <c r="AC404" t="inlineStr">
        <is>
          <t>0182509400013</t>
        </is>
      </c>
      <c r="AD404" t="inlineStr">
        <is>
          <t>2021000144720</t>
        </is>
      </c>
      <c r="AE404" s="575" t="inlineStr">
        <is>
          <t>CASTILLO THEODORE G</t>
        </is>
      </c>
      <c r="AF404" s="575" t="inlineStr">
        <is>
          <t>BOOM BOX RE LLC</t>
        </is>
      </c>
      <c r="AI404" s="59">
        <f>IF(AND($E404=Subj_OccCode,Subj_BldgSF&gt;0,ABS($L404-Subj_BldgSF)&lt;=Subj_BldgSF*Subj_SizeTol),ABS($L404-Subj_BldgSF),NA())</f>
        <v/>
      </c>
      <c r="AJ404">
        <f>IF(ISNA(AI404),NA(),AI404+ROW()/10000000)</f>
        <v/>
      </c>
      <c r="AK404">
        <f>IF(AND(ISNUMBER($N404),$N404&gt;0,ISNUMBER($Y404)),$Y404/$N404,"")</f>
        <v/>
      </c>
    </row>
    <row r="405" ht="15" customHeight="1" s="518">
      <c r="A405" s="123" t="n">
        <v>8</v>
      </c>
      <c r="B405" s="59" t="n">
        <v>398</v>
      </c>
      <c r="C405" t="inlineStr">
        <is>
          <t>R0005825</t>
        </is>
      </c>
      <c r="D405" t="inlineStr">
        <is>
          <t>1790  BRIDGE ST</t>
        </is>
      </c>
      <c r="E405" t="n">
        <v>344</v>
      </c>
      <c r="F405" t="inlineStr">
        <is>
          <t>BRIGHTON</t>
        </is>
      </c>
      <c r="G405" t="inlineStr">
        <is>
          <t>2</t>
        </is>
      </c>
      <c r="H405" s="703">
        <f>Y405/J405</f>
        <v/>
      </c>
      <c r="I405" s="704" t="n">
        <v>44147</v>
      </c>
      <c r="J405" t="n">
        <v>1312</v>
      </c>
      <c r="L405" t="n">
        <v>1312</v>
      </c>
      <c r="M405" t="n">
        <v>1974</v>
      </c>
      <c r="P405" t="inlineStr">
        <is>
          <t>C-1-Bri</t>
        </is>
      </c>
      <c r="R405" t="inlineStr">
        <is>
          <t>Average</t>
        </is>
      </c>
      <c r="S405" t="n">
        <v>10875</v>
      </c>
      <c r="T405" s="119">
        <f>S405/J405</f>
        <v/>
      </c>
      <c r="U405" t="inlineStr">
        <is>
          <t>Average</t>
        </is>
      </c>
      <c r="Y405" t="n">
        <v>415000</v>
      </c>
      <c r="AA405" t="n">
        <v>415000</v>
      </c>
      <c r="AC405" t="inlineStr">
        <is>
          <t>0156908204058</t>
        </is>
      </c>
      <c r="AD405" t="inlineStr">
        <is>
          <t>2020000121828</t>
        </is>
      </c>
      <c r="AE405" s="575" t="inlineStr">
        <is>
          <t>HERDING BUTTERFLIES</t>
        </is>
      </c>
      <c r="AF405" s="575" t="inlineStr">
        <is>
          <t>BAB 1790 E BRIDGE STREET LLC</t>
        </is>
      </c>
      <c r="AI405" s="59">
        <f>IF(AND($E405=Subj_OccCode,Subj_BldgSF&gt;0,ABS($L405-Subj_BldgSF)&lt;=Subj_BldgSF*Subj_SizeTol),ABS($L405-Subj_BldgSF),NA())</f>
        <v/>
      </c>
      <c r="AJ405">
        <f>IF(ISNA(AI405),NA(),AI405+ROW()/10000000)</f>
        <v/>
      </c>
      <c r="AK405">
        <f>IF(AND(ISNUMBER($N405),$N405&gt;0,ISNUMBER($Y405)),$Y405/$N405,"")</f>
        <v/>
      </c>
    </row>
    <row r="406" ht="15" customHeight="1" s="518">
      <c r="A406" s="123" t="n">
        <v>8</v>
      </c>
      <c r="B406" s="59" t="n">
        <v>399</v>
      </c>
      <c r="C406" t="inlineStr">
        <is>
          <t>R0098081</t>
        </is>
      </c>
      <c r="D406" t="inlineStr">
        <is>
          <t>851  HIGHWAY 224 #A5</t>
        </is>
      </c>
      <c r="E406" t="n">
        <v>425</v>
      </c>
      <c r="G406" t="inlineStr">
        <is>
          <t>5</t>
        </is>
      </c>
      <c r="H406" s="703">
        <f>Y406/J406</f>
        <v/>
      </c>
      <c r="I406" s="704" t="n">
        <v>43200</v>
      </c>
      <c r="J406" t="n">
        <v>1500</v>
      </c>
      <c r="L406" t="n">
        <v>1500</v>
      </c>
      <c r="M406" t="n">
        <v>1984</v>
      </c>
      <c r="P406" t="inlineStr">
        <is>
          <t>Industrial</t>
        </is>
      </c>
      <c r="R406" t="inlineStr">
        <is>
          <t>Average</t>
        </is>
      </c>
      <c r="S406" t="n">
        <v>4340</v>
      </c>
      <c r="T406" s="119">
        <f>S406/J406</f>
        <v/>
      </c>
      <c r="U406" t="inlineStr">
        <is>
          <t>Average</t>
        </is>
      </c>
      <c r="Y406" t="n">
        <v>237500</v>
      </c>
      <c r="AA406" t="n">
        <v>237500</v>
      </c>
      <c r="AC406" t="inlineStr">
        <is>
          <t>0182502203045</t>
        </is>
      </c>
      <c r="AD406" t="inlineStr">
        <is>
          <t>2018000029104</t>
        </is>
      </c>
      <c r="AE406" s="575" t="inlineStr">
        <is>
          <t>SCG ONE LIMITED PARTNERSHIP</t>
        </is>
      </c>
      <c r="AF406" s="575" t="inlineStr">
        <is>
          <t>LI YUE</t>
        </is>
      </c>
      <c r="AI406" s="59">
        <f>IF(AND($E406=Subj_OccCode,Subj_BldgSF&gt;0,ABS($L406-Subj_BldgSF)&lt;=Subj_BldgSF*Subj_SizeTol),ABS($L406-Subj_BldgSF),NA())</f>
        <v/>
      </c>
      <c r="AJ406">
        <f>IF(ISNA(AI406),NA(),AI406+ROW()/10000000)</f>
        <v/>
      </c>
      <c r="AK406">
        <f>IF(AND(ISNUMBER($N406),$N406&gt;0,ISNUMBER($Y406)),$Y406/$N406,"")</f>
        <v/>
      </c>
    </row>
    <row r="407" ht="15" customHeight="1" s="518">
      <c r="A407" s="123" t="n">
        <v>8</v>
      </c>
      <c r="B407" s="59" t="n">
        <v>400</v>
      </c>
      <c r="C407" t="inlineStr">
        <is>
          <t>R0031078</t>
        </is>
      </c>
      <c r="D407" t="inlineStr">
        <is>
          <t>11416  PEARL ST</t>
        </is>
      </c>
      <c r="E407" t="n">
        <v>434</v>
      </c>
      <c r="F407" t="inlineStr">
        <is>
          <t>NORTHGLENN</t>
        </is>
      </c>
      <c r="G407" t="inlineStr">
        <is>
          <t>4</t>
        </is>
      </c>
      <c r="H407" s="703">
        <f>Y407/J407</f>
        <v/>
      </c>
      <c r="I407" s="704" t="n">
        <v>43189</v>
      </c>
      <c r="J407" t="n">
        <v>2592</v>
      </c>
      <c r="L407" t="n">
        <v>2592</v>
      </c>
      <c r="M407" t="n">
        <v>1986</v>
      </c>
      <c r="P407" t="inlineStr">
        <is>
          <t>Northglenn</t>
        </is>
      </c>
      <c r="R407" t="inlineStr">
        <is>
          <t>Average</t>
        </is>
      </c>
      <c r="S407" t="n">
        <v>22496</v>
      </c>
      <c r="T407" s="119">
        <f>S407/J407</f>
        <v/>
      </c>
      <c r="U407" t="inlineStr">
        <is>
          <t>Average</t>
        </is>
      </c>
      <c r="Y407" t="n">
        <v>292500</v>
      </c>
      <c r="AA407" t="n">
        <v>292500</v>
      </c>
      <c r="AC407" t="inlineStr">
        <is>
          <t>0171903412012</t>
        </is>
      </c>
      <c r="AD407" t="inlineStr">
        <is>
          <t>2018000026442</t>
        </is>
      </c>
      <c r="AE407" s="575" t="inlineStr">
        <is>
          <t>ZAYAC PROPERTIES PEARL LLLP, C/O PROCLEAN AUTO WASH</t>
        </is>
      </c>
      <c r="AF407" s="575" t="inlineStr">
        <is>
          <t>BLANCO PROPERTIES PEARL LLC</t>
        </is>
      </c>
      <c r="AI407" s="59">
        <f>IF(AND($E407=Subj_OccCode,Subj_BldgSF&gt;0,ABS($L407-Subj_BldgSF)&lt;=Subj_BldgSF*Subj_SizeTol),ABS($L407-Subj_BldgSF),NA())</f>
        <v/>
      </c>
      <c r="AJ407">
        <f>IF(ISNA(AI407),NA(),AI407+ROW()/10000000)</f>
        <v/>
      </c>
      <c r="AK407">
        <f>IF(AND(ISNUMBER($N407),$N407&gt;0,ISNUMBER($Y407)),$Y407/$N407,"")</f>
        <v/>
      </c>
    </row>
    <row r="408" ht="15" customHeight="1" s="518">
      <c r="A408" s="123" t="n">
        <v>8</v>
      </c>
      <c r="B408" s="59" t="n">
        <v>401</v>
      </c>
      <c r="C408" t="inlineStr">
        <is>
          <t>R0090207</t>
        </is>
      </c>
      <c r="D408" t="inlineStr">
        <is>
          <t>6671  BRIGHTON BLVD</t>
        </is>
      </c>
      <c r="E408" t="n">
        <v>353</v>
      </c>
      <c r="F408" t="inlineStr">
        <is>
          <t>COMMERCE CITY</t>
        </is>
      </c>
      <c r="G408" t="inlineStr">
        <is>
          <t>5</t>
        </is>
      </c>
      <c r="H408" s="703">
        <f>Y408/J408</f>
        <v/>
      </c>
      <c r="I408" s="704" t="n">
        <v>43973</v>
      </c>
      <c r="J408" t="n">
        <v>6660</v>
      </c>
      <c r="L408" t="n">
        <v>6660</v>
      </c>
      <c r="M408" t="n">
        <v>1955</v>
      </c>
      <c r="P408" t="inlineStr">
        <is>
          <t>C-3-Com</t>
        </is>
      </c>
      <c r="R408" t="inlineStr">
        <is>
          <t>Average</t>
        </is>
      </c>
      <c r="S408" t="n">
        <v>54172</v>
      </c>
      <c r="T408" s="119">
        <f>S408/J408</f>
        <v/>
      </c>
      <c r="U408" t="inlineStr">
        <is>
          <t>Average</t>
        </is>
      </c>
      <c r="Y408" t="n">
        <v>895000</v>
      </c>
      <c r="AA408" t="n">
        <v>895000</v>
      </c>
      <c r="AC408" t="inlineStr">
        <is>
          <t>0182306301042</t>
        </is>
      </c>
      <c r="AD408" t="inlineStr">
        <is>
          <t>2020000046848</t>
        </is>
      </c>
      <c r="AE408" s="575" t="inlineStr">
        <is>
          <t>WISE HIROMI T</t>
        </is>
      </c>
      <c r="AF408" s="575" t="inlineStr">
        <is>
          <t>2 US 4VR LLC</t>
        </is>
      </c>
      <c r="AI408" s="59">
        <f>IF(AND($E408=Subj_OccCode,Subj_BldgSF&gt;0,ABS($L408-Subj_BldgSF)&lt;=Subj_BldgSF*Subj_SizeTol),ABS($L408-Subj_BldgSF),NA())</f>
        <v/>
      </c>
      <c r="AJ408">
        <f>IF(ISNA(AI408),NA(),AI408+ROW()/10000000)</f>
        <v/>
      </c>
      <c r="AK408">
        <f>IF(AND(ISNUMBER($N408),$N408&gt;0,ISNUMBER($Y408)),$Y408/$N408,"")</f>
        <v/>
      </c>
    </row>
    <row r="409" ht="15" customHeight="1" s="518">
      <c r="A409" s="123" t="n">
        <v>8</v>
      </c>
      <c r="B409" s="59" t="n">
        <v>402</v>
      </c>
      <c r="C409" t="inlineStr">
        <is>
          <t>R0104023</t>
        </is>
      </c>
      <c r="D409" t="inlineStr">
        <is>
          <t>520 E 56TH AVE</t>
        </is>
      </c>
      <c r="E409" t="n">
        <v>407</v>
      </c>
      <c r="G409" t="inlineStr">
        <is>
          <t>5</t>
        </is>
      </c>
      <c r="H409" s="703">
        <f>Y409/J409</f>
        <v/>
      </c>
      <c r="I409" s="704" t="n">
        <v>44722</v>
      </c>
      <c r="J409" t="n">
        <v>9945</v>
      </c>
      <c r="L409" t="n">
        <v>9945</v>
      </c>
      <c r="M409" t="n">
        <v>1978</v>
      </c>
      <c r="P409" t="inlineStr">
        <is>
          <t>Industrial</t>
        </is>
      </c>
      <c r="R409" t="inlineStr">
        <is>
          <t>Average</t>
        </is>
      </c>
      <c r="S409" t="n">
        <v>30000</v>
      </c>
      <c r="T409" s="119">
        <f>S409/J409</f>
        <v/>
      </c>
      <c r="U409" t="inlineStr">
        <is>
          <t>Average</t>
        </is>
      </c>
      <c r="Y409" t="n">
        <v>2500000</v>
      </c>
      <c r="AA409" t="n">
        <v>2500000</v>
      </c>
      <c r="AC409" t="inlineStr">
        <is>
          <t>0182515102001</t>
        </is>
      </c>
      <c r="AD409" t="inlineStr">
        <is>
          <t>2022000053147</t>
        </is>
      </c>
      <c r="AE409" s="575" t="inlineStr">
        <is>
          <t>520 E 56TH LLC</t>
        </is>
      </c>
      <c r="AF409" s="575" t="inlineStr">
        <is>
          <t>GZSC HOLDING LLC</t>
        </is>
      </c>
      <c r="AI409" s="59">
        <f>IF(AND($E409=Subj_OccCode,Subj_BldgSF&gt;0,ABS($L409-Subj_BldgSF)&lt;=Subj_BldgSF*Subj_SizeTol),ABS($L409-Subj_BldgSF),NA())</f>
        <v/>
      </c>
      <c r="AJ409">
        <f>IF(ISNA(AI409),NA(),AI409+ROW()/10000000)</f>
        <v/>
      </c>
      <c r="AK409">
        <f>IF(AND(ISNUMBER($N409),$N409&gt;0,ISNUMBER($Y409)),$Y409/$N409,"")</f>
        <v/>
      </c>
    </row>
    <row r="410" ht="15" customHeight="1" s="518">
      <c r="A410" s="123" t="n">
        <v>8</v>
      </c>
      <c r="B410" s="59" t="n">
        <v>403</v>
      </c>
      <c r="C410" t="inlineStr">
        <is>
          <t>R0104023</t>
        </is>
      </c>
      <c r="D410" t="inlineStr">
        <is>
          <t>520 E 56TH AVE</t>
        </is>
      </c>
      <c r="E410" t="n">
        <v>407</v>
      </c>
      <c r="G410" t="inlineStr">
        <is>
          <t>5</t>
        </is>
      </c>
      <c r="H410" s="703">
        <f>Y410/J410</f>
        <v/>
      </c>
      <c r="I410" s="704" t="n">
        <v>43402</v>
      </c>
      <c r="J410" t="n">
        <v>9945</v>
      </c>
      <c r="L410" t="n">
        <v>9945</v>
      </c>
      <c r="M410" t="n">
        <v>1978</v>
      </c>
      <c r="P410" t="inlineStr">
        <is>
          <t>Industrial</t>
        </is>
      </c>
      <c r="R410" t="inlineStr">
        <is>
          <t>Average</t>
        </is>
      </c>
      <c r="S410" t="n">
        <v>30000</v>
      </c>
      <c r="T410" s="119">
        <f>S410/J410</f>
        <v/>
      </c>
      <c r="U410" t="inlineStr">
        <is>
          <t>Average</t>
        </is>
      </c>
      <c r="Y410" t="n">
        <v>1850000</v>
      </c>
      <c r="AA410" t="n">
        <v>1850000</v>
      </c>
      <c r="AC410" t="inlineStr">
        <is>
          <t>0182515102001</t>
        </is>
      </c>
      <c r="AD410" t="inlineStr">
        <is>
          <t>2018000087585</t>
        </is>
      </c>
      <c r="AE410" s="575" t="inlineStr">
        <is>
          <t>520 EAST 56TH LLC</t>
        </is>
      </c>
      <c r="AF410" s="575" t="inlineStr">
        <is>
          <t>520 E 56TH LLC</t>
        </is>
      </c>
      <c r="AI410" s="59">
        <f>IF(AND($E410=Subj_OccCode,Subj_BldgSF&gt;0,ABS($L410-Subj_BldgSF)&lt;=Subj_BldgSF*Subj_SizeTol),ABS($L410-Subj_BldgSF),NA())</f>
        <v/>
      </c>
      <c r="AJ410">
        <f>IF(ISNA(AI410),NA(),AI410+ROW()/10000000)</f>
        <v/>
      </c>
      <c r="AK410">
        <f>IF(AND(ISNUMBER($N410),$N410&gt;0,ISNUMBER($Y410)),$Y410/$N410,"")</f>
        <v/>
      </c>
    </row>
    <row r="411" ht="15" customHeight="1" s="518">
      <c r="A411" s="123" t="n">
        <v>8</v>
      </c>
      <c r="B411" s="59" t="n">
        <v>404</v>
      </c>
      <c r="C411" t="inlineStr">
        <is>
          <t>R0104041</t>
        </is>
      </c>
      <c r="D411" t="inlineStr">
        <is>
          <t>387 E 55TH AVE</t>
        </is>
      </c>
      <c r="E411" t="n">
        <v>325</v>
      </c>
      <c r="G411" t="inlineStr">
        <is>
          <t>5</t>
        </is>
      </c>
      <c r="H411" s="703">
        <f>Y411/J411</f>
        <v/>
      </c>
      <c r="I411" s="704" t="n">
        <v>43487</v>
      </c>
      <c r="J411" t="n">
        <v>2800</v>
      </c>
      <c r="L411" t="n">
        <v>2800</v>
      </c>
      <c r="M411" t="n">
        <v>1982</v>
      </c>
      <c r="P411" t="inlineStr">
        <is>
          <t>Industrial</t>
        </is>
      </c>
      <c r="R411" t="inlineStr">
        <is>
          <t>Average</t>
        </is>
      </c>
      <c r="S411" t="n">
        <v>10050</v>
      </c>
      <c r="T411" s="119">
        <f>S411/J411</f>
        <v/>
      </c>
      <c r="U411" t="inlineStr">
        <is>
          <t>Average</t>
        </is>
      </c>
      <c r="Y411" t="n">
        <v>525000</v>
      </c>
      <c r="AA411" t="n">
        <v>525000</v>
      </c>
      <c r="AC411" t="inlineStr">
        <is>
          <t>0182515104004</t>
        </is>
      </c>
      <c r="AD411" t="inlineStr">
        <is>
          <t>2019000005629</t>
        </is>
      </c>
      <c r="AE411" s="575" t="inlineStr">
        <is>
          <t>WATER WOLF LLC</t>
        </is>
      </c>
      <c r="AF411" s="575" t="inlineStr">
        <is>
          <t>TOM COOK &amp; ASSOCIATES LLC</t>
        </is>
      </c>
      <c r="AI411" s="59">
        <f>IF(AND($E411=Subj_OccCode,Subj_BldgSF&gt;0,ABS($L411-Subj_BldgSF)&lt;=Subj_BldgSF*Subj_SizeTol),ABS($L411-Subj_BldgSF),NA())</f>
        <v/>
      </c>
      <c r="AJ411">
        <f>IF(ISNA(AI411),NA(),AI411+ROW()/10000000)</f>
        <v/>
      </c>
      <c r="AK411">
        <f>IF(AND(ISNUMBER($N411),$N411&gt;0,ISNUMBER($Y411)),$Y411/$N411,"")</f>
        <v/>
      </c>
    </row>
    <row r="412" ht="15" customHeight="1" s="518">
      <c r="A412" s="123" t="n">
        <v>8</v>
      </c>
      <c r="B412" s="59" t="n">
        <v>405</v>
      </c>
      <c r="C412" t="inlineStr">
        <is>
          <t>R0104094</t>
        </is>
      </c>
      <c r="D412" t="inlineStr">
        <is>
          <t>5203  LINCOLN ST</t>
        </is>
      </c>
      <c r="E412" t="n">
        <v>406</v>
      </c>
      <c r="G412" t="inlineStr">
        <is>
          <t>5</t>
        </is>
      </c>
      <c r="H412" s="703">
        <f>Y412/J412</f>
        <v/>
      </c>
      <c r="I412" s="704" t="n">
        <v>44364</v>
      </c>
      <c r="J412" t="n">
        <v>4736</v>
      </c>
      <c r="L412" t="n">
        <v>4736</v>
      </c>
      <c r="M412" t="n">
        <v>1971</v>
      </c>
      <c r="P412" t="inlineStr">
        <is>
          <t>Industrial</t>
        </is>
      </c>
      <c r="R412" t="inlineStr">
        <is>
          <t>Average</t>
        </is>
      </c>
      <c r="S412" t="n">
        <v>19050</v>
      </c>
      <c r="T412" s="119">
        <f>S412/J412</f>
        <v/>
      </c>
      <c r="U412" t="inlineStr">
        <is>
          <t>Average</t>
        </is>
      </c>
      <c r="Y412" t="n">
        <v>1200000</v>
      </c>
      <c r="AA412" t="n">
        <v>1200000</v>
      </c>
      <c r="AC412" t="inlineStr">
        <is>
          <t>0182515110003</t>
        </is>
      </c>
      <c r="AD412" t="inlineStr">
        <is>
          <t>2021000073620</t>
        </is>
      </c>
      <c r="AE412" s="575" t="inlineStr">
        <is>
          <t>CORLESS-KENNEDY LORI K</t>
        </is>
      </c>
      <c r="AF412" s="575" t="inlineStr">
        <is>
          <t>5203 LLC</t>
        </is>
      </c>
      <c r="AI412" s="59">
        <f>IF(AND($E412=Subj_OccCode,Subj_BldgSF&gt;0,ABS($L412-Subj_BldgSF)&lt;=Subj_BldgSF*Subj_SizeTol),ABS($L412-Subj_BldgSF),NA())</f>
        <v/>
      </c>
      <c r="AJ412">
        <f>IF(ISNA(AI412),NA(),AI412+ROW()/10000000)</f>
        <v/>
      </c>
      <c r="AK412">
        <f>IF(AND(ISNUMBER($N412),$N412&gt;0,ISNUMBER($Y412)),$Y412/$N412,"")</f>
        <v/>
      </c>
    </row>
    <row r="413" ht="15" customHeight="1" s="518">
      <c r="A413" s="123" t="n">
        <v>8</v>
      </c>
      <c r="B413" s="59" t="n">
        <v>406</v>
      </c>
      <c r="C413" t="inlineStr">
        <is>
          <t>R0038936</t>
        </is>
      </c>
      <c r="D413" t="inlineStr">
        <is>
          <t>10775  IRMA DR</t>
        </is>
      </c>
      <c r="E413" t="n">
        <v>406</v>
      </c>
      <c r="F413" t="inlineStr">
        <is>
          <t>NORTHGLENN</t>
        </is>
      </c>
      <c r="G413" t="inlineStr">
        <is>
          <t>2</t>
        </is>
      </c>
      <c r="H413" s="703">
        <f>Y413/J413</f>
        <v/>
      </c>
      <c r="I413" s="704" t="n">
        <v>43357</v>
      </c>
      <c r="J413" t="n">
        <v>4400</v>
      </c>
      <c r="L413" t="n">
        <v>4400</v>
      </c>
      <c r="M413" t="n">
        <v>1989</v>
      </c>
      <c r="P413" t="inlineStr">
        <is>
          <t>Northglenn</t>
        </is>
      </c>
      <c r="R413" t="inlineStr">
        <is>
          <t>Average</t>
        </is>
      </c>
      <c r="S413" t="n">
        <v>35000</v>
      </c>
      <c r="T413" s="119">
        <f>S413/J413</f>
        <v/>
      </c>
      <c r="U413" t="inlineStr">
        <is>
          <t>Average</t>
        </is>
      </c>
      <c r="Y413" t="n">
        <v>825000</v>
      </c>
      <c r="AA413" t="n">
        <v>825000</v>
      </c>
      <c r="AC413" t="inlineStr">
        <is>
          <t>0171911403020</t>
        </is>
      </c>
      <c r="AD413" t="inlineStr">
        <is>
          <t>2018000075962</t>
        </is>
      </c>
      <c r="AE413" s="575" t="inlineStr">
        <is>
          <t>C AND N REAL ESTATE LLC</t>
        </is>
      </c>
      <c r="AF413" s="575" t="inlineStr">
        <is>
          <t>REVIVAL REAL ESTATE</t>
        </is>
      </c>
      <c r="AI413" s="59">
        <f>IF(AND($E413=Subj_OccCode,Subj_BldgSF&gt;0,ABS($L413-Subj_BldgSF)&lt;=Subj_BldgSF*Subj_SizeTol),ABS($L413-Subj_BldgSF),NA())</f>
        <v/>
      </c>
      <c r="AJ413">
        <f>IF(ISNA(AI413),NA(),AI413+ROW()/10000000)</f>
        <v/>
      </c>
      <c r="AK413">
        <f>IF(AND(ISNUMBER($N413),$N413&gt;0,ISNUMBER($Y413)),$Y413/$N413,"")</f>
        <v/>
      </c>
    </row>
    <row r="414" ht="15" customHeight="1" s="518">
      <c r="A414" s="123" t="n">
        <v>8</v>
      </c>
      <c r="B414" s="59" t="n">
        <v>407</v>
      </c>
      <c r="C414" t="inlineStr">
        <is>
          <t>R0084313</t>
        </is>
      </c>
      <c r="D414" t="inlineStr">
        <is>
          <t>13801 E SMITH DR #B</t>
        </is>
      </c>
      <c r="E414" t="n">
        <v>425</v>
      </c>
      <c r="F414" t="inlineStr">
        <is>
          <t>AURORA</t>
        </is>
      </c>
      <c r="G414" t="inlineStr">
        <is>
          <t>6</t>
        </is>
      </c>
      <c r="H414" s="703">
        <f>Y414/J414</f>
        <v/>
      </c>
      <c r="I414" s="704" t="n">
        <v>43259</v>
      </c>
      <c r="J414" t="n">
        <v>1500</v>
      </c>
      <c r="L414" t="n">
        <v>1500</v>
      </c>
      <c r="M414" t="n">
        <v>1982</v>
      </c>
      <c r="P414" t="inlineStr">
        <is>
          <t>Aurora</t>
        </is>
      </c>
      <c r="R414" t="inlineStr">
        <is>
          <t>Average</t>
        </is>
      </c>
      <c r="S414" t="n">
        <v>6313</v>
      </c>
      <c r="T414" s="119">
        <f>S414/J414</f>
        <v/>
      </c>
      <c r="U414" t="inlineStr">
        <is>
          <t>Average</t>
        </is>
      </c>
      <c r="Y414" t="n">
        <v>180000</v>
      </c>
      <c r="AA414" t="n">
        <v>180000</v>
      </c>
      <c r="AC414" t="inlineStr">
        <is>
          <t>0182130013013</t>
        </is>
      </c>
      <c r="AD414" t="inlineStr">
        <is>
          <t>2018000047556</t>
        </is>
      </c>
      <c r="AE414" s="575" t="inlineStr">
        <is>
          <t>BROWN TERRY L</t>
        </is>
      </c>
      <c r="AF414" s="575" t="inlineStr">
        <is>
          <t>JAB HOLDINGS LLC</t>
        </is>
      </c>
      <c r="AI414" s="59">
        <f>IF(AND($E414=Subj_OccCode,Subj_BldgSF&gt;0,ABS($L414-Subj_BldgSF)&lt;=Subj_BldgSF*Subj_SizeTol),ABS($L414-Subj_BldgSF),NA())</f>
        <v/>
      </c>
      <c r="AJ414">
        <f>IF(ISNA(AI414),NA(),AI414+ROW()/10000000)</f>
        <v/>
      </c>
      <c r="AK414">
        <f>IF(AND(ISNUMBER($N414),$N414&gt;0,ISNUMBER($Y414)),$Y414/$N414,"")</f>
        <v/>
      </c>
    </row>
    <row r="415" ht="15" customHeight="1" s="518">
      <c r="A415" s="123" t="n">
        <v>8</v>
      </c>
      <c r="B415" s="59" t="n">
        <v>408</v>
      </c>
      <c r="C415" t="inlineStr">
        <is>
          <t>R0084315</t>
        </is>
      </c>
      <c r="D415" t="inlineStr">
        <is>
          <t>13891 E SMITH DR #A</t>
        </is>
      </c>
      <c r="E415" t="n">
        <v>425</v>
      </c>
      <c r="F415" t="inlineStr">
        <is>
          <t>AURORA</t>
        </is>
      </c>
      <c r="G415" t="inlineStr">
        <is>
          <t>6</t>
        </is>
      </c>
      <c r="H415" s="703">
        <f>Y415/J415</f>
        <v/>
      </c>
      <c r="I415" s="704" t="n">
        <v>44070</v>
      </c>
      <c r="J415" t="n">
        <v>1500</v>
      </c>
      <c r="L415" t="n">
        <v>1500</v>
      </c>
      <c r="M415" t="n">
        <v>1982</v>
      </c>
      <c r="P415" t="inlineStr">
        <is>
          <t>M-1-Aur</t>
        </is>
      </c>
      <c r="R415" t="inlineStr">
        <is>
          <t>Average</t>
        </is>
      </c>
      <c r="S415" t="n">
        <v>4608</v>
      </c>
      <c r="T415" s="119">
        <f>S415/J415</f>
        <v/>
      </c>
      <c r="U415" t="inlineStr">
        <is>
          <t>Average</t>
        </is>
      </c>
      <c r="Y415" t="n">
        <v>180000</v>
      </c>
      <c r="AA415" t="n">
        <v>180000</v>
      </c>
      <c r="AC415" t="inlineStr">
        <is>
          <t>0182130013015</t>
        </is>
      </c>
      <c r="AD415" t="inlineStr">
        <is>
          <t>2020000085310</t>
        </is>
      </c>
      <c r="AE415" s="575" t="inlineStr">
        <is>
          <t>FAMILY BUSINESS INC</t>
        </is>
      </c>
      <c r="AF415" s="575" t="inlineStr">
        <is>
          <t>AURORA INVESTMENT GROUP LLC</t>
        </is>
      </c>
      <c r="AI415" s="59">
        <f>IF(AND($E415=Subj_OccCode,Subj_BldgSF&gt;0,ABS($L415-Subj_BldgSF)&lt;=Subj_BldgSF*Subj_SizeTol),ABS($L415-Subj_BldgSF),NA())</f>
        <v/>
      </c>
      <c r="AJ415">
        <f>IF(ISNA(AI415),NA(),AI415+ROW()/10000000)</f>
        <v/>
      </c>
      <c r="AK415">
        <f>IF(AND(ISNUMBER($N415),$N415&gt;0,ISNUMBER($Y415)),$Y415/$N415,"")</f>
        <v/>
      </c>
    </row>
    <row r="416" ht="15" customHeight="1" s="518">
      <c r="A416" s="123" t="n">
        <v>8</v>
      </c>
      <c r="B416" s="59" t="n">
        <v>409</v>
      </c>
      <c r="C416" t="inlineStr">
        <is>
          <t>R0097919</t>
        </is>
      </c>
      <c r="D416" t="inlineStr">
        <is>
          <t>2350 E 70TH AVE</t>
        </is>
      </c>
      <c r="E416" t="n">
        <v>406</v>
      </c>
      <c r="G416" t="inlineStr">
        <is>
          <t>5</t>
        </is>
      </c>
      <c r="H416" s="703">
        <f>Y416/J416</f>
        <v/>
      </c>
      <c r="I416" s="704" t="n">
        <v>43188</v>
      </c>
      <c r="J416" t="n">
        <v>6496</v>
      </c>
      <c r="L416" t="n">
        <v>6496</v>
      </c>
      <c r="M416" t="n">
        <v>1999</v>
      </c>
      <c r="P416" t="inlineStr">
        <is>
          <t>Industrial</t>
        </is>
      </c>
      <c r="R416" t="inlineStr">
        <is>
          <t>Average</t>
        </is>
      </c>
      <c r="S416" t="n">
        <v>75611</v>
      </c>
      <c r="T416" s="119">
        <f>S416/J416</f>
        <v/>
      </c>
      <c r="U416" t="inlineStr">
        <is>
          <t>Average</t>
        </is>
      </c>
      <c r="Y416" t="n">
        <v>1410000</v>
      </c>
      <c r="AA416" t="n">
        <v>1410000</v>
      </c>
      <c r="AC416" t="inlineStr">
        <is>
          <t>0182501203002</t>
        </is>
      </c>
      <c r="AD416" t="inlineStr">
        <is>
          <t>2018000025867</t>
        </is>
      </c>
      <c r="AE416" s="575" t="inlineStr">
        <is>
          <t>HILLTOP SUBDIVISION, PARTNERSHIP</t>
        </is>
      </c>
      <c r="AF416" s="575" t="inlineStr">
        <is>
          <t>MITO REALTY LLC</t>
        </is>
      </c>
      <c r="AI416" s="59">
        <f>IF(AND($E416=Subj_OccCode,Subj_BldgSF&gt;0,ABS($L416-Subj_BldgSF)&lt;=Subj_BldgSF*Subj_SizeTol),ABS($L416-Subj_BldgSF),NA())</f>
        <v/>
      </c>
      <c r="AJ416">
        <f>IF(ISNA(AI416),NA(),AI416+ROW()/10000000)</f>
        <v/>
      </c>
      <c r="AK416">
        <f>IF(AND(ISNUMBER($N416),$N416&gt;0,ISNUMBER($Y416)),$Y416/$N416,"")</f>
        <v/>
      </c>
    </row>
    <row r="417" ht="15" customHeight="1" s="518">
      <c r="A417" s="123" t="n">
        <v>8</v>
      </c>
      <c r="B417" s="59" t="n">
        <v>410</v>
      </c>
      <c r="C417" t="inlineStr">
        <is>
          <t>R0070638</t>
        </is>
      </c>
      <c r="D417" t="inlineStr">
        <is>
          <t>7570  BROADWAY ST</t>
        </is>
      </c>
      <c r="E417" t="n">
        <v>353</v>
      </c>
      <c r="G417" t="inlineStr">
        <is>
          <t>1</t>
        </is>
      </c>
      <c r="H417" s="703">
        <f>Y417/J417</f>
        <v/>
      </c>
      <c r="I417" s="704" t="n">
        <v>43388</v>
      </c>
      <c r="J417" t="n">
        <v>3065</v>
      </c>
      <c r="L417" t="n">
        <v>3065</v>
      </c>
      <c r="M417" t="n">
        <v>1975</v>
      </c>
      <c r="P417" t="inlineStr">
        <is>
          <t>Commercial</t>
        </is>
      </c>
      <c r="R417" t="inlineStr">
        <is>
          <t>Average</t>
        </is>
      </c>
      <c r="S417" t="n">
        <v>35620</v>
      </c>
      <c r="T417" s="119">
        <f>S417/J417</f>
        <v/>
      </c>
      <c r="U417" t="inlineStr">
        <is>
          <t>Average</t>
        </is>
      </c>
      <c r="Y417" t="n">
        <v>750000</v>
      </c>
      <c r="AA417" t="n">
        <v>750000</v>
      </c>
      <c r="AC417" t="inlineStr">
        <is>
          <t>0171934405026</t>
        </is>
      </c>
      <c r="AD417" t="inlineStr">
        <is>
          <t>2018000083713</t>
        </is>
      </c>
      <c r="AE417" s="575" t="inlineStr">
        <is>
          <t>ALPHA AND GREEN ENTERPRISES LLC</t>
        </is>
      </c>
      <c r="AF417" s="575" t="inlineStr">
        <is>
          <t>ASK LLC</t>
        </is>
      </c>
      <c r="AI417" s="59">
        <f>IF(AND($E417=Subj_OccCode,Subj_BldgSF&gt;0,ABS($L417-Subj_BldgSF)&lt;=Subj_BldgSF*Subj_SizeTol),ABS($L417-Subj_BldgSF),NA())</f>
        <v/>
      </c>
      <c r="AJ417">
        <f>IF(ISNA(AI417),NA(),AI417+ROW()/10000000)</f>
        <v/>
      </c>
      <c r="AK417">
        <f>IF(AND(ISNUMBER($N417),$N417&gt;0,ISNUMBER($Y417)),$Y417/$N417,"")</f>
        <v/>
      </c>
    </row>
    <row r="418" ht="15" customHeight="1" s="518">
      <c r="A418" s="123" t="n">
        <v>8</v>
      </c>
      <c r="B418" s="59" t="n">
        <v>411</v>
      </c>
      <c r="C418" t="inlineStr">
        <is>
          <t>R0103454</t>
        </is>
      </c>
      <c r="D418" t="inlineStr">
        <is>
          <t>6331  WASHINGTON ST</t>
        </is>
      </c>
      <c r="E418" t="n">
        <v>419</v>
      </c>
      <c r="G418" t="inlineStr">
        <is>
          <t>5</t>
        </is>
      </c>
      <c r="H418" s="703">
        <f>Y418/J418</f>
        <v/>
      </c>
      <c r="I418" s="704" t="n">
        <v>44266</v>
      </c>
      <c r="J418" t="n">
        <v>4507</v>
      </c>
      <c r="L418" t="n">
        <v>4507</v>
      </c>
      <c r="M418" t="n">
        <v>1986</v>
      </c>
      <c r="P418" t="inlineStr">
        <is>
          <t>Industrial</t>
        </is>
      </c>
      <c r="R418" t="inlineStr">
        <is>
          <t>Average</t>
        </is>
      </c>
      <c r="S418" t="n">
        <v>77434</v>
      </c>
      <c r="T418" s="119">
        <f>S418/J418</f>
        <v/>
      </c>
      <c r="U418" t="inlineStr">
        <is>
          <t>Average</t>
        </is>
      </c>
      <c r="Y418" t="n">
        <v>2200000</v>
      </c>
      <c r="AA418" t="n">
        <v>2200000</v>
      </c>
      <c r="AC418" t="inlineStr">
        <is>
          <t>0182510101018</t>
        </is>
      </c>
      <c r="AD418" t="inlineStr">
        <is>
          <t>2021000029962</t>
        </is>
      </c>
      <c r="AE418" s="575" t="inlineStr">
        <is>
          <t>VAHN LIVING TRUST THE , C/O MATRIX GROUP INC</t>
        </is>
      </c>
      <c r="AF418" s="575" t="inlineStr">
        <is>
          <t>BV 64 WA LLC</t>
        </is>
      </c>
      <c r="AI418" s="59">
        <f>IF(AND($E418=Subj_OccCode,Subj_BldgSF&gt;0,ABS($L418-Subj_BldgSF)&lt;=Subj_BldgSF*Subj_SizeTol),ABS($L418-Subj_BldgSF),NA())</f>
        <v/>
      </c>
      <c r="AJ418">
        <f>IF(ISNA(AI418),NA(),AI418+ROW()/10000000)</f>
        <v/>
      </c>
      <c r="AK418">
        <f>IF(AND(ISNUMBER($N418),$N418&gt;0,ISNUMBER($Y418)),$Y418/$N418,"")</f>
        <v/>
      </c>
    </row>
    <row r="419" ht="15" customHeight="1" s="518">
      <c r="A419" s="123" t="n">
        <v>8</v>
      </c>
      <c r="B419" s="59" t="n">
        <v>412</v>
      </c>
      <c r="C419" t="inlineStr">
        <is>
          <t>R0103524</t>
        </is>
      </c>
      <c r="D419" t="inlineStr">
        <is>
          <t>5919  BROADWAY ST</t>
        </is>
      </c>
      <c r="E419" t="n">
        <v>407</v>
      </c>
      <c r="G419" t="inlineStr">
        <is>
          <t>5</t>
        </is>
      </c>
      <c r="H419" s="703">
        <f>Y419/J419</f>
        <v/>
      </c>
      <c r="I419" s="704" t="n">
        <v>44377</v>
      </c>
      <c r="J419" t="n">
        <v>10044</v>
      </c>
      <c r="L419" t="n">
        <v>10044</v>
      </c>
      <c r="M419" t="n">
        <v>1972</v>
      </c>
      <c r="P419" t="inlineStr">
        <is>
          <t>Industrial</t>
        </is>
      </c>
      <c r="R419" t="inlineStr">
        <is>
          <t>Average</t>
        </is>
      </c>
      <c r="S419" t="n">
        <v>45765</v>
      </c>
      <c r="T419" s="119">
        <f>S419/J419</f>
        <v/>
      </c>
      <c r="U419" t="inlineStr">
        <is>
          <t>Average</t>
        </is>
      </c>
      <c r="Y419" t="n">
        <v>1700000</v>
      </c>
      <c r="AA419" t="n">
        <v>1700000</v>
      </c>
      <c r="AC419" t="inlineStr">
        <is>
          <t>0182510301035</t>
        </is>
      </c>
      <c r="AD419" t="inlineStr">
        <is>
          <t>2021000085131</t>
        </is>
      </c>
      <c r="AE419" s="575" t="inlineStr">
        <is>
          <t>5919 N BROADWAY LLC</t>
        </is>
      </c>
      <c r="AF419" s="575" t="inlineStr">
        <is>
          <t>KUNZMAN MICHAEL AND, CORBITO CARINA</t>
        </is>
      </c>
      <c r="AI419" s="59">
        <f>IF(AND($E419=Subj_OccCode,Subj_BldgSF&gt;0,ABS($L419-Subj_BldgSF)&lt;=Subj_BldgSF*Subj_SizeTol),ABS($L419-Subj_BldgSF),NA())</f>
        <v/>
      </c>
      <c r="AJ419">
        <f>IF(ISNA(AI419),NA(),AI419+ROW()/10000000)</f>
        <v/>
      </c>
      <c r="AK419">
        <f>IF(AND(ISNUMBER($N419),$N419&gt;0,ISNUMBER($Y419)),$Y419/$N419,"")</f>
        <v/>
      </c>
    </row>
    <row r="420" ht="15" customHeight="1" s="518">
      <c r="A420" s="123" t="n">
        <v>8</v>
      </c>
      <c r="B420" s="59" t="n">
        <v>413</v>
      </c>
      <c r="C420" t="inlineStr">
        <is>
          <t>R0002301</t>
        </is>
      </c>
      <c r="D420" t="inlineStr">
        <is>
          <t>1401  BRIDGE ST</t>
        </is>
      </c>
      <c r="E420" t="n">
        <v>344</v>
      </c>
      <c r="F420" t="inlineStr">
        <is>
          <t>BRIGHTON</t>
        </is>
      </c>
      <c r="G420" t="inlineStr">
        <is>
          <t>2</t>
        </is>
      </c>
      <c r="H420" s="703">
        <f>Y420/J420</f>
        <v/>
      </c>
      <c r="I420" s="704" t="n">
        <v>44013</v>
      </c>
      <c r="J420" t="n">
        <v>2500</v>
      </c>
      <c r="L420" t="n">
        <v>2500</v>
      </c>
      <c r="M420" t="n">
        <v>1972</v>
      </c>
      <c r="P420" t="inlineStr">
        <is>
          <t>C-3-Bri</t>
        </is>
      </c>
      <c r="R420" t="inlineStr">
        <is>
          <t>Average</t>
        </is>
      </c>
      <c r="S420" t="n">
        <v>10454.4</v>
      </c>
      <c r="T420" s="119">
        <f>S420/J420</f>
        <v/>
      </c>
      <c r="U420" t="inlineStr">
        <is>
          <t>Average</t>
        </is>
      </c>
      <c r="Y420" t="n">
        <v>735000</v>
      </c>
      <c r="AA420" t="n">
        <v>735000</v>
      </c>
      <c r="AC420" t="inlineStr">
        <is>
          <t>0156905330003</t>
        </is>
      </c>
      <c r="AD420" t="inlineStr">
        <is>
          <t>2020000062454</t>
        </is>
      </c>
      <c r="AE420" s="575" t="inlineStr">
        <is>
          <t>MORGAN BRIAN M, MORGAN LINDA LIVING TRUST</t>
        </is>
      </c>
      <c r="AF420" s="575" t="inlineStr">
        <is>
          <t>SHOCKLEY MICHELLE</t>
        </is>
      </c>
      <c r="AI420" s="59">
        <f>IF(AND($E420=Subj_OccCode,Subj_BldgSF&gt;0,ABS($L420-Subj_BldgSF)&lt;=Subj_BldgSF*Subj_SizeTol),ABS($L420-Subj_BldgSF),NA())</f>
        <v/>
      </c>
      <c r="AJ420">
        <f>IF(ISNA(AI420),NA(),AI420+ROW()/10000000)</f>
        <v/>
      </c>
      <c r="AK420">
        <f>IF(AND(ISNUMBER($N420),$N420&gt;0,ISNUMBER($Y420)),$Y420/$N420,"")</f>
        <v/>
      </c>
    </row>
    <row r="421" ht="15" customHeight="1" s="518">
      <c r="A421" s="123" t="n">
        <v>8</v>
      </c>
      <c r="B421" s="59" t="n">
        <v>414</v>
      </c>
      <c r="C421" t="inlineStr">
        <is>
          <t>R0085935</t>
        </is>
      </c>
      <c r="D421" t="inlineStr">
        <is>
          <t>15586 E 17TH AVE</t>
        </is>
      </c>
      <c r="E421" t="n">
        <v>407</v>
      </c>
      <c r="F421" t="inlineStr">
        <is>
          <t>AURORA</t>
        </is>
      </c>
      <c r="G421" t="inlineStr">
        <is>
          <t>6</t>
        </is>
      </c>
      <c r="H421" s="703">
        <f>Y421/J421</f>
        <v/>
      </c>
      <c r="I421" s="704" t="n">
        <v>44272</v>
      </c>
      <c r="J421" t="n">
        <v>9800</v>
      </c>
      <c r="L421" t="n">
        <v>9800</v>
      </c>
      <c r="M421" t="n">
        <v>1972</v>
      </c>
      <c r="P421" t="inlineStr">
        <is>
          <t>M-1-Aur</t>
        </is>
      </c>
      <c r="R421" t="inlineStr">
        <is>
          <t>Average</t>
        </is>
      </c>
      <c r="S421" t="n">
        <v>22000</v>
      </c>
      <c r="T421" s="119">
        <f>S421/J421</f>
        <v/>
      </c>
      <c r="U421" t="inlineStr">
        <is>
          <t>Average</t>
        </is>
      </c>
      <c r="Y421" t="n">
        <v>1350000</v>
      </c>
      <c r="AA421" t="n">
        <v>1350000</v>
      </c>
      <c r="AC421" t="inlineStr">
        <is>
          <t>0182132315017</t>
        </is>
      </c>
      <c r="AD421" t="inlineStr">
        <is>
          <t>2021000032615</t>
        </is>
      </c>
      <c r="AE421" s="575" t="inlineStr">
        <is>
          <t>STORAGE ONE ELIZABETH LLC</t>
        </is>
      </c>
      <c r="AF421" s="575" t="inlineStr">
        <is>
          <t>CASABLANCA LLC</t>
        </is>
      </c>
      <c r="AI421" s="59">
        <f>IF(AND($E421=Subj_OccCode,Subj_BldgSF&gt;0,ABS($L421-Subj_BldgSF)&lt;=Subj_BldgSF*Subj_SizeTol),ABS($L421-Subj_BldgSF),NA())</f>
        <v/>
      </c>
      <c r="AJ421">
        <f>IF(ISNA(AI421),NA(),AI421+ROW()/10000000)</f>
        <v/>
      </c>
      <c r="AK421">
        <f>IF(AND(ISNUMBER($N421),$N421&gt;0,ISNUMBER($Y421)),$Y421/$N421,"")</f>
        <v/>
      </c>
    </row>
    <row r="422" ht="15" customHeight="1" s="518">
      <c r="A422" s="123" t="n">
        <v>8</v>
      </c>
      <c r="B422" s="59" t="n">
        <v>415</v>
      </c>
      <c r="C422" t="inlineStr">
        <is>
          <t>R0004089</t>
        </is>
      </c>
      <c r="D422" t="inlineStr">
        <is>
          <t>301 S MAIN ST #100/#120/#220</t>
        </is>
      </c>
      <c r="E422" t="n">
        <v>353</v>
      </c>
      <c r="F422" t="inlineStr">
        <is>
          <t>BRIGHTON</t>
        </is>
      </c>
      <c r="G422" t="inlineStr">
        <is>
          <t>2</t>
        </is>
      </c>
      <c r="H422" s="703">
        <f>Y422/J422</f>
        <v/>
      </c>
      <c r="I422" s="704" t="n">
        <v>43167</v>
      </c>
      <c r="J422" t="n">
        <v>5800</v>
      </c>
      <c r="L422" t="n">
        <v>5800</v>
      </c>
      <c r="M422" t="n">
        <v>1920</v>
      </c>
      <c r="P422" t="inlineStr">
        <is>
          <t>Brighton</t>
        </is>
      </c>
      <c r="R422" t="inlineStr">
        <is>
          <t>Average</t>
        </is>
      </c>
      <c r="S422" t="n">
        <v>13000</v>
      </c>
      <c r="T422" s="119">
        <f>S422/J422</f>
        <v/>
      </c>
      <c r="U422" t="inlineStr">
        <is>
          <t>Average</t>
        </is>
      </c>
      <c r="Y422" t="n">
        <v>565000</v>
      </c>
      <c r="AA422" t="n">
        <v>565000</v>
      </c>
      <c r="AC422" t="inlineStr">
        <is>
          <t>0156907220001</t>
        </is>
      </c>
      <c r="AD422" t="inlineStr">
        <is>
          <t>2018000019867</t>
        </is>
      </c>
      <c r="AE422" s="575" t="inlineStr">
        <is>
          <t>ROBB INC</t>
        </is>
      </c>
      <c r="AF422" s="575" t="inlineStr">
        <is>
          <t>301 SOUTH MAIN LLC</t>
        </is>
      </c>
      <c r="AI422" s="59">
        <f>IF(AND($E422=Subj_OccCode,Subj_BldgSF&gt;0,ABS($L422-Subj_BldgSF)&lt;=Subj_BldgSF*Subj_SizeTol),ABS($L422-Subj_BldgSF),NA())</f>
        <v/>
      </c>
      <c r="AJ422">
        <f>IF(ISNA(AI422),NA(),AI422+ROW()/10000000)</f>
        <v/>
      </c>
      <c r="AK422">
        <f>IF(AND(ISNUMBER($N422),$N422&gt;0,ISNUMBER($Y422)),$Y422/$N422,"")</f>
        <v/>
      </c>
    </row>
    <row r="423" ht="15" customHeight="1" s="518">
      <c r="A423" s="123" t="n">
        <v>8</v>
      </c>
      <c r="B423" s="59" t="n">
        <v>416</v>
      </c>
      <c r="C423" t="inlineStr">
        <is>
          <t>R0070612</t>
        </is>
      </c>
      <c r="D423" t="inlineStr">
        <is>
          <t>7261  WASHINGTON ST</t>
        </is>
      </c>
      <c r="E423" t="n">
        <v>344</v>
      </c>
      <c r="G423" t="inlineStr">
        <is>
          <t>2</t>
        </is>
      </c>
      <c r="H423" s="703">
        <f>Y423/J423</f>
        <v/>
      </c>
      <c r="I423" s="704" t="n">
        <v>43329</v>
      </c>
      <c r="J423" t="n">
        <v>1032</v>
      </c>
      <c r="L423" t="n">
        <v>1032</v>
      </c>
      <c r="M423" t="n">
        <v>1952</v>
      </c>
      <c r="P423" t="inlineStr">
        <is>
          <t>Industrial</t>
        </is>
      </c>
      <c r="R423" t="inlineStr">
        <is>
          <t>Average</t>
        </is>
      </c>
      <c r="S423" t="n">
        <v>25089</v>
      </c>
      <c r="T423" s="119">
        <f>S423/J423</f>
        <v/>
      </c>
      <c r="U423" t="inlineStr">
        <is>
          <t>Average</t>
        </is>
      </c>
      <c r="Y423" t="n">
        <v>675000</v>
      </c>
      <c r="AA423" t="n">
        <v>675000</v>
      </c>
      <c r="AC423" t="inlineStr">
        <is>
          <t>0171934400017</t>
        </is>
      </c>
      <c r="AD423" t="inlineStr">
        <is>
          <t>2018000067503</t>
        </is>
      </c>
      <c r="AE423" s="575" t="inlineStr">
        <is>
          <t>J D STEEL COMPANY INC</t>
        </is>
      </c>
      <c r="AF423" s="575" t="inlineStr">
        <is>
          <t>ABP INVESTMENTS LLC</t>
        </is>
      </c>
      <c r="AI423" s="59">
        <f>IF(AND($E423=Subj_OccCode,Subj_BldgSF&gt;0,ABS($L423-Subj_BldgSF)&lt;=Subj_BldgSF*Subj_SizeTol),ABS($L423-Subj_BldgSF),NA())</f>
        <v/>
      </c>
      <c r="AJ423">
        <f>IF(ISNA(AI423),NA(),AI423+ROW()/10000000)</f>
        <v/>
      </c>
      <c r="AK423">
        <f>IF(AND(ISNUMBER($N423),$N423&gt;0,ISNUMBER($Y423)),$Y423/$N423,"")</f>
        <v/>
      </c>
    </row>
    <row r="424" ht="15" customHeight="1" s="518">
      <c r="A424" s="123" t="n">
        <v>8</v>
      </c>
      <c r="B424" s="59" t="n">
        <v>417</v>
      </c>
      <c r="C424" t="inlineStr">
        <is>
          <t>R0079895</t>
        </is>
      </c>
      <c r="D424" t="inlineStr">
        <is>
          <t>7255  MONACO ST</t>
        </is>
      </c>
      <c r="E424" t="n">
        <v>353</v>
      </c>
      <c r="F424" t="inlineStr">
        <is>
          <t>COMMERCE CITY</t>
        </is>
      </c>
      <c r="G424" t="inlineStr">
        <is>
          <t>5</t>
        </is>
      </c>
      <c r="H424" s="703">
        <f>Y424/J424</f>
        <v/>
      </c>
      <c r="I424" s="704" t="n">
        <v>43656</v>
      </c>
      <c r="J424" t="n">
        <v>10051</v>
      </c>
      <c r="L424" t="n">
        <v>10051</v>
      </c>
      <c r="M424" t="n">
        <v>1947</v>
      </c>
      <c r="P424" t="inlineStr">
        <is>
          <t>PUD-Com</t>
        </is>
      </c>
      <c r="R424" t="inlineStr">
        <is>
          <t>Average</t>
        </is>
      </c>
      <c r="S424" t="n">
        <v>18037</v>
      </c>
      <c r="T424" s="119">
        <f>S424/J424</f>
        <v/>
      </c>
      <c r="U424" t="inlineStr">
        <is>
          <t>Average</t>
        </is>
      </c>
      <c r="Y424" t="n">
        <v>700000</v>
      </c>
      <c r="AA424" t="n">
        <v>700000</v>
      </c>
      <c r="AC424" t="inlineStr">
        <is>
          <t>0172132423004</t>
        </is>
      </c>
      <c r="AD424" t="inlineStr">
        <is>
          <t>2019000054378</t>
        </is>
      </c>
      <c r="AE424" s="575" t="inlineStr">
        <is>
          <t>BEHESHTI ABBAS S</t>
        </is>
      </c>
      <c r="AF424" s="575" t="inlineStr">
        <is>
          <t>MUNOZ ROGELIO AND, MUNOZ ALICIA</t>
        </is>
      </c>
      <c r="AI424" s="59">
        <f>IF(AND($E424=Subj_OccCode,Subj_BldgSF&gt;0,ABS($L424-Subj_BldgSF)&lt;=Subj_BldgSF*Subj_SizeTol),ABS($L424-Subj_BldgSF),NA())</f>
        <v/>
      </c>
      <c r="AJ424">
        <f>IF(ISNA(AI424),NA(),AI424+ROW()/10000000)</f>
        <v/>
      </c>
      <c r="AK424">
        <f>IF(AND(ISNUMBER($N424),$N424&gt;0,ISNUMBER($Y424)),$Y424/$N424,"")</f>
        <v/>
      </c>
    </row>
    <row r="425" ht="15" customHeight="1" s="518">
      <c r="A425" s="123" t="n">
        <v>8</v>
      </c>
      <c r="B425" s="59" t="n">
        <v>418</v>
      </c>
      <c r="C425" t="inlineStr">
        <is>
          <t>R0110650</t>
        </is>
      </c>
      <c r="D425" t="inlineStr">
        <is>
          <t>12485  GRANT ST</t>
        </is>
      </c>
      <c r="E425" t="n">
        <v>344</v>
      </c>
      <c r="F425" t="inlineStr">
        <is>
          <t>THORNTON</t>
        </is>
      </c>
      <c r="G425" t="inlineStr">
        <is>
          <t>3</t>
        </is>
      </c>
      <c r="H425" s="703">
        <f>Y425/J425</f>
        <v/>
      </c>
      <c r="I425" s="704" t="n">
        <v>44442</v>
      </c>
      <c r="J425" t="n">
        <v>55107</v>
      </c>
      <c r="L425" t="n">
        <v>55107</v>
      </c>
      <c r="M425" t="n">
        <v>1980</v>
      </c>
      <c r="P425" t="inlineStr">
        <is>
          <t>Business Park</t>
        </is>
      </c>
      <c r="R425" t="inlineStr">
        <is>
          <t>Average</t>
        </is>
      </c>
      <c r="S425" t="n">
        <v>318656</v>
      </c>
      <c r="T425" s="119">
        <f>S425/J425</f>
        <v/>
      </c>
      <c r="U425" t="inlineStr">
        <is>
          <t>Average</t>
        </is>
      </c>
      <c r="Y425" t="n">
        <v>7800000</v>
      </c>
      <c r="AA425" t="n">
        <v>7800000</v>
      </c>
      <c r="AC425" t="inlineStr">
        <is>
          <t>0157334009029</t>
        </is>
      </c>
      <c r="AD425" t="inlineStr">
        <is>
          <t>2021000105569</t>
        </is>
      </c>
      <c r="AE425" s="575" t="inlineStr">
        <is>
          <t>WASHINGTON SQUARE PARTNERS LLC</t>
        </is>
      </c>
      <c r="AF425" s="575" t="inlineStr">
        <is>
          <t>SCROLL PROPERTIES LLC</t>
        </is>
      </c>
      <c r="AI425" s="59">
        <f>IF(AND($E425=Subj_OccCode,Subj_BldgSF&gt;0,ABS($L425-Subj_BldgSF)&lt;=Subj_BldgSF*Subj_SizeTol),ABS($L425-Subj_BldgSF),NA())</f>
        <v/>
      </c>
      <c r="AJ425">
        <f>IF(ISNA(AI425),NA(),AI425+ROW()/10000000)</f>
        <v/>
      </c>
      <c r="AK425">
        <f>IF(AND(ISNUMBER($N425),$N425&gt;0,ISNUMBER($Y425)),$Y425/$N425,"")</f>
        <v/>
      </c>
    </row>
    <row r="426" ht="15" customHeight="1" s="518">
      <c r="A426" s="123" t="n">
        <v>8</v>
      </c>
      <c r="B426" s="59" t="n">
        <v>419</v>
      </c>
      <c r="C426" t="inlineStr">
        <is>
          <t>R0092347</t>
        </is>
      </c>
      <c r="D426" t="inlineStr">
        <is>
          <t>5311  NIAGARA ST</t>
        </is>
      </c>
      <c r="E426" t="n">
        <v>407</v>
      </c>
      <c r="F426" t="inlineStr">
        <is>
          <t>COMMERCE CITY</t>
        </is>
      </c>
      <c r="G426" t="inlineStr">
        <is>
          <t>5</t>
        </is>
      </c>
      <c r="H426" s="703">
        <f>Y426/J426</f>
        <v/>
      </c>
      <c r="I426" s="704" t="n">
        <v>44378</v>
      </c>
      <c r="J426" t="n">
        <v>23344</v>
      </c>
      <c r="L426" t="n">
        <v>23344</v>
      </c>
      <c r="M426" t="n">
        <v>1984</v>
      </c>
      <c r="P426" t="inlineStr">
        <is>
          <t>I-2-Com</t>
        </is>
      </c>
      <c r="R426" t="inlineStr">
        <is>
          <t>Average</t>
        </is>
      </c>
      <c r="S426" t="n">
        <v>51674</v>
      </c>
      <c r="T426" s="119">
        <f>S426/J426</f>
        <v/>
      </c>
      <c r="U426" t="inlineStr">
        <is>
          <t>Average</t>
        </is>
      </c>
      <c r="Y426" t="n">
        <v>2450000</v>
      </c>
      <c r="AA426" t="n">
        <v>2450000</v>
      </c>
      <c r="AC426" t="inlineStr">
        <is>
          <t>0182317103057</t>
        </is>
      </c>
      <c r="AD426" t="inlineStr">
        <is>
          <t>2021000079773</t>
        </is>
      </c>
      <c r="AE426" s="575" t="inlineStr">
        <is>
          <t>JACOBS BRENDA SUE</t>
        </is>
      </c>
      <c r="AF426" s="575" t="inlineStr">
        <is>
          <t>BRE INVESTMENTS LTD AND, BAMA LLC</t>
        </is>
      </c>
      <c r="AI426" s="59">
        <f>IF(AND($E426=Subj_OccCode,Subj_BldgSF&gt;0,ABS($L426-Subj_BldgSF)&lt;=Subj_BldgSF*Subj_SizeTol),ABS($L426-Subj_BldgSF),NA())</f>
        <v/>
      </c>
      <c r="AJ426">
        <f>IF(ISNA(AI426),NA(),AI426+ROW()/10000000)</f>
        <v/>
      </c>
      <c r="AK426">
        <f>IF(AND(ISNUMBER($N426),$N426&gt;0,ISNUMBER($Y426)),$Y426/$N426,"")</f>
        <v/>
      </c>
    </row>
    <row r="427" ht="15" customHeight="1" s="518">
      <c r="A427" s="123" t="n">
        <v>8</v>
      </c>
      <c r="B427" s="59" t="n">
        <v>420</v>
      </c>
      <c r="C427" t="inlineStr">
        <is>
          <t>R0083500</t>
        </is>
      </c>
      <c r="D427" t="inlineStr">
        <is>
          <t>37400 ASTRA WY</t>
        </is>
      </c>
      <c r="E427" t="n">
        <v>328</v>
      </c>
      <c r="G427" t="inlineStr">
        <is>
          <t>6</t>
        </is>
      </c>
      <c r="H427" s="703">
        <f>Y427/J427</f>
        <v/>
      </c>
      <c r="I427" s="704" t="n">
        <v>43287</v>
      </c>
      <c r="J427" t="n">
        <v>960</v>
      </c>
      <c r="L427" t="n">
        <v>960</v>
      </c>
      <c r="M427" t="n">
        <v>1997</v>
      </c>
      <c r="P427" t="inlineStr">
        <is>
          <t>Agricultural</t>
        </is>
      </c>
      <c r="R427" t="inlineStr">
        <is>
          <t>Average</t>
        </is>
      </c>
      <c r="S427" t="n">
        <v>0</v>
      </c>
      <c r="T427" s="119">
        <f>S427/J427</f>
        <v/>
      </c>
      <c r="U427" t="inlineStr">
        <is>
          <t>Average</t>
        </is>
      </c>
      <c r="Y427" t="n">
        <v>33000</v>
      </c>
      <c r="AA427" t="n">
        <v>33000</v>
      </c>
      <c r="AC427" t="inlineStr">
        <is>
          <t>0181716403003</t>
        </is>
      </c>
      <c r="AD427" t="inlineStr">
        <is>
          <t>2018000054935</t>
        </is>
      </c>
      <c r="AE427" s="575" t="inlineStr">
        <is>
          <t>GOWAN SUSAN</t>
        </is>
      </c>
      <c r="AF427" s="575" t="inlineStr">
        <is>
          <t>SENN DAVID M, SENN DONNA M</t>
        </is>
      </c>
      <c r="AI427" s="59">
        <f>IF(AND($E427=Subj_OccCode,Subj_BldgSF&gt;0,ABS($L427-Subj_BldgSF)&lt;=Subj_BldgSF*Subj_SizeTol),ABS($L427-Subj_BldgSF),NA())</f>
        <v/>
      </c>
      <c r="AJ427">
        <f>IF(ISNA(AI427),NA(),AI427+ROW()/10000000)</f>
        <v/>
      </c>
      <c r="AK427">
        <f>IF(AND(ISNUMBER($N427),$N427&gt;0,ISNUMBER($Y427)),$Y427/$N427,"")</f>
        <v/>
      </c>
    </row>
    <row r="428" ht="15" customHeight="1" s="518">
      <c r="A428" s="123" t="n">
        <v>8</v>
      </c>
      <c r="B428" s="59" t="n">
        <v>421</v>
      </c>
      <c r="C428" t="inlineStr">
        <is>
          <t>R0077930</t>
        </is>
      </c>
      <c r="D428" t="inlineStr">
        <is>
          <t>4365 E 74TH AVE</t>
        </is>
      </c>
      <c r="E428" t="n">
        <v>325</v>
      </c>
      <c r="F428" t="inlineStr">
        <is>
          <t>COMMERCE CITY</t>
        </is>
      </c>
      <c r="G428" t="inlineStr">
        <is>
          <t>5</t>
        </is>
      </c>
      <c r="H428" s="703">
        <f>Y428/J428</f>
        <v/>
      </c>
      <c r="I428" s="704" t="n">
        <v>44732</v>
      </c>
      <c r="J428" t="n">
        <v>5400</v>
      </c>
      <c r="L428" t="n">
        <v>5400</v>
      </c>
      <c r="M428" t="n">
        <v>1972</v>
      </c>
      <c r="P428" t="inlineStr">
        <is>
          <t>I-2-Com</t>
        </is>
      </c>
      <c r="R428" t="inlineStr">
        <is>
          <t>Average</t>
        </is>
      </c>
      <c r="S428" t="n">
        <v>143744</v>
      </c>
      <c r="T428" s="119">
        <f>S428/J428</f>
        <v/>
      </c>
      <c r="U428" t="inlineStr">
        <is>
          <t>Average</t>
        </is>
      </c>
      <c r="Y428" t="n">
        <v>2300000</v>
      </c>
      <c r="AA428" t="n">
        <v>2300000</v>
      </c>
      <c r="AC428" t="inlineStr">
        <is>
          <t>0172131312001</t>
        </is>
      </c>
      <c r="AD428" t="inlineStr">
        <is>
          <t>2022000054867</t>
        </is>
      </c>
      <c r="AE428" s="575" t="inlineStr">
        <is>
          <t>MAGNOLIA ENTERPRISES LLC</t>
        </is>
      </c>
      <c r="AF428" s="575" t="inlineStr">
        <is>
          <t>CCS LAND ACQUISITION LLC</t>
        </is>
      </c>
      <c r="AI428" s="59">
        <f>IF(AND($E428=Subj_OccCode,Subj_BldgSF&gt;0,ABS($L428-Subj_BldgSF)&lt;=Subj_BldgSF*Subj_SizeTol),ABS($L428-Subj_BldgSF),NA())</f>
        <v/>
      </c>
      <c r="AJ428">
        <f>IF(ISNA(AI428),NA(),AI428+ROW()/10000000)</f>
        <v/>
      </c>
      <c r="AK428">
        <f>IF(AND(ISNUMBER($N428),$N428&gt;0,ISNUMBER($Y428)),$Y428/$N428,"")</f>
        <v/>
      </c>
    </row>
    <row r="429" ht="15" customHeight="1" s="518">
      <c r="A429" s="123" t="n">
        <v>8</v>
      </c>
      <c r="B429" s="59" t="n">
        <v>422</v>
      </c>
      <c r="C429" t="inlineStr">
        <is>
          <t>R0091005</t>
        </is>
      </c>
      <c r="D429" t="inlineStr">
        <is>
          <t>5678  EUDORA ST</t>
        </is>
      </c>
      <c r="E429" t="n">
        <v>407</v>
      </c>
      <c r="F429" t="inlineStr">
        <is>
          <t>COMMERCE CITY</t>
        </is>
      </c>
      <c r="G429" t="inlineStr">
        <is>
          <t>5</t>
        </is>
      </c>
      <c r="H429" s="703">
        <f>Y429/J429</f>
        <v/>
      </c>
      <c r="I429" s="704" t="n">
        <v>44008</v>
      </c>
      <c r="J429" t="n">
        <v>21870</v>
      </c>
      <c r="L429" t="n">
        <v>21870</v>
      </c>
      <c r="M429" t="n">
        <v>1967</v>
      </c>
      <c r="P429" t="inlineStr">
        <is>
          <t>I-2-Com</t>
        </is>
      </c>
      <c r="R429" t="inlineStr">
        <is>
          <t>Average</t>
        </is>
      </c>
      <c r="S429" t="n">
        <v>73616</v>
      </c>
      <c r="T429" s="119">
        <f>S429/J429</f>
        <v/>
      </c>
      <c r="U429" t="inlineStr">
        <is>
          <t>Average</t>
        </is>
      </c>
      <c r="Y429" t="n">
        <v>2500000</v>
      </c>
      <c r="AA429" t="n">
        <v>2500000</v>
      </c>
      <c r="AC429" t="inlineStr">
        <is>
          <t>0182307400035</t>
        </is>
      </c>
      <c r="AD429" t="inlineStr">
        <is>
          <t>2020000073591</t>
        </is>
      </c>
      <c r="AE429" s="575" t="inlineStr">
        <is>
          <t>BOWLING ROY E</t>
        </is>
      </c>
      <c r="AF429" s="575" t="inlineStr">
        <is>
          <t>DEF 5678 LLC</t>
        </is>
      </c>
      <c r="AI429" s="59">
        <f>IF(AND($E429=Subj_OccCode,Subj_BldgSF&gt;0,ABS($L429-Subj_BldgSF)&lt;=Subj_BldgSF*Subj_SizeTol),ABS($L429-Subj_BldgSF),NA())</f>
        <v/>
      </c>
      <c r="AJ429">
        <f>IF(ISNA(AI429),NA(),AI429+ROW()/10000000)</f>
        <v/>
      </c>
      <c r="AK429">
        <f>IF(AND(ISNUMBER($N429),$N429&gt;0,ISNUMBER($Y429)),$Y429/$N429,"")</f>
        <v/>
      </c>
    </row>
    <row r="430" ht="15" customHeight="1" s="518">
      <c r="A430" s="123" t="n">
        <v>8</v>
      </c>
      <c r="B430" s="59" t="n">
        <v>423</v>
      </c>
      <c r="C430" t="inlineStr">
        <is>
          <t>R0098068</t>
        </is>
      </c>
      <c r="D430" t="inlineStr">
        <is>
          <t>851 E 71ST AVE #B2</t>
        </is>
      </c>
      <c r="E430" t="n">
        <v>425</v>
      </c>
      <c r="G430" t="inlineStr">
        <is>
          <t>5</t>
        </is>
      </c>
      <c r="H430" s="703">
        <f>Y430/J430</f>
        <v/>
      </c>
      <c r="I430" s="704" t="n">
        <v>43568</v>
      </c>
      <c r="J430" t="n">
        <v>1000</v>
      </c>
      <c r="L430" t="n">
        <v>1000</v>
      </c>
      <c r="M430" t="n">
        <v>1984</v>
      </c>
      <c r="P430" t="inlineStr">
        <is>
          <t>Industrial</t>
        </is>
      </c>
      <c r="R430" t="inlineStr">
        <is>
          <t>Average</t>
        </is>
      </c>
      <c r="S430" t="n">
        <v>2893</v>
      </c>
      <c r="T430" s="119">
        <f>S430/J430</f>
        <v/>
      </c>
      <c r="U430" t="inlineStr">
        <is>
          <t>Average</t>
        </is>
      </c>
      <c r="Y430" t="n">
        <v>170000</v>
      </c>
      <c r="AA430" t="n">
        <v>170000</v>
      </c>
      <c r="AC430" t="inlineStr">
        <is>
          <t>0182502203032</t>
        </is>
      </c>
      <c r="AD430" t="inlineStr">
        <is>
          <t>2019000033494</t>
        </is>
      </c>
      <c r="AE430" s="575" t="inlineStr">
        <is>
          <t>CARJO LLC</t>
        </is>
      </c>
      <c r="AF430" s="575" t="inlineStr">
        <is>
          <t>A &amp; B PROPERTY LLC</t>
        </is>
      </c>
      <c r="AI430" s="59">
        <f>IF(AND($E430=Subj_OccCode,Subj_BldgSF&gt;0,ABS($L430-Subj_BldgSF)&lt;=Subj_BldgSF*Subj_SizeTol),ABS($L430-Subj_BldgSF),NA())</f>
        <v/>
      </c>
      <c r="AJ430">
        <f>IF(ISNA(AI430),NA(),AI430+ROW()/10000000)</f>
        <v/>
      </c>
      <c r="AK430">
        <f>IF(AND(ISNUMBER($N430),$N430&gt;0,ISNUMBER($Y430)),$Y430/$N430,"")</f>
        <v/>
      </c>
    </row>
    <row r="431" ht="15" customHeight="1" s="518">
      <c r="A431" s="123" t="n">
        <v>8</v>
      </c>
      <c r="B431" s="59" t="n">
        <v>424</v>
      </c>
      <c r="C431" t="inlineStr">
        <is>
          <t>R0093920</t>
        </is>
      </c>
      <c r="D431" t="inlineStr">
        <is>
          <t>11799 E 30TH AVE</t>
        </is>
      </c>
      <c r="E431" t="n">
        <v>407</v>
      </c>
      <c r="F431" t="inlineStr">
        <is>
          <t>AURORA</t>
        </is>
      </c>
      <c r="G431" t="inlineStr">
        <is>
          <t>6</t>
        </is>
      </c>
      <c r="H431" s="703">
        <f>Y431/J431</f>
        <v/>
      </c>
      <c r="I431" s="704" t="n">
        <v>44312</v>
      </c>
      <c r="J431" t="n">
        <v>15040</v>
      </c>
      <c r="L431" t="n">
        <v>15040</v>
      </c>
      <c r="M431" t="n">
        <v>1966</v>
      </c>
      <c r="P431" t="inlineStr">
        <is>
          <t>M-3</t>
        </is>
      </c>
      <c r="R431" t="inlineStr">
        <is>
          <t>Average</t>
        </is>
      </c>
      <c r="S431" t="n">
        <v>35793</v>
      </c>
      <c r="T431" s="119">
        <f>S431/J431</f>
        <v/>
      </c>
      <c r="U431" t="inlineStr">
        <is>
          <t>Average</t>
        </is>
      </c>
      <c r="Y431" t="n">
        <v>1675000</v>
      </c>
      <c r="AA431" t="n">
        <v>1675000</v>
      </c>
      <c r="AC431" t="inlineStr">
        <is>
          <t>0182326402005</t>
        </is>
      </c>
      <c r="AD431" t="inlineStr">
        <is>
          <t>2021000051705</t>
        </is>
      </c>
      <c r="AE431" s="575" t="inlineStr">
        <is>
          <t>COLORADO MUSTANG, SPECIALISTS INC</t>
        </is>
      </c>
      <c r="AF431" s="575" t="inlineStr">
        <is>
          <t>BIGFOOT PARADISE LLC</t>
        </is>
      </c>
      <c r="AI431" s="59">
        <f>IF(AND($E431=Subj_OccCode,Subj_BldgSF&gt;0,ABS($L431-Subj_BldgSF)&lt;=Subj_BldgSF*Subj_SizeTol),ABS($L431-Subj_BldgSF),NA())</f>
        <v/>
      </c>
      <c r="AJ431">
        <f>IF(ISNA(AI431),NA(),AI431+ROW()/10000000)</f>
        <v/>
      </c>
      <c r="AK431">
        <f>IF(AND(ISNUMBER($N431),$N431&gt;0,ISNUMBER($Y431)),$Y431/$N431,"")</f>
        <v/>
      </c>
    </row>
    <row r="432" ht="15" customHeight="1" s="518">
      <c r="A432" s="123" t="n">
        <v>8</v>
      </c>
      <c r="B432" s="59" t="n">
        <v>425</v>
      </c>
      <c r="C432" t="inlineStr">
        <is>
          <t>R0004286</t>
        </is>
      </c>
      <c r="D432" t="inlineStr">
        <is>
          <t>101  JESSUP ST</t>
        </is>
      </c>
      <c r="E432" t="n">
        <v>325</v>
      </c>
      <c r="F432" t="inlineStr">
        <is>
          <t>BRIGHTON</t>
        </is>
      </c>
      <c r="G432" t="inlineStr">
        <is>
          <t>2</t>
        </is>
      </c>
      <c r="H432" s="703">
        <f>Y432/J432</f>
        <v/>
      </c>
      <c r="I432" s="704" t="n">
        <v>44029</v>
      </c>
      <c r="J432" t="n">
        <v>2600</v>
      </c>
      <c r="L432" t="n">
        <v>2600</v>
      </c>
      <c r="M432" t="n">
        <v>1957</v>
      </c>
      <c r="P432" t="inlineStr">
        <is>
          <t>R-2-Bri</t>
        </is>
      </c>
      <c r="R432" t="inlineStr">
        <is>
          <t>Average</t>
        </is>
      </c>
      <c r="S432" t="n">
        <v>10620</v>
      </c>
      <c r="T432" s="119">
        <f>S432/J432</f>
        <v/>
      </c>
      <c r="U432" t="inlineStr">
        <is>
          <t>Average</t>
        </is>
      </c>
      <c r="Y432" t="n">
        <v>480000</v>
      </c>
      <c r="AA432" t="n">
        <v>480000</v>
      </c>
      <c r="AC432" t="inlineStr">
        <is>
          <t>0156907305013</t>
        </is>
      </c>
      <c r="AD432" t="inlineStr">
        <is>
          <t>2020000072830</t>
        </is>
      </c>
      <c r="AE432" s="575" t="inlineStr">
        <is>
          <t>MILLER STEVEN D</t>
        </is>
      </c>
      <c r="AF432" s="575" t="inlineStr">
        <is>
          <t>101 JESSUP ST HOLDINGS LLC</t>
        </is>
      </c>
      <c r="AI432" s="59">
        <f>IF(AND($E432=Subj_OccCode,Subj_BldgSF&gt;0,ABS($L432-Subj_BldgSF)&lt;=Subj_BldgSF*Subj_SizeTol),ABS($L432-Subj_BldgSF),NA())</f>
        <v/>
      </c>
      <c r="AJ432">
        <f>IF(ISNA(AI432),NA(),AI432+ROW()/10000000)</f>
        <v/>
      </c>
      <c r="AK432">
        <f>IF(AND(ISNUMBER($N432),$N432&gt;0,ISNUMBER($Y432)),$Y432/$N432,"")</f>
        <v/>
      </c>
    </row>
    <row r="433" ht="15" customHeight="1" s="518">
      <c r="A433" s="123" t="n">
        <v>8</v>
      </c>
      <c r="B433" s="59" t="n">
        <v>426</v>
      </c>
      <c r="C433" t="inlineStr">
        <is>
          <t>R0082499</t>
        </is>
      </c>
      <c r="D433" t="inlineStr">
        <is>
          <t>48000 E 38TH AVE</t>
        </is>
      </c>
      <c r="E433" t="n">
        <v>406</v>
      </c>
      <c r="F433" t="inlineStr">
        <is>
          <t>BENNETT</t>
        </is>
      </c>
      <c r="G433" t="inlineStr">
        <is>
          <t>1</t>
        </is>
      </c>
      <c r="H433" s="703">
        <f>Y433/J433</f>
        <v/>
      </c>
      <c r="I433" s="704" t="n">
        <v>43784</v>
      </c>
      <c r="J433" t="n">
        <v>11000</v>
      </c>
      <c r="L433" t="n">
        <v>11000</v>
      </c>
      <c r="M433" t="n">
        <v>1998</v>
      </c>
      <c r="P433" t="inlineStr">
        <is>
          <t>Agricultural</t>
        </is>
      </c>
      <c r="R433" t="inlineStr">
        <is>
          <t>Average</t>
        </is>
      </c>
      <c r="S433" t="n">
        <v>218235.6</v>
      </c>
      <c r="T433" s="119">
        <f>S433/J433</f>
        <v/>
      </c>
      <c r="U433" t="inlineStr">
        <is>
          <t>Average</t>
        </is>
      </c>
      <c r="Y433" t="n">
        <v>1000000</v>
      </c>
      <c r="AA433" t="n">
        <v>1000000</v>
      </c>
      <c r="AC433" t="inlineStr">
        <is>
          <t>0181527200039</t>
        </is>
      </c>
      <c r="AD433" t="inlineStr">
        <is>
          <t>2019000099747</t>
        </is>
      </c>
      <c r="AE433" s="575" t="inlineStr">
        <is>
          <t>48000 EAST 38TH AVENUE LLC</t>
        </is>
      </c>
      <c r="AF433" s="575" t="inlineStr">
        <is>
          <t>RD MORRIS LLC</t>
        </is>
      </c>
      <c r="AI433" s="59">
        <f>IF(AND($E433=Subj_OccCode,Subj_BldgSF&gt;0,ABS($L433-Subj_BldgSF)&lt;=Subj_BldgSF*Subj_SizeTol),ABS($L433-Subj_BldgSF),NA())</f>
        <v/>
      </c>
      <c r="AJ433">
        <f>IF(ISNA(AI433),NA(),AI433+ROW()/10000000)</f>
        <v/>
      </c>
      <c r="AK433">
        <f>IF(AND(ISNUMBER($N433),$N433&gt;0,ISNUMBER($Y433)),$Y433/$N433,"")</f>
        <v/>
      </c>
    </row>
    <row r="434" ht="15" customHeight="1" s="518">
      <c r="A434" s="123" t="n">
        <v>8</v>
      </c>
      <c r="B434" s="59" t="n">
        <v>428</v>
      </c>
      <c r="C434" t="inlineStr">
        <is>
          <t>R0098140</t>
        </is>
      </c>
      <c r="D434" t="inlineStr">
        <is>
          <t>6443  DOWNING ST</t>
        </is>
      </c>
      <c r="E434" t="n">
        <v>406</v>
      </c>
      <c r="G434" t="inlineStr">
        <is>
          <t>5</t>
        </is>
      </c>
      <c r="H434" s="703">
        <f>Y434/J434</f>
        <v/>
      </c>
      <c r="I434" s="704" t="n">
        <v>43647</v>
      </c>
      <c r="J434" t="n">
        <v>7500</v>
      </c>
      <c r="L434" t="n">
        <v>7500</v>
      </c>
      <c r="M434" t="n">
        <v>1975</v>
      </c>
      <c r="P434" t="inlineStr">
        <is>
          <t>Industrial</t>
        </is>
      </c>
      <c r="R434" t="inlineStr">
        <is>
          <t>Average</t>
        </is>
      </c>
      <c r="S434" t="n">
        <v>17032</v>
      </c>
      <c r="T434" s="119">
        <f>S434/J434</f>
        <v/>
      </c>
      <c r="U434" t="inlineStr">
        <is>
          <t>Average</t>
        </is>
      </c>
      <c r="Y434" t="n">
        <v>1025000</v>
      </c>
      <c r="AA434" t="n">
        <v>1025000</v>
      </c>
      <c r="AC434" t="inlineStr">
        <is>
          <t>0182502306013</t>
        </is>
      </c>
      <c r="AD434" t="inlineStr">
        <is>
          <t>2019000051492</t>
        </is>
      </c>
      <c r="AE434" s="575" t="inlineStr">
        <is>
          <t>COSGROVE PROPERTIES LLC</t>
        </is>
      </c>
      <c r="AF434" s="575" t="inlineStr">
        <is>
          <t>BRAP AND BEANS LLC</t>
        </is>
      </c>
      <c r="AI434" s="59">
        <f>IF(AND($E434=Subj_OccCode,Subj_BldgSF&gt;0,ABS($L434-Subj_BldgSF)&lt;=Subj_BldgSF*Subj_SizeTol),ABS($L434-Subj_BldgSF),NA())</f>
        <v/>
      </c>
      <c r="AJ434">
        <f>IF(ISNA(AI434),NA(),AI434+ROW()/10000000)</f>
        <v/>
      </c>
      <c r="AK434">
        <f>IF(AND(ISNUMBER($N434),$N434&gt;0,ISNUMBER($Y434)),$Y434/$N434,"")</f>
        <v/>
      </c>
    </row>
    <row r="435" ht="15" customHeight="1" s="518">
      <c r="A435" s="123" t="n">
        <v>8</v>
      </c>
      <c r="B435" s="59" t="n">
        <v>429</v>
      </c>
      <c r="C435" t="inlineStr">
        <is>
          <t>R0103758</t>
        </is>
      </c>
      <c r="D435" t="inlineStr">
        <is>
          <t>5951  MARION DR</t>
        </is>
      </c>
      <c r="E435" t="n">
        <v>407</v>
      </c>
      <c r="G435" t="inlineStr">
        <is>
          <t>5</t>
        </is>
      </c>
      <c r="H435" s="703">
        <f>Y435/J435</f>
        <v/>
      </c>
      <c r="I435" s="704" t="n">
        <v>43725</v>
      </c>
      <c r="J435" t="n">
        <v>12000</v>
      </c>
      <c r="L435" t="n">
        <v>12000</v>
      </c>
      <c r="M435" t="n">
        <v>1979</v>
      </c>
      <c r="P435" t="inlineStr">
        <is>
          <t>Industrial</t>
        </is>
      </c>
      <c r="R435" t="inlineStr">
        <is>
          <t>Average</t>
        </is>
      </c>
      <c r="S435" t="n">
        <v>35292</v>
      </c>
      <c r="T435" s="119">
        <f>S435/J435</f>
        <v/>
      </c>
      <c r="U435" t="inlineStr">
        <is>
          <t>Average</t>
        </is>
      </c>
      <c r="Y435" t="n">
        <v>1700000</v>
      </c>
      <c r="AA435" t="n">
        <v>1700000</v>
      </c>
      <c r="AC435" t="inlineStr">
        <is>
          <t>0182511308016</t>
        </is>
      </c>
      <c r="AD435" t="inlineStr">
        <is>
          <t>2019000077671</t>
        </is>
      </c>
      <c r="AE435" s="575" t="inlineStr">
        <is>
          <t>ROCKINH INVESTMENTS LLC</t>
        </is>
      </c>
      <c r="AF435" s="575" t="inlineStr">
        <is>
          <t>JW HOLDINGS LLC</t>
        </is>
      </c>
      <c r="AI435" s="59">
        <f>IF(AND($E435=Subj_OccCode,Subj_BldgSF&gt;0,ABS($L435-Subj_BldgSF)&lt;=Subj_BldgSF*Subj_SizeTol),ABS($L435-Subj_BldgSF),NA())</f>
        <v/>
      </c>
      <c r="AJ435">
        <f>IF(ISNA(AI435),NA(),AI435+ROW()/10000000)</f>
        <v/>
      </c>
      <c r="AK435">
        <f>IF(AND(ISNUMBER($N435),$N435&gt;0,ISNUMBER($Y435)),$Y435/$N435,"")</f>
        <v/>
      </c>
    </row>
    <row r="436" ht="15" customHeight="1" s="518">
      <c r="A436" s="123" t="n">
        <v>8</v>
      </c>
      <c r="B436" s="59" t="n">
        <v>430</v>
      </c>
      <c r="C436" t="inlineStr">
        <is>
          <t>R0114338</t>
        </is>
      </c>
      <c r="D436" t="inlineStr">
        <is>
          <t>18875  BROMLEY ST</t>
        </is>
      </c>
      <c r="E436" t="n">
        <v>584</v>
      </c>
      <c r="F436" t="inlineStr">
        <is>
          <t>BRIGHTON</t>
        </is>
      </c>
      <c r="G436" t="inlineStr">
        <is>
          <t>2</t>
        </is>
      </c>
      <c r="H436" s="703">
        <f>Y436/J436</f>
        <v/>
      </c>
      <c r="I436" s="704" t="n">
        <v>43367</v>
      </c>
      <c r="J436" t="n">
        <v>1305700</v>
      </c>
      <c r="L436" t="n">
        <v>1305700</v>
      </c>
      <c r="M436" t="n">
        <v>1994</v>
      </c>
      <c r="P436" t="inlineStr">
        <is>
          <t>Brighton</t>
        </is>
      </c>
      <c r="R436" t="inlineStr">
        <is>
          <t>Average</t>
        </is>
      </c>
      <c r="S436" t="n">
        <v>4499970</v>
      </c>
      <c r="T436" s="119">
        <f>S436/J436</f>
        <v/>
      </c>
      <c r="U436" t="inlineStr">
        <is>
          <t>Average</t>
        </is>
      </c>
      <c r="Y436" t="n">
        <v>40750000</v>
      </c>
      <c r="AA436" t="n">
        <v>40750000</v>
      </c>
      <c r="AC436" t="inlineStr">
        <is>
          <t>0156900022003</t>
        </is>
      </c>
      <c r="AD436" t="inlineStr">
        <is>
          <t>2018000080179</t>
        </is>
      </c>
      <c r="AE436" s="575" t="inlineStr">
        <is>
          <t>BRIGHTON LEASE MANAGEMENT LLC, PROPERTY TAX COMPLIANCE</t>
        </is>
      </c>
      <c r="AF436" s="575" t="inlineStr">
        <is>
          <t>STARBOARD PLATFORM BRIGHTON JV LLC, C/O STARBOARD REALTY PARTNERS</t>
        </is>
      </c>
      <c r="AI436" s="59">
        <f>IF(AND($E436=Subj_OccCode,Subj_BldgSF&gt;0,ABS($L436-Subj_BldgSF)&lt;=Subj_BldgSF*Subj_SizeTol),ABS($L436-Subj_BldgSF),NA())</f>
        <v/>
      </c>
      <c r="AJ436">
        <f>IF(ISNA(AI436),NA(),AI436+ROW()/10000000)</f>
        <v/>
      </c>
      <c r="AK436">
        <f>IF(AND(ISNUMBER($N436),$N436&gt;0,ISNUMBER($Y436)),$Y436/$N436,"")</f>
        <v/>
      </c>
    </row>
    <row r="437" ht="15" customHeight="1" s="518">
      <c r="A437" s="123" t="n">
        <v>8</v>
      </c>
      <c r="B437" s="59" t="n">
        <v>431</v>
      </c>
      <c r="C437" t="inlineStr">
        <is>
          <t>R0086219</t>
        </is>
      </c>
      <c r="D437" t="inlineStr">
        <is>
          <t>17800 E 22ND AVE</t>
        </is>
      </c>
      <c r="E437" t="n">
        <v>407</v>
      </c>
      <c r="F437" t="inlineStr">
        <is>
          <t>AURORA</t>
        </is>
      </c>
      <c r="G437" t="inlineStr">
        <is>
          <t>6</t>
        </is>
      </c>
      <c r="H437" s="703">
        <f>Y437/J437</f>
        <v/>
      </c>
      <c r="I437" s="704" t="n">
        <v>43208</v>
      </c>
      <c r="J437" t="n">
        <v>18896</v>
      </c>
      <c r="L437" t="n">
        <v>18896</v>
      </c>
      <c r="M437" t="n">
        <v>2001</v>
      </c>
      <c r="P437" t="inlineStr">
        <is>
          <t>M-2</t>
        </is>
      </c>
      <c r="R437" t="inlineStr">
        <is>
          <t>Average</t>
        </is>
      </c>
      <c r="S437" t="n">
        <v>342817</v>
      </c>
      <c r="T437" s="119">
        <f>S437/J437</f>
        <v/>
      </c>
      <c r="U437" t="inlineStr">
        <is>
          <t>Good</t>
        </is>
      </c>
      <c r="Y437" t="n">
        <v>4300000</v>
      </c>
      <c r="AA437" t="n">
        <v>4300000</v>
      </c>
      <c r="AC437" t="inlineStr">
        <is>
          <t>0182133012002</t>
        </is>
      </c>
      <c r="AD437" t="inlineStr">
        <is>
          <t>2018000031201</t>
        </is>
      </c>
      <c r="AE437" s="575" t="inlineStr">
        <is>
          <t>LAYNE CHRISTENSEN COMPANY</t>
        </is>
      </c>
      <c r="AF437" s="575" t="inlineStr">
        <is>
          <t>WAGNER EQUIPMENT CO</t>
        </is>
      </c>
      <c r="AI437" s="59">
        <f>IF(AND($E437=Subj_OccCode,Subj_BldgSF&gt;0,ABS($L437-Subj_BldgSF)&lt;=Subj_BldgSF*Subj_SizeTol),ABS($L437-Subj_BldgSF),NA())</f>
        <v/>
      </c>
      <c r="AJ437">
        <f>IF(ISNA(AI437),NA(),AI437+ROW()/10000000)</f>
        <v/>
      </c>
      <c r="AK437">
        <f>IF(AND(ISNUMBER($N437),$N437&gt;0,ISNUMBER($Y437)),$Y437/$N437,"")</f>
        <v/>
      </c>
    </row>
    <row r="438" ht="15" customHeight="1" s="518">
      <c r="A438" s="123" t="n">
        <v>8</v>
      </c>
      <c r="B438" s="59" t="n">
        <v>432</v>
      </c>
      <c r="C438" t="inlineStr">
        <is>
          <t>R0124581</t>
        </is>
      </c>
      <c r="D438" t="inlineStr">
        <is>
          <t>11152  HURON ST #205</t>
        </is>
      </c>
      <c r="E438" t="n">
        <v>344</v>
      </c>
      <c r="F438" t="inlineStr">
        <is>
          <t>NORTHGLENN</t>
        </is>
      </c>
      <c r="G438" t="inlineStr">
        <is>
          <t>4</t>
        </is>
      </c>
      <c r="H438" s="703">
        <f>Y438/J438</f>
        <v/>
      </c>
      <c r="I438" s="704" t="n">
        <v>44147</v>
      </c>
      <c r="J438" t="n">
        <v>1343</v>
      </c>
      <c r="L438" t="n">
        <v>1343</v>
      </c>
      <c r="M438" t="n">
        <v>2000</v>
      </c>
      <c r="P438" t="inlineStr">
        <is>
          <t>C-0-Nor</t>
        </is>
      </c>
      <c r="R438" t="inlineStr">
        <is>
          <t>Good</t>
        </is>
      </c>
      <c r="S438" t="n">
        <v>3100</v>
      </c>
      <c r="T438" s="119">
        <f>S438/J438</f>
        <v/>
      </c>
      <c r="U438" t="inlineStr">
        <is>
          <t>Good</t>
        </is>
      </c>
      <c r="Y438" t="n">
        <v>228000</v>
      </c>
      <c r="AA438" t="n">
        <v>228000</v>
      </c>
      <c r="AC438" t="inlineStr">
        <is>
          <t>0171910205041</t>
        </is>
      </c>
      <c r="AD438" t="inlineStr">
        <is>
          <t>2020000122738</t>
        </is>
      </c>
      <c r="AE438" s="575" t="inlineStr">
        <is>
          <t>PACER HOLDINGS LLC</t>
        </is>
      </c>
      <c r="AF438" s="575" t="inlineStr">
        <is>
          <t>TRUMBLE THOM</t>
        </is>
      </c>
      <c r="AI438" s="59">
        <f>IF(AND($E438=Subj_OccCode,Subj_BldgSF&gt;0,ABS($L438-Subj_BldgSF)&lt;=Subj_BldgSF*Subj_SizeTol),ABS($L438-Subj_BldgSF),NA())</f>
        <v/>
      </c>
      <c r="AJ438">
        <f>IF(ISNA(AI438),NA(),AI438+ROW()/10000000)</f>
        <v/>
      </c>
      <c r="AK438">
        <f>IF(AND(ISNUMBER($N438),$N438&gt;0,ISNUMBER($Y438)),$Y438/$N438,"")</f>
        <v/>
      </c>
    </row>
    <row r="439" ht="15" customHeight="1" s="518">
      <c r="A439" s="123" t="n">
        <v>8</v>
      </c>
      <c r="B439" s="59" t="n">
        <v>433</v>
      </c>
      <c r="C439" t="inlineStr">
        <is>
          <t>R0024110</t>
        </is>
      </c>
      <c r="D439" t="inlineStr">
        <is>
          <t>12195  MARIPOSA ST</t>
        </is>
      </c>
      <c r="E439" t="n">
        <v>344</v>
      </c>
      <c r="F439" t="inlineStr">
        <is>
          <t>WESTMINSTER</t>
        </is>
      </c>
      <c r="G439" t="inlineStr">
        <is>
          <t>3</t>
        </is>
      </c>
      <c r="H439" s="703">
        <f>Y439/J439</f>
        <v/>
      </c>
      <c r="I439" s="704" t="n">
        <v>44742</v>
      </c>
      <c r="J439" t="n">
        <v>23683</v>
      </c>
      <c r="L439" t="n">
        <v>23683</v>
      </c>
      <c r="M439" t="n">
        <v>1989</v>
      </c>
      <c r="P439" t="inlineStr">
        <is>
          <t>PUD-Wes</t>
        </is>
      </c>
      <c r="R439" t="inlineStr">
        <is>
          <t>Average</t>
        </is>
      </c>
      <c r="S439" t="n">
        <v>97650</v>
      </c>
      <c r="T439" s="119">
        <f>S439/J439</f>
        <v/>
      </c>
      <c r="U439" t="inlineStr">
        <is>
          <t>Average</t>
        </is>
      </c>
      <c r="Y439" t="n">
        <v>3500000</v>
      </c>
      <c r="AA439" t="n">
        <v>3500000</v>
      </c>
      <c r="AC439" t="inlineStr">
        <is>
          <t>0157333008008</t>
        </is>
      </c>
      <c r="AD439" t="inlineStr">
        <is>
          <t>2022000073668</t>
        </is>
      </c>
      <c r="AE439" s="575" t="inlineStr">
        <is>
          <t>JOHNSTOWN FEED &amp; SEED INC.</t>
        </is>
      </c>
      <c r="AF439" s="575" t="inlineStr">
        <is>
          <t>J&amp;E ENTERPRISE LLC</t>
        </is>
      </c>
      <c r="AI439" s="59">
        <f>IF(AND($E439=Subj_OccCode,Subj_BldgSF&gt;0,ABS($L439-Subj_BldgSF)&lt;=Subj_BldgSF*Subj_SizeTol),ABS($L439-Subj_BldgSF),NA())</f>
        <v/>
      </c>
      <c r="AJ439">
        <f>IF(ISNA(AI439),NA(),AI439+ROW()/10000000)</f>
        <v/>
      </c>
      <c r="AK439">
        <f>IF(AND(ISNUMBER($N439),$N439&gt;0,ISNUMBER($Y439)),$Y439/$N439,"")</f>
        <v/>
      </c>
    </row>
    <row r="440" ht="15" customHeight="1" s="518">
      <c r="A440" s="123" t="n">
        <v>8</v>
      </c>
      <c r="B440" s="59" t="n">
        <v>434</v>
      </c>
      <c r="C440" t="inlineStr">
        <is>
          <t>R0100833</t>
        </is>
      </c>
      <c r="D440" t="inlineStr">
        <is>
          <t>3750 W 72ND AVE</t>
        </is>
      </c>
      <c r="E440" t="n">
        <v>325</v>
      </c>
      <c r="F440" t="inlineStr">
        <is>
          <t>WESTMINSTER</t>
        </is>
      </c>
      <c r="G440" t="inlineStr">
        <is>
          <t>4</t>
        </is>
      </c>
      <c r="H440" s="703">
        <f>Y440/J440</f>
        <v/>
      </c>
      <c r="I440" s="704" t="n">
        <v>43230</v>
      </c>
      <c r="J440" t="n">
        <v>2672</v>
      </c>
      <c r="L440" t="n">
        <v>2672</v>
      </c>
      <c r="M440" t="n">
        <v>1927</v>
      </c>
      <c r="P440" t="inlineStr">
        <is>
          <t>M-1-Wes</t>
        </is>
      </c>
      <c r="R440" t="inlineStr">
        <is>
          <t>Average</t>
        </is>
      </c>
      <c r="S440" t="n">
        <v>15682</v>
      </c>
      <c r="T440" s="119">
        <f>S440/J440</f>
        <v/>
      </c>
      <c r="U440" t="inlineStr">
        <is>
          <t>Average</t>
        </is>
      </c>
      <c r="Y440" t="n">
        <v>460000</v>
      </c>
      <c r="AA440" t="n">
        <v>460000</v>
      </c>
      <c r="AC440" t="inlineStr">
        <is>
          <t>0182506100016</t>
        </is>
      </c>
      <c r="AD440" t="inlineStr">
        <is>
          <t>2018000038196</t>
        </is>
      </c>
      <c r="AE440" s="575" t="inlineStr">
        <is>
          <t>RONALD HAGERDON LLC</t>
        </is>
      </c>
      <c r="AF440" s="575" t="inlineStr">
        <is>
          <t>M &amp; R BUILDING MANAGEMENT LLC</t>
        </is>
      </c>
      <c r="AI440" s="59">
        <f>IF(AND($E440=Subj_OccCode,Subj_BldgSF&gt;0,ABS($L440-Subj_BldgSF)&lt;=Subj_BldgSF*Subj_SizeTol),ABS($L440-Subj_BldgSF),NA())</f>
        <v/>
      </c>
      <c r="AJ440">
        <f>IF(ISNA(AI440),NA(),AI440+ROW()/10000000)</f>
        <v/>
      </c>
      <c r="AK440">
        <f>IF(AND(ISNUMBER($N440),$N440&gt;0,ISNUMBER($Y440)),$Y440/$N440,"")</f>
        <v/>
      </c>
    </row>
    <row r="441" ht="15" customHeight="1" s="518">
      <c r="A441" s="123" t="n">
        <v>8</v>
      </c>
      <c r="B441" s="59" t="n">
        <v>435</v>
      </c>
      <c r="C441" t="inlineStr">
        <is>
          <t>R0024109</t>
        </is>
      </c>
      <c r="D441" t="inlineStr">
        <is>
          <t>1400 W 122ND AVE</t>
        </is>
      </c>
      <c r="E441" t="n">
        <v>344</v>
      </c>
      <c r="F441" t="inlineStr">
        <is>
          <t>WESTMINSTER</t>
        </is>
      </c>
      <c r="G441" t="inlineStr">
        <is>
          <t>3</t>
        </is>
      </c>
      <c r="H441" s="703">
        <f>Y441/J441</f>
        <v/>
      </c>
      <c r="I441" s="704" t="n">
        <v>44039</v>
      </c>
      <c r="J441" t="n">
        <v>31272</v>
      </c>
      <c r="L441" t="n">
        <v>31272</v>
      </c>
      <c r="M441" t="n">
        <v>1985</v>
      </c>
      <c r="P441" t="inlineStr">
        <is>
          <t>PUD-Wes</t>
        </is>
      </c>
      <c r="R441" t="inlineStr">
        <is>
          <t>Average</t>
        </is>
      </c>
      <c r="S441" t="n">
        <v>80600</v>
      </c>
      <c r="T441" s="119">
        <f>S441/J441</f>
        <v/>
      </c>
      <c r="U441" t="inlineStr">
        <is>
          <t>Average</t>
        </is>
      </c>
      <c r="Y441" t="n">
        <v>5375000</v>
      </c>
      <c r="AA441" t="n">
        <v>5375000</v>
      </c>
      <c r="AC441" t="inlineStr">
        <is>
          <t>0157333008007</t>
        </is>
      </c>
      <c r="AD441" t="inlineStr">
        <is>
          <t>2020000072205</t>
        </is>
      </c>
      <c r="AE441" s="575" t="inlineStr">
        <is>
          <t>PAVILION COURT LLC</t>
        </is>
      </c>
      <c r="AF441" s="575" t="inlineStr">
        <is>
          <t>ARTEMIS HOLDINGS LIMITED</t>
        </is>
      </c>
      <c r="AI441" s="59">
        <f>IF(AND($E441=Subj_OccCode,Subj_BldgSF&gt;0,ABS($L441-Subj_BldgSF)&lt;=Subj_BldgSF*Subj_SizeTol),ABS($L441-Subj_BldgSF),NA())</f>
        <v/>
      </c>
      <c r="AJ441">
        <f>IF(ISNA(AI441),NA(),AI441+ROW()/10000000)</f>
        <v/>
      </c>
      <c r="AK441">
        <f>IF(AND(ISNUMBER($N441),$N441&gt;0,ISNUMBER($Y441)),$Y441/$N441,"")</f>
        <v/>
      </c>
    </row>
    <row r="442" ht="15" customHeight="1" s="518">
      <c r="A442" s="123" t="n">
        <v>8</v>
      </c>
      <c r="B442" s="59" t="n">
        <v>436</v>
      </c>
      <c r="C442" t="inlineStr">
        <is>
          <t>R0093874</t>
        </is>
      </c>
      <c r="D442" t="inlineStr">
        <is>
          <t>3313  MOLINE ST</t>
        </is>
      </c>
      <c r="E442" t="n">
        <v>339</v>
      </c>
      <c r="F442" t="inlineStr">
        <is>
          <t>AURORA</t>
        </is>
      </c>
      <c r="G442" t="inlineStr">
        <is>
          <t>6</t>
        </is>
      </c>
      <c r="H442" s="703">
        <f>Y442/J442</f>
        <v/>
      </c>
      <c r="I442" s="704" t="n">
        <v>44216</v>
      </c>
      <c r="J442" t="n">
        <v>14440</v>
      </c>
      <c r="L442" t="n">
        <v>14440</v>
      </c>
      <c r="M442" t="n">
        <v>1977</v>
      </c>
      <c r="P442" t="inlineStr">
        <is>
          <t>M-3</t>
        </is>
      </c>
      <c r="R442" t="inlineStr">
        <is>
          <t>Average</t>
        </is>
      </c>
      <c r="S442" t="n">
        <v>91040</v>
      </c>
      <c r="T442" s="119">
        <f>S442/J442</f>
        <v/>
      </c>
      <c r="U442" t="inlineStr">
        <is>
          <t>Average</t>
        </is>
      </c>
      <c r="Y442" t="n">
        <v>2700000</v>
      </c>
      <c r="AA442" t="n">
        <v>2700000</v>
      </c>
      <c r="AC442" t="inlineStr">
        <is>
          <t>0182326101024</t>
        </is>
      </c>
      <c r="AD442" t="inlineStr">
        <is>
          <t>2021000008532</t>
        </is>
      </c>
      <c r="AE442" s="575" t="inlineStr">
        <is>
          <t>3313 MOLINE STREET LLC</t>
        </is>
      </c>
      <c r="AF442" s="575" t="inlineStr">
        <is>
          <t>3313 MOLINE LLC, C/O GCRE MANAGMENT LLC</t>
        </is>
      </c>
      <c r="AI442" s="59">
        <f>IF(AND($E442=Subj_OccCode,Subj_BldgSF&gt;0,ABS($L442-Subj_BldgSF)&lt;=Subj_BldgSF*Subj_SizeTol),ABS($L442-Subj_BldgSF),NA())</f>
        <v/>
      </c>
      <c r="AJ442">
        <f>IF(ISNA(AI442),NA(),AI442+ROW()/10000000)</f>
        <v/>
      </c>
      <c r="AK442">
        <f>IF(AND(ISNUMBER($N442),$N442&gt;0,ISNUMBER($Y442)),$Y442/$N442,"")</f>
        <v/>
      </c>
    </row>
    <row r="443" ht="15" customHeight="1" s="518">
      <c r="A443" s="123" t="n">
        <v>8</v>
      </c>
      <c r="B443" s="59" t="n">
        <v>437</v>
      </c>
      <c r="C443" t="inlineStr">
        <is>
          <t>R0082086</t>
        </is>
      </c>
      <c r="D443" t="inlineStr">
        <is>
          <t>56951 E COLFAX AVE</t>
        </is>
      </c>
      <c r="E443" t="n">
        <v>353</v>
      </c>
      <c r="F443" t="inlineStr">
        <is>
          <t>STRASBURG</t>
        </is>
      </c>
      <c r="G443" t="inlineStr">
        <is>
          <t>1</t>
        </is>
      </c>
      <c r="H443" s="703">
        <f>Y443/J443</f>
        <v/>
      </c>
      <c r="I443" s="704" t="n">
        <v>43479</v>
      </c>
      <c r="J443" t="n">
        <v>9100</v>
      </c>
      <c r="L443" t="n">
        <v>9100</v>
      </c>
      <c r="M443" t="n">
        <v>2018</v>
      </c>
      <c r="P443" t="inlineStr">
        <is>
          <t>Agricultural</t>
        </is>
      </c>
      <c r="R443" t="inlineStr">
        <is>
          <t>Average</t>
        </is>
      </c>
      <c r="S443" t="n">
        <v>55921</v>
      </c>
      <c r="T443" s="119">
        <f>S443/J443</f>
        <v/>
      </c>
      <c r="U443" t="inlineStr">
        <is>
          <t>Average</t>
        </is>
      </c>
      <c r="Y443" t="n">
        <v>1700000</v>
      </c>
      <c r="AA443" t="n">
        <v>1700000</v>
      </c>
      <c r="AC443" t="inlineStr">
        <is>
          <t>0181334300009</t>
        </is>
      </c>
      <c r="AD443" t="inlineStr">
        <is>
          <t>2019000003891</t>
        </is>
      </c>
      <c r="AE443" s="575" t="inlineStr">
        <is>
          <t>VAQUERO STRASBURG PARTNERS LP</t>
        </is>
      </c>
      <c r="AF443" s="575" t="inlineStr">
        <is>
          <t>JH DG 1 LLC</t>
        </is>
      </c>
      <c r="AI443" s="59">
        <f>IF(AND($E443=Subj_OccCode,Subj_BldgSF&gt;0,ABS($L443-Subj_BldgSF)&lt;=Subj_BldgSF*Subj_SizeTol),ABS($L443-Subj_BldgSF),NA())</f>
        <v/>
      </c>
      <c r="AJ443">
        <f>IF(ISNA(AI443),NA(),AI443+ROW()/10000000)</f>
        <v/>
      </c>
      <c r="AK443">
        <f>IF(AND(ISNUMBER($N443),$N443&gt;0,ISNUMBER($Y443)),$Y443/$N443,"")</f>
        <v/>
      </c>
    </row>
    <row r="444" ht="15" customHeight="1" s="518">
      <c r="A444" s="123" t="n">
        <v>8</v>
      </c>
      <c r="B444" s="59" t="n">
        <v>438</v>
      </c>
      <c r="C444" t="inlineStr">
        <is>
          <t>R0161448</t>
        </is>
      </c>
      <c r="D444" t="inlineStr">
        <is>
          <t>16395  WASHINGTON ST</t>
        </is>
      </c>
      <c r="E444" t="n">
        <v>319</v>
      </c>
      <c r="F444" t="inlineStr">
        <is>
          <t>THORNTON</t>
        </is>
      </c>
      <c r="G444" t="inlineStr">
        <is>
          <t>3</t>
        </is>
      </c>
      <c r="H444" s="703">
        <f>Y444/J444</f>
        <v/>
      </c>
      <c r="I444" s="704" t="n">
        <v>44589</v>
      </c>
      <c r="J444" t="n">
        <v>180159</v>
      </c>
      <c r="L444" t="n">
        <v>180159</v>
      </c>
      <c r="M444" t="n">
        <v>2005</v>
      </c>
      <c r="P444" t="inlineStr">
        <is>
          <t>Regional Commercial</t>
        </is>
      </c>
      <c r="R444" t="inlineStr">
        <is>
          <t>Average</t>
        </is>
      </c>
      <c r="S444" t="n">
        <v>718914</v>
      </c>
      <c r="T444" s="119">
        <f>S444/J444</f>
        <v/>
      </c>
      <c r="U444" t="inlineStr">
        <is>
          <t>Average</t>
        </is>
      </c>
      <c r="Y444" t="n">
        <v>13000000</v>
      </c>
      <c r="AA444" t="n">
        <v>13000000</v>
      </c>
      <c r="AC444" t="inlineStr">
        <is>
          <t>0157303101002</t>
        </is>
      </c>
      <c r="AD444" t="inlineStr">
        <is>
          <t>2022000010328</t>
        </is>
      </c>
      <c r="AE444" s="575" t="inlineStr">
        <is>
          <t>TF THORNTON CO LLC</t>
        </is>
      </c>
      <c r="AF444" s="575" t="inlineStr">
        <is>
          <t>16395 WASHINGTON ST LLC</t>
        </is>
      </c>
      <c r="AI444" s="59">
        <f>IF(AND($E444=Subj_OccCode,Subj_BldgSF&gt;0,ABS($L444-Subj_BldgSF)&lt;=Subj_BldgSF*Subj_SizeTol),ABS($L444-Subj_BldgSF),NA())</f>
        <v/>
      </c>
      <c r="AJ444">
        <f>IF(ISNA(AI444),NA(),AI444+ROW()/10000000)</f>
        <v/>
      </c>
      <c r="AK444">
        <f>IF(AND(ISNUMBER($N444),$N444&gt;0,ISNUMBER($Y444)),$Y444/$N444,"")</f>
        <v/>
      </c>
    </row>
    <row r="445" ht="15" customHeight="1" s="518">
      <c r="A445" s="123" t="n">
        <v>8</v>
      </c>
      <c r="B445" s="59" t="n">
        <v>439</v>
      </c>
      <c r="C445" t="inlineStr">
        <is>
          <t>R0048726</t>
        </is>
      </c>
      <c r="D445" t="inlineStr">
        <is>
          <t>2901 W 92ND AVE</t>
        </is>
      </c>
      <c r="E445" t="n">
        <v>325</v>
      </c>
      <c r="F445" t="inlineStr">
        <is>
          <t>FEDERAL HEIGHTS</t>
        </is>
      </c>
      <c r="G445" t="inlineStr">
        <is>
          <t>4</t>
        </is>
      </c>
      <c r="H445" s="703">
        <f>Y445/J445</f>
        <v/>
      </c>
      <c r="I445" s="704" t="n">
        <v>43179</v>
      </c>
      <c r="J445" t="n">
        <v>5400</v>
      </c>
      <c r="L445" t="n">
        <v>5400</v>
      </c>
      <c r="M445" t="n">
        <v>1985</v>
      </c>
      <c r="P445" t="inlineStr">
        <is>
          <t>Federal Heights</t>
        </is>
      </c>
      <c r="R445" t="inlineStr">
        <is>
          <t>Average</t>
        </is>
      </c>
      <c r="S445" t="n">
        <v>19293</v>
      </c>
      <c r="T445" s="119">
        <f>S445/J445</f>
        <v/>
      </c>
      <c r="U445" t="inlineStr">
        <is>
          <t>Average</t>
        </is>
      </c>
      <c r="Y445" t="n">
        <v>780000</v>
      </c>
      <c r="AA445" t="n">
        <v>780000</v>
      </c>
      <c r="AC445" t="inlineStr">
        <is>
          <t>0171920102030</t>
        </is>
      </c>
      <c r="AD445" t="inlineStr">
        <is>
          <t>2018000022792</t>
        </is>
      </c>
      <c r="AE445" s="575" t="inlineStr">
        <is>
          <t>WENZEL DANIEL D AND, WENZEL JUDITH G</t>
        </is>
      </c>
      <c r="AF445" s="575" t="inlineStr">
        <is>
          <t>COLORADO BD AUTO CARE LLC</t>
        </is>
      </c>
      <c r="AI445" s="59">
        <f>IF(AND($E445=Subj_OccCode,Subj_BldgSF&gt;0,ABS($L445-Subj_BldgSF)&lt;=Subj_BldgSF*Subj_SizeTol),ABS($L445-Subj_BldgSF),NA())</f>
        <v/>
      </c>
      <c r="AJ445">
        <f>IF(ISNA(AI445),NA(),AI445+ROW()/10000000)</f>
        <v/>
      </c>
      <c r="AK445">
        <f>IF(AND(ISNUMBER($N445),$N445&gt;0,ISNUMBER($Y445)),$Y445/$N445,"")</f>
        <v/>
      </c>
    </row>
    <row r="446" ht="15" customHeight="1" s="518">
      <c r="A446" s="123" t="n">
        <v>8</v>
      </c>
      <c r="B446" s="59" t="n">
        <v>440</v>
      </c>
      <c r="C446" t="inlineStr">
        <is>
          <t>R0062925</t>
        </is>
      </c>
      <c r="D446" t="inlineStr">
        <is>
          <t>8791  WOLFF CT</t>
        </is>
      </c>
      <c r="E446" t="n">
        <v>344</v>
      </c>
      <c r="F446" t="inlineStr">
        <is>
          <t>WESTMINSTER</t>
        </is>
      </c>
      <c r="G446" t="inlineStr">
        <is>
          <t>4</t>
        </is>
      </c>
      <c r="H446" s="703">
        <f>Y446/J446</f>
        <v/>
      </c>
      <c r="I446" s="704" t="n">
        <v>44082</v>
      </c>
      <c r="J446" t="n">
        <v>10774</v>
      </c>
      <c r="L446" t="n">
        <v>10774</v>
      </c>
      <c r="M446" t="n">
        <v>1984</v>
      </c>
      <c r="P446" t="inlineStr">
        <is>
          <t>PUD-Wes</t>
        </is>
      </c>
      <c r="R446" t="inlineStr">
        <is>
          <t>Average</t>
        </is>
      </c>
      <c r="S446" t="n">
        <v>3842</v>
      </c>
      <c r="T446" s="119">
        <f>S446/J446</f>
        <v/>
      </c>
      <c r="U446" t="inlineStr">
        <is>
          <t>Average</t>
        </is>
      </c>
      <c r="Y446" t="n">
        <v>270000</v>
      </c>
      <c r="AA446" t="n">
        <v>270000</v>
      </c>
      <c r="AC446" t="inlineStr">
        <is>
          <t>0171930218020</t>
        </is>
      </c>
      <c r="AD446" t="inlineStr">
        <is>
          <t>2020000091290</t>
        </is>
      </c>
      <c r="AE446" s="575" t="inlineStr">
        <is>
          <t>GREEN ELEPHANT LLC THE</t>
        </is>
      </c>
      <c r="AF446" s="575" t="inlineStr">
        <is>
          <t>AVERY INVESTMENTS LLC</t>
        </is>
      </c>
      <c r="AI446" s="59">
        <f>IF(AND($E446=Subj_OccCode,Subj_BldgSF&gt;0,ABS($L446-Subj_BldgSF)&lt;=Subj_BldgSF*Subj_SizeTol),ABS($L446-Subj_BldgSF),NA())</f>
        <v/>
      </c>
      <c r="AJ446">
        <f>IF(ISNA(AI446),NA(),AI446+ROW()/10000000)</f>
        <v/>
      </c>
      <c r="AK446">
        <f>IF(AND(ISNUMBER($N446),$N446&gt;0,ISNUMBER($Y446)),$Y446/$N446,"")</f>
        <v/>
      </c>
    </row>
    <row r="447" ht="15" customHeight="1" s="518">
      <c r="A447" s="123" t="n">
        <v>8</v>
      </c>
      <c r="B447" s="59" t="n">
        <v>441</v>
      </c>
      <c r="C447" t="inlineStr">
        <is>
          <t>R0142135</t>
        </is>
      </c>
      <c r="D447" t="inlineStr">
        <is>
          <t>21250 E 36TH DR</t>
        </is>
      </c>
      <c r="E447" t="n">
        <v>584</v>
      </c>
      <c r="F447" t="inlineStr">
        <is>
          <t>AURORA</t>
        </is>
      </c>
      <c r="G447" t="inlineStr">
        <is>
          <t>6</t>
        </is>
      </c>
      <c r="H447" s="703">
        <f>Y447/J447</f>
        <v/>
      </c>
      <c r="I447" s="704" t="n">
        <v>43200</v>
      </c>
      <c r="J447" t="n">
        <v>262620</v>
      </c>
      <c r="L447" t="n">
        <v>262620</v>
      </c>
      <c r="M447" t="n">
        <v>2002</v>
      </c>
      <c r="R447" t="inlineStr">
        <is>
          <t>Average</t>
        </is>
      </c>
      <c r="S447" t="n">
        <v>700880.4</v>
      </c>
      <c r="T447" s="119">
        <f>S447/J447</f>
        <v/>
      </c>
      <c r="U447" t="inlineStr">
        <is>
          <t>Average</t>
        </is>
      </c>
      <c r="Y447" t="n">
        <v>21400000</v>
      </c>
      <c r="AA447" t="n">
        <v>21400000</v>
      </c>
      <c r="AC447" t="inlineStr">
        <is>
          <t>0182126101001</t>
        </is>
      </c>
      <c r="AD447" t="inlineStr">
        <is>
          <t>2018000034023</t>
        </is>
      </c>
      <c r="AE447" s="575" t="inlineStr">
        <is>
          <t>EXETER 21250 EAST 36TH LLC</t>
        </is>
      </c>
      <c r="AF447" s="575" t="inlineStr">
        <is>
          <t>THOMSON LOGISTICS ASSETS LLC, C/O CORPORATION SERVICE</t>
        </is>
      </c>
      <c r="AI447" s="59">
        <f>IF(AND($E447=Subj_OccCode,Subj_BldgSF&gt;0,ABS($L447-Subj_BldgSF)&lt;=Subj_BldgSF*Subj_SizeTol),ABS($L447-Subj_BldgSF),NA())</f>
        <v/>
      </c>
      <c r="AJ447">
        <f>IF(ISNA(AI447),NA(),AI447+ROW()/10000000)</f>
        <v/>
      </c>
      <c r="AK447">
        <f>IF(AND(ISNUMBER($N447),$N447&gt;0,ISNUMBER($Y447)),$Y447/$N447,"")</f>
        <v/>
      </c>
    </row>
    <row r="448" ht="15" customHeight="1" s="518">
      <c r="A448" s="123" t="n">
        <v>8</v>
      </c>
      <c r="B448" s="59" t="n">
        <v>442</v>
      </c>
      <c r="C448" t="inlineStr">
        <is>
          <t>R0081742</t>
        </is>
      </c>
      <c r="D448" t="inlineStr">
        <is>
          <t>1853  MONROE ST</t>
        </is>
      </c>
      <c r="E448" t="n">
        <v>426</v>
      </c>
      <c r="G448" t="inlineStr">
        <is>
          <t>1</t>
        </is>
      </c>
      <c r="H448" s="703">
        <f>Y448/J448</f>
        <v/>
      </c>
      <c r="I448" s="704" t="n">
        <v>43116</v>
      </c>
      <c r="J448" t="n">
        <v>2952</v>
      </c>
      <c r="L448" t="n">
        <v>2952</v>
      </c>
      <c r="M448" t="n">
        <v>1949</v>
      </c>
      <c r="P448" t="inlineStr">
        <is>
          <t>Residential</t>
        </is>
      </c>
      <c r="R448" t="inlineStr">
        <is>
          <t>Average</t>
        </is>
      </c>
      <c r="S448" t="n">
        <v>33660</v>
      </c>
      <c r="T448" s="119">
        <f>S448/J448</f>
        <v/>
      </c>
      <c r="U448" t="inlineStr">
        <is>
          <t>Average</t>
        </is>
      </c>
      <c r="Y448" t="n">
        <v>350000</v>
      </c>
      <c r="AA448" t="n">
        <v>350000</v>
      </c>
      <c r="AC448" t="inlineStr">
        <is>
          <t>0181333400011</t>
        </is>
      </c>
      <c r="AD448" t="inlineStr">
        <is>
          <t>2018000011536</t>
        </is>
      </c>
      <c r="AE448" s="575" t="inlineStr">
        <is>
          <t>BEAN BEVERLY A</t>
        </is>
      </c>
      <c r="AF448" s="575" t="inlineStr">
        <is>
          <t>JOSEPH SUMIT</t>
        </is>
      </c>
      <c r="AI448" s="59">
        <f>IF(AND($E448=Subj_OccCode,Subj_BldgSF&gt;0,ABS($L448-Subj_BldgSF)&lt;=Subj_BldgSF*Subj_SizeTol),ABS($L448-Subj_BldgSF),NA())</f>
        <v/>
      </c>
      <c r="AJ448">
        <f>IF(ISNA(AI448),NA(),AI448+ROW()/10000000)</f>
        <v/>
      </c>
      <c r="AK448">
        <f>IF(AND(ISNUMBER($N448),$N448&gt;0,ISNUMBER($Y448)),$Y448/$N448,"")</f>
        <v/>
      </c>
    </row>
    <row r="449" ht="15" customHeight="1" s="518">
      <c r="A449" s="123" t="n">
        <v>8</v>
      </c>
      <c r="B449" s="59" t="n">
        <v>443</v>
      </c>
      <c r="C449" t="inlineStr">
        <is>
          <t>R0152796</t>
        </is>
      </c>
      <c r="D449" t="inlineStr">
        <is>
          <t>2525 W 92ND AVE</t>
        </is>
      </c>
      <c r="E449" t="n">
        <v>353</v>
      </c>
      <c r="F449" t="inlineStr">
        <is>
          <t>FEDERAL HEIGHTS</t>
        </is>
      </c>
      <c r="G449" t="inlineStr">
        <is>
          <t>4</t>
        </is>
      </c>
      <c r="H449" s="703">
        <f>Y449/J449</f>
        <v/>
      </c>
      <c r="I449" s="704" t="n">
        <v>44519</v>
      </c>
      <c r="J449" t="n">
        <v>6928</v>
      </c>
      <c r="L449" t="n">
        <v>6928</v>
      </c>
      <c r="M449" t="n">
        <v>2003</v>
      </c>
      <c r="P449" t="inlineStr">
        <is>
          <t>C-1-Fed</t>
        </is>
      </c>
      <c r="R449" t="inlineStr">
        <is>
          <t>Average</t>
        </is>
      </c>
      <c r="S449" t="n">
        <v>60968</v>
      </c>
      <c r="T449" s="119">
        <f>S449/J449</f>
        <v/>
      </c>
      <c r="U449" t="inlineStr">
        <is>
          <t>Good</t>
        </is>
      </c>
      <c r="Y449" t="n">
        <v>1900000</v>
      </c>
      <c r="AA449" t="n">
        <v>1900000</v>
      </c>
      <c r="AC449" t="inlineStr">
        <is>
          <t>0171920104013</t>
        </is>
      </c>
      <c r="AD449" t="inlineStr">
        <is>
          <t>2021000136577</t>
        </is>
      </c>
      <c r="AE449" s="575" t="inlineStr">
        <is>
          <t>BONE WILLIAM J JR/WENONA C TRUSTEES, BONE FAMILY TRUST U D T THE</t>
        </is>
      </c>
      <c r="AF449" s="575" t="inlineStr">
        <is>
          <t>120 HOLDINGS LLC UND INT 5.367%  ET AL</t>
        </is>
      </c>
      <c r="AI449" s="59">
        <f>IF(AND($E449=Subj_OccCode,Subj_BldgSF&gt;0,ABS($L449-Subj_BldgSF)&lt;=Subj_BldgSF*Subj_SizeTol),ABS($L449-Subj_BldgSF),NA())</f>
        <v/>
      </c>
      <c r="AJ449">
        <f>IF(ISNA(AI449),NA(),AI449+ROW()/10000000)</f>
        <v/>
      </c>
      <c r="AK449">
        <f>IF(AND(ISNUMBER($N449),$N449&gt;0,ISNUMBER($Y449)),$Y449/$N449,"")</f>
        <v/>
      </c>
    </row>
    <row r="450" ht="15" customHeight="1" s="518">
      <c r="A450" s="123" t="n">
        <v>8</v>
      </c>
      <c r="B450" s="59" t="n">
        <v>444</v>
      </c>
      <c r="C450" t="inlineStr">
        <is>
          <t>R0154528</t>
        </is>
      </c>
      <c r="D450" t="inlineStr">
        <is>
          <t>37600 E 50TH AVE</t>
        </is>
      </c>
      <c r="E450" t="n">
        <v>328</v>
      </c>
      <c r="G450" t="inlineStr">
        <is>
          <t>1</t>
        </is>
      </c>
      <c r="H450" s="703">
        <f>Y450/J450</f>
        <v/>
      </c>
      <c r="I450" s="704" t="n">
        <v>43804</v>
      </c>
      <c r="J450" t="n">
        <v>13440</v>
      </c>
      <c r="L450" t="n">
        <v>13440</v>
      </c>
      <c r="M450" t="n">
        <v>2000</v>
      </c>
      <c r="R450" t="inlineStr">
        <is>
          <t>Average</t>
        </is>
      </c>
      <c r="S450" t="n">
        <v>0</v>
      </c>
      <c r="T450" s="119">
        <f>S450/J450</f>
        <v/>
      </c>
      <c r="U450" t="inlineStr">
        <is>
          <t>Average</t>
        </is>
      </c>
      <c r="Y450" t="n">
        <v>68000</v>
      </c>
      <c r="AA450" t="n">
        <v>68000</v>
      </c>
      <c r="AC450" t="inlineStr">
        <is>
          <t>0181716410001</t>
        </is>
      </c>
      <c r="AD450" t="inlineStr">
        <is>
          <t>2019000106716</t>
        </is>
      </c>
      <c r="AE450" s="575" t="inlineStr">
        <is>
          <t>DELCAMP RONALD</t>
        </is>
      </c>
      <c r="AF450" s="575" t="inlineStr">
        <is>
          <t>HOFER GALEN AND, PHIBBS STEPHANIE</t>
        </is>
      </c>
      <c r="AI450" s="59">
        <f>IF(AND($E450=Subj_OccCode,Subj_BldgSF&gt;0,ABS($L450-Subj_BldgSF)&lt;=Subj_BldgSF*Subj_SizeTol),ABS($L450-Subj_BldgSF),NA())</f>
        <v/>
      </c>
      <c r="AJ450">
        <f>IF(ISNA(AI450),NA(),AI450+ROW()/10000000)</f>
        <v/>
      </c>
      <c r="AK450">
        <f>IF(AND(ISNUMBER($N450),$N450&gt;0,ISNUMBER($Y450)),$Y450/$N450,"")</f>
        <v/>
      </c>
    </row>
    <row r="451" ht="15" customHeight="1" s="518">
      <c r="A451" s="123" t="n">
        <v>8</v>
      </c>
      <c r="B451" s="59" t="n">
        <v>445</v>
      </c>
      <c r="C451" t="inlineStr">
        <is>
          <t>R0133759</t>
        </is>
      </c>
      <c r="D451" t="inlineStr">
        <is>
          <t>2450 W 63RD CT</t>
        </is>
      </c>
      <c r="E451" t="n">
        <v>534</v>
      </c>
      <c r="G451" t="inlineStr">
        <is>
          <t>5</t>
        </is>
      </c>
      <c r="H451" s="703">
        <f>Y451/J451</f>
        <v/>
      </c>
      <c r="I451" s="704" t="n">
        <v>43496</v>
      </c>
      <c r="J451" t="n">
        <v>12300</v>
      </c>
      <c r="L451" t="n">
        <v>12300</v>
      </c>
      <c r="M451" t="n">
        <v>2001</v>
      </c>
      <c r="R451" t="inlineStr">
        <is>
          <t>Average</t>
        </is>
      </c>
      <c r="S451" t="n">
        <v>67605.12</v>
      </c>
      <c r="T451" s="119">
        <f>S451/J451</f>
        <v/>
      </c>
      <c r="U451" t="inlineStr">
        <is>
          <t>Average</t>
        </is>
      </c>
      <c r="Y451" t="n">
        <v>1850000</v>
      </c>
      <c r="AA451" t="n">
        <v>1850000</v>
      </c>
      <c r="AC451" t="inlineStr">
        <is>
          <t>0182508103025</t>
        </is>
      </c>
      <c r="AD451" t="inlineStr">
        <is>
          <t>2019000007808</t>
        </is>
      </c>
      <c r="AE451" s="575" t="inlineStr">
        <is>
          <t>TRIPLE L LLC</t>
        </is>
      </c>
      <c r="AF451" s="575" t="inlineStr">
        <is>
          <t>CROWLEY DAVID P AND , CROWLEY LORRAINE K</t>
        </is>
      </c>
      <c r="AI451" s="59">
        <f>IF(AND($E451=Subj_OccCode,Subj_BldgSF&gt;0,ABS($L451-Subj_BldgSF)&lt;=Subj_BldgSF*Subj_SizeTol),ABS($L451-Subj_BldgSF),NA())</f>
        <v/>
      </c>
      <c r="AJ451">
        <f>IF(ISNA(AI451),NA(),AI451+ROW()/10000000)</f>
        <v/>
      </c>
      <c r="AK451">
        <f>IF(AND(ISNUMBER($N451),$N451&gt;0,ISNUMBER($Y451)),$Y451/$N451,"")</f>
        <v/>
      </c>
    </row>
    <row r="452" ht="15" customHeight="1" s="518">
      <c r="A452" s="123" t="n">
        <v>8</v>
      </c>
      <c r="B452" s="59" t="n">
        <v>446</v>
      </c>
      <c r="C452" t="inlineStr">
        <is>
          <t>R0178320</t>
        </is>
      </c>
      <c r="D452" t="inlineStr">
        <is>
          <t>2551 E 120TH AVE</t>
        </is>
      </c>
      <c r="E452" t="n">
        <v>353</v>
      </c>
      <c r="F452" t="inlineStr">
        <is>
          <t>THORNTON</t>
        </is>
      </c>
      <c r="G452" t="inlineStr">
        <is>
          <t>3</t>
        </is>
      </c>
      <c r="H452" s="703">
        <f>Y452/J452</f>
        <v/>
      </c>
      <c r="I452" s="704" t="n">
        <v>43462</v>
      </c>
      <c r="J452" t="n">
        <v>4050</v>
      </c>
      <c r="L452" t="n">
        <v>4050</v>
      </c>
      <c r="M452" t="n">
        <v>2000</v>
      </c>
      <c r="R452" t="inlineStr">
        <is>
          <t>Average</t>
        </is>
      </c>
      <c r="S452" t="n">
        <v>19306</v>
      </c>
      <c r="T452" s="119">
        <f>S452/J452</f>
        <v/>
      </c>
      <c r="U452" t="inlineStr">
        <is>
          <t>Average</t>
        </is>
      </c>
      <c r="Y452" t="n">
        <v>575000</v>
      </c>
      <c r="AA452" t="n">
        <v>575000</v>
      </c>
      <c r="AC452" t="inlineStr">
        <is>
          <t>0157336309073</t>
        </is>
      </c>
      <c r="AD452" t="inlineStr">
        <is>
          <t>2019000000008</t>
        </is>
      </c>
      <c r="AE452" s="575" t="inlineStr">
        <is>
          <t>2551 PROPERTY PARTNERS LLC</t>
        </is>
      </c>
      <c r="AF452" s="575" t="inlineStr">
        <is>
          <t>COMPTON POINT LLC</t>
        </is>
      </c>
      <c r="AI452" s="59">
        <f>IF(AND($E452=Subj_OccCode,Subj_BldgSF&gt;0,ABS($L452-Subj_BldgSF)&lt;=Subj_BldgSF*Subj_SizeTol),ABS($L452-Subj_BldgSF),NA())</f>
        <v/>
      </c>
      <c r="AJ452">
        <f>IF(ISNA(AI452),NA(),AI452+ROW()/10000000)</f>
        <v/>
      </c>
      <c r="AK452">
        <f>IF(AND(ISNUMBER($N452),$N452&gt;0,ISNUMBER($Y452)),$Y452/$N452,"")</f>
        <v/>
      </c>
    </row>
    <row r="453" ht="15" customHeight="1" s="518">
      <c r="A453" s="123" t="n">
        <v>8</v>
      </c>
      <c r="B453" s="59" t="n">
        <v>447</v>
      </c>
      <c r="C453" t="inlineStr">
        <is>
          <t>R0079896</t>
        </is>
      </c>
      <c r="D453" t="inlineStr">
        <is>
          <t>6454 E 72ND PL</t>
        </is>
      </c>
      <c r="E453" t="n">
        <v>353</v>
      </c>
      <c r="F453" t="inlineStr">
        <is>
          <t>COMMERCE CITY</t>
        </is>
      </c>
      <c r="G453" t="inlineStr">
        <is>
          <t>5</t>
        </is>
      </c>
      <c r="H453" s="703">
        <f>Y453/J453</f>
        <v/>
      </c>
      <c r="I453" s="704" t="n">
        <v>43796</v>
      </c>
      <c r="J453" t="n">
        <v>6435</v>
      </c>
      <c r="L453" t="n">
        <v>6435</v>
      </c>
      <c r="M453" t="n">
        <v>1951</v>
      </c>
      <c r="P453" t="inlineStr">
        <is>
          <t>PUD-Com</t>
        </is>
      </c>
      <c r="R453" t="inlineStr">
        <is>
          <t>Average</t>
        </is>
      </c>
      <c r="S453" t="n">
        <v>7480</v>
      </c>
      <c r="T453" s="119">
        <f>S453/J453</f>
        <v/>
      </c>
      <c r="U453" t="inlineStr">
        <is>
          <t>Average</t>
        </is>
      </c>
      <c r="Y453" t="n">
        <v>555000</v>
      </c>
      <c r="AA453" t="n">
        <v>555000</v>
      </c>
      <c r="AC453" t="inlineStr">
        <is>
          <t>0172132424001</t>
        </is>
      </c>
      <c r="AD453" t="inlineStr">
        <is>
          <t>2019000104458</t>
        </is>
      </c>
      <c r="AE453" s="575" t="inlineStr">
        <is>
          <t>E J CORP</t>
        </is>
      </c>
      <c r="AF453" s="575" t="inlineStr">
        <is>
          <t>TORRES INVESTMENTS LLC</t>
        </is>
      </c>
      <c r="AI453" s="59">
        <f>IF(AND($E453=Subj_OccCode,Subj_BldgSF&gt;0,ABS($L453-Subj_BldgSF)&lt;=Subj_BldgSF*Subj_SizeTol),ABS($L453-Subj_BldgSF),NA())</f>
        <v/>
      </c>
      <c r="AJ453">
        <f>IF(ISNA(AI453),NA(),AI453+ROW()/10000000)</f>
        <v/>
      </c>
      <c r="AK453">
        <f>IF(AND(ISNUMBER($N453),$N453&gt;0,ISNUMBER($Y453)),$Y453/$N453,"")</f>
        <v/>
      </c>
    </row>
    <row r="454" ht="15" customHeight="1" s="518">
      <c r="A454" s="123" t="n">
        <v>8</v>
      </c>
      <c r="B454" s="59" t="n">
        <v>448</v>
      </c>
      <c r="C454" t="inlineStr">
        <is>
          <t>R0107746</t>
        </is>
      </c>
      <c r="D454" t="inlineStr">
        <is>
          <t>8075  PONTIAC ST</t>
        </is>
      </c>
      <c r="E454" t="n">
        <v>406</v>
      </c>
      <c r="F454" t="inlineStr">
        <is>
          <t>COMMERCE CITY</t>
        </is>
      </c>
      <c r="G454" t="inlineStr">
        <is>
          <t>5</t>
        </is>
      </c>
      <c r="H454" s="703">
        <f>Y454/J454</f>
        <v/>
      </c>
      <c r="I454" s="704" t="n">
        <v>44439</v>
      </c>
      <c r="J454" t="n">
        <v>18840</v>
      </c>
      <c r="L454" t="n">
        <v>18840</v>
      </c>
      <c r="M454" t="n">
        <v>1972</v>
      </c>
      <c r="P454" t="inlineStr">
        <is>
          <t>I-2-Com</t>
        </is>
      </c>
      <c r="R454" t="inlineStr">
        <is>
          <t>Low</t>
        </is>
      </c>
      <c r="S454" t="n">
        <v>147276.4</v>
      </c>
      <c r="T454" s="119">
        <f>S454/J454</f>
        <v/>
      </c>
      <c r="U454" t="inlineStr">
        <is>
          <t>Average</t>
        </is>
      </c>
      <c r="Y454" t="n">
        <v>2600000</v>
      </c>
      <c r="AA454" t="n">
        <v>2600000</v>
      </c>
      <c r="AC454" t="inlineStr">
        <is>
          <t>0172129404012</t>
        </is>
      </c>
      <c r="AD454" t="inlineStr">
        <is>
          <t>2021000103692</t>
        </is>
      </c>
      <c r="AE454" s="575" t="inlineStr">
        <is>
          <t>H AND B INDUSTRY LLC</t>
        </is>
      </c>
      <c r="AF454" s="575" t="inlineStr">
        <is>
          <t>HIGH TO LOW PROPERTIES LLC</t>
        </is>
      </c>
      <c r="AI454" s="59">
        <f>IF(AND($E454=Subj_OccCode,Subj_BldgSF&gt;0,ABS($L454-Subj_BldgSF)&lt;=Subj_BldgSF*Subj_SizeTol),ABS($L454-Subj_BldgSF),NA())</f>
        <v/>
      </c>
      <c r="AJ454">
        <f>IF(ISNA(AI454),NA(),AI454+ROW()/10000000)</f>
        <v/>
      </c>
      <c r="AK454">
        <f>IF(AND(ISNUMBER($N454),$N454&gt;0,ISNUMBER($Y454)),$Y454/$N454,"")</f>
        <v/>
      </c>
    </row>
    <row r="455" ht="15" customHeight="1" s="518">
      <c r="A455" s="123" t="n">
        <v>8</v>
      </c>
      <c r="B455" s="59" t="n">
        <v>449</v>
      </c>
      <c r="C455" t="inlineStr">
        <is>
          <t>R0103555</t>
        </is>
      </c>
      <c r="D455" t="inlineStr">
        <is>
          <t>5801  LOGAN ST</t>
        </is>
      </c>
      <c r="E455" t="n">
        <v>334</v>
      </c>
      <c r="G455" t="inlineStr">
        <is>
          <t>5</t>
        </is>
      </c>
      <c r="H455" s="703">
        <f>Y455/J455</f>
        <v/>
      </c>
      <c r="I455" s="704" t="n">
        <v>44559</v>
      </c>
      <c r="J455" t="n">
        <v>11200</v>
      </c>
      <c r="L455" t="n">
        <v>11200</v>
      </c>
      <c r="M455" t="n">
        <v>1982</v>
      </c>
      <c r="P455" t="inlineStr">
        <is>
          <t>Industrial</t>
        </is>
      </c>
      <c r="R455" t="inlineStr">
        <is>
          <t>Average</t>
        </is>
      </c>
      <c r="S455" t="n">
        <v>26839</v>
      </c>
      <c r="T455" s="119">
        <f>S455/J455</f>
        <v/>
      </c>
      <c r="U455" t="inlineStr">
        <is>
          <t>Average</t>
        </is>
      </c>
      <c r="Y455" t="n">
        <v>2400000</v>
      </c>
      <c r="AA455" t="n">
        <v>2400000</v>
      </c>
      <c r="AC455" t="inlineStr">
        <is>
          <t>0182510402006</t>
        </is>
      </c>
      <c r="AD455" t="inlineStr">
        <is>
          <t>2021000150840</t>
        </is>
      </c>
      <c r="AE455" s="575" t="inlineStr">
        <is>
          <t>KLO PROPERTIES LLC</t>
        </is>
      </c>
      <c r="AF455" s="575" t="inlineStr">
        <is>
          <t>5801 LOGAN STREET LLC</t>
        </is>
      </c>
      <c r="AI455" s="59">
        <f>IF(AND($E455=Subj_OccCode,Subj_BldgSF&gt;0,ABS($L455-Subj_BldgSF)&lt;=Subj_BldgSF*Subj_SizeTol),ABS($L455-Subj_BldgSF),NA())</f>
        <v/>
      </c>
      <c r="AJ455">
        <f>IF(ISNA(AI455),NA(),AI455+ROW()/10000000)</f>
        <v/>
      </c>
      <c r="AK455">
        <f>IF(AND(ISNUMBER($N455),$N455&gt;0,ISNUMBER($Y455)),$Y455/$N455,"")</f>
        <v/>
      </c>
    </row>
    <row r="456" ht="15" customHeight="1" s="518">
      <c r="A456" s="123" t="n">
        <v>8</v>
      </c>
      <c r="B456" s="59" t="n">
        <v>450</v>
      </c>
      <c r="C456" t="inlineStr">
        <is>
          <t>R0103568</t>
        </is>
      </c>
      <c r="D456" t="inlineStr">
        <is>
          <t>301 E 57TH AVE</t>
        </is>
      </c>
      <c r="E456" t="n">
        <v>353</v>
      </c>
      <c r="G456" t="inlineStr">
        <is>
          <t>5</t>
        </is>
      </c>
      <c r="H456" s="703">
        <f>Y456/J456</f>
        <v/>
      </c>
      <c r="I456" s="704" t="n">
        <v>44478</v>
      </c>
      <c r="J456" t="n">
        <v>14250</v>
      </c>
      <c r="L456" t="n">
        <v>14250</v>
      </c>
      <c r="M456" t="n">
        <v>1980</v>
      </c>
      <c r="P456" t="inlineStr">
        <is>
          <t>Industrial</t>
        </is>
      </c>
      <c r="R456" t="inlineStr">
        <is>
          <t>Average</t>
        </is>
      </c>
      <c r="S456" t="n">
        <v>49979</v>
      </c>
      <c r="T456" s="119">
        <f>S456/J456</f>
        <v/>
      </c>
      <c r="U456" t="inlineStr">
        <is>
          <t>Average</t>
        </is>
      </c>
      <c r="Y456" t="n">
        <v>3450000</v>
      </c>
      <c r="AA456" t="n">
        <v>3450000</v>
      </c>
      <c r="AC456" t="inlineStr">
        <is>
          <t>0182510406002</t>
        </is>
      </c>
      <c r="AD456" t="inlineStr">
        <is>
          <t>2021000132344</t>
        </is>
      </c>
      <c r="AE456" s="575" t="inlineStr">
        <is>
          <t>BOSCOE CHILDREN LLLP, C/O MICHAEL BLOOM REALTY COMPANY</t>
        </is>
      </c>
      <c r="AF456" s="575" t="inlineStr">
        <is>
          <t>WFS LLC UND 0.857% INT ET AL</t>
        </is>
      </c>
      <c r="AI456" s="59">
        <f>IF(AND($E456=Subj_OccCode,Subj_BldgSF&gt;0,ABS($L456-Subj_BldgSF)&lt;=Subj_BldgSF*Subj_SizeTol),ABS($L456-Subj_BldgSF),NA())</f>
        <v/>
      </c>
      <c r="AJ456">
        <f>IF(ISNA(AI456),NA(),AI456+ROW()/10000000)</f>
        <v/>
      </c>
      <c r="AK456">
        <f>IF(AND(ISNUMBER($N456),$N456&gt;0,ISNUMBER($Y456)),$Y456/$N456,"")</f>
        <v/>
      </c>
    </row>
    <row r="457" ht="15" customHeight="1" s="518">
      <c r="A457" s="123" t="n">
        <v>8</v>
      </c>
      <c r="B457" s="59" t="n">
        <v>451</v>
      </c>
      <c r="C457" t="inlineStr">
        <is>
          <t>R0090141</t>
        </is>
      </c>
      <c r="D457" t="inlineStr">
        <is>
          <t>6955  DAHLIA ST</t>
        </is>
      </c>
      <c r="E457" t="n">
        <v>344</v>
      </c>
      <c r="F457" t="inlineStr">
        <is>
          <t>COMMERCE CITY</t>
        </is>
      </c>
      <c r="G457" t="inlineStr">
        <is>
          <t>5</t>
        </is>
      </c>
      <c r="H457" s="703">
        <f>Y457/J457</f>
        <v/>
      </c>
      <c r="I457" s="704" t="n">
        <v>43705</v>
      </c>
      <c r="J457" t="n">
        <v>3224</v>
      </c>
      <c r="L457" t="n">
        <v>3224</v>
      </c>
      <c r="M457" t="n">
        <v>1964</v>
      </c>
      <c r="P457" t="inlineStr">
        <is>
          <t>C-3-Com</t>
        </is>
      </c>
      <c r="R457" t="inlineStr">
        <is>
          <t>Low</t>
        </is>
      </c>
      <c r="S457" t="n">
        <v>14950</v>
      </c>
      <c r="T457" s="119">
        <f>S457/J457</f>
        <v/>
      </c>
      <c r="U457" t="inlineStr">
        <is>
          <t>Average</t>
        </is>
      </c>
      <c r="Y457" t="n">
        <v>380000</v>
      </c>
      <c r="AA457" t="n">
        <v>380000</v>
      </c>
      <c r="AC457" t="inlineStr">
        <is>
          <t>0182306213018</t>
        </is>
      </c>
      <c r="AD457" t="inlineStr">
        <is>
          <t>2019000072342</t>
        </is>
      </c>
      <c r="AE457" s="575" t="inlineStr">
        <is>
          <t>JAMES DONALD A</t>
        </is>
      </c>
      <c r="AF457" s="575" t="inlineStr">
        <is>
          <t>FEDERAL REAL ESTATE HOLDINGS LLC</t>
        </is>
      </c>
      <c r="AI457" s="59">
        <f>IF(AND($E457=Subj_OccCode,Subj_BldgSF&gt;0,ABS($L457-Subj_BldgSF)&lt;=Subj_BldgSF*Subj_SizeTol),ABS($L457-Subj_BldgSF),NA())</f>
        <v/>
      </c>
      <c r="AJ457">
        <f>IF(ISNA(AI457),NA(),AI457+ROW()/10000000)</f>
        <v/>
      </c>
      <c r="AK457">
        <f>IF(AND(ISNUMBER($N457),$N457&gt;0,ISNUMBER($Y457)),$Y457/$N457,"")</f>
        <v/>
      </c>
    </row>
    <row r="458" ht="15" customHeight="1" s="518">
      <c r="A458" s="123" t="n">
        <v>8</v>
      </c>
      <c r="B458" s="59" t="n">
        <v>452</v>
      </c>
      <c r="C458" t="inlineStr">
        <is>
          <t>R0077169</t>
        </is>
      </c>
      <c r="D458" t="inlineStr">
        <is>
          <t>8420  QUEBEC ST</t>
        </is>
      </c>
      <c r="E458" t="n">
        <v>406</v>
      </c>
      <c r="F458" t="inlineStr">
        <is>
          <t>COMMERCE CITY</t>
        </is>
      </c>
      <c r="G458" t="inlineStr">
        <is>
          <t>5</t>
        </is>
      </c>
      <c r="H458" s="703">
        <f>Y458/J458</f>
        <v/>
      </c>
      <c r="I458" s="704" t="n">
        <v>44410</v>
      </c>
      <c r="J458" t="n">
        <v>7000</v>
      </c>
      <c r="L458" t="n">
        <v>7000</v>
      </c>
      <c r="M458" t="n">
        <v>1978</v>
      </c>
      <c r="P458" t="inlineStr">
        <is>
          <t>I-2-Com</t>
        </is>
      </c>
      <c r="R458" t="inlineStr">
        <is>
          <t>Average</t>
        </is>
      </c>
      <c r="S458" t="n">
        <v>153331.2</v>
      </c>
      <c r="T458" s="119">
        <f>S458/J458</f>
        <v/>
      </c>
      <c r="U458" t="inlineStr">
        <is>
          <t>Average</t>
        </is>
      </c>
      <c r="Y458" t="n">
        <v>2450000</v>
      </c>
      <c r="AA458" t="n">
        <v>2450000</v>
      </c>
      <c r="AC458" t="inlineStr">
        <is>
          <t>0172128200020</t>
        </is>
      </c>
      <c r="AD458" t="inlineStr">
        <is>
          <t>2021000091570</t>
        </is>
      </c>
      <c r="AE458" s="575" t="inlineStr">
        <is>
          <t>FOUR LEGACY INVESTMENTS LLC</t>
        </is>
      </c>
      <c r="AF458" s="575" t="inlineStr">
        <is>
          <t>FLEETPARK QUEBEC CO LLC</t>
        </is>
      </c>
      <c r="AI458" s="59">
        <f>IF(AND($E458=Subj_OccCode,Subj_BldgSF&gt;0,ABS($L458-Subj_BldgSF)&lt;=Subj_BldgSF*Subj_SizeTol),ABS($L458-Subj_BldgSF),NA())</f>
        <v/>
      </c>
      <c r="AJ458">
        <f>IF(ISNA(AI458),NA(),AI458+ROW()/10000000)</f>
        <v/>
      </c>
      <c r="AK458">
        <f>IF(AND(ISNUMBER($N458),$N458&gt;0,ISNUMBER($Y458)),$Y458/$N458,"")</f>
        <v/>
      </c>
    </row>
    <row r="459" ht="15" customHeight="1" s="518">
      <c r="A459" s="123" t="n">
        <v>8</v>
      </c>
      <c r="B459" s="59" t="n">
        <v>453</v>
      </c>
      <c r="C459" t="inlineStr">
        <is>
          <t>R0075207</t>
        </is>
      </c>
      <c r="D459" t="inlineStr">
        <is>
          <t>10290 E 106TH AVE</t>
        </is>
      </c>
      <c r="E459" t="n">
        <v>406</v>
      </c>
      <c r="G459" t="inlineStr">
        <is>
          <t>2</t>
        </is>
      </c>
      <c r="H459" s="703">
        <f>Y459/J459</f>
        <v/>
      </c>
      <c r="I459" s="704" t="n">
        <v>43894</v>
      </c>
      <c r="J459" t="n">
        <v>14000</v>
      </c>
      <c r="L459" t="n">
        <v>14000</v>
      </c>
      <c r="M459" t="n">
        <v>1995</v>
      </c>
      <c r="P459" t="inlineStr">
        <is>
          <t>I-3-Com</t>
        </is>
      </c>
      <c r="R459" t="inlineStr">
        <is>
          <t>Average</t>
        </is>
      </c>
      <c r="S459" t="n">
        <v>93218</v>
      </c>
      <c r="T459" s="119">
        <f>S459/J459</f>
        <v/>
      </c>
      <c r="U459" t="inlineStr">
        <is>
          <t>Average</t>
        </is>
      </c>
      <c r="Y459" t="n">
        <v>2200000</v>
      </c>
      <c r="AA459" t="n">
        <v>2200000</v>
      </c>
      <c r="AC459" t="inlineStr">
        <is>
          <t>0172110006004</t>
        </is>
      </c>
      <c r="AD459" t="inlineStr">
        <is>
          <t>2020000021758</t>
        </is>
      </c>
      <c r="AE459" s="575" t="inlineStr">
        <is>
          <t>R AND R JOE ENTERPRISES LLC</t>
        </is>
      </c>
      <c r="AF459" s="575" t="inlineStr">
        <is>
          <t>ROCKY WELDING SERVICES LLC</t>
        </is>
      </c>
      <c r="AI459" s="59">
        <f>IF(AND($E459=Subj_OccCode,Subj_BldgSF&gt;0,ABS($L459-Subj_BldgSF)&lt;=Subj_BldgSF*Subj_SizeTol),ABS($L459-Subj_BldgSF),NA())</f>
        <v/>
      </c>
      <c r="AJ459">
        <f>IF(ISNA(AI459),NA(),AI459+ROW()/10000000)</f>
        <v/>
      </c>
      <c r="AK459">
        <f>IF(AND(ISNUMBER($N459),$N459&gt;0,ISNUMBER($Y459)),$Y459/$N459,"")</f>
        <v/>
      </c>
    </row>
    <row r="460" ht="15" customHeight="1" s="518">
      <c r="A460" s="123" t="n">
        <v>8</v>
      </c>
      <c r="B460" s="59" t="n">
        <v>454</v>
      </c>
      <c r="C460" t="inlineStr">
        <is>
          <t>R0039073</t>
        </is>
      </c>
      <c r="D460" t="inlineStr">
        <is>
          <t>10475  IRMA DR #15</t>
        </is>
      </c>
      <c r="E460" t="n">
        <v>425</v>
      </c>
      <c r="F460" t="inlineStr">
        <is>
          <t>NORTHGLENN</t>
        </is>
      </c>
      <c r="G460" t="inlineStr">
        <is>
          <t>4</t>
        </is>
      </c>
      <c r="H460" s="703">
        <f>Y460/J460</f>
        <v/>
      </c>
      <c r="I460" s="704" t="n">
        <v>44175</v>
      </c>
      <c r="J460" t="n">
        <v>1500</v>
      </c>
      <c r="L460" t="n">
        <v>1500</v>
      </c>
      <c r="M460" t="n">
        <v>1984</v>
      </c>
      <c r="P460" t="inlineStr">
        <is>
          <t>I-2-Nor</t>
        </is>
      </c>
      <c r="R460" t="inlineStr">
        <is>
          <t>Average</t>
        </is>
      </c>
      <c r="S460" t="n">
        <v>4655</v>
      </c>
      <c r="T460" s="119">
        <f>S460/J460</f>
        <v/>
      </c>
      <c r="U460" t="inlineStr">
        <is>
          <t>Average</t>
        </is>
      </c>
      <c r="Y460" t="n">
        <v>233000</v>
      </c>
      <c r="AA460" t="n">
        <v>233000</v>
      </c>
      <c r="AC460" t="inlineStr">
        <is>
          <t>0171911411034</t>
        </is>
      </c>
      <c r="AD460" t="inlineStr">
        <is>
          <t>2020000131356</t>
        </is>
      </c>
      <c r="AE460" s="575" t="inlineStr">
        <is>
          <t>AFS RESIDENTIAL LLC</t>
        </is>
      </c>
      <c r="AF460" s="575" t="inlineStr">
        <is>
          <t>MACK VENTURES LLC</t>
        </is>
      </c>
      <c r="AI460" s="59">
        <f>IF(AND($E460=Subj_OccCode,Subj_BldgSF&gt;0,ABS($L460-Subj_BldgSF)&lt;=Subj_BldgSF*Subj_SizeTol),ABS($L460-Subj_BldgSF),NA())</f>
        <v/>
      </c>
      <c r="AJ460">
        <f>IF(ISNA(AI460),NA(),AI460+ROW()/10000000)</f>
        <v/>
      </c>
      <c r="AK460">
        <f>IF(AND(ISNUMBER($N460),$N460&gt;0,ISNUMBER($Y460)),$Y460/$N460,"")</f>
        <v/>
      </c>
    </row>
    <row r="461" ht="15" customHeight="1" s="518">
      <c r="A461" s="123" t="n">
        <v>8</v>
      </c>
      <c r="B461" s="59" t="n">
        <v>455</v>
      </c>
      <c r="C461" t="inlineStr">
        <is>
          <t>R0066239</t>
        </is>
      </c>
      <c r="D461" t="inlineStr">
        <is>
          <t>7961  FEDERAL BLVD</t>
        </is>
      </c>
      <c r="E461" t="n">
        <v>344</v>
      </c>
      <c r="F461" t="inlineStr">
        <is>
          <t>WESTMINSTER</t>
        </is>
      </c>
      <c r="G461" t="inlineStr">
        <is>
          <t>4</t>
        </is>
      </c>
      <c r="H461" s="703">
        <f>Y461/J461</f>
        <v/>
      </c>
      <c r="I461" s="704" t="n">
        <v>43942</v>
      </c>
      <c r="J461" t="n">
        <v>4466</v>
      </c>
      <c r="L461" t="n">
        <v>4466</v>
      </c>
      <c r="M461" t="n">
        <v>1973</v>
      </c>
      <c r="P461" t="inlineStr">
        <is>
          <t>B-1-Wes</t>
        </is>
      </c>
      <c r="R461" t="inlineStr">
        <is>
          <t>Average</t>
        </is>
      </c>
      <c r="S461" t="n">
        <v>12330</v>
      </c>
      <c r="T461" s="119">
        <f>S461/J461</f>
        <v/>
      </c>
      <c r="U461" t="inlineStr">
        <is>
          <t>Average</t>
        </is>
      </c>
      <c r="Y461" t="n">
        <v>727200</v>
      </c>
      <c r="AA461" t="n">
        <v>727200</v>
      </c>
      <c r="AC461" t="inlineStr">
        <is>
          <t>0171932210053</t>
        </is>
      </c>
      <c r="AD461" t="inlineStr">
        <is>
          <t>2020000036513</t>
        </is>
      </c>
      <c r="AE461" s="575" t="inlineStr">
        <is>
          <t>DYLEE LLC</t>
        </is>
      </c>
      <c r="AF461" s="575" t="inlineStr">
        <is>
          <t>GOVEA LLC</t>
        </is>
      </c>
      <c r="AI461" s="59">
        <f>IF(AND($E461=Subj_OccCode,Subj_BldgSF&gt;0,ABS($L461-Subj_BldgSF)&lt;=Subj_BldgSF*Subj_SizeTol),ABS($L461-Subj_BldgSF),NA())</f>
        <v/>
      </c>
      <c r="AJ461">
        <f>IF(ISNA(AI461),NA(),AI461+ROW()/10000000)</f>
        <v/>
      </c>
      <c r="AK461">
        <f>IF(AND(ISNUMBER($N461),$N461&gt;0,ISNUMBER($Y461)),$Y461/$N461,"")</f>
        <v/>
      </c>
    </row>
    <row r="462" ht="15" customHeight="1" s="518">
      <c r="A462" s="123" t="n">
        <v>8</v>
      </c>
      <c r="B462" s="59" t="n">
        <v>456</v>
      </c>
      <c r="C462" t="inlineStr">
        <is>
          <t>R0159799</t>
        </is>
      </c>
      <c r="D462" t="inlineStr">
        <is>
          <t>6345 IVANHOE ST</t>
        </is>
      </c>
      <c r="E462" t="n">
        <v>344</v>
      </c>
      <c r="F462" t="inlineStr">
        <is>
          <t>COMMERCE CITY</t>
        </is>
      </c>
      <c r="G462" t="inlineStr">
        <is>
          <t>5</t>
        </is>
      </c>
      <c r="H462" s="703">
        <f>Y462/J462</f>
        <v/>
      </c>
      <c r="I462" s="704" t="n">
        <v>43917</v>
      </c>
      <c r="J462" t="n">
        <v>6889</v>
      </c>
      <c r="L462" t="n">
        <v>6889</v>
      </c>
      <c r="M462" t="n">
        <v>2006</v>
      </c>
      <c r="P462" t="inlineStr">
        <is>
          <t>C-3-Com</t>
        </is>
      </c>
      <c r="R462" t="inlineStr">
        <is>
          <t>Average</t>
        </is>
      </c>
      <c r="S462" t="n">
        <v>19140</v>
      </c>
      <c r="T462" s="119">
        <f>S462/J462</f>
        <v/>
      </c>
      <c r="U462" t="inlineStr">
        <is>
          <t>Average</t>
        </is>
      </c>
      <c r="Y462" t="n">
        <v>900000</v>
      </c>
      <c r="AA462" t="n">
        <v>900000</v>
      </c>
      <c r="AC462" t="inlineStr">
        <is>
          <t>0182308207010</t>
        </is>
      </c>
      <c r="AD462" t="inlineStr">
        <is>
          <t>2020000030948</t>
        </is>
      </c>
      <c r="AE462" s="575" t="inlineStr">
        <is>
          <t>IVANHOE PROPERTY GROUP LLC</t>
        </is>
      </c>
      <c r="AF462" s="575" t="inlineStr">
        <is>
          <t>GRISWOLD MICHAEL M AND, GRISWOLD ANNETTE M</t>
        </is>
      </c>
      <c r="AI462" s="59">
        <f>IF(AND($E462=Subj_OccCode,Subj_BldgSF&gt;0,ABS($L462-Subj_BldgSF)&lt;=Subj_BldgSF*Subj_SizeTol),ABS($L462-Subj_BldgSF),NA())</f>
        <v/>
      </c>
      <c r="AJ462">
        <f>IF(ISNA(AI462),NA(),AI462+ROW()/10000000)</f>
        <v/>
      </c>
      <c r="AK462">
        <f>IF(AND(ISNUMBER($N462),$N462&gt;0,ISNUMBER($Y462)),$Y462/$N462,"")</f>
        <v/>
      </c>
    </row>
    <row r="463" ht="15" customHeight="1" s="518">
      <c r="A463" s="123" t="n">
        <v>8</v>
      </c>
      <c r="B463" s="59" t="n">
        <v>457</v>
      </c>
      <c r="C463" t="inlineStr">
        <is>
          <t>R0164243</t>
        </is>
      </c>
      <c r="D463" t="inlineStr">
        <is>
          <t>9801  HAVANA ST</t>
        </is>
      </c>
      <c r="E463" t="n">
        <v>407</v>
      </c>
      <c r="F463" t="inlineStr">
        <is>
          <t>COMMERCE CITY</t>
        </is>
      </c>
      <c r="G463" t="inlineStr">
        <is>
          <t>5</t>
        </is>
      </c>
      <c r="H463" s="703">
        <f>Y463/J463</f>
        <v/>
      </c>
      <c r="I463" s="704" t="n">
        <v>44323</v>
      </c>
      <c r="J463" t="n">
        <v>32000</v>
      </c>
      <c r="L463" t="n">
        <v>32000</v>
      </c>
      <c r="M463" t="n">
        <v>2005</v>
      </c>
      <c r="P463" t="inlineStr">
        <is>
          <t>PUD-Com</t>
        </is>
      </c>
      <c r="R463" t="inlineStr">
        <is>
          <t>Average</t>
        </is>
      </c>
      <c r="S463" t="n">
        <v>135316</v>
      </c>
      <c r="T463" s="119">
        <f>S463/J463</f>
        <v/>
      </c>
      <c r="U463" t="inlineStr">
        <is>
          <t>Average</t>
        </is>
      </c>
      <c r="Y463" t="n">
        <v>4750000</v>
      </c>
      <c r="AA463" t="n">
        <v>4750000</v>
      </c>
      <c r="AC463" t="inlineStr">
        <is>
          <t>0172115401009</t>
        </is>
      </c>
      <c r="AD463" t="inlineStr">
        <is>
          <t>2021000056808</t>
        </is>
      </c>
      <c r="AE463" s="575" t="inlineStr">
        <is>
          <t>CAMIKA HOLDINGS LLC</t>
        </is>
      </c>
      <c r="AF463" s="575" t="inlineStr">
        <is>
          <t>HANLEY HOLDINGS LLC</t>
        </is>
      </c>
      <c r="AI463" s="59">
        <f>IF(AND($E463=Subj_OccCode,Subj_BldgSF&gt;0,ABS($L463-Subj_BldgSF)&lt;=Subj_BldgSF*Subj_SizeTol),ABS($L463-Subj_BldgSF),NA())</f>
        <v/>
      </c>
      <c r="AJ463">
        <f>IF(ISNA(AI463),NA(),AI463+ROW()/10000000)</f>
        <v/>
      </c>
      <c r="AK463">
        <f>IF(AND(ISNUMBER($N463),$N463&gt;0,ISNUMBER($Y463)),$Y463/$N463,"")</f>
        <v/>
      </c>
    </row>
    <row r="464" ht="15" customHeight="1" s="518">
      <c r="A464" s="123" t="n">
        <v>8</v>
      </c>
      <c r="B464" s="59" t="n">
        <v>458</v>
      </c>
      <c r="C464" t="inlineStr">
        <is>
          <t>R0066455</t>
        </is>
      </c>
      <c r="D464" t="inlineStr">
        <is>
          <t>3031 W 74TH AVE</t>
        </is>
      </c>
      <c r="E464" t="n">
        <v>413</v>
      </c>
      <c r="F464" t="inlineStr">
        <is>
          <t>WESTMINSTER</t>
        </is>
      </c>
      <c r="G464" t="inlineStr">
        <is>
          <t>4</t>
        </is>
      </c>
      <c r="H464" s="703">
        <f>Y464/J464</f>
        <v/>
      </c>
      <c r="I464" s="704" t="n">
        <v>44468</v>
      </c>
      <c r="J464" t="n">
        <v>124700</v>
      </c>
      <c r="L464" t="n">
        <v>124700</v>
      </c>
      <c r="M464" t="n">
        <v>1963</v>
      </c>
      <c r="P464" t="inlineStr">
        <is>
          <t>PUD-Wes</t>
        </is>
      </c>
      <c r="R464" t="inlineStr">
        <is>
          <t>Average</t>
        </is>
      </c>
      <c r="S464" t="n">
        <v>349871</v>
      </c>
      <c r="T464" s="119">
        <f>S464/J464</f>
        <v/>
      </c>
      <c r="U464" t="inlineStr">
        <is>
          <t>Average</t>
        </is>
      </c>
      <c r="Y464" t="n">
        <v>14250000</v>
      </c>
      <c r="AA464" t="n">
        <v>14250000</v>
      </c>
      <c r="AC464" t="inlineStr">
        <is>
          <t>0171932300078</t>
        </is>
      </c>
      <c r="AD464" t="inlineStr">
        <is>
          <t>2021000115751</t>
        </is>
      </c>
      <c r="AE464" s="575" t="inlineStr">
        <is>
          <t>DYNAMIS LLC</t>
        </is>
      </c>
      <c r="AF464" s="575" t="inlineStr">
        <is>
          <t>BROADWAY SQUARE RLLP UND 85.773% INT AND, WESTMINSTER SQUARE LLC UND 14.227%INT</t>
        </is>
      </c>
      <c r="AI464" s="59">
        <f>IF(AND($E464=Subj_OccCode,Subj_BldgSF&gt;0,ABS($L464-Subj_BldgSF)&lt;=Subj_BldgSF*Subj_SizeTol),ABS($L464-Subj_BldgSF),NA())</f>
        <v/>
      </c>
      <c r="AJ464">
        <f>IF(ISNA(AI464),NA(),AI464+ROW()/10000000)</f>
        <v/>
      </c>
      <c r="AK464">
        <f>IF(AND(ISNUMBER($N464),$N464&gt;0,ISNUMBER($Y464)),$Y464/$N464,"")</f>
        <v/>
      </c>
    </row>
    <row r="465" ht="15" customHeight="1" s="518">
      <c r="A465" s="123" t="n">
        <v>8</v>
      </c>
      <c r="B465" s="59" t="n">
        <v>459</v>
      </c>
      <c r="C465" t="inlineStr">
        <is>
          <t>R0131994</t>
        </is>
      </c>
      <c r="D465" t="inlineStr">
        <is>
          <t>12021  PENNSYLVANIA ST #109</t>
        </is>
      </c>
      <c r="E465" t="n">
        <v>344</v>
      </c>
      <c r="F465" t="inlineStr">
        <is>
          <t>THORNTON</t>
        </is>
      </c>
      <c r="G465" t="inlineStr">
        <is>
          <t>3</t>
        </is>
      </c>
      <c r="H465" s="703">
        <f>Y465/J465</f>
        <v/>
      </c>
      <c r="I465" s="704" t="n">
        <v>43735</v>
      </c>
      <c r="J465" t="n">
        <v>940</v>
      </c>
      <c r="L465" t="n">
        <v>940</v>
      </c>
      <c r="M465" t="n">
        <v>2000</v>
      </c>
      <c r="P465" t="inlineStr">
        <is>
          <t>Regional Commercial</t>
        </is>
      </c>
      <c r="R465" t="inlineStr">
        <is>
          <t>Average</t>
        </is>
      </c>
      <c r="S465" t="n">
        <v>3838.69</v>
      </c>
      <c r="T465" s="119">
        <f>S465/J465</f>
        <v/>
      </c>
      <c r="U465" t="inlineStr">
        <is>
          <t>Average</t>
        </is>
      </c>
      <c r="Y465" t="n">
        <v>240000</v>
      </c>
      <c r="AA465" t="n">
        <v>240000</v>
      </c>
      <c r="AC465" t="inlineStr">
        <is>
          <t>0157334401011</t>
        </is>
      </c>
      <c r="AD465" t="inlineStr">
        <is>
          <t>2019000081953</t>
        </is>
      </c>
      <c r="AE465" s="575" t="inlineStr">
        <is>
          <t>KOSOROK JOINT FAMILY TRUST THE AND, ELLISS JOINT FAMILY TRUST THE</t>
        </is>
      </c>
      <c r="AF465" s="575" t="inlineStr">
        <is>
          <t>PENN REAL ESTATE 109 LLC</t>
        </is>
      </c>
      <c r="AI465" s="59">
        <f>IF(AND($E465=Subj_OccCode,Subj_BldgSF&gt;0,ABS($L465-Subj_BldgSF)&lt;=Subj_BldgSF*Subj_SizeTol),ABS($L465-Subj_BldgSF),NA())</f>
        <v/>
      </c>
      <c r="AJ465">
        <f>IF(ISNA(AI465),NA(),AI465+ROW()/10000000)</f>
        <v/>
      </c>
      <c r="AK465">
        <f>IF(AND(ISNUMBER($N465),$N465&gt;0,ISNUMBER($Y465)),$Y465/$N465,"")</f>
        <v/>
      </c>
    </row>
    <row r="466" ht="15" customHeight="1" s="518">
      <c r="A466" s="123" t="n">
        <v>8</v>
      </c>
      <c r="B466" s="59" t="n">
        <v>460</v>
      </c>
      <c r="C466" t="inlineStr">
        <is>
          <t>R0093922</t>
        </is>
      </c>
      <c r="D466" t="inlineStr">
        <is>
          <t>3151  OAKLAND ST</t>
        </is>
      </c>
      <c r="E466" t="n">
        <v>325</v>
      </c>
      <c r="F466" t="inlineStr">
        <is>
          <t>AURORA</t>
        </is>
      </c>
      <c r="G466" t="inlineStr">
        <is>
          <t>6</t>
        </is>
      </c>
      <c r="H466" s="703">
        <f>Y466/J466</f>
        <v/>
      </c>
      <c r="I466" s="704" t="n">
        <v>43728</v>
      </c>
      <c r="J466" t="n">
        <v>9700</v>
      </c>
      <c r="L466" t="n">
        <v>9700</v>
      </c>
      <c r="M466" t="n">
        <v>1966</v>
      </c>
      <c r="P466" t="inlineStr">
        <is>
          <t>M-3</t>
        </is>
      </c>
      <c r="R466" t="inlineStr">
        <is>
          <t>Average</t>
        </is>
      </c>
      <c r="S466" t="n">
        <v>22800</v>
      </c>
      <c r="T466" s="119">
        <f>S466/J466</f>
        <v/>
      </c>
      <c r="U466" t="inlineStr">
        <is>
          <t>Average</t>
        </is>
      </c>
      <c r="Y466" t="n">
        <v>1282000</v>
      </c>
      <c r="AA466" t="n">
        <v>1282000</v>
      </c>
      <c r="AC466" t="inlineStr">
        <is>
          <t>0182326402007</t>
        </is>
      </c>
      <c r="AD466" t="inlineStr">
        <is>
          <t>2019000079764</t>
        </is>
      </c>
      <c r="AE466" s="575" t="inlineStr">
        <is>
          <t>KORMISHKIN EUGENE</t>
        </is>
      </c>
      <c r="AF466" s="575" t="inlineStr">
        <is>
          <t>HTV COLORADO PROPERTIES LLC</t>
        </is>
      </c>
      <c r="AI466" s="59">
        <f>IF(AND($E466=Subj_OccCode,Subj_BldgSF&gt;0,ABS($L466-Subj_BldgSF)&lt;=Subj_BldgSF*Subj_SizeTol),ABS($L466-Subj_BldgSF),NA())</f>
        <v/>
      </c>
      <c r="AJ466">
        <f>IF(ISNA(AI466),NA(),AI466+ROW()/10000000)</f>
        <v/>
      </c>
      <c r="AK466">
        <f>IF(AND(ISNUMBER($N466),$N466&gt;0,ISNUMBER($Y466)),$Y466/$N466,"")</f>
        <v/>
      </c>
    </row>
    <row r="467" ht="15" customHeight="1" s="518">
      <c r="A467" s="123" t="n">
        <v>8</v>
      </c>
      <c r="B467" s="59" t="n">
        <v>461</v>
      </c>
      <c r="C467" t="inlineStr">
        <is>
          <t>R0093880</t>
        </is>
      </c>
      <c r="D467" t="inlineStr">
        <is>
          <t>11951 E 33RD AVE</t>
        </is>
      </c>
      <c r="E467" t="n">
        <v>407</v>
      </c>
      <c r="F467" t="inlineStr">
        <is>
          <t>AURORA</t>
        </is>
      </c>
      <c r="G467" t="inlineStr">
        <is>
          <t>6</t>
        </is>
      </c>
      <c r="H467" s="703">
        <f>Y467/J467</f>
        <v/>
      </c>
      <c r="I467" s="704" t="n">
        <v>44396</v>
      </c>
      <c r="J467" t="n">
        <v>39600</v>
      </c>
      <c r="L467" t="n">
        <v>39600</v>
      </c>
      <c r="M467" t="n">
        <v>1979</v>
      </c>
      <c r="P467" t="inlineStr">
        <is>
          <t>M-2</t>
        </is>
      </c>
      <c r="R467" t="inlineStr">
        <is>
          <t>Average</t>
        </is>
      </c>
      <c r="S467" t="n">
        <v>204296</v>
      </c>
      <c r="T467" s="119">
        <f>S467/J467</f>
        <v/>
      </c>
      <c r="U467" t="inlineStr">
        <is>
          <t>Average</t>
        </is>
      </c>
      <c r="Y467" t="n">
        <v>7425000</v>
      </c>
      <c r="AA467" t="n">
        <v>7425000</v>
      </c>
      <c r="AC467" t="inlineStr">
        <is>
          <t>0182326101037</t>
        </is>
      </c>
      <c r="AD467" t="inlineStr">
        <is>
          <t>2021000085996</t>
        </is>
      </c>
      <c r="AE467" s="575" t="inlineStr">
        <is>
          <t>11951 E 33RD AVE LLC</t>
        </is>
      </c>
      <c r="AF467" s="575" t="inlineStr">
        <is>
          <t>NLA GCH AURORA LLC</t>
        </is>
      </c>
      <c r="AI467" s="59">
        <f>IF(AND($E467=Subj_OccCode,Subj_BldgSF&gt;0,ABS($L467-Subj_BldgSF)&lt;=Subj_BldgSF*Subj_SizeTol),ABS($L467-Subj_BldgSF),NA())</f>
        <v/>
      </c>
      <c r="AJ467">
        <f>IF(ISNA(AI467),NA(),AI467+ROW()/10000000)</f>
        <v/>
      </c>
      <c r="AK467">
        <f>IF(AND(ISNUMBER($N467),$N467&gt;0,ISNUMBER($Y467)),$Y467/$N467,"")</f>
        <v/>
      </c>
    </row>
    <row r="468" ht="15" customHeight="1" s="518">
      <c r="A468" s="123" t="n">
        <v>8</v>
      </c>
      <c r="B468" s="59" t="n">
        <v>462</v>
      </c>
      <c r="C468" t="inlineStr">
        <is>
          <t>R0093894</t>
        </is>
      </c>
      <c r="D468" t="inlineStr">
        <is>
          <t>3223  OAKLAND ST</t>
        </is>
      </c>
      <c r="E468" t="n">
        <v>406</v>
      </c>
      <c r="F468" t="inlineStr">
        <is>
          <t>AURORA</t>
        </is>
      </c>
      <c r="G468" t="inlineStr">
        <is>
          <t>6</t>
        </is>
      </c>
      <c r="H468" s="703">
        <f>Y468/J468</f>
        <v/>
      </c>
      <c r="I468" s="704" t="n">
        <v>43725</v>
      </c>
      <c r="J468" t="n">
        <v>6250</v>
      </c>
      <c r="L468" t="n">
        <v>6250</v>
      </c>
      <c r="M468" t="n">
        <v>1971</v>
      </c>
      <c r="P468" t="inlineStr">
        <is>
          <t>M-3</t>
        </is>
      </c>
      <c r="R468" t="inlineStr">
        <is>
          <t>Average</t>
        </is>
      </c>
      <c r="S468" t="n">
        <v>23750</v>
      </c>
      <c r="T468" s="119">
        <f>S468/J468</f>
        <v/>
      </c>
      <c r="U468" t="inlineStr">
        <is>
          <t>Average</t>
        </is>
      </c>
      <c r="Y468" t="n">
        <v>968700</v>
      </c>
      <c r="AA468" t="n">
        <v>968700</v>
      </c>
      <c r="AC468" t="inlineStr">
        <is>
          <t>0182326102005</t>
        </is>
      </c>
      <c r="AD468" t="inlineStr">
        <is>
          <t>2019000080241</t>
        </is>
      </c>
      <c r="AE468" s="575" t="inlineStr">
        <is>
          <t>NORTH JAMES R AND, NORTH JOAN F</t>
        </is>
      </c>
      <c r="AF468" s="575" t="inlineStr">
        <is>
          <t>TRACKING INVESTMENTS LLC</t>
        </is>
      </c>
      <c r="AI468" s="59">
        <f>IF(AND($E468=Subj_OccCode,Subj_BldgSF&gt;0,ABS($L468-Subj_BldgSF)&lt;=Subj_BldgSF*Subj_SizeTol),ABS($L468-Subj_BldgSF),NA())</f>
        <v/>
      </c>
      <c r="AJ468">
        <f>IF(ISNA(AI468),NA(),AI468+ROW()/10000000)</f>
        <v/>
      </c>
      <c r="AK468">
        <f>IF(AND(ISNUMBER($N468),$N468&gt;0,ISNUMBER($Y468)),$Y468/$N468,"")</f>
        <v/>
      </c>
    </row>
    <row r="469" ht="15" customHeight="1" s="518">
      <c r="A469" s="123" t="n">
        <v>8</v>
      </c>
      <c r="B469" s="59" t="n">
        <v>463</v>
      </c>
      <c r="C469" t="inlineStr">
        <is>
          <t>R0058427</t>
        </is>
      </c>
      <c r="D469" t="inlineStr">
        <is>
          <t>500 W 84TH AVE</t>
        </is>
      </c>
      <c r="E469" t="n">
        <v>384</v>
      </c>
      <c r="G469" t="inlineStr">
        <is>
          <t>4</t>
        </is>
      </c>
      <c r="H469" s="703">
        <f>Y469/J469</f>
        <v/>
      </c>
      <c r="I469" s="704" t="n">
        <v>44461</v>
      </c>
      <c r="J469" t="n">
        <v>2450</v>
      </c>
      <c r="L469" t="n">
        <v>2450</v>
      </c>
      <c r="M469" t="n">
        <v>1982</v>
      </c>
      <c r="P469" t="inlineStr">
        <is>
          <t>Commercial</t>
        </is>
      </c>
      <c r="R469" t="inlineStr">
        <is>
          <t>Average</t>
        </is>
      </c>
      <c r="S469" t="n">
        <v>8400</v>
      </c>
      <c r="T469" s="119">
        <f>S469/J469</f>
        <v/>
      </c>
      <c r="U469" t="inlineStr">
        <is>
          <t>Average</t>
        </is>
      </c>
      <c r="Y469" t="n">
        <v>740000</v>
      </c>
      <c r="AA469" t="n">
        <v>740000</v>
      </c>
      <c r="AC469" t="inlineStr">
        <is>
          <t>0171927305001</t>
        </is>
      </c>
      <c r="AD469" t="inlineStr">
        <is>
          <t>2021000112745</t>
        </is>
      </c>
      <c r="AE469" s="575" t="inlineStr">
        <is>
          <t>500 W 84 LLC</t>
        </is>
      </c>
      <c r="AF469" s="575" t="inlineStr">
        <is>
          <t>HERMOZ LLC</t>
        </is>
      </c>
      <c r="AI469" s="59">
        <f>IF(AND($E469=Subj_OccCode,Subj_BldgSF&gt;0,ABS($L469-Subj_BldgSF)&lt;=Subj_BldgSF*Subj_SizeTol),ABS($L469-Subj_BldgSF),NA())</f>
        <v/>
      </c>
      <c r="AJ469">
        <f>IF(ISNA(AI469),NA(),AI469+ROW()/10000000)</f>
        <v/>
      </c>
      <c r="AK469">
        <f>IF(AND(ISNUMBER($N469),$N469&gt;0,ISNUMBER($Y469)),$Y469/$N469,"")</f>
        <v/>
      </c>
    </row>
    <row r="470" ht="15" customHeight="1" s="518">
      <c r="A470" s="123" t="n">
        <v>8</v>
      </c>
      <c r="B470" s="59" t="n">
        <v>464</v>
      </c>
      <c r="C470" t="inlineStr">
        <is>
          <t>R0091804</t>
        </is>
      </c>
      <c r="D470" t="inlineStr">
        <is>
          <t>6075 E 60TH AVE</t>
        </is>
      </c>
      <c r="E470" t="n">
        <v>344</v>
      </c>
      <c r="F470" t="inlineStr">
        <is>
          <t>COMMERCE CITY</t>
        </is>
      </c>
      <c r="G470" t="inlineStr">
        <is>
          <t>5</t>
        </is>
      </c>
      <c r="H470" s="703">
        <f>Y470/J470</f>
        <v/>
      </c>
      <c r="I470" s="704" t="n">
        <v>43731</v>
      </c>
      <c r="J470" t="n">
        <v>2080</v>
      </c>
      <c r="L470" t="n">
        <v>2080</v>
      </c>
      <c r="M470" t="n">
        <v>1974</v>
      </c>
      <c r="P470" t="inlineStr">
        <is>
          <t>C-1-Com</t>
        </is>
      </c>
      <c r="R470" t="inlineStr">
        <is>
          <t>Average</t>
        </is>
      </c>
      <c r="S470" t="n">
        <v>19375</v>
      </c>
      <c r="T470" s="119">
        <f>S470/J470</f>
        <v/>
      </c>
      <c r="U470" t="inlineStr">
        <is>
          <t>Average</t>
        </is>
      </c>
      <c r="Y470" t="n">
        <v>380000</v>
      </c>
      <c r="AA470" t="n">
        <v>380000</v>
      </c>
      <c r="AC470" t="inlineStr">
        <is>
          <t>0182308217013</t>
        </is>
      </c>
      <c r="AD470" t="inlineStr">
        <is>
          <t>2019000090076</t>
        </is>
      </c>
      <c r="AE470" s="575" t="inlineStr">
        <is>
          <t>TIS LEASING LLC</t>
        </is>
      </c>
      <c r="AF470" s="575" t="inlineStr">
        <is>
          <t>ANYHOME INVESTMENT GROUP LLC</t>
        </is>
      </c>
      <c r="AI470" s="59">
        <f>IF(AND($E470=Subj_OccCode,Subj_BldgSF&gt;0,ABS($L470-Subj_BldgSF)&lt;=Subj_BldgSF*Subj_SizeTol),ABS($L470-Subj_BldgSF),NA())</f>
        <v/>
      </c>
      <c r="AJ470">
        <f>IF(ISNA(AI470),NA(),AI470+ROW()/10000000)</f>
        <v/>
      </c>
      <c r="AK470">
        <f>IF(AND(ISNUMBER($N470),$N470&gt;0,ISNUMBER($Y470)),$Y470/$N470,"")</f>
        <v/>
      </c>
    </row>
    <row r="471" ht="15" customHeight="1" s="518">
      <c r="A471" s="123" t="n">
        <v>8</v>
      </c>
      <c r="B471" s="59" t="n">
        <v>465</v>
      </c>
      <c r="C471" t="inlineStr">
        <is>
          <t>R0095615</t>
        </is>
      </c>
      <c r="D471" t="inlineStr">
        <is>
          <t>1550  ELMIRA ST</t>
        </is>
      </c>
      <c r="E471" t="n">
        <v>344</v>
      </c>
      <c r="F471" t="inlineStr">
        <is>
          <t>AURORA</t>
        </is>
      </c>
      <c r="G471" t="inlineStr">
        <is>
          <t>6</t>
        </is>
      </c>
      <c r="H471" s="703">
        <f>Y471/J471</f>
        <v/>
      </c>
      <c r="I471" s="704" t="n">
        <v>44348</v>
      </c>
      <c r="J471" t="n">
        <v>1994</v>
      </c>
      <c r="L471" t="n">
        <v>1994</v>
      </c>
      <c r="M471" t="n">
        <v>1969</v>
      </c>
      <c r="P471" t="inlineStr">
        <is>
          <t>OA-MS</t>
        </is>
      </c>
      <c r="R471" t="inlineStr">
        <is>
          <t>Average</t>
        </is>
      </c>
      <c r="S471" t="n">
        <v>6250</v>
      </c>
      <c r="T471" s="119">
        <f>S471/J471</f>
        <v/>
      </c>
      <c r="U471" t="inlineStr">
        <is>
          <t>Average</t>
        </is>
      </c>
      <c r="Y471" t="n">
        <v>385000</v>
      </c>
      <c r="AA471" t="n">
        <v>385000</v>
      </c>
      <c r="AC471" t="inlineStr">
        <is>
          <t>0182334425019</t>
        </is>
      </c>
      <c r="AD471" t="inlineStr">
        <is>
          <t>2021000067125</t>
        </is>
      </c>
      <c r="AE471" s="575" t="inlineStr">
        <is>
          <t>ROSS JENNIFER C LIVING TRUST</t>
        </is>
      </c>
      <c r="AF471" s="575" t="inlineStr">
        <is>
          <t>SCI-1550 ELMIRA LLC</t>
        </is>
      </c>
      <c r="AI471" s="59">
        <f>IF(AND($E471=Subj_OccCode,Subj_BldgSF&gt;0,ABS($L471-Subj_BldgSF)&lt;=Subj_BldgSF*Subj_SizeTol),ABS($L471-Subj_BldgSF),NA())</f>
        <v/>
      </c>
      <c r="AJ471">
        <f>IF(ISNA(AI471),NA(),AI471+ROW()/10000000)</f>
        <v/>
      </c>
      <c r="AK471">
        <f>IF(AND(ISNUMBER($N471),$N471&gt;0,ISNUMBER($Y471)),$Y471/$N471,"")</f>
        <v/>
      </c>
    </row>
    <row r="472" ht="15" customHeight="1" s="518">
      <c r="A472" s="123" t="n">
        <v>8</v>
      </c>
      <c r="B472" s="59" t="n">
        <v>466</v>
      </c>
      <c r="C472" t="inlineStr">
        <is>
          <t>R0091298</t>
        </is>
      </c>
      <c r="D472" t="inlineStr">
        <is>
          <t>6171  OLIVE ST</t>
        </is>
      </c>
      <c r="E472" t="n">
        <v>442</v>
      </c>
      <c r="F472" t="inlineStr">
        <is>
          <t>COMMERCE CITY</t>
        </is>
      </c>
      <c r="G472" t="inlineStr">
        <is>
          <t>5</t>
        </is>
      </c>
      <c r="H472" s="703">
        <f>Y472/J472</f>
        <v/>
      </c>
      <c r="I472" s="704" t="n">
        <v>43271</v>
      </c>
      <c r="J472" t="n">
        <v>1500</v>
      </c>
      <c r="L472" t="n">
        <v>1500</v>
      </c>
      <c r="M472" t="n">
        <v>1942</v>
      </c>
      <c r="P472" t="inlineStr">
        <is>
          <t>Commerce City</t>
        </is>
      </c>
      <c r="R472" t="inlineStr">
        <is>
          <t>Average</t>
        </is>
      </c>
      <c r="S472" t="n">
        <v>21150</v>
      </c>
      <c r="T472" s="119">
        <f>S472/J472</f>
        <v/>
      </c>
      <c r="U472" t="inlineStr">
        <is>
          <t>Average</t>
        </is>
      </c>
      <c r="Y472" t="n">
        <v>300000</v>
      </c>
      <c r="AA472" t="n">
        <v>300000</v>
      </c>
      <c r="AC472" t="inlineStr">
        <is>
          <t>0182308114018</t>
        </is>
      </c>
      <c r="AD472" t="inlineStr">
        <is>
          <t>2018000050337</t>
        </is>
      </c>
      <c r="AE472" s="575" t="inlineStr">
        <is>
          <t>TAR HILL INVESTMENTS LLC</t>
        </is>
      </c>
      <c r="AF472" s="575" t="inlineStr">
        <is>
          <t>DANKO-HOLLOWAY LLC</t>
        </is>
      </c>
      <c r="AI472" s="59">
        <f>IF(AND($E472=Subj_OccCode,Subj_BldgSF&gt;0,ABS($L472-Subj_BldgSF)&lt;=Subj_BldgSF*Subj_SizeTol),ABS($L472-Subj_BldgSF),NA())</f>
        <v/>
      </c>
      <c r="AJ472">
        <f>IF(ISNA(AI472),NA(),AI472+ROW()/10000000)</f>
        <v/>
      </c>
      <c r="AK472">
        <f>IF(AND(ISNUMBER($N472),$N472&gt;0,ISNUMBER($Y472)),$Y472/$N472,"")</f>
        <v/>
      </c>
    </row>
    <row r="473" ht="15" customHeight="1" s="518">
      <c r="A473" s="123" t="n">
        <v>8</v>
      </c>
      <c r="B473" s="59" t="n">
        <v>467</v>
      </c>
      <c r="C473" t="inlineStr">
        <is>
          <t>R0002834</t>
        </is>
      </c>
      <c r="D473" t="inlineStr">
        <is>
          <t>43 N MAIN ST</t>
        </is>
      </c>
      <c r="E473" t="n">
        <v>353</v>
      </c>
      <c r="F473" t="inlineStr">
        <is>
          <t>BRIGHTON</t>
        </is>
      </c>
      <c r="G473" t="inlineStr">
        <is>
          <t>2</t>
        </is>
      </c>
      <c r="H473" s="703">
        <f>Y473/J473</f>
        <v/>
      </c>
      <c r="I473" s="704" t="n">
        <v>44483</v>
      </c>
      <c r="J473" t="n">
        <v>2250</v>
      </c>
      <c r="L473" t="n">
        <v>2250</v>
      </c>
      <c r="M473" t="n">
        <v>1895</v>
      </c>
      <c r="P473" t="inlineStr">
        <is>
          <t>DT</t>
        </is>
      </c>
      <c r="R473" t="inlineStr">
        <is>
          <t>Low</t>
        </is>
      </c>
      <c r="S473" t="n">
        <v>5227</v>
      </c>
      <c r="T473" s="119">
        <f>S473/J473</f>
        <v/>
      </c>
      <c r="U473" t="inlineStr">
        <is>
          <t>Average</t>
        </is>
      </c>
      <c r="Y473" t="n">
        <v>420000</v>
      </c>
      <c r="AA473" t="n">
        <v>420000</v>
      </c>
      <c r="AC473" t="inlineStr">
        <is>
          <t>0156906314002</t>
        </is>
      </c>
      <c r="AD473" t="inlineStr">
        <is>
          <t>2021000121938</t>
        </is>
      </c>
      <c r="AE473" s="575" t="inlineStr">
        <is>
          <t>PLOCK GARY A AND, PLOCK PAMELA L</t>
        </is>
      </c>
      <c r="AF473" s="575" t="inlineStr">
        <is>
          <t>DOHERTY DANIEL R</t>
        </is>
      </c>
      <c r="AI473" s="59">
        <f>IF(AND($E473=Subj_OccCode,Subj_BldgSF&gt;0,ABS($L473-Subj_BldgSF)&lt;=Subj_BldgSF*Subj_SizeTol),ABS($L473-Subj_BldgSF),NA())</f>
        <v/>
      </c>
      <c r="AJ473">
        <f>IF(ISNA(AI473),NA(),AI473+ROW()/10000000)</f>
        <v/>
      </c>
      <c r="AK473">
        <f>IF(AND(ISNUMBER($N473),$N473&gt;0,ISNUMBER($Y473)),$Y473/$N473,"")</f>
        <v/>
      </c>
    </row>
    <row r="474" ht="15" customHeight="1" s="518">
      <c r="A474" s="123" t="n">
        <v>8</v>
      </c>
      <c r="B474" s="59" t="n">
        <v>468</v>
      </c>
      <c r="C474" t="inlineStr">
        <is>
          <t>R0002835</t>
        </is>
      </c>
      <c r="D474" t="inlineStr">
        <is>
          <t>39 N MAIN ST</t>
        </is>
      </c>
      <c r="E474" t="n">
        <v>353</v>
      </c>
      <c r="F474" t="inlineStr">
        <is>
          <t>BRIGHTON</t>
        </is>
      </c>
      <c r="G474" t="inlineStr">
        <is>
          <t>2</t>
        </is>
      </c>
      <c r="H474" s="703">
        <f>Y474/J474</f>
        <v/>
      </c>
      <c r="I474" s="704" t="n">
        <v>44483</v>
      </c>
      <c r="J474" t="n">
        <v>2260</v>
      </c>
      <c r="L474" t="n">
        <v>2260</v>
      </c>
      <c r="M474" t="n">
        <v>1897</v>
      </c>
      <c r="P474" t="inlineStr">
        <is>
          <t>DT</t>
        </is>
      </c>
      <c r="R474" t="inlineStr">
        <is>
          <t>Average</t>
        </is>
      </c>
      <c r="S474" t="n">
        <v>4920</v>
      </c>
      <c r="T474" s="119">
        <f>S474/J474</f>
        <v/>
      </c>
      <c r="U474" t="inlineStr">
        <is>
          <t>Average</t>
        </is>
      </c>
      <c r="Y474" t="n">
        <v>420000</v>
      </c>
      <c r="AA474" t="n">
        <v>420000</v>
      </c>
      <c r="AC474" t="inlineStr">
        <is>
          <t>0156906314003</t>
        </is>
      </c>
      <c r="AD474" t="inlineStr">
        <is>
          <t>2021000121932</t>
        </is>
      </c>
      <c r="AE474" s="575" t="inlineStr">
        <is>
          <t>PLOCK GARY A AND, PLOCK PAMELA L</t>
        </is>
      </c>
      <c r="AF474" s="575" t="inlineStr">
        <is>
          <t>DOHERTY DANIEL R</t>
        </is>
      </c>
      <c r="AI474" s="59">
        <f>IF(AND($E474=Subj_OccCode,Subj_BldgSF&gt;0,ABS($L474-Subj_BldgSF)&lt;=Subj_BldgSF*Subj_SizeTol),ABS($L474-Subj_BldgSF),NA())</f>
        <v/>
      </c>
      <c r="AJ474">
        <f>IF(ISNA(AI474),NA(),AI474+ROW()/10000000)</f>
        <v/>
      </c>
      <c r="AK474">
        <f>IF(AND(ISNUMBER($N474),$N474&gt;0,ISNUMBER($Y474)),$Y474/$N474,"")</f>
        <v/>
      </c>
    </row>
    <row r="475" ht="15" customHeight="1" s="518">
      <c r="A475" s="123" t="n">
        <v>8</v>
      </c>
      <c r="B475" s="59" t="n">
        <v>469</v>
      </c>
      <c r="C475" t="inlineStr">
        <is>
          <t>R0054373</t>
        </is>
      </c>
      <c r="D475" t="inlineStr">
        <is>
          <t>2301 E 88TH AVE</t>
        </is>
      </c>
      <c r="E475" t="n">
        <v>419</v>
      </c>
      <c r="F475" t="inlineStr">
        <is>
          <t>THORNTON</t>
        </is>
      </c>
      <c r="G475" t="inlineStr">
        <is>
          <t>4</t>
        </is>
      </c>
      <c r="H475" s="703">
        <f>Y475/J475</f>
        <v/>
      </c>
      <c r="I475" s="704" t="n">
        <v>44644</v>
      </c>
      <c r="J475" t="n">
        <v>2467</v>
      </c>
      <c r="L475" t="n">
        <v>2467</v>
      </c>
      <c r="M475" t="n">
        <v>1987</v>
      </c>
      <c r="P475" t="inlineStr">
        <is>
          <t>Community Retail</t>
        </is>
      </c>
      <c r="R475" t="inlineStr">
        <is>
          <t>Average</t>
        </is>
      </c>
      <c r="S475" t="n">
        <v>18750</v>
      </c>
      <c r="T475" s="119">
        <f>S475/J475</f>
        <v/>
      </c>
      <c r="U475" t="inlineStr">
        <is>
          <t>Average</t>
        </is>
      </c>
      <c r="Y475" t="n">
        <v>2470000</v>
      </c>
      <c r="AA475" t="n">
        <v>2470000</v>
      </c>
      <c r="AC475" t="inlineStr">
        <is>
          <t>0171924319001</t>
        </is>
      </c>
      <c r="AD475" t="inlineStr">
        <is>
          <t>2022000028346</t>
        </is>
      </c>
      <c r="AE475" s="575" t="inlineStr">
        <is>
          <t>CF ALTITUDE PROPCO II LLC</t>
        </is>
      </c>
      <c r="AF475" s="575" t="inlineStr">
        <is>
          <t>HAZARD LAKE LLC</t>
        </is>
      </c>
      <c r="AI475" s="59">
        <f>IF(AND($E475=Subj_OccCode,Subj_BldgSF&gt;0,ABS($L475-Subj_BldgSF)&lt;=Subj_BldgSF*Subj_SizeTol),ABS($L475-Subj_BldgSF),NA())</f>
        <v/>
      </c>
      <c r="AJ475">
        <f>IF(ISNA(AI475),NA(),AI475+ROW()/10000000)</f>
        <v/>
      </c>
      <c r="AK475">
        <f>IF(AND(ISNUMBER($N475),$N475&gt;0,ISNUMBER($Y475)),$Y475/$N475,"")</f>
        <v/>
      </c>
    </row>
    <row r="476" ht="15" customHeight="1" s="518">
      <c r="A476" s="123" t="n">
        <v>8</v>
      </c>
      <c r="B476" s="59" t="n">
        <v>470</v>
      </c>
      <c r="C476" t="inlineStr">
        <is>
          <t>R0054373</t>
        </is>
      </c>
      <c r="D476" t="inlineStr">
        <is>
          <t>2301 E 88TH AVE</t>
        </is>
      </c>
      <c r="E476" t="n">
        <v>419</v>
      </c>
      <c r="F476" t="inlineStr">
        <is>
          <t>THORNTON</t>
        </is>
      </c>
      <c r="G476" t="inlineStr">
        <is>
          <t>4</t>
        </is>
      </c>
      <c r="H476" s="703">
        <f>Y476/J476</f>
        <v/>
      </c>
      <c r="I476" s="704" t="n">
        <v>43112</v>
      </c>
      <c r="J476" t="n">
        <v>2467</v>
      </c>
      <c r="L476" t="n">
        <v>2467</v>
      </c>
      <c r="M476" t="n">
        <v>1987</v>
      </c>
      <c r="P476" t="inlineStr">
        <is>
          <t>Thornton</t>
        </is>
      </c>
      <c r="R476" t="inlineStr">
        <is>
          <t>Average</t>
        </is>
      </c>
      <c r="S476" t="n">
        <v>18750</v>
      </c>
      <c r="T476" s="119">
        <f>S476/J476</f>
        <v/>
      </c>
      <c r="U476" t="inlineStr">
        <is>
          <t>Average</t>
        </is>
      </c>
      <c r="Y476" t="n">
        <v>1083700</v>
      </c>
      <c r="AA476" t="n">
        <v>1083700</v>
      </c>
      <c r="AC476" t="inlineStr">
        <is>
          <t>0171924319001</t>
        </is>
      </c>
      <c r="AD476" t="inlineStr">
        <is>
          <t>2018000006835</t>
        </is>
      </c>
      <c r="AE476" s="575" t="inlineStr">
        <is>
          <t>H.D.T. TEN LIMITED LIABILITY, COMPANY</t>
        </is>
      </c>
      <c r="AF476" s="575" t="inlineStr">
        <is>
          <t>CH REALTY VIII/CT CO WESTERN LLC</t>
        </is>
      </c>
      <c r="AI476" s="59">
        <f>IF(AND($E476=Subj_OccCode,Subj_BldgSF&gt;0,ABS($L476-Subj_BldgSF)&lt;=Subj_BldgSF*Subj_SizeTol),ABS($L476-Subj_BldgSF),NA())</f>
        <v/>
      </c>
      <c r="AJ476">
        <f>IF(ISNA(AI476),NA(),AI476+ROW()/10000000)</f>
        <v/>
      </c>
      <c r="AK476">
        <f>IF(AND(ISNUMBER($N476),$N476&gt;0,ISNUMBER($Y476)),$Y476/$N476,"")</f>
        <v/>
      </c>
    </row>
    <row r="477" ht="15" customHeight="1" s="518">
      <c r="A477" s="123" t="n">
        <v>8</v>
      </c>
      <c r="B477" s="59" t="n">
        <v>471</v>
      </c>
      <c r="C477" t="inlineStr">
        <is>
          <t>R0048713</t>
        </is>
      </c>
      <c r="D477" t="inlineStr">
        <is>
          <t>9462  FEDERAL BLVD</t>
        </is>
      </c>
      <c r="E477" t="n">
        <v>344</v>
      </c>
      <c r="F477" t="inlineStr">
        <is>
          <t>FEDERAL HEIGHTS</t>
        </is>
      </c>
      <c r="G477" t="inlineStr">
        <is>
          <t>4</t>
        </is>
      </c>
      <c r="H477" s="703">
        <f>Y477/J477</f>
        <v/>
      </c>
      <c r="I477" s="704" t="n">
        <v>44564</v>
      </c>
      <c r="J477" t="n">
        <v>2976</v>
      </c>
      <c r="L477" t="n">
        <v>2976</v>
      </c>
      <c r="M477" t="n">
        <v>1979</v>
      </c>
      <c r="P477" t="inlineStr">
        <is>
          <t>C-1-Fed</t>
        </is>
      </c>
      <c r="R477" t="inlineStr">
        <is>
          <t>Average</t>
        </is>
      </c>
      <c r="S477" t="n">
        <v>13972</v>
      </c>
      <c r="T477" s="119">
        <f>S477/J477</f>
        <v/>
      </c>
      <c r="U477" t="inlineStr">
        <is>
          <t>Average</t>
        </is>
      </c>
      <c r="Y477" t="n">
        <v>1025000</v>
      </c>
      <c r="AA477" t="n">
        <v>1025000</v>
      </c>
      <c r="AC477" t="inlineStr">
        <is>
          <t>0171920101010</t>
        </is>
      </c>
      <c r="AD477" t="inlineStr">
        <is>
          <t>2022000000831</t>
        </is>
      </c>
      <c r="AE477" s="575" t="inlineStr">
        <is>
          <t>TJ INVESTMENTS LLC</t>
        </is>
      </c>
      <c r="AF477" s="575" t="inlineStr">
        <is>
          <t>FG LAND INVESTMENTS LLC</t>
        </is>
      </c>
      <c r="AI477" s="59">
        <f>IF(AND($E477=Subj_OccCode,Subj_BldgSF&gt;0,ABS($L477-Subj_BldgSF)&lt;=Subj_BldgSF*Subj_SizeTol),ABS($L477-Subj_BldgSF),NA())</f>
        <v/>
      </c>
      <c r="AJ477">
        <f>IF(ISNA(AI477),NA(),AI477+ROW()/10000000)</f>
        <v/>
      </c>
      <c r="AK477">
        <f>IF(AND(ISNUMBER($N477),$N477&gt;0,ISNUMBER($Y477)),$Y477/$N477,"")</f>
        <v/>
      </c>
    </row>
    <row r="478" ht="15" customHeight="1" s="518">
      <c r="A478" s="123" t="n">
        <v>8</v>
      </c>
      <c r="B478" s="59" t="n">
        <v>472</v>
      </c>
      <c r="C478" t="inlineStr">
        <is>
          <t>R0051481</t>
        </is>
      </c>
      <c r="D478" t="inlineStr">
        <is>
          <t>401 E 88TH AVE</t>
        </is>
      </c>
      <c r="E478" t="n">
        <v>306</v>
      </c>
      <c r="F478" t="inlineStr">
        <is>
          <t>THORNTON</t>
        </is>
      </c>
      <c r="G478" t="inlineStr">
        <is>
          <t>4</t>
        </is>
      </c>
      <c r="H478" s="703">
        <f>Y478/J478</f>
        <v/>
      </c>
      <c r="I478" s="704" t="n">
        <v>43602</v>
      </c>
      <c r="J478" t="n">
        <v>36000</v>
      </c>
      <c r="L478" t="n">
        <v>36000</v>
      </c>
      <c r="M478" t="n">
        <v>1979</v>
      </c>
      <c r="P478" t="inlineStr">
        <is>
          <t>Thornton</t>
        </is>
      </c>
      <c r="R478" t="inlineStr">
        <is>
          <t>Average</t>
        </is>
      </c>
      <c r="S478" t="n">
        <v>267981</v>
      </c>
      <c r="T478" s="119">
        <f>S478/J478</f>
        <v/>
      </c>
      <c r="U478" t="inlineStr">
        <is>
          <t>Average</t>
        </is>
      </c>
      <c r="Y478" t="n">
        <v>3725900</v>
      </c>
      <c r="AA478" t="n">
        <v>3725900</v>
      </c>
      <c r="AC478" t="inlineStr">
        <is>
          <t>0171922408004</t>
        </is>
      </c>
      <c r="AD478" t="inlineStr">
        <is>
          <t>2019000041060</t>
        </is>
      </c>
      <c r="AE478" s="575" t="inlineStr">
        <is>
          <t>AMF BOWLING CENTERS INC</t>
        </is>
      </c>
      <c r="AF478" s="575" t="inlineStr">
        <is>
          <t>ISTAR BOWLING CENTER I LP</t>
        </is>
      </c>
      <c r="AI478" s="59">
        <f>IF(AND($E478=Subj_OccCode,Subj_BldgSF&gt;0,ABS($L478-Subj_BldgSF)&lt;=Subj_BldgSF*Subj_SizeTol),ABS($L478-Subj_BldgSF),NA())</f>
        <v/>
      </c>
      <c r="AJ478">
        <f>IF(ISNA(AI478),NA(),AI478+ROW()/10000000)</f>
        <v/>
      </c>
      <c r="AK478">
        <f>IF(AND(ISNUMBER($N478),$N478&gt;0,ISNUMBER($Y478)),$Y478/$N478,"")</f>
        <v/>
      </c>
    </row>
    <row r="479" ht="15" customHeight="1" s="518">
      <c r="A479" s="123" t="n">
        <v>8</v>
      </c>
      <c r="B479" s="59" t="n">
        <v>473</v>
      </c>
      <c r="C479" t="inlineStr">
        <is>
          <t>R0050051</t>
        </is>
      </c>
      <c r="D479" t="inlineStr">
        <is>
          <t>2951 W 91ST PL</t>
        </is>
      </c>
      <c r="E479" t="n">
        <v>406</v>
      </c>
      <c r="F479" t="inlineStr">
        <is>
          <t>FEDERAL HEIGHTS</t>
        </is>
      </c>
      <c r="G479" t="inlineStr">
        <is>
          <t>4</t>
        </is>
      </c>
      <c r="H479" s="703">
        <f>Y479/J479</f>
        <v/>
      </c>
      <c r="I479" s="704" t="n">
        <v>44082</v>
      </c>
      <c r="J479" t="n">
        <v>3239</v>
      </c>
      <c r="L479" t="n">
        <v>3239</v>
      </c>
      <c r="M479" t="n">
        <v>2005</v>
      </c>
      <c r="P479" t="inlineStr">
        <is>
          <t>C-1-Fed</t>
        </is>
      </c>
      <c r="R479" t="inlineStr">
        <is>
          <t>Average</t>
        </is>
      </c>
      <c r="S479" t="n">
        <v>13678</v>
      </c>
      <c r="T479" s="119">
        <f>S479/J479</f>
        <v/>
      </c>
      <c r="U479" t="inlineStr">
        <is>
          <t>Average</t>
        </is>
      </c>
      <c r="Y479" t="n">
        <v>660000</v>
      </c>
      <c r="AA479" t="n">
        <v>660000</v>
      </c>
      <c r="AC479" t="inlineStr">
        <is>
          <t>0171920401019</t>
        </is>
      </c>
      <c r="AD479" t="inlineStr">
        <is>
          <t>2020000089757</t>
        </is>
      </c>
      <c r="AE479" s="575" t="inlineStr">
        <is>
          <t>BLUEPRINT INVESTMENT FUND LLC</t>
        </is>
      </c>
      <c r="AF479" s="575" t="inlineStr">
        <is>
          <t>KD INVESTMENTS LTD</t>
        </is>
      </c>
      <c r="AI479" s="59">
        <f>IF(AND($E479=Subj_OccCode,Subj_BldgSF&gt;0,ABS($L479-Subj_BldgSF)&lt;=Subj_BldgSF*Subj_SizeTol),ABS($L479-Subj_BldgSF),NA())</f>
        <v/>
      </c>
      <c r="AJ479">
        <f>IF(ISNA(AI479),NA(),AI479+ROW()/10000000)</f>
        <v/>
      </c>
      <c r="AK479">
        <f>IF(AND(ISNUMBER($N479),$N479&gt;0,ISNUMBER($Y479)),$Y479/$N479,"")</f>
        <v/>
      </c>
    </row>
    <row r="480" ht="15" customHeight="1" s="518">
      <c r="A480" s="123" t="n">
        <v>8</v>
      </c>
      <c r="B480" s="59" t="n">
        <v>474</v>
      </c>
      <c r="C480" t="inlineStr">
        <is>
          <t>R0042962</t>
        </is>
      </c>
      <c r="D480" t="inlineStr">
        <is>
          <t>10250  URA LN</t>
        </is>
      </c>
      <c r="E480" t="n">
        <v>442</v>
      </c>
      <c r="F480" t="inlineStr">
        <is>
          <t>THORNTON</t>
        </is>
      </c>
      <c r="G480" t="inlineStr">
        <is>
          <t>4</t>
        </is>
      </c>
      <c r="H480" s="703">
        <f>Y480/J480</f>
        <v/>
      </c>
      <c r="I480" s="704" t="n">
        <v>44243</v>
      </c>
      <c r="J480" t="n">
        <v>6042</v>
      </c>
      <c r="L480" t="n">
        <v>6042</v>
      </c>
      <c r="M480" t="n">
        <v>1977</v>
      </c>
      <c r="P480" t="inlineStr">
        <is>
          <t>Community Retail</t>
        </is>
      </c>
      <c r="R480" t="inlineStr">
        <is>
          <t>Average</t>
        </is>
      </c>
      <c r="S480" t="n">
        <v>47600</v>
      </c>
      <c r="T480" s="119">
        <f>S480/J480</f>
        <v/>
      </c>
      <c r="U480" t="inlineStr">
        <is>
          <t>Average</t>
        </is>
      </c>
      <c r="Y480" t="n">
        <v>550000</v>
      </c>
      <c r="AA480" t="n">
        <v>550000</v>
      </c>
      <c r="AC480" t="inlineStr">
        <is>
          <t>0171916202018</t>
        </is>
      </c>
      <c r="AD480" t="inlineStr">
        <is>
          <t>2021000020257</t>
        </is>
      </c>
      <c r="AE480" s="575" t="inlineStr">
        <is>
          <t>URA SINGH LLC</t>
        </is>
      </c>
      <c r="AF480" s="575" t="inlineStr">
        <is>
          <t>LUNA MANUEL</t>
        </is>
      </c>
      <c r="AI480" s="59">
        <f>IF(AND($E480=Subj_OccCode,Subj_BldgSF&gt;0,ABS($L480-Subj_BldgSF)&lt;=Subj_BldgSF*Subj_SizeTol),ABS($L480-Subj_BldgSF),NA())</f>
        <v/>
      </c>
      <c r="AJ480">
        <f>IF(ISNA(AI480),NA(),AI480+ROW()/10000000)</f>
        <v/>
      </c>
      <c r="AK480">
        <f>IF(AND(ISNUMBER($N480),$N480&gt;0,ISNUMBER($Y480)),$Y480/$N480,"")</f>
        <v/>
      </c>
    </row>
    <row r="481" ht="15" customHeight="1" s="518">
      <c r="A481" s="123" t="n">
        <v>8</v>
      </c>
      <c r="B481" s="59" t="n">
        <v>475</v>
      </c>
      <c r="C481" t="inlineStr">
        <is>
          <t>R0109963</t>
        </is>
      </c>
      <c r="D481" t="inlineStr">
        <is>
          <t>16475 E 40TH CIR</t>
        </is>
      </c>
      <c r="E481" t="n">
        <v>332</v>
      </c>
      <c r="F481" t="inlineStr">
        <is>
          <t>AURORA</t>
        </is>
      </c>
      <c r="G481" t="inlineStr">
        <is>
          <t>6</t>
        </is>
      </c>
      <c r="H481" s="703">
        <f>Y481/L481</f>
        <v/>
      </c>
      <c r="I481" s="704" t="n">
        <v>44537</v>
      </c>
      <c r="J481" t="n">
        <v>84934</v>
      </c>
      <c r="L481" t="n">
        <v>157</v>
      </c>
      <c r="M481" t="n">
        <v>1998</v>
      </c>
      <c r="P481" t="inlineStr">
        <is>
          <t>PD</t>
        </is>
      </c>
      <c r="R481" t="inlineStr">
        <is>
          <t>Average</t>
        </is>
      </c>
      <c r="S481" t="n">
        <v>152551.5</v>
      </c>
      <c r="T481" s="119">
        <f>S481/J481</f>
        <v/>
      </c>
      <c r="U481" t="inlineStr">
        <is>
          <t>Average</t>
        </is>
      </c>
      <c r="Y481" t="n">
        <v>27500000</v>
      </c>
      <c r="AA481" t="n">
        <v>27500000</v>
      </c>
      <c r="AC481" t="inlineStr">
        <is>
          <t>0182100011005</t>
        </is>
      </c>
      <c r="AD481" t="inlineStr">
        <is>
          <t>2022000014451</t>
        </is>
      </c>
      <c r="AE481" s="575" t="inlineStr">
        <is>
          <t>GATEWAY HOTEL LLC, C/O STANLEY A GALLERY</t>
        </is>
      </c>
      <c r="AF481" s="575" t="inlineStr">
        <is>
          <t>D CASA INVESTMENT LLC</t>
        </is>
      </c>
      <c r="AI481" s="59">
        <f>IF(AND($E481=Subj_OccCode,Subj_BldgSF&gt;0,ABS($L481-Subj_BldgSF)&lt;=Subj_BldgSF*Subj_SizeTol),ABS($L481-Subj_BldgSF),NA())</f>
        <v/>
      </c>
      <c r="AJ481">
        <f>IF(ISNA(AI481),NA(),AI481+ROW()/10000000)</f>
        <v/>
      </c>
      <c r="AK481">
        <f>IF(AND(ISNUMBER($N481),$N481&gt;0,ISNUMBER($Y481)),$Y481/$N481,"")</f>
        <v/>
      </c>
    </row>
    <row r="482" ht="15" customHeight="1" s="518">
      <c r="A482" s="123" t="n">
        <v>8</v>
      </c>
      <c r="B482" s="59" t="n">
        <v>476</v>
      </c>
      <c r="C482" t="inlineStr">
        <is>
          <t>R0063285</t>
        </is>
      </c>
      <c r="D482" t="inlineStr">
        <is>
          <t>8060  SHERIDAN BLVD</t>
        </is>
      </c>
      <c r="E482" t="n">
        <v>325</v>
      </c>
      <c r="F482" t="inlineStr">
        <is>
          <t>WESTMINSTER</t>
        </is>
      </c>
      <c r="G482" t="inlineStr">
        <is>
          <t>4</t>
        </is>
      </c>
      <c r="H482" s="703">
        <f>Y482/J482</f>
        <v/>
      </c>
      <c r="I482" s="704" t="n">
        <v>43796</v>
      </c>
      <c r="J482" t="n">
        <v>3900</v>
      </c>
      <c r="L482" t="n">
        <v>3900</v>
      </c>
      <c r="M482" t="n">
        <v>1975</v>
      </c>
      <c r="P482" t="inlineStr">
        <is>
          <t>C-1-Wes</t>
        </is>
      </c>
      <c r="R482" t="inlineStr">
        <is>
          <t>Average</t>
        </is>
      </c>
      <c r="S482" t="n">
        <v>12910</v>
      </c>
      <c r="T482" s="119">
        <f>S482/J482</f>
        <v/>
      </c>
      <c r="U482" t="inlineStr">
        <is>
          <t>Average</t>
        </is>
      </c>
      <c r="Y482" t="n">
        <v>750000</v>
      </c>
      <c r="AA482" t="n">
        <v>750000</v>
      </c>
      <c r="AC482" t="inlineStr">
        <is>
          <t>0171930320006</t>
        </is>
      </c>
      <c r="AD482" t="inlineStr">
        <is>
          <t>2019000103805</t>
        </is>
      </c>
      <c r="AE482" s="575" t="inlineStr">
        <is>
          <t>LEIGH MICHAEL R</t>
        </is>
      </c>
      <c r="AF482" s="575" t="inlineStr">
        <is>
          <t>RJC HOLDINGS LLC</t>
        </is>
      </c>
      <c r="AI482" s="59">
        <f>IF(AND($E482=Subj_OccCode,Subj_BldgSF&gt;0,ABS($L482-Subj_BldgSF)&lt;=Subj_BldgSF*Subj_SizeTol),ABS($L482-Subj_BldgSF),NA())</f>
        <v/>
      </c>
      <c r="AJ482">
        <f>IF(ISNA(AI482),NA(),AI482+ROW()/10000000)</f>
        <v/>
      </c>
      <c r="AK482">
        <f>IF(AND(ISNUMBER($N482),$N482&gt;0,ISNUMBER($Y482)),$Y482/$N482,"")</f>
        <v/>
      </c>
    </row>
    <row r="483" ht="15" customHeight="1" s="518">
      <c r="A483" s="123" t="n">
        <v>8</v>
      </c>
      <c r="B483" s="59" t="n">
        <v>477</v>
      </c>
      <c r="C483" t="inlineStr">
        <is>
          <t>R0003498</t>
        </is>
      </c>
      <c r="D483" t="inlineStr">
        <is>
          <t>20 S 5TH AVE</t>
        </is>
      </c>
      <c r="E483" t="n">
        <v>3441</v>
      </c>
      <c r="F483" t="inlineStr">
        <is>
          <t>BRIGHTON</t>
        </is>
      </c>
      <c r="G483" t="inlineStr">
        <is>
          <t>2</t>
        </is>
      </c>
      <c r="H483" s="703">
        <f>Y483/J483</f>
        <v/>
      </c>
      <c r="I483" s="704" t="n">
        <v>44281</v>
      </c>
      <c r="J483" t="n">
        <v>1707</v>
      </c>
      <c r="L483" t="n">
        <v>1707</v>
      </c>
      <c r="M483" t="n">
        <v>1917</v>
      </c>
      <c r="P483" t="inlineStr">
        <is>
          <t>C-2-Bri</t>
        </is>
      </c>
      <c r="R483" t="inlineStr">
        <is>
          <t>Average</t>
        </is>
      </c>
      <c r="S483" t="n">
        <v>7500</v>
      </c>
      <c r="T483" s="119">
        <f>S483/J483</f>
        <v/>
      </c>
      <c r="U483" t="inlineStr">
        <is>
          <t>Average</t>
        </is>
      </c>
      <c r="Y483" t="n">
        <v>430000</v>
      </c>
      <c r="AA483" t="n">
        <v>430000</v>
      </c>
      <c r="AC483" t="inlineStr">
        <is>
          <t>0156907106003</t>
        </is>
      </c>
      <c r="AD483" t="inlineStr">
        <is>
          <t>2021000037982</t>
        </is>
      </c>
      <c r="AE483" s="575" t="inlineStr">
        <is>
          <t>BRIGHTON PROFESSIONAL GROUP LLC</t>
        </is>
      </c>
      <c r="AF483" s="575" t="inlineStr">
        <is>
          <t>MARQUEZ PROFESSIONAL COMPANY LLC</t>
        </is>
      </c>
      <c r="AI483" s="59">
        <f>IF(AND($E483=Subj_OccCode,Subj_BldgSF&gt;0,ABS($L483-Subj_BldgSF)&lt;=Subj_BldgSF*Subj_SizeTol),ABS($L483-Subj_BldgSF),NA())</f>
        <v/>
      </c>
      <c r="AJ483">
        <f>IF(ISNA(AI483),NA(),AI483+ROW()/10000000)</f>
        <v/>
      </c>
      <c r="AK483">
        <f>IF(AND(ISNUMBER($N483),$N483&gt;0,ISNUMBER($Y483)),$Y483/$N483,"")</f>
        <v/>
      </c>
    </row>
    <row r="484" ht="15" customHeight="1" s="518">
      <c r="A484" s="123" t="n">
        <v>8</v>
      </c>
      <c r="B484" s="59" t="n">
        <v>478</v>
      </c>
      <c r="C484" t="inlineStr">
        <is>
          <t>R0092656</t>
        </is>
      </c>
      <c r="D484" t="inlineStr">
        <is>
          <t>6430 E 50TH AVE</t>
        </is>
      </c>
      <c r="E484" t="n">
        <v>407</v>
      </c>
      <c r="F484" t="inlineStr">
        <is>
          <t>COMMERCE CITY</t>
        </is>
      </c>
      <c r="G484" t="inlineStr">
        <is>
          <t>2</t>
        </is>
      </c>
      <c r="H484" s="703">
        <f>Y484/J484</f>
        <v/>
      </c>
      <c r="I484" s="704" t="n">
        <v>43420</v>
      </c>
      <c r="J484" t="n">
        <v>11692</v>
      </c>
      <c r="L484" t="n">
        <v>11692</v>
      </c>
      <c r="M484" t="n">
        <v>1962</v>
      </c>
      <c r="P484" t="inlineStr">
        <is>
          <t>Commerce City</t>
        </is>
      </c>
      <c r="R484" t="inlineStr">
        <is>
          <t>Average</t>
        </is>
      </c>
      <c r="S484" t="n">
        <v>18500</v>
      </c>
      <c r="T484" s="119">
        <f>S484/J484</f>
        <v/>
      </c>
      <c r="U484" t="inlineStr">
        <is>
          <t>Average</t>
        </is>
      </c>
      <c r="Y484" t="n">
        <v>1210000</v>
      </c>
      <c r="AA484" t="n">
        <v>1210000</v>
      </c>
      <c r="AC484" t="inlineStr">
        <is>
          <t>0182317301001</t>
        </is>
      </c>
      <c r="AD484" t="inlineStr">
        <is>
          <t>2018000093283</t>
        </is>
      </c>
      <c r="AE484" s="575" t="inlineStr">
        <is>
          <t>JS BUILDERS LLC</t>
        </is>
      </c>
      <c r="AF484" s="575" t="inlineStr">
        <is>
          <t>BLACKWATER LLC</t>
        </is>
      </c>
      <c r="AI484" s="59">
        <f>IF(AND($E484=Subj_OccCode,Subj_BldgSF&gt;0,ABS($L484-Subj_BldgSF)&lt;=Subj_BldgSF*Subj_SizeTol),ABS($L484-Subj_BldgSF),NA())</f>
        <v/>
      </c>
      <c r="AJ484">
        <f>IF(ISNA(AI484),NA(),AI484+ROW()/10000000)</f>
        <v/>
      </c>
      <c r="AK484">
        <f>IF(AND(ISNUMBER($N484),$N484&gt;0,ISNUMBER($Y484)),$Y484/$N484,"")</f>
        <v/>
      </c>
    </row>
    <row r="485" ht="15" customHeight="1" s="518">
      <c r="A485" s="123" t="n">
        <v>8</v>
      </c>
      <c r="B485" s="59" t="n">
        <v>479</v>
      </c>
      <c r="C485" t="inlineStr">
        <is>
          <t>R0054110</t>
        </is>
      </c>
      <c r="D485" t="inlineStr">
        <is>
          <t>2401 E 88TH AVE</t>
        </is>
      </c>
      <c r="E485" t="n">
        <v>353</v>
      </c>
      <c r="F485" t="inlineStr">
        <is>
          <t>THORNTON</t>
        </is>
      </c>
      <c r="G485" t="inlineStr">
        <is>
          <t>4</t>
        </is>
      </c>
      <c r="H485" s="703">
        <f>Y485/J485</f>
        <v/>
      </c>
      <c r="I485" s="704" t="n">
        <v>43789</v>
      </c>
      <c r="J485" t="n">
        <v>11368</v>
      </c>
      <c r="L485" t="n">
        <v>11368</v>
      </c>
      <c r="M485" t="n">
        <v>1979</v>
      </c>
      <c r="P485" t="inlineStr">
        <is>
          <t>Community Retail</t>
        </is>
      </c>
      <c r="R485" t="inlineStr">
        <is>
          <t>Average</t>
        </is>
      </c>
      <c r="S485" t="n">
        <v>48352</v>
      </c>
      <c r="T485" s="119">
        <f>S485/J485</f>
        <v/>
      </c>
      <c r="U485" t="inlineStr">
        <is>
          <t>Average</t>
        </is>
      </c>
      <c r="Y485" t="n">
        <v>2000000</v>
      </c>
      <c r="AA485" t="n">
        <v>2000000</v>
      </c>
      <c r="AC485" t="inlineStr">
        <is>
          <t>0171924300024</t>
        </is>
      </c>
      <c r="AD485" t="inlineStr">
        <is>
          <t>2019000103191</t>
        </is>
      </c>
      <c r="AE485" s="575" t="inlineStr">
        <is>
          <t>R IREY YORK PLAZA LLC UND 50% INT AND, D IREY YORK PLAZA LLC UND 50% INT</t>
        </is>
      </c>
      <c r="AF485" s="575" t="inlineStr">
        <is>
          <t>WEBER INCORPORATED</t>
        </is>
      </c>
      <c r="AI485" s="59">
        <f>IF(AND($E485=Subj_OccCode,Subj_BldgSF&gt;0,ABS($L485-Subj_BldgSF)&lt;=Subj_BldgSF*Subj_SizeTol),ABS($L485-Subj_BldgSF),NA())</f>
        <v/>
      </c>
      <c r="AJ485">
        <f>IF(ISNA(AI485),NA(),AI485+ROW()/10000000)</f>
        <v/>
      </c>
      <c r="AK485">
        <f>IF(AND(ISNUMBER($N485),$N485&gt;0,ISNUMBER($Y485)),$Y485/$N485,"")</f>
        <v/>
      </c>
    </row>
    <row r="486" ht="15" customHeight="1" s="518">
      <c r="A486" s="123" t="n">
        <v>8</v>
      </c>
      <c r="B486" s="59" t="n">
        <v>480</v>
      </c>
      <c r="C486" t="inlineStr">
        <is>
          <t>R0031068</t>
        </is>
      </c>
      <c r="D486" t="inlineStr">
        <is>
          <t>11455  PEARL ST</t>
        </is>
      </c>
      <c r="E486" t="n">
        <v>304</v>
      </c>
      <c r="F486" t="inlineStr">
        <is>
          <t>NORTHGLENN</t>
        </is>
      </c>
      <c r="G486" t="inlineStr">
        <is>
          <t>4</t>
        </is>
      </c>
      <c r="H486" s="703">
        <f>Y486/J486</f>
        <v/>
      </c>
      <c r="I486" s="704" t="n">
        <v>44102</v>
      </c>
      <c r="J486" t="n">
        <v>11167</v>
      </c>
      <c r="L486" t="n">
        <v>11167</v>
      </c>
      <c r="M486" t="n">
        <v>1996</v>
      </c>
      <c r="P486" t="inlineStr">
        <is>
          <t>R-4-Nor</t>
        </is>
      </c>
      <c r="R486" t="inlineStr">
        <is>
          <t>Average</t>
        </is>
      </c>
      <c r="S486" t="n">
        <v>85159</v>
      </c>
      <c r="T486" s="119">
        <f>S486/J486</f>
        <v/>
      </c>
      <c r="U486" t="inlineStr">
        <is>
          <t>Average</t>
        </is>
      </c>
      <c r="Y486" t="n">
        <v>2130000</v>
      </c>
      <c r="AA486" t="n">
        <v>2130000</v>
      </c>
      <c r="AC486" t="inlineStr">
        <is>
          <t>0171903410021</t>
        </is>
      </c>
      <c r="AD486" t="inlineStr">
        <is>
          <t>2020000097451</t>
        </is>
      </c>
      <c r="AE486" s="575" t="inlineStr">
        <is>
          <t>SCHOOL DISTRICT 12 FEDERAL, CREDIT UNION</t>
        </is>
      </c>
      <c r="AF486" s="575" t="inlineStr">
        <is>
          <t>11455 PEARL STREET LLC</t>
        </is>
      </c>
      <c r="AI486" s="59">
        <f>IF(AND($E486=Subj_OccCode,Subj_BldgSF&gt;0,ABS($L486-Subj_BldgSF)&lt;=Subj_BldgSF*Subj_SizeTol),ABS($L486-Subj_BldgSF),NA())</f>
        <v/>
      </c>
      <c r="AJ486">
        <f>IF(ISNA(AI486),NA(),AI486+ROW()/10000000)</f>
        <v/>
      </c>
      <c r="AK486">
        <f>IF(AND(ISNUMBER($N486),$N486&gt;0,ISNUMBER($Y486)),$Y486/$N486,"")</f>
        <v/>
      </c>
    </row>
    <row r="487" ht="15" customHeight="1" s="518">
      <c r="A487" s="123" t="n">
        <v>8</v>
      </c>
      <c r="B487" s="59" t="n">
        <v>481</v>
      </c>
      <c r="C487" t="inlineStr">
        <is>
          <t>R0004089</t>
        </is>
      </c>
      <c r="D487" t="inlineStr">
        <is>
          <t>301 S MAIN ST #100/#120/#220</t>
        </is>
      </c>
      <c r="E487" t="n">
        <v>353</v>
      </c>
      <c r="F487" t="inlineStr">
        <is>
          <t>BRIGHTON</t>
        </is>
      </c>
      <c r="G487" t="inlineStr">
        <is>
          <t>2</t>
        </is>
      </c>
      <c r="H487" s="703">
        <f>Y487/J487</f>
        <v/>
      </c>
      <c r="I487" s="704" t="n">
        <v>44529</v>
      </c>
      <c r="J487" t="n">
        <v>8120</v>
      </c>
      <c r="L487" t="n">
        <v>8120</v>
      </c>
      <c r="M487" t="n">
        <v>1920</v>
      </c>
      <c r="P487" t="inlineStr">
        <is>
          <t>DT</t>
        </is>
      </c>
      <c r="R487" t="inlineStr">
        <is>
          <t>Average</t>
        </is>
      </c>
      <c r="S487" t="n">
        <v>13000</v>
      </c>
      <c r="T487" s="119">
        <f>S487/J487</f>
        <v/>
      </c>
      <c r="U487" t="inlineStr">
        <is>
          <t>Average</t>
        </is>
      </c>
      <c r="Y487" t="n">
        <v>1500000</v>
      </c>
      <c r="AA487" t="n">
        <v>1500000</v>
      </c>
      <c r="AC487" t="inlineStr">
        <is>
          <t>0156907220001</t>
        </is>
      </c>
      <c r="AD487" t="inlineStr">
        <is>
          <t>2021000139875</t>
        </is>
      </c>
      <c r="AE487" s="575" t="inlineStr">
        <is>
          <t>301 SOUTH MAIN LLC</t>
        </is>
      </c>
      <c r="AF487" s="575" t="inlineStr">
        <is>
          <t>BRIGHTON MAIN STREET PRINTING LLC</t>
        </is>
      </c>
      <c r="AI487" s="59">
        <f>IF(AND($E487=Subj_OccCode,Subj_BldgSF&gt;0,ABS($L487-Subj_BldgSF)&lt;=Subj_BldgSF*Subj_SizeTol),ABS($L487-Subj_BldgSF),NA())</f>
        <v/>
      </c>
      <c r="AJ487">
        <f>IF(ISNA(AI487),NA(),AI487+ROW()/10000000)</f>
        <v/>
      </c>
      <c r="AK487">
        <f>IF(AND(ISNUMBER($N487),$N487&gt;0,ISNUMBER($Y487)),$Y487/$N487,"")</f>
        <v/>
      </c>
    </row>
    <row r="488" ht="15" customHeight="1" s="518">
      <c r="A488" s="123" t="n">
        <v>8</v>
      </c>
      <c r="B488" s="59" t="n">
        <v>482</v>
      </c>
      <c r="C488" t="inlineStr">
        <is>
          <t>R0168581</t>
        </is>
      </c>
      <c r="D488" t="inlineStr">
        <is>
          <t>6121 CLERMONT ST</t>
        </is>
      </c>
      <c r="E488" t="n">
        <v>407</v>
      </c>
      <c r="F488" t="inlineStr">
        <is>
          <t>COMMERCE CITY</t>
        </is>
      </c>
      <c r="G488" t="inlineStr">
        <is>
          <t>5</t>
        </is>
      </c>
      <c r="H488" s="703">
        <f>Y488/J488</f>
        <v/>
      </c>
      <c r="I488" s="704" t="n">
        <v>43145</v>
      </c>
      <c r="J488" t="n">
        <v>18720</v>
      </c>
      <c r="L488" t="n">
        <v>18720</v>
      </c>
      <c r="M488" t="n">
        <v>1958</v>
      </c>
      <c r="P488" t="inlineStr">
        <is>
          <t>I-3-Com</t>
        </is>
      </c>
      <c r="R488" t="inlineStr">
        <is>
          <t>Average</t>
        </is>
      </c>
      <c r="S488" t="n">
        <v>60705</v>
      </c>
      <c r="T488" s="119">
        <f>S488/J488</f>
        <v/>
      </c>
      <c r="U488" t="inlineStr">
        <is>
          <t>Average</t>
        </is>
      </c>
      <c r="Y488" t="n">
        <v>1995000</v>
      </c>
      <c r="AA488" t="n">
        <v>1995000</v>
      </c>
      <c r="AC488" t="inlineStr">
        <is>
          <t>0182307204002</t>
        </is>
      </c>
      <c r="AD488" t="inlineStr">
        <is>
          <t>2018000013811</t>
        </is>
      </c>
      <c r="AE488" s="575" t="inlineStr">
        <is>
          <t>MC CALLIN REAL ESTATE LLC</t>
        </is>
      </c>
      <c r="AF488" s="575" t="inlineStr">
        <is>
          <t>KUMMER INVESTMENTS LLC</t>
        </is>
      </c>
      <c r="AI488" s="59">
        <f>IF(AND($E488=Subj_OccCode,Subj_BldgSF&gt;0,ABS($L488-Subj_BldgSF)&lt;=Subj_BldgSF*Subj_SizeTol),ABS($L488-Subj_BldgSF),NA())</f>
        <v/>
      </c>
      <c r="AJ488">
        <f>IF(ISNA(AI488),NA(),AI488+ROW()/10000000)</f>
        <v/>
      </c>
      <c r="AK488">
        <f>IF(AND(ISNUMBER($N488),$N488&gt;0,ISNUMBER($Y488)),$Y488/$N488,"")</f>
        <v/>
      </c>
    </row>
    <row r="489" ht="15" customHeight="1" s="518">
      <c r="A489" s="123" t="n">
        <v>8</v>
      </c>
      <c r="B489" s="59" t="n">
        <v>483</v>
      </c>
      <c r="C489" t="inlineStr">
        <is>
          <t>R0037112</t>
        </is>
      </c>
      <c r="D489" t="inlineStr">
        <is>
          <t>11184 HURON ST #12</t>
        </is>
      </c>
      <c r="E489" t="n">
        <v>1344</v>
      </c>
      <c r="F489" t="inlineStr">
        <is>
          <t>NORTHGLENN</t>
        </is>
      </c>
      <c r="G489" t="inlineStr">
        <is>
          <t>4</t>
        </is>
      </c>
      <c r="H489" s="703">
        <f>Y489/J489</f>
        <v/>
      </c>
      <c r="I489" s="704" t="n">
        <v>44469</v>
      </c>
      <c r="J489" t="n">
        <v>1817</v>
      </c>
      <c r="L489" t="n">
        <v>1817</v>
      </c>
      <c r="M489" t="n">
        <v>1984</v>
      </c>
      <c r="P489" t="inlineStr">
        <is>
          <t>C-3-Nor</t>
        </is>
      </c>
      <c r="R489" t="inlineStr">
        <is>
          <t>Average</t>
        </is>
      </c>
      <c r="S489" t="n">
        <v>1108</v>
      </c>
      <c r="T489" s="119">
        <f>S489/J489</f>
        <v/>
      </c>
      <c r="U489" t="inlineStr">
        <is>
          <t>Average</t>
        </is>
      </c>
      <c r="Y489" t="n">
        <v>270000</v>
      </c>
      <c r="AA489" t="n">
        <v>270000</v>
      </c>
      <c r="AC489" t="inlineStr">
        <is>
          <t>0171910217012</t>
        </is>
      </c>
      <c r="AD489" t="inlineStr">
        <is>
          <t>2021000120946</t>
        </is>
      </c>
      <c r="AE489" s="575" t="inlineStr">
        <is>
          <t>BINGEL NATHANIEL</t>
        </is>
      </c>
      <c r="AF489" s="575" t="inlineStr">
        <is>
          <t>SEAMLESS COLORADO INSURANCE</t>
        </is>
      </c>
      <c r="AI489" s="59">
        <f>IF(AND($E489=Subj_OccCode,Subj_BldgSF&gt;0,ABS($L489-Subj_BldgSF)&lt;=Subj_BldgSF*Subj_SizeTol),ABS($L489-Subj_BldgSF),NA())</f>
        <v/>
      </c>
      <c r="AJ489">
        <f>IF(ISNA(AI489),NA(),AI489+ROW()/10000000)</f>
        <v/>
      </c>
      <c r="AK489">
        <f>IF(AND(ISNUMBER($N489),$N489&gt;0,ISNUMBER($Y489)),$Y489/$N489,"")</f>
        <v/>
      </c>
    </row>
    <row r="490" ht="15" customHeight="1" s="518">
      <c r="A490" s="123" t="n">
        <v>8</v>
      </c>
      <c r="B490" s="59" t="n">
        <v>484</v>
      </c>
      <c r="C490" t="inlineStr">
        <is>
          <t>R0051128</t>
        </is>
      </c>
      <c r="D490" t="inlineStr">
        <is>
          <t>9162  HURON ST</t>
        </is>
      </c>
      <c r="E490" t="n">
        <v>353</v>
      </c>
      <c r="F490" t="inlineStr">
        <is>
          <t>THORNTON</t>
        </is>
      </c>
      <c r="G490" t="inlineStr">
        <is>
          <t>4</t>
        </is>
      </c>
      <c r="H490" s="703">
        <f>Y490/J490</f>
        <v/>
      </c>
      <c r="I490" s="704" t="n">
        <v>44607</v>
      </c>
      <c r="J490" t="n">
        <v>3000</v>
      </c>
      <c r="L490" t="n">
        <v>3000</v>
      </c>
      <c r="M490" t="n">
        <v>1973</v>
      </c>
      <c r="P490" t="inlineStr">
        <is>
          <t>Community Retail</t>
        </is>
      </c>
      <c r="R490" t="inlineStr">
        <is>
          <t>Average</t>
        </is>
      </c>
      <c r="S490" t="n">
        <v>14850</v>
      </c>
      <c r="T490" s="119">
        <f>S490/J490</f>
        <v/>
      </c>
      <c r="U490" t="inlineStr">
        <is>
          <t>Average</t>
        </is>
      </c>
      <c r="Y490" t="n">
        <v>668000</v>
      </c>
      <c r="AA490" t="n">
        <v>668000</v>
      </c>
      <c r="AC490" t="inlineStr">
        <is>
          <t>0171922302003</t>
        </is>
      </c>
      <c r="AD490" t="inlineStr">
        <is>
          <t>2022000014772</t>
        </is>
      </c>
      <c r="AE490" s="575" t="inlineStr">
        <is>
          <t xml:space="preserve">NGUYEN DUNG ANH AND , TRAN LOAN </t>
        </is>
      </c>
      <c r="AF490" s="575" t="inlineStr">
        <is>
          <t>BIG HW LLC</t>
        </is>
      </c>
      <c r="AI490" s="59">
        <f>IF(AND($E490=Subj_OccCode,Subj_BldgSF&gt;0,ABS($L490-Subj_BldgSF)&lt;=Subj_BldgSF*Subj_SizeTol),ABS($L490-Subj_BldgSF),NA())</f>
        <v/>
      </c>
      <c r="AJ490">
        <f>IF(ISNA(AI490),NA(),AI490+ROW()/10000000)</f>
        <v/>
      </c>
      <c r="AK490">
        <f>IF(AND(ISNUMBER($N490),$N490&gt;0,ISNUMBER($Y490)),$Y490/$N490,"")</f>
        <v/>
      </c>
    </row>
    <row r="491" ht="15" customHeight="1" s="518">
      <c r="A491" s="123" t="n">
        <v>8</v>
      </c>
      <c r="B491" s="59" t="n">
        <v>485</v>
      </c>
      <c r="C491" t="inlineStr">
        <is>
          <t>R0059576</t>
        </is>
      </c>
      <c r="D491" t="inlineStr">
        <is>
          <t>8410  UMATILLA ST</t>
        </is>
      </c>
      <c r="E491" t="n">
        <v>344</v>
      </c>
      <c r="F491" t="inlineStr">
        <is>
          <t>FEDERAL HEIGHTS</t>
        </is>
      </c>
      <c r="G491" t="inlineStr">
        <is>
          <t>4</t>
        </is>
      </c>
      <c r="H491" s="703">
        <f>Y491/J491</f>
        <v/>
      </c>
      <c r="I491" s="704" t="n">
        <v>44309</v>
      </c>
      <c r="J491" t="n">
        <v>8325</v>
      </c>
      <c r="L491" t="n">
        <v>8325</v>
      </c>
      <c r="M491" t="n">
        <v>1982</v>
      </c>
      <c r="P491" t="inlineStr">
        <is>
          <t>C-1-Fed</t>
        </is>
      </c>
      <c r="R491" t="inlineStr">
        <is>
          <t>Good</t>
        </is>
      </c>
      <c r="S491" t="n">
        <v>44858</v>
      </c>
      <c r="T491" s="119">
        <f>S491/J491</f>
        <v/>
      </c>
      <c r="U491" t="inlineStr">
        <is>
          <t>Average</t>
        </is>
      </c>
      <c r="Y491" t="n">
        <v>1375000</v>
      </c>
      <c r="AA491" t="n">
        <v>1375000</v>
      </c>
      <c r="AC491" t="inlineStr">
        <is>
          <t>0171928206005</t>
        </is>
      </c>
      <c r="AD491" t="inlineStr">
        <is>
          <t>2021000050541</t>
        </is>
      </c>
      <c r="AE491" s="575" t="inlineStr">
        <is>
          <t>QUALITY CONTROL INT'L LIMITED PARTNERSHIP</t>
        </is>
      </c>
      <c r="AF491" s="575" t="inlineStr">
        <is>
          <t>LEVEL 7 PROPERTY GROUP LLC</t>
        </is>
      </c>
      <c r="AI491" s="59">
        <f>IF(AND($E491=Subj_OccCode,Subj_BldgSF&gt;0,ABS($L491-Subj_BldgSF)&lt;=Subj_BldgSF*Subj_SizeTol),ABS($L491-Subj_BldgSF),NA())</f>
        <v/>
      </c>
      <c r="AJ491">
        <f>IF(ISNA(AI491),NA(),AI491+ROW()/10000000)</f>
        <v/>
      </c>
      <c r="AK491">
        <f>IF(AND(ISNUMBER($N491),$N491&gt;0,ISNUMBER($Y491)),$Y491/$N491,"")</f>
        <v/>
      </c>
    </row>
    <row r="492" ht="15" customHeight="1" s="518">
      <c r="A492" s="123" t="n">
        <v>8</v>
      </c>
      <c r="B492" s="59" t="n">
        <v>486</v>
      </c>
      <c r="C492" t="inlineStr">
        <is>
          <t>R0100007</t>
        </is>
      </c>
      <c r="D492" t="inlineStr">
        <is>
          <t>3440 W 71ST PL</t>
        </is>
      </c>
      <c r="E492" t="n">
        <v>344</v>
      </c>
      <c r="F492" t="inlineStr">
        <is>
          <t>WESTMINSTER</t>
        </is>
      </c>
      <c r="G492" t="inlineStr">
        <is>
          <t>4</t>
        </is>
      </c>
      <c r="H492" s="703">
        <f>Y492/J492</f>
        <v/>
      </c>
      <c r="I492" s="704" t="n">
        <v>43671</v>
      </c>
      <c r="J492" t="n">
        <v>6385</v>
      </c>
      <c r="L492" t="n">
        <v>6385</v>
      </c>
      <c r="M492" t="n">
        <v>1998</v>
      </c>
      <c r="P492" t="inlineStr">
        <is>
          <t>Westminster</t>
        </is>
      </c>
      <c r="R492" t="inlineStr">
        <is>
          <t>Average</t>
        </is>
      </c>
      <c r="S492" t="n">
        <v>44081</v>
      </c>
      <c r="T492" s="119">
        <f>S492/J492</f>
        <v/>
      </c>
      <c r="U492" t="inlineStr">
        <is>
          <t>Average</t>
        </is>
      </c>
      <c r="Y492" t="n">
        <v>1755000</v>
      </c>
      <c r="AA492" t="n">
        <v>1755000</v>
      </c>
      <c r="AC492" t="inlineStr">
        <is>
          <t>0182505207006</t>
        </is>
      </c>
      <c r="AD492" t="inlineStr">
        <is>
          <t>2019000059161</t>
        </is>
      </c>
      <c r="AE492" s="575" t="inlineStr">
        <is>
          <t>BROWN JUNCTION HOLDINGS LLC</t>
        </is>
      </c>
      <c r="AF492" s="575" t="inlineStr">
        <is>
          <t>WESTMINSTER STATION TOD LLC</t>
        </is>
      </c>
      <c r="AI492" s="59">
        <f>IF(AND($E492=Subj_OccCode,Subj_BldgSF&gt;0,ABS($L492-Subj_BldgSF)&lt;=Subj_BldgSF*Subj_SizeTol),ABS($L492-Subj_BldgSF),NA())</f>
        <v/>
      </c>
      <c r="AJ492">
        <f>IF(ISNA(AI492),NA(),AI492+ROW()/10000000)</f>
        <v/>
      </c>
      <c r="AK492">
        <f>IF(AND(ISNUMBER($N492),$N492&gt;0,ISNUMBER($Y492)),$Y492/$N492,"")</f>
        <v/>
      </c>
    </row>
    <row r="493" ht="15" customHeight="1" s="518">
      <c r="A493" s="123" t="n">
        <v>8</v>
      </c>
      <c r="B493" s="59" t="n">
        <v>487</v>
      </c>
      <c r="C493" t="inlineStr">
        <is>
          <t>R0002795</t>
        </is>
      </c>
      <c r="D493" t="inlineStr">
        <is>
          <t>390  WALNUT ST</t>
        </is>
      </c>
      <c r="E493" t="n">
        <v>344</v>
      </c>
      <c r="F493" t="inlineStr">
        <is>
          <t>BRIGHTON</t>
        </is>
      </c>
      <c r="G493" t="inlineStr">
        <is>
          <t>2</t>
        </is>
      </c>
      <c r="H493" s="703">
        <f>Y493/J493</f>
        <v/>
      </c>
      <c r="I493" s="704" t="n">
        <v>44713</v>
      </c>
      <c r="J493" t="n">
        <v>3705</v>
      </c>
      <c r="L493" t="n">
        <v>3705</v>
      </c>
      <c r="M493" t="n">
        <v>1974</v>
      </c>
      <c r="P493" t="inlineStr">
        <is>
          <t>DT</t>
        </is>
      </c>
      <c r="R493" t="inlineStr">
        <is>
          <t>Average</t>
        </is>
      </c>
      <c r="S493" t="n">
        <v>7500</v>
      </c>
      <c r="T493" s="119">
        <f>S493/J493</f>
        <v/>
      </c>
      <c r="U493" t="inlineStr">
        <is>
          <t>Average</t>
        </is>
      </c>
      <c r="Y493" t="n">
        <v>585000</v>
      </c>
      <c r="AA493" t="n">
        <v>585000</v>
      </c>
      <c r="AC493" t="inlineStr">
        <is>
          <t>0156906309011</t>
        </is>
      </c>
      <c r="AD493" t="inlineStr">
        <is>
          <t>2022000049243</t>
        </is>
      </c>
      <c r="AE493" s="575" t="inlineStr">
        <is>
          <t>S AND K KIM INC</t>
        </is>
      </c>
      <c r="AF493" s="575" t="inlineStr">
        <is>
          <t>HOPE FIRST FAMILY RESOURCE CENTER</t>
        </is>
      </c>
      <c r="AI493" s="59">
        <f>IF(AND($E493=Subj_OccCode,Subj_BldgSF&gt;0,ABS($L493-Subj_BldgSF)&lt;=Subj_BldgSF*Subj_SizeTol),ABS($L493-Subj_BldgSF),NA())</f>
        <v/>
      </c>
      <c r="AJ493">
        <f>IF(ISNA(AI493),NA(),AI493+ROW()/10000000)</f>
        <v/>
      </c>
      <c r="AK493">
        <f>IF(AND(ISNUMBER($N493),$N493&gt;0,ISNUMBER($Y493)),$Y493/$N493,"")</f>
        <v/>
      </c>
    </row>
    <row r="494" ht="15" customHeight="1" s="518">
      <c r="A494" s="123" t="n">
        <v>8</v>
      </c>
      <c r="B494" s="59" t="n">
        <v>488</v>
      </c>
      <c r="C494" t="inlineStr">
        <is>
          <t>R0062925</t>
        </is>
      </c>
      <c r="D494" t="inlineStr">
        <is>
          <t>8791  WOLFF CT #230</t>
        </is>
      </c>
      <c r="E494" t="n">
        <v>344</v>
      </c>
      <c r="F494" t="inlineStr">
        <is>
          <t>WESTMINSTER</t>
        </is>
      </c>
      <c r="G494" t="inlineStr">
        <is>
          <t>4</t>
        </is>
      </c>
      <c r="H494" s="703">
        <f>Y494/J494</f>
        <v/>
      </c>
      <c r="I494" s="704" t="n">
        <v>43117</v>
      </c>
      <c r="J494" t="n">
        <v>1592</v>
      </c>
      <c r="L494" t="n">
        <v>1592</v>
      </c>
      <c r="M494" t="n">
        <v>1984</v>
      </c>
      <c r="P494" t="inlineStr">
        <is>
          <t>Westminster</t>
        </is>
      </c>
      <c r="R494" t="inlineStr">
        <is>
          <t>Average</t>
        </is>
      </c>
      <c r="S494" t="n">
        <v>3842</v>
      </c>
      <c r="T494" s="119">
        <f>S494/J494</f>
        <v/>
      </c>
      <c r="U494" t="inlineStr">
        <is>
          <t>Average</t>
        </is>
      </c>
      <c r="Y494" t="n">
        <v>200000</v>
      </c>
      <c r="AA494" t="n">
        <v>200000</v>
      </c>
      <c r="AC494" t="inlineStr">
        <is>
          <t>0171930218020</t>
        </is>
      </c>
      <c r="AD494" t="inlineStr">
        <is>
          <t>2018000005929</t>
        </is>
      </c>
      <c r="AE494" s="575" t="inlineStr">
        <is>
          <t>PETERSON STEVEN W</t>
        </is>
      </c>
      <c r="AF494" s="575" t="inlineStr">
        <is>
          <t>GREEN ELEPHANT LLC THE</t>
        </is>
      </c>
      <c r="AI494" s="59">
        <f>IF(AND($E494=Subj_OccCode,Subj_BldgSF&gt;0,ABS($L494-Subj_BldgSF)&lt;=Subj_BldgSF*Subj_SizeTol),ABS($L494-Subj_BldgSF),NA())</f>
        <v/>
      </c>
      <c r="AJ494">
        <f>IF(ISNA(AI494),NA(),AI494+ROW()/10000000)</f>
        <v/>
      </c>
      <c r="AK494">
        <f>IF(AND(ISNUMBER($N494),$N494&gt;0,ISNUMBER($Y494)),$Y494/$N494,"")</f>
        <v/>
      </c>
    </row>
    <row r="495" ht="15" customHeight="1" s="518">
      <c r="A495" s="123" t="n">
        <v>8</v>
      </c>
      <c r="B495" s="59" t="n">
        <v>489</v>
      </c>
      <c r="C495" t="inlineStr">
        <is>
          <t>R0091506</t>
        </is>
      </c>
      <c r="D495" t="inlineStr">
        <is>
          <t>6200 E 64TH AVE</t>
        </is>
      </c>
      <c r="E495" t="n">
        <v>350</v>
      </c>
      <c r="F495" t="inlineStr">
        <is>
          <t>COMMERCE CITY</t>
        </is>
      </c>
      <c r="G495" t="inlineStr">
        <is>
          <t>5</t>
        </is>
      </c>
      <c r="H495" s="703">
        <f>Y495/J495</f>
        <v/>
      </c>
      <c r="I495" s="704" t="n">
        <v>44124</v>
      </c>
      <c r="J495" t="n">
        <v>780</v>
      </c>
      <c r="L495" t="n">
        <v>780</v>
      </c>
      <c r="M495" t="n">
        <v>1964</v>
      </c>
      <c r="P495" t="inlineStr">
        <is>
          <t>C-1-Com</t>
        </is>
      </c>
      <c r="R495" t="inlineStr">
        <is>
          <t>Average</t>
        </is>
      </c>
      <c r="S495" t="n">
        <v>22012</v>
      </c>
      <c r="T495" s="119">
        <f>S495/J495</f>
        <v/>
      </c>
      <c r="U495" t="inlineStr">
        <is>
          <t>Average</t>
        </is>
      </c>
      <c r="Y495" t="n">
        <v>191500</v>
      </c>
      <c r="AA495" t="n">
        <v>191500</v>
      </c>
      <c r="AC495" t="inlineStr">
        <is>
          <t>0182308201003</t>
        </is>
      </c>
      <c r="AD495" t="inlineStr">
        <is>
          <t>2020000109419</t>
        </is>
      </c>
      <c r="AE495" s="575" t="inlineStr">
        <is>
          <t>PIERCE NOLA N</t>
        </is>
      </c>
      <c r="AF495" s="575" t="inlineStr">
        <is>
          <t>NIKKO CUCINA LLC</t>
        </is>
      </c>
      <c r="AI495" s="59">
        <f>IF(AND($E495=Subj_OccCode,Subj_BldgSF&gt;0,ABS($L495-Subj_BldgSF)&lt;=Subj_BldgSF*Subj_SizeTol),ABS($L495-Subj_BldgSF),NA())</f>
        <v/>
      </c>
      <c r="AJ495">
        <f>IF(ISNA(AI495),NA(),AI495+ROW()/10000000)</f>
        <v/>
      </c>
      <c r="AK495">
        <f>IF(AND(ISNUMBER($N495),$N495&gt;0,ISNUMBER($Y495)),$Y495/$N495,"")</f>
        <v/>
      </c>
    </row>
    <row r="496" ht="15" customHeight="1" s="518">
      <c r="A496" s="123" t="n">
        <v>8</v>
      </c>
      <c r="B496" s="59" t="n">
        <v>490</v>
      </c>
      <c r="C496" t="inlineStr">
        <is>
          <t>R0112049</t>
        </is>
      </c>
      <c r="D496" t="inlineStr">
        <is>
          <t>320 E 128TH AVE</t>
        </is>
      </c>
      <c r="E496" t="n">
        <v>426</v>
      </c>
      <c r="F496" t="inlineStr">
        <is>
          <t>THORNTON</t>
        </is>
      </c>
      <c r="G496" t="inlineStr">
        <is>
          <t>3</t>
        </is>
      </c>
      <c r="H496" s="703">
        <f>Y496/J496</f>
        <v/>
      </c>
      <c r="I496" s="704" t="n">
        <v>43402</v>
      </c>
      <c r="J496" t="n">
        <v>2122</v>
      </c>
      <c r="L496" t="n">
        <v>2122</v>
      </c>
      <c r="M496" t="n">
        <v>1977</v>
      </c>
      <c r="P496" t="inlineStr">
        <is>
          <t>Thornton</t>
        </is>
      </c>
      <c r="R496" t="inlineStr">
        <is>
          <t>Average</t>
        </is>
      </c>
      <c r="S496" t="n">
        <v>25264.8008</v>
      </c>
      <c r="T496" s="119">
        <f>S496/J496</f>
        <v/>
      </c>
      <c r="U496" t="inlineStr">
        <is>
          <t>Average</t>
        </is>
      </c>
      <c r="Y496" t="n">
        <v>585000</v>
      </c>
      <c r="AA496" t="n">
        <v>585000</v>
      </c>
      <c r="AC496" t="inlineStr">
        <is>
          <t>0157334011002</t>
        </is>
      </c>
      <c r="AD496" t="inlineStr">
        <is>
          <t>2018000099707</t>
        </is>
      </c>
      <c r="AE496" s="575" t="inlineStr">
        <is>
          <t>JK PROPERTIES LLC</t>
        </is>
      </c>
      <c r="AF496" s="575" t="inlineStr">
        <is>
          <t>A POD OF PEAS REAL ESTATE LLC</t>
        </is>
      </c>
      <c r="AI496" s="59">
        <f>IF(AND($E496=Subj_OccCode,Subj_BldgSF&gt;0,ABS($L496-Subj_BldgSF)&lt;=Subj_BldgSF*Subj_SizeTol),ABS($L496-Subj_BldgSF),NA())</f>
        <v/>
      </c>
      <c r="AJ496">
        <f>IF(ISNA(AI496),NA(),AI496+ROW()/10000000)</f>
        <v/>
      </c>
      <c r="AK496">
        <f>IF(AND(ISNUMBER($N496),$N496&gt;0,ISNUMBER($Y496)),$Y496/$N496,"")</f>
        <v/>
      </c>
    </row>
    <row r="497" ht="15" customHeight="1" s="518">
      <c r="A497" s="123" t="n">
        <v>8</v>
      </c>
      <c r="B497" s="59" t="n">
        <v>491</v>
      </c>
      <c r="C497" t="inlineStr">
        <is>
          <t>R0050497</t>
        </is>
      </c>
      <c r="D497" t="inlineStr">
        <is>
          <t>1600 W 92ND AVE</t>
        </is>
      </c>
      <c r="E497" t="n">
        <v>419</v>
      </c>
      <c r="F497" t="inlineStr">
        <is>
          <t>FEDERAL HEIGHTS</t>
        </is>
      </c>
      <c r="G497" t="inlineStr">
        <is>
          <t>4</t>
        </is>
      </c>
      <c r="H497" s="703">
        <f>Y497/J497</f>
        <v/>
      </c>
      <c r="I497" s="704" t="n">
        <v>44676</v>
      </c>
      <c r="J497" t="n">
        <v>2400</v>
      </c>
      <c r="L497" t="n">
        <v>2400</v>
      </c>
      <c r="M497" t="n">
        <v>1974</v>
      </c>
      <c r="P497" t="inlineStr">
        <is>
          <t>C-1-Fed</t>
        </is>
      </c>
      <c r="R497" t="inlineStr">
        <is>
          <t>Average</t>
        </is>
      </c>
      <c r="S497" t="n">
        <v>20000</v>
      </c>
      <c r="T497" s="119">
        <f>S497/J497</f>
        <v/>
      </c>
      <c r="U497" t="inlineStr">
        <is>
          <t>Average</t>
        </is>
      </c>
      <c r="Y497" t="n">
        <v>1250000</v>
      </c>
      <c r="AA497" t="n">
        <v>1250000</v>
      </c>
      <c r="AC497" t="inlineStr">
        <is>
          <t>0171921300010</t>
        </is>
      </c>
      <c r="AD497" t="inlineStr">
        <is>
          <t>2022000036852</t>
        </is>
      </c>
      <c r="AE497" s="575" t="inlineStr">
        <is>
          <t>CAP INVESTMENT PROPERTIES III LLC</t>
        </is>
      </c>
      <c r="AF497" s="575" t="inlineStr">
        <is>
          <t>DON EDWARDS WALTER AND JANET STEWART WALTER FAMILY TRUST</t>
        </is>
      </c>
      <c r="AI497" s="59">
        <f>IF(AND($E497=Subj_OccCode,Subj_BldgSF&gt;0,ABS($L497-Subj_BldgSF)&lt;=Subj_BldgSF*Subj_SizeTol),ABS($L497-Subj_BldgSF),NA())</f>
        <v/>
      </c>
      <c r="AJ497">
        <f>IF(ISNA(AI497),NA(),AI497+ROW()/10000000)</f>
        <v/>
      </c>
      <c r="AK497">
        <f>IF(AND(ISNUMBER($N497),$N497&gt;0,ISNUMBER($Y497)),$Y497/$N497,"")</f>
        <v/>
      </c>
    </row>
    <row r="498" ht="15" customHeight="1" s="518">
      <c r="A498" s="123" t="n">
        <v>8</v>
      </c>
      <c r="B498" s="59" t="n">
        <v>492</v>
      </c>
      <c r="C498" t="inlineStr">
        <is>
          <t>R0056567</t>
        </is>
      </c>
      <c r="D498" t="inlineStr">
        <is>
          <t>8600  WASHINGTON ST</t>
        </is>
      </c>
      <c r="E498" t="n">
        <v>353</v>
      </c>
      <c r="F498" t="inlineStr">
        <is>
          <t>THORNTON</t>
        </is>
      </c>
      <c r="G498" t="inlineStr">
        <is>
          <t>4</t>
        </is>
      </c>
      <c r="H498" s="703">
        <f>Y498/J498</f>
        <v/>
      </c>
      <c r="I498" s="704" t="n">
        <v>43614</v>
      </c>
      <c r="J498" t="n">
        <v>2988</v>
      </c>
      <c r="L498" t="n">
        <v>2988</v>
      </c>
      <c r="M498" t="n">
        <v>1979</v>
      </c>
      <c r="P498" t="inlineStr">
        <is>
          <t>Thornton</t>
        </is>
      </c>
      <c r="R498" t="inlineStr">
        <is>
          <t>Average</t>
        </is>
      </c>
      <c r="S498" t="n">
        <v>30800</v>
      </c>
      <c r="T498" s="119">
        <f>S498/J498</f>
        <v/>
      </c>
      <c r="U498" t="inlineStr">
        <is>
          <t>Average</t>
        </is>
      </c>
      <c r="Y498" t="n">
        <v>665000</v>
      </c>
      <c r="AA498" t="n">
        <v>665000</v>
      </c>
      <c r="AC498" t="inlineStr">
        <is>
          <t>0171926218030</t>
        </is>
      </c>
      <c r="AD498" t="inlineStr">
        <is>
          <t>2019000047704</t>
        </is>
      </c>
      <c r="AE498" s="575" t="inlineStr">
        <is>
          <t>THORNTON PROPERTY 1 LLC</t>
        </is>
      </c>
      <c r="AF498" s="575" t="inlineStr">
        <is>
          <t>SIMON &amp; MOSES REAL ESTATE LLC</t>
        </is>
      </c>
      <c r="AI498" s="59">
        <f>IF(AND($E498=Subj_OccCode,Subj_BldgSF&gt;0,ABS($L498-Subj_BldgSF)&lt;=Subj_BldgSF*Subj_SizeTol),ABS($L498-Subj_BldgSF),NA())</f>
        <v/>
      </c>
      <c r="AJ498">
        <f>IF(ISNA(AI498),NA(),AI498+ROW()/10000000)</f>
        <v/>
      </c>
      <c r="AK498">
        <f>IF(AND(ISNUMBER($N498),$N498&gt;0,ISNUMBER($Y498)),$Y498/$N498,"")</f>
        <v/>
      </c>
    </row>
    <row r="499" ht="15" customHeight="1" s="518">
      <c r="A499" s="123" t="n">
        <v>8</v>
      </c>
      <c r="B499" s="59" t="n">
        <v>493</v>
      </c>
      <c r="C499" t="inlineStr">
        <is>
          <t>R0153545</t>
        </is>
      </c>
      <c r="D499" t="inlineStr">
        <is>
          <t>50 E 70TH AVE</t>
        </is>
      </c>
      <c r="E499" t="n">
        <v>325</v>
      </c>
      <c r="G499" t="inlineStr">
        <is>
          <t>5</t>
        </is>
      </c>
      <c r="H499" s="703">
        <f>Y499/J499</f>
        <v/>
      </c>
      <c r="I499" s="704" t="n">
        <v>43259</v>
      </c>
      <c r="J499" t="n">
        <v>1576</v>
      </c>
      <c r="L499" t="n">
        <v>1576</v>
      </c>
      <c r="M499" t="n">
        <v>1958</v>
      </c>
      <c r="R499" t="inlineStr">
        <is>
          <t>Average</t>
        </is>
      </c>
      <c r="S499" t="n">
        <v>19471.32</v>
      </c>
      <c r="T499" s="119">
        <f>S499/J499</f>
        <v/>
      </c>
      <c r="U499" t="inlineStr">
        <is>
          <t>Average</t>
        </is>
      </c>
      <c r="Y499" t="n">
        <v>325000</v>
      </c>
      <c r="AA499" t="n">
        <v>325000</v>
      </c>
      <c r="AC499" t="inlineStr">
        <is>
          <t>0182503103029</t>
        </is>
      </c>
      <c r="AD499" t="inlineStr">
        <is>
          <t>2018000046530</t>
        </is>
      </c>
      <c r="AE499" s="575" t="inlineStr">
        <is>
          <t>BRONCUCIA JOSEPH ANTHONY AND, BRONCUCIA PATRICIA ANN</t>
        </is>
      </c>
      <c r="AF499" s="575" t="inlineStr">
        <is>
          <t>GUSMAN-CISNEROS GEORGE A</t>
        </is>
      </c>
      <c r="AI499" s="59">
        <f>IF(AND($E499=Subj_OccCode,Subj_BldgSF&gt;0,ABS($L499-Subj_BldgSF)&lt;=Subj_BldgSF*Subj_SizeTol),ABS($L499-Subj_BldgSF),NA())</f>
        <v/>
      </c>
      <c r="AJ499">
        <f>IF(ISNA(AI499),NA(),AI499+ROW()/10000000)</f>
        <v/>
      </c>
      <c r="AK499">
        <f>IF(AND(ISNUMBER($N499),$N499&gt;0,ISNUMBER($Y499)),$Y499/$N499,"")</f>
        <v/>
      </c>
    </row>
    <row r="500" ht="15" customHeight="1" s="518">
      <c r="A500" s="123" t="n">
        <v>8</v>
      </c>
      <c r="B500" s="59" t="n">
        <v>494</v>
      </c>
      <c r="C500" t="inlineStr">
        <is>
          <t>R0093973</t>
        </is>
      </c>
      <c r="D500" t="inlineStr">
        <is>
          <t>2332  DAYTON ST</t>
        </is>
      </c>
      <c r="E500" t="n">
        <v>325</v>
      </c>
      <c r="F500" t="inlineStr">
        <is>
          <t>AURORA</t>
        </is>
      </c>
      <c r="G500" t="inlineStr">
        <is>
          <t>6</t>
        </is>
      </c>
      <c r="H500" s="703">
        <f>Y500/J500</f>
        <v/>
      </c>
      <c r="I500" s="704" t="n">
        <v>44344</v>
      </c>
      <c r="J500" t="n">
        <v>3500</v>
      </c>
      <c r="L500" t="n">
        <v>3500</v>
      </c>
      <c r="M500" t="n">
        <v>1957</v>
      </c>
      <c r="P500" t="inlineStr">
        <is>
          <t>OA-MS</t>
        </is>
      </c>
      <c r="R500" t="inlineStr">
        <is>
          <t>Average</t>
        </is>
      </c>
      <c r="S500" t="n">
        <v>6250</v>
      </c>
      <c r="T500" s="119">
        <f>S500/J500</f>
        <v/>
      </c>
      <c r="U500" t="inlineStr">
        <is>
          <t>Average</t>
        </is>
      </c>
      <c r="Y500" t="n">
        <v>600000</v>
      </c>
      <c r="AA500" t="n">
        <v>600000</v>
      </c>
      <c r="AC500" t="inlineStr">
        <is>
          <t>0182334109027</t>
        </is>
      </c>
      <c r="AD500" t="inlineStr">
        <is>
          <t>2021000067865</t>
        </is>
      </c>
      <c r="AE500" s="575" t="inlineStr">
        <is>
          <t>BOMGARDNER DAVID</t>
        </is>
      </c>
      <c r="AF500" s="575" t="inlineStr">
        <is>
          <t>FOREST COFFEE PROPERTIES LLC</t>
        </is>
      </c>
      <c r="AI500" s="59">
        <f>IF(AND($E500=Subj_OccCode,Subj_BldgSF&gt;0,ABS($L500-Subj_BldgSF)&lt;=Subj_BldgSF*Subj_SizeTol),ABS($L500-Subj_BldgSF),NA())</f>
        <v/>
      </c>
      <c r="AJ500">
        <f>IF(ISNA(AI500),NA(),AI500+ROW()/10000000)</f>
        <v/>
      </c>
      <c r="AK500">
        <f>IF(AND(ISNUMBER($N500),$N500&gt;0,ISNUMBER($Y500)),$Y500/$N500,"")</f>
        <v/>
      </c>
    </row>
    <row r="501" ht="15" customHeight="1" s="518">
      <c r="A501" s="123" t="n">
        <v>8</v>
      </c>
      <c r="B501" s="59" t="n">
        <v>495</v>
      </c>
      <c r="C501" t="inlineStr">
        <is>
          <t>R0003904</t>
        </is>
      </c>
      <c r="D501" t="inlineStr">
        <is>
          <t>151 S 1ST AVE</t>
        </is>
      </c>
      <c r="E501" t="n">
        <v>344</v>
      </c>
      <c r="F501" t="inlineStr">
        <is>
          <t>BRIGHTON</t>
        </is>
      </c>
      <c r="G501" t="inlineStr">
        <is>
          <t>2</t>
        </is>
      </c>
      <c r="H501" s="703">
        <f>Y501/J501</f>
        <v/>
      </c>
      <c r="I501" s="704" t="n">
        <v>44532</v>
      </c>
      <c r="J501" t="n">
        <v>1152</v>
      </c>
      <c r="L501" t="n">
        <v>1152</v>
      </c>
      <c r="M501" t="n">
        <v>1972</v>
      </c>
      <c r="P501" t="inlineStr">
        <is>
          <t>DT</t>
        </is>
      </c>
      <c r="R501" t="inlineStr">
        <is>
          <t>Average</t>
        </is>
      </c>
      <c r="S501" t="n">
        <v>8775</v>
      </c>
      <c r="T501" s="119">
        <f>S501/J501</f>
        <v/>
      </c>
      <c r="U501" t="inlineStr">
        <is>
          <t>Average</t>
        </is>
      </c>
      <c r="Y501" t="n">
        <v>400000</v>
      </c>
      <c r="AA501" t="n">
        <v>400000</v>
      </c>
      <c r="AC501" t="inlineStr">
        <is>
          <t>0156907207007</t>
        </is>
      </c>
      <c r="AD501" t="inlineStr">
        <is>
          <t>2021000141769</t>
        </is>
      </c>
      <c r="AE501" t="inlineStr">
        <is>
          <t>BELIVEAU HOLDINGS LLC</t>
        </is>
      </c>
      <c r="AF501" t="inlineStr">
        <is>
          <t>GUZMAN GUADALUPE</t>
        </is>
      </c>
      <c r="AI501" s="59">
        <f>IF(AND($E501=Subj_OccCode,Subj_BldgSF&gt;0,ABS($L501-Subj_BldgSF)&lt;=Subj_BldgSF*Subj_SizeTol),ABS($L501-Subj_BldgSF),NA())</f>
        <v/>
      </c>
      <c r="AJ501">
        <f>IF(ISNA(AI501),NA(),AI501+ROW()/10000000)</f>
        <v/>
      </c>
      <c r="AK501">
        <f>IF(AND(ISNUMBER($N501),$N501&gt;0,ISNUMBER($Y501)),$Y501/$N501,"")</f>
        <v/>
      </c>
    </row>
    <row r="502" ht="15" customHeight="1" s="518">
      <c r="A502" s="123" t="n">
        <v>8</v>
      </c>
      <c r="B502" s="59" t="n">
        <v>496</v>
      </c>
      <c r="C502" t="inlineStr">
        <is>
          <t>R0059114</t>
        </is>
      </c>
      <c r="D502" t="inlineStr">
        <is>
          <t>1407 W 84TH AVE</t>
        </is>
      </c>
      <c r="E502" t="n">
        <v>412</v>
      </c>
      <c r="F502" t="inlineStr">
        <is>
          <t>FEDERAL HEIGHTS</t>
        </is>
      </c>
      <c r="G502" t="inlineStr">
        <is>
          <t>4</t>
        </is>
      </c>
      <c r="H502" s="703">
        <f>Y502/J502</f>
        <v/>
      </c>
      <c r="I502" s="704" t="n">
        <v>43735</v>
      </c>
      <c r="J502" t="n">
        <v>102756</v>
      </c>
      <c r="L502" t="n">
        <v>102756</v>
      </c>
      <c r="M502" t="n">
        <v>1973</v>
      </c>
      <c r="P502" t="inlineStr">
        <is>
          <t>C-1-Fed</t>
        </is>
      </c>
      <c r="R502" t="inlineStr">
        <is>
          <t>Good</t>
        </is>
      </c>
      <c r="S502" t="n">
        <v>348480</v>
      </c>
      <c r="T502" s="119">
        <f>S502/J502</f>
        <v/>
      </c>
      <c r="U502" t="inlineStr">
        <is>
          <t>Good</t>
        </is>
      </c>
      <c r="Y502" t="n">
        <v>12375500</v>
      </c>
      <c r="AA502" t="n">
        <v>12375500</v>
      </c>
      <c r="AC502" t="inlineStr">
        <is>
          <t>0171928100014</t>
        </is>
      </c>
      <c r="AD502" t="inlineStr">
        <is>
          <t>2019000083335</t>
        </is>
      </c>
      <c r="AE502" t="inlineStr">
        <is>
          <t>ADLP - 84TH LLC</t>
        </is>
      </c>
      <c r="AF502" t="inlineStr">
        <is>
          <t>GKT MARKET SQUARE LLC</t>
        </is>
      </c>
      <c r="AI502" s="59">
        <f>IF(AND($E502=Subj_OccCode,Subj_BldgSF&gt;0,ABS($L502-Subj_BldgSF)&lt;=Subj_BldgSF*Subj_SizeTol),ABS($L502-Subj_BldgSF),NA())</f>
        <v/>
      </c>
      <c r="AJ502">
        <f>IF(ISNA(AI502),NA(),AI502+ROW()/10000000)</f>
        <v/>
      </c>
      <c r="AK502">
        <f>IF(AND(ISNUMBER($N502),$N502&gt;0,ISNUMBER($Y502)),$Y502/$N502,"")</f>
        <v/>
      </c>
    </row>
    <row r="503" ht="15" customHeight="1" s="518">
      <c r="A503" s="123" t="n">
        <v>8</v>
      </c>
      <c r="B503" s="59" t="n">
        <v>497</v>
      </c>
      <c r="C503" t="inlineStr">
        <is>
          <t>R0114329</t>
        </is>
      </c>
      <c r="D503" t="inlineStr">
        <is>
          <t>1611 W 84TH AVE</t>
        </is>
      </c>
      <c r="E503" t="n">
        <v>353</v>
      </c>
      <c r="F503" t="inlineStr">
        <is>
          <t>FEDERAL HEIGHTS</t>
        </is>
      </c>
      <c r="G503" t="inlineStr">
        <is>
          <t>4</t>
        </is>
      </c>
      <c r="H503" s="703">
        <f>Y503/J503</f>
        <v/>
      </c>
      <c r="I503" s="704" t="n">
        <v>44245</v>
      </c>
      <c r="J503" t="n">
        <v>6720</v>
      </c>
      <c r="L503" t="n">
        <v>6720</v>
      </c>
      <c r="M503" t="n">
        <v>1999</v>
      </c>
      <c r="P503" t="inlineStr">
        <is>
          <t>C-1-Fed</t>
        </is>
      </c>
      <c r="R503" t="inlineStr">
        <is>
          <t>Average</t>
        </is>
      </c>
      <c r="S503" t="n">
        <v>49963.3203</v>
      </c>
      <c r="T503" s="119">
        <f>S503/J503</f>
        <v/>
      </c>
      <c r="U503" t="inlineStr">
        <is>
          <t>Good</t>
        </is>
      </c>
      <c r="Y503" t="n">
        <v>1700000</v>
      </c>
      <c r="AA503" t="n">
        <v>1700000</v>
      </c>
      <c r="AC503" t="inlineStr">
        <is>
          <t>0171928205020</t>
        </is>
      </c>
      <c r="AD503" t="inlineStr">
        <is>
          <t>2021000020317</t>
        </is>
      </c>
      <c r="AE503" t="inlineStr">
        <is>
          <t>HSK INVESTMENTS LLC</t>
        </is>
      </c>
      <c r="AF503" t="inlineStr">
        <is>
          <t>RINKU INC</t>
        </is>
      </c>
      <c r="AI503" s="59">
        <f>IF(AND($E503=Subj_OccCode,Subj_BldgSF&gt;0,ABS($L503-Subj_BldgSF)&lt;=Subj_BldgSF*Subj_SizeTol),ABS($L503-Subj_BldgSF),NA())</f>
        <v/>
      </c>
      <c r="AJ503">
        <f>IF(ISNA(AI503),NA(),AI503+ROW()/10000000)</f>
        <v/>
      </c>
      <c r="AK503">
        <f>IF(AND(ISNUMBER($N503),$N503&gt;0,ISNUMBER($Y503)),$Y503/$N503,"")</f>
        <v/>
      </c>
    </row>
    <row r="504" ht="15" customHeight="1" s="518">
      <c r="A504" s="123" t="n">
        <v>8</v>
      </c>
      <c r="B504" s="59" t="n">
        <v>498</v>
      </c>
      <c r="C504" t="inlineStr">
        <is>
          <t>R0003870</t>
        </is>
      </c>
      <c r="D504" t="inlineStr">
        <is>
          <t>59  CABBAGE ST</t>
        </is>
      </c>
      <c r="E504" t="n">
        <v>406</v>
      </c>
      <c r="F504" t="inlineStr">
        <is>
          <t>BRIGHTON</t>
        </is>
      </c>
      <c r="G504" t="inlineStr">
        <is>
          <t>2</t>
        </is>
      </c>
      <c r="H504" s="703">
        <f>Y504/J504</f>
        <v/>
      </c>
      <c r="I504" s="704" t="n">
        <v>44155</v>
      </c>
      <c r="J504" t="n">
        <v>1451</v>
      </c>
      <c r="L504" t="n">
        <v>1451</v>
      </c>
      <c r="M504" t="n">
        <v>1936</v>
      </c>
      <c r="P504" t="inlineStr">
        <is>
          <t>DT</t>
        </is>
      </c>
      <c r="R504" t="inlineStr">
        <is>
          <t>Average</t>
        </is>
      </c>
      <c r="S504" t="n">
        <v>2350</v>
      </c>
      <c r="T504" s="119">
        <f>S504/J504</f>
        <v/>
      </c>
      <c r="U504" t="inlineStr">
        <is>
          <t>Average</t>
        </is>
      </c>
      <c r="Y504" t="n">
        <v>165000</v>
      </c>
      <c r="AA504" t="n">
        <v>165000</v>
      </c>
      <c r="AC504" t="inlineStr">
        <is>
          <t>0156907203008</t>
        </is>
      </c>
      <c r="AD504" t="inlineStr">
        <is>
          <t>2020000130091</t>
        </is>
      </c>
      <c r="AE504" t="inlineStr">
        <is>
          <t>LOREDO JOSEPH GUALADUPE AND, LOREDO PATRICIA ANN</t>
        </is>
      </c>
      <c r="AF504" t="inlineStr">
        <is>
          <t>RODRIGUEZ RUIZ GLIBERTO AND, RODRIGUEZ GILBERTO</t>
        </is>
      </c>
      <c r="AI504" s="59">
        <f>IF(AND($E504=Subj_OccCode,Subj_BldgSF&gt;0,ABS($L504-Subj_BldgSF)&lt;=Subj_BldgSF*Subj_SizeTol),ABS($L504-Subj_BldgSF),NA())</f>
        <v/>
      </c>
      <c r="AJ504">
        <f>IF(ISNA(AI504),NA(),AI504+ROW()/10000000)</f>
        <v/>
      </c>
      <c r="AK504">
        <f>IF(AND(ISNUMBER($N504),$N504&gt;0,ISNUMBER($Y504)),$Y504/$N504,"")</f>
        <v/>
      </c>
    </row>
    <row r="505" ht="15" customHeight="1" s="518">
      <c r="A505" s="123" t="n">
        <v>8</v>
      </c>
      <c r="B505" s="59" t="n">
        <v>499</v>
      </c>
      <c r="C505" t="inlineStr">
        <is>
          <t>R0024473</t>
        </is>
      </c>
      <c r="D505" t="inlineStr">
        <is>
          <t>12421  WASHINGTON ST</t>
        </is>
      </c>
      <c r="E505" t="n">
        <v>334</v>
      </c>
      <c r="F505" t="inlineStr">
        <is>
          <t>THORNTON</t>
        </is>
      </c>
      <c r="G505" t="inlineStr">
        <is>
          <t>3</t>
        </is>
      </c>
      <c r="H505" s="703">
        <f>Y505/J505</f>
        <v/>
      </c>
      <c r="I505" s="704" t="n">
        <v>43490</v>
      </c>
      <c r="J505" t="n">
        <v>32961</v>
      </c>
      <c r="L505" t="n">
        <v>32961</v>
      </c>
      <c r="M505" t="n">
        <v>1983</v>
      </c>
      <c r="P505" t="inlineStr">
        <is>
          <t>Thornton</t>
        </is>
      </c>
      <c r="R505" t="inlineStr">
        <is>
          <t>Good</t>
        </is>
      </c>
      <c r="S505" t="n">
        <v>112471</v>
      </c>
      <c r="T505" s="119">
        <f>S505/J505</f>
        <v/>
      </c>
      <c r="U505" t="inlineStr">
        <is>
          <t>Average</t>
        </is>
      </c>
      <c r="Y505" t="n">
        <v>4145100</v>
      </c>
      <c r="AA505" t="n">
        <v>4145100</v>
      </c>
      <c r="AC505" t="inlineStr">
        <is>
          <t>0157334009022</t>
        </is>
      </c>
      <c r="AD505" t="inlineStr">
        <is>
          <t>2019000006636</t>
        </is>
      </c>
      <c r="AE505" t="inlineStr">
        <is>
          <t>CIP OWNER LLC</t>
        </is>
      </c>
      <c r="AF505" t="inlineStr">
        <is>
          <t>BPAZ HOLDINGS 13 LLC</t>
        </is>
      </c>
      <c r="AI505" s="59">
        <f>IF(AND($E505=Subj_OccCode,Subj_BldgSF&gt;0,ABS($L505-Subj_BldgSF)&lt;=Subj_BldgSF*Subj_SizeTol),ABS($L505-Subj_BldgSF),NA())</f>
        <v/>
      </c>
      <c r="AJ505">
        <f>IF(ISNA(AI505),NA(),AI505+ROW()/10000000)</f>
        <v/>
      </c>
      <c r="AK505">
        <f>IF(AND(ISNUMBER($N505),$N505&gt;0,ISNUMBER($Y505)),$Y505/$N505,"")</f>
        <v/>
      </c>
    </row>
    <row r="506" ht="15" customHeight="1" s="518">
      <c r="A506" s="123" t="n">
        <v>8</v>
      </c>
      <c r="B506" s="59" t="n">
        <v>500</v>
      </c>
      <c r="C506" t="inlineStr">
        <is>
          <t>R0098080</t>
        </is>
      </c>
      <c r="D506" t="inlineStr">
        <is>
          <t>851  HIGHWAY 224  #4A</t>
        </is>
      </c>
      <c r="E506" t="n">
        <v>425</v>
      </c>
      <c r="G506" t="inlineStr">
        <is>
          <t>5</t>
        </is>
      </c>
      <c r="H506" s="703">
        <f>Y506/J506</f>
        <v/>
      </c>
      <c r="I506" s="704" t="n">
        <v>43168</v>
      </c>
      <c r="J506" t="n">
        <v>1500</v>
      </c>
      <c r="L506" t="n">
        <v>1500</v>
      </c>
      <c r="M506" t="n">
        <v>1984</v>
      </c>
      <c r="P506" t="inlineStr">
        <is>
          <t>Industrial</t>
        </is>
      </c>
      <c r="R506" t="inlineStr">
        <is>
          <t>Average</t>
        </is>
      </c>
      <c r="S506" t="n">
        <v>4340</v>
      </c>
      <c r="T506" s="119">
        <f>S506/J506</f>
        <v/>
      </c>
      <c r="U506" t="inlineStr">
        <is>
          <t>Average</t>
        </is>
      </c>
      <c r="Y506" t="n">
        <v>275000</v>
      </c>
      <c r="AA506" t="n">
        <v>275000</v>
      </c>
      <c r="AC506" t="inlineStr">
        <is>
          <t>0182502203044</t>
        </is>
      </c>
      <c r="AD506" t="inlineStr">
        <is>
          <t>2018000019820</t>
        </is>
      </c>
      <c r="AE506" t="inlineStr">
        <is>
          <t>BALES SPORT LLC</t>
        </is>
      </c>
      <c r="AF506" t="inlineStr">
        <is>
          <t>PRIMA CAR CARE LLC</t>
        </is>
      </c>
      <c r="AI506" s="59">
        <f>IF(AND($E506=Subj_OccCode,Subj_BldgSF&gt;0,ABS($L506-Subj_BldgSF)&lt;=Subj_BldgSF*Subj_SizeTol),ABS($L506-Subj_BldgSF),NA())</f>
        <v/>
      </c>
      <c r="AJ506">
        <f>IF(ISNA(AI506),NA(),AI506+ROW()/10000000)</f>
        <v/>
      </c>
      <c r="AK506">
        <f>IF(AND(ISNUMBER($N506),$N506&gt;0,ISNUMBER($Y506)),$Y506/$N506,"")</f>
        <v/>
      </c>
    </row>
    <row r="507" ht="15" customHeight="1" s="518">
      <c r="A507" s="123" t="n">
        <v>8</v>
      </c>
      <c r="B507" s="59" t="n">
        <v>501</v>
      </c>
      <c r="C507" t="inlineStr">
        <is>
          <t>R0103509</t>
        </is>
      </c>
      <c r="D507" t="inlineStr">
        <is>
          <t xml:space="preserve">6185  BROADWAY </t>
        </is>
      </c>
      <c r="E507" t="n">
        <v>419</v>
      </c>
      <c r="G507" t="inlineStr">
        <is>
          <t>5</t>
        </is>
      </c>
      <c r="H507" s="703">
        <f>Y507/J507</f>
        <v/>
      </c>
      <c r="I507" s="704" t="n">
        <v>44692</v>
      </c>
      <c r="J507" t="n">
        <v>2700</v>
      </c>
      <c r="L507" t="n">
        <v>2700</v>
      </c>
      <c r="M507" t="n">
        <v>1995</v>
      </c>
      <c r="P507" t="inlineStr">
        <is>
          <t>Industrial</t>
        </is>
      </c>
      <c r="R507" t="inlineStr">
        <is>
          <t>Average</t>
        </is>
      </c>
      <c r="S507" t="n">
        <v>110640</v>
      </c>
      <c r="T507" s="119">
        <f>S507/J507</f>
        <v/>
      </c>
      <c r="U507" t="inlineStr">
        <is>
          <t>Average</t>
        </is>
      </c>
      <c r="Y507" t="n">
        <v>3000000</v>
      </c>
      <c r="AA507" t="n">
        <v>3000000</v>
      </c>
      <c r="AC507" t="inlineStr">
        <is>
          <t>0182510203002</t>
        </is>
      </c>
      <c r="AD507" t="inlineStr">
        <is>
          <t>2022000043033</t>
        </is>
      </c>
      <c r="AE507" t="inlineStr">
        <is>
          <t>TRIPLE B VENTURES LLC</t>
        </is>
      </c>
      <c r="AF507" t="inlineStr">
        <is>
          <t xml:space="preserve">HARTS GAS AND FOOD LLC, C/O PARKLAND CORP </t>
        </is>
      </c>
      <c r="AI507" s="59">
        <f>IF(AND($E507=Subj_OccCode,Subj_BldgSF&gt;0,ABS($L507-Subj_BldgSF)&lt;=Subj_BldgSF*Subj_SizeTol),ABS($L507-Subj_BldgSF),NA())</f>
        <v/>
      </c>
      <c r="AJ507">
        <f>IF(ISNA(AI507),NA(),AI507+ROW()/10000000)</f>
        <v/>
      </c>
      <c r="AK507">
        <f>IF(AND(ISNUMBER($N507),$N507&gt;0,ISNUMBER($Y507)),$Y507/$N507,"")</f>
        <v/>
      </c>
    </row>
    <row r="508" ht="15" customHeight="1" s="518">
      <c r="A508" s="123" t="n">
        <v>8</v>
      </c>
      <c r="B508" s="59" t="n">
        <v>502</v>
      </c>
      <c r="C508" t="inlineStr">
        <is>
          <t>R0104080</t>
        </is>
      </c>
      <c r="D508" t="inlineStr">
        <is>
          <t>5347  SHERMAN ST</t>
        </is>
      </c>
      <c r="E508" t="n">
        <v>406</v>
      </c>
      <c r="G508" t="inlineStr">
        <is>
          <t>5</t>
        </is>
      </c>
      <c r="H508" s="703">
        <f>Y508/J508</f>
        <v/>
      </c>
      <c r="I508" s="704" t="n">
        <v>44270</v>
      </c>
      <c r="J508" t="n">
        <v>17980</v>
      </c>
      <c r="L508" t="n">
        <v>17980</v>
      </c>
      <c r="M508" t="n">
        <v>1986</v>
      </c>
      <c r="P508" t="inlineStr">
        <is>
          <t>Industrial</t>
        </is>
      </c>
      <c r="R508" t="inlineStr">
        <is>
          <t>Average</t>
        </is>
      </c>
      <c r="S508" t="n">
        <v>76200</v>
      </c>
      <c r="T508" s="119">
        <f>S508/J508</f>
        <v/>
      </c>
      <c r="U508" t="inlineStr">
        <is>
          <t>Average</t>
        </is>
      </c>
      <c r="Y508" t="n">
        <v>2699000</v>
      </c>
      <c r="AA508" t="n">
        <v>2699000</v>
      </c>
      <c r="AC508" t="inlineStr">
        <is>
          <t>0182515108023</t>
        </is>
      </c>
      <c r="AD508" t="inlineStr">
        <is>
          <t>2021000033195</t>
        </is>
      </c>
      <c r="AE508" t="inlineStr">
        <is>
          <t>SHERMAN STREET WEST, INVESTMENT COMPANY</t>
        </is>
      </c>
      <c r="AF508" t="inlineStr">
        <is>
          <t>UHRIG HOLDINGS LLC ET AL</t>
        </is>
      </c>
      <c r="AI508" s="59">
        <f>IF(AND($E508=Subj_OccCode,Subj_BldgSF&gt;0,ABS($L508-Subj_BldgSF)&lt;=Subj_BldgSF*Subj_SizeTol),ABS($L508-Subj_BldgSF),NA())</f>
        <v/>
      </c>
      <c r="AJ508">
        <f>IF(ISNA(AI508),NA(),AI508+ROW()/10000000)</f>
        <v/>
      </c>
      <c r="AK508">
        <f>IF(AND(ISNUMBER($N508),$N508&gt;0,ISNUMBER($Y508)),$Y508/$N508,"")</f>
        <v/>
      </c>
    </row>
    <row r="509" ht="15" customHeight="1" s="518">
      <c r="A509" s="123" t="n">
        <v>8</v>
      </c>
      <c r="B509" s="59" t="n">
        <v>503</v>
      </c>
      <c r="C509" t="inlineStr">
        <is>
          <t>R0092264</t>
        </is>
      </c>
      <c r="D509" t="inlineStr">
        <is>
          <t>5490  NEWPORT ST</t>
        </is>
      </c>
      <c r="E509" t="n">
        <v>325</v>
      </c>
      <c r="F509" t="inlineStr">
        <is>
          <t>COMMERCE CITY</t>
        </is>
      </c>
      <c r="G509" t="inlineStr">
        <is>
          <t>5</t>
        </is>
      </c>
      <c r="H509" s="703">
        <f>Y509/J509</f>
        <v/>
      </c>
      <c r="I509" s="704" t="n">
        <v>44715</v>
      </c>
      <c r="J509" t="n">
        <v>4600</v>
      </c>
      <c r="L509" t="n">
        <v>4600</v>
      </c>
      <c r="M509" t="n">
        <v>1973</v>
      </c>
      <c r="P509" t="inlineStr">
        <is>
          <t>I-2-Com</t>
        </is>
      </c>
      <c r="R509" t="inlineStr">
        <is>
          <t>Average</t>
        </is>
      </c>
      <c r="S509" t="n">
        <v>16800</v>
      </c>
      <c r="T509" s="119">
        <f>S509/J509</f>
        <v/>
      </c>
      <c r="U509" t="inlineStr">
        <is>
          <t>Average</t>
        </is>
      </c>
      <c r="Y509" t="n">
        <v>1305000</v>
      </c>
      <c r="AA509" t="n">
        <v>1305000</v>
      </c>
      <c r="AC509" t="inlineStr">
        <is>
          <t>0182317101006</t>
        </is>
      </c>
      <c r="AD509" t="inlineStr">
        <is>
          <t>2022000049643</t>
        </is>
      </c>
      <c r="AE509" t="inlineStr">
        <is>
          <t>PROJECT53 LLC</t>
        </is>
      </c>
      <c r="AF509" t="inlineStr">
        <is>
          <t>STUBBS-SON LLC</t>
        </is>
      </c>
      <c r="AI509" s="59">
        <f>IF(AND($E509=Subj_OccCode,Subj_BldgSF&gt;0,ABS($L509-Subj_BldgSF)&lt;=Subj_BldgSF*Subj_SizeTol),ABS($L509-Subj_BldgSF),NA())</f>
        <v/>
      </c>
      <c r="AJ509">
        <f>IF(ISNA(AI509),NA(),AI509+ROW()/10000000)</f>
        <v/>
      </c>
      <c r="AK509">
        <f>IF(AND(ISNUMBER($N509),$N509&gt;0,ISNUMBER($Y509)),$Y509/$N509,"")</f>
        <v/>
      </c>
    </row>
    <row r="510" ht="15" customHeight="1" s="518">
      <c r="A510" s="123" t="n">
        <v>8</v>
      </c>
      <c r="B510" s="59" t="n">
        <v>504</v>
      </c>
      <c r="C510" t="inlineStr">
        <is>
          <t>R0037193</t>
        </is>
      </c>
      <c r="D510" t="inlineStr">
        <is>
          <t>650 W 106TH AVE</t>
        </is>
      </c>
      <c r="E510" t="n">
        <v>325</v>
      </c>
      <c r="F510" t="inlineStr">
        <is>
          <t>NORTHGLENN</t>
        </is>
      </c>
      <c r="G510" t="inlineStr">
        <is>
          <t>4</t>
        </is>
      </c>
      <c r="H510" s="703">
        <f>Y510/J510</f>
        <v/>
      </c>
      <c r="I510" s="704" t="n">
        <v>43440</v>
      </c>
      <c r="J510" t="n">
        <v>30020</v>
      </c>
      <c r="L510" t="n">
        <v>30020</v>
      </c>
      <c r="M510" t="n">
        <v>1973</v>
      </c>
      <c r="P510" t="inlineStr">
        <is>
          <t>Northglenn</t>
        </is>
      </c>
      <c r="R510" t="inlineStr">
        <is>
          <t>Average</t>
        </is>
      </c>
      <c r="S510" t="n">
        <v>120456</v>
      </c>
      <c r="T510" s="119">
        <f>S510/J510</f>
        <v/>
      </c>
      <c r="U510" t="inlineStr">
        <is>
          <t>Average</t>
        </is>
      </c>
      <c r="Y510" t="n">
        <v>5057000</v>
      </c>
      <c r="AA510" t="n">
        <v>5057000</v>
      </c>
      <c r="AC510" t="inlineStr">
        <is>
          <t>0171910307020</t>
        </is>
      </c>
      <c r="AD510" t="inlineStr">
        <is>
          <t>2018000098661</t>
        </is>
      </c>
      <c r="AE510" t="inlineStr">
        <is>
          <t>WEST COAST HIGHWAY LLC</t>
        </is>
      </c>
      <c r="AF510" t="inlineStr">
        <is>
          <t>BAIZER JOANNE M SUCCESSOR TRUSTEE, OF THE MILDRED G SEGAL TRUST</t>
        </is>
      </c>
      <c r="AI510" s="59">
        <f>IF(AND($E510=Subj_OccCode,Subj_BldgSF&gt;0,ABS($L510-Subj_BldgSF)&lt;=Subj_BldgSF*Subj_SizeTol),ABS($L510-Subj_BldgSF),NA())</f>
        <v/>
      </c>
      <c r="AJ510">
        <f>IF(ISNA(AI510),NA(),AI510+ROW()/10000000)</f>
        <v/>
      </c>
      <c r="AK510">
        <f>IF(AND(ISNUMBER($N510),$N510&gt;0,ISNUMBER($Y510)),$Y510/$N510,"")</f>
        <v/>
      </c>
    </row>
    <row r="511" ht="15" customHeight="1" s="518">
      <c r="A511" s="123" t="n">
        <v>8</v>
      </c>
      <c r="B511" s="59" t="n">
        <v>505</v>
      </c>
      <c r="C511" t="inlineStr">
        <is>
          <t>R0114277</t>
        </is>
      </c>
      <c r="D511" t="inlineStr">
        <is>
          <t>4915 E 52ND AVE</t>
        </is>
      </c>
      <c r="E511" t="n">
        <v>407</v>
      </c>
      <c r="F511" t="inlineStr">
        <is>
          <t>COMMERCE CITY</t>
        </is>
      </c>
      <c r="G511" t="inlineStr">
        <is>
          <t>5</t>
        </is>
      </c>
      <c r="H511" s="703">
        <f>Y511/J511</f>
        <v/>
      </c>
      <c r="I511" s="704" t="n">
        <v>44187</v>
      </c>
      <c r="J511" t="n">
        <v>54607</v>
      </c>
      <c r="L511" t="n">
        <v>54607</v>
      </c>
      <c r="M511" t="n">
        <v>1970</v>
      </c>
      <c r="P511" t="inlineStr">
        <is>
          <t>I-3-Com</t>
        </is>
      </c>
      <c r="R511" t="inlineStr">
        <is>
          <t>Average</t>
        </is>
      </c>
      <c r="S511" t="n">
        <v>161338</v>
      </c>
      <c r="T511" s="119">
        <f>S511/J511</f>
        <v/>
      </c>
      <c r="U511" t="inlineStr">
        <is>
          <t>Average</t>
        </is>
      </c>
      <c r="Y511" t="n">
        <v>5450000</v>
      </c>
      <c r="AA511" t="n">
        <v>5450000</v>
      </c>
      <c r="AC511" t="inlineStr">
        <is>
          <t>0182318100095</t>
        </is>
      </c>
      <c r="AD511" t="inlineStr">
        <is>
          <t>2020000137498</t>
        </is>
      </c>
      <c r="AE511" t="inlineStr">
        <is>
          <t>HERSKOVITS INVESTMENTS LLC</t>
        </is>
      </c>
      <c r="AF511" t="inlineStr">
        <is>
          <t>4915 E 52ND LLC</t>
        </is>
      </c>
      <c r="AI511" s="59">
        <f>IF(AND($E511=Subj_OccCode,Subj_BldgSF&gt;0,ABS($L511-Subj_BldgSF)&lt;=Subj_BldgSF*Subj_SizeTol),ABS($L511-Subj_BldgSF),NA())</f>
        <v/>
      </c>
      <c r="AJ511">
        <f>IF(ISNA(AI511),NA(),AI511+ROW()/10000000)</f>
        <v/>
      </c>
      <c r="AK511">
        <f>IF(AND(ISNUMBER($N511),$N511&gt;0,ISNUMBER($Y511)),$Y511/$N511,"")</f>
        <v/>
      </c>
    </row>
    <row r="512" ht="15" customHeight="1" s="518">
      <c r="A512" s="123" t="n">
        <v>8</v>
      </c>
      <c r="B512" s="59" t="n">
        <v>506</v>
      </c>
      <c r="C512" t="inlineStr">
        <is>
          <t>R0092867</t>
        </is>
      </c>
      <c r="D512" t="inlineStr">
        <is>
          <t>5505 E 48TH AVE</t>
        </is>
      </c>
      <c r="E512" t="n">
        <v>325</v>
      </c>
      <c r="F512" t="inlineStr">
        <is>
          <t>COMMERCE CITY</t>
        </is>
      </c>
      <c r="G512" t="inlineStr">
        <is>
          <t>5</t>
        </is>
      </c>
      <c r="H512" s="703">
        <f>Y512/J512</f>
        <v/>
      </c>
      <c r="I512" s="704" t="n">
        <v>43815</v>
      </c>
      <c r="J512" t="n">
        <v>11940</v>
      </c>
      <c r="L512" t="n">
        <v>11940</v>
      </c>
      <c r="M512" t="n">
        <v>1965</v>
      </c>
      <c r="P512" t="inlineStr">
        <is>
          <t>I-3-Com</t>
        </is>
      </c>
      <c r="R512" t="inlineStr">
        <is>
          <t>Average</t>
        </is>
      </c>
      <c r="S512" t="n">
        <v>51052</v>
      </c>
      <c r="T512" s="119">
        <f>S512/J512</f>
        <v/>
      </c>
      <c r="U512" t="inlineStr">
        <is>
          <t>Average</t>
        </is>
      </c>
      <c r="Y512" t="n">
        <v>1825000</v>
      </c>
      <c r="AA512" t="n">
        <v>1825000</v>
      </c>
      <c r="AC512" t="inlineStr">
        <is>
          <t>0182318400007</t>
        </is>
      </c>
      <c r="AD512" t="inlineStr">
        <is>
          <t>2020000002464</t>
        </is>
      </c>
      <c r="AE512" t="inlineStr">
        <is>
          <t>BRIDGESTONE FIRESTONE NORTH AMERICAN, TIRE LLC  ATTN TAX DEPT</t>
        </is>
      </c>
      <c r="AF512" t="inlineStr">
        <is>
          <t>MC GREGOR HOLDINGS LLC</t>
        </is>
      </c>
      <c r="AI512" s="59">
        <f>IF(AND($E512=Subj_OccCode,Subj_BldgSF&gt;0,ABS($L512-Subj_BldgSF)&lt;=Subj_BldgSF*Subj_SizeTol),ABS($L512-Subj_BldgSF),NA())</f>
        <v/>
      </c>
      <c r="AJ512">
        <f>IF(ISNA(AI512),NA(),AI512+ROW()/10000000)</f>
        <v/>
      </c>
      <c r="AK512">
        <f>IF(AND(ISNUMBER($N512),$N512&gt;0,ISNUMBER($Y512)),$Y512/$N512,"")</f>
        <v/>
      </c>
    </row>
    <row r="513" ht="15" customHeight="1" s="518">
      <c r="A513" s="123" t="n">
        <v>8</v>
      </c>
      <c r="B513" s="59" t="n">
        <v>507</v>
      </c>
      <c r="C513" t="inlineStr">
        <is>
          <t>R0145674</t>
        </is>
      </c>
      <c r="D513" t="inlineStr">
        <is>
          <t>6079  QUEBEC ST</t>
        </is>
      </c>
      <c r="E513" t="n">
        <v>353</v>
      </c>
      <c r="F513" t="inlineStr">
        <is>
          <t>COMMERCE CITY</t>
        </is>
      </c>
      <c r="G513" t="inlineStr">
        <is>
          <t>5</t>
        </is>
      </c>
      <c r="H513" s="703">
        <f>Y513/J513</f>
        <v/>
      </c>
      <c r="I513" s="704" t="n">
        <v>44329</v>
      </c>
      <c r="J513" t="n">
        <v>4521</v>
      </c>
      <c r="L513" t="n">
        <v>4521</v>
      </c>
      <c r="M513" t="n">
        <v>1964</v>
      </c>
      <c r="P513" t="inlineStr">
        <is>
          <t>C-3-Com</t>
        </is>
      </c>
      <c r="R513" t="inlineStr">
        <is>
          <t>Average</t>
        </is>
      </c>
      <c r="S513" t="n">
        <v>16173</v>
      </c>
      <c r="T513" s="119">
        <f>S513/J513</f>
        <v/>
      </c>
      <c r="U513" t="inlineStr">
        <is>
          <t>Average</t>
        </is>
      </c>
      <c r="Y513" t="n">
        <v>1080000</v>
      </c>
      <c r="AA513" t="n">
        <v>1080000</v>
      </c>
      <c r="AC513" t="inlineStr">
        <is>
          <t>0182308116044</t>
        </is>
      </c>
      <c r="AD513" t="inlineStr">
        <is>
          <t>2021000059069</t>
        </is>
      </c>
      <c r="AE513" t="inlineStr">
        <is>
          <t>HENSEL DELBERT E AKA DELBERT</t>
        </is>
      </c>
      <c r="AF513" t="inlineStr">
        <is>
          <t>JASHMAN INC</t>
        </is>
      </c>
      <c r="AI513" s="59">
        <f>IF(AND($E513=Subj_OccCode,Subj_BldgSF&gt;0,ABS($L513-Subj_BldgSF)&lt;=Subj_BldgSF*Subj_SizeTol),ABS($L513-Subj_BldgSF),NA())</f>
        <v/>
      </c>
      <c r="AJ513">
        <f>IF(ISNA(AI513),NA(),AI513+ROW()/10000000)</f>
        <v/>
      </c>
      <c r="AK513">
        <f>IF(AND(ISNUMBER($N513),$N513&gt;0,ISNUMBER($Y513)),$Y513/$N513,"")</f>
        <v/>
      </c>
    </row>
    <row r="514" ht="15" customHeight="1" s="518">
      <c r="A514" s="123" t="n">
        <v>8</v>
      </c>
      <c r="B514" s="59" t="n">
        <v>508</v>
      </c>
      <c r="C514" t="inlineStr">
        <is>
          <t>R0103648</t>
        </is>
      </c>
      <c r="D514" t="inlineStr">
        <is>
          <t>1390 E 64TH AVE</t>
        </is>
      </c>
      <c r="E514" t="n">
        <v>406</v>
      </c>
      <c r="G514" t="inlineStr">
        <is>
          <t>5</t>
        </is>
      </c>
      <c r="H514" s="703">
        <f>Y514/J514</f>
        <v/>
      </c>
      <c r="I514" s="704" t="n">
        <v>44175</v>
      </c>
      <c r="J514" t="n">
        <v>7450</v>
      </c>
      <c r="L514" t="n">
        <v>7450</v>
      </c>
      <c r="M514" t="n">
        <v>1992</v>
      </c>
      <c r="P514" t="inlineStr">
        <is>
          <t>Industrial</t>
        </is>
      </c>
      <c r="R514" t="inlineStr">
        <is>
          <t>Average</t>
        </is>
      </c>
      <c r="S514" t="n">
        <v>46560</v>
      </c>
      <c r="T514" s="119">
        <f>S514/J514</f>
        <v/>
      </c>
      <c r="U514" t="inlineStr">
        <is>
          <t>Average</t>
        </is>
      </c>
      <c r="Y514" t="n">
        <v>2180000</v>
      </c>
      <c r="AA514" t="n">
        <v>2180000</v>
      </c>
      <c r="AC514" t="inlineStr">
        <is>
          <t>0182511201027</t>
        </is>
      </c>
      <c r="AD514" t="inlineStr">
        <is>
          <t>2020000130265</t>
        </is>
      </c>
      <c r="AE514" t="inlineStr">
        <is>
          <t>JONEAL LLC</t>
        </is>
      </c>
      <c r="AF514" t="inlineStr">
        <is>
          <t>TSS INVESTMENTS LLC</t>
        </is>
      </c>
      <c r="AI514" s="59">
        <f>IF(AND($E514=Subj_OccCode,Subj_BldgSF&gt;0,ABS($L514-Subj_BldgSF)&lt;=Subj_BldgSF*Subj_SizeTol),ABS($L514-Subj_BldgSF),NA())</f>
        <v/>
      </c>
      <c r="AJ514">
        <f>IF(ISNA(AI514),NA(),AI514+ROW()/10000000)</f>
        <v/>
      </c>
      <c r="AK514">
        <f>IF(AND(ISNUMBER($N514),$N514&gt;0,ISNUMBER($Y514)),$Y514/$N514,"")</f>
        <v/>
      </c>
    </row>
    <row r="515" ht="15" customHeight="1" s="518">
      <c r="A515" s="123" t="n">
        <v>8</v>
      </c>
      <c r="B515" s="59" t="n">
        <v>509</v>
      </c>
      <c r="C515" t="inlineStr">
        <is>
          <t>R0086237</t>
        </is>
      </c>
      <c r="D515" t="inlineStr">
        <is>
          <t>2200  TOWER RD</t>
        </is>
      </c>
      <c r="E515" t="n">
        <v>100</v>
      </c>
      <c r="F515" t="inlineStr">
        <is>
          <t>AURORA</t>
        </is>
      </c>
      <c r="G515" t="inlineStr">
        <is>
          <t>620</t>
        </is>
      </c>
      <c r="H515" s="703">
        <f>Y515/J515</f>
        <v/>
      </c>
      <c r="I515" s="704" t="n">
        <v>44469</v>
      </c>
      <c r="J515" t="n">
        <v>1176</v>
      </c>
      <c r="L515" t="n">
        <v>1176</v>
      </c>
      <c r="M515" t="n">
        <v>1963</v>
      </c>
      <c r="P515" t="inlineStr">
        <is>
          <t>M-1-Aur</t>
        </is>
      </c>
      <c r="R515" t="inlineStr">
        <is>
          <t>Average</t>
        </is>
      </c>
      <c r="S515" t="n">
        <v>99752.39999999999</v>
      </c>
      <c r="T515" s="119">
        <f>S515/J515</f>
        <v/>
      </c>
      <c r="U515" t="inlineStr">
        <is>
          <t>Average</t>
        </is>
      </c>
      <c r="Y515" t="n">
        <v>1500000</v>
      </c>
      <c r="AA515" t="n">
        <v>1500000</v>
      </c>
      <c r="AC515" t="inlineStr">
        <is>
          <t>0182134200008</t>
        </is>
      </c>
      <c r="AD515" t="inlineStr">
        <is>
          <t>2021000129671</t>
        </is>
      </c>
      <c r="AE515" t="inlineStr">
        <is>
          <t>NARTEY DANIEL T AND, NARTEY ELLA L</t>
        </is>
      </c>
      <c r="AF515" t="inlineStr">
        <is>
          <t>2200 TOWER LLC</t>
        </is>
      </c>
      <c r="AI515" s="59">
        <f>IF(AND($E515=Subj_OccCode,Subj_BldgSF&gt;0,ABS($L515-Subj_BldgSF)&lt;=Subj_BldgSF*Subj_SizeTol),ABS($L515-Subj_BldgSF),NA())</f>
        <v/>
      </c>
      <c r="AJ515">
        <f>IF(ISNA(AI515),NA(),AI515+ROW()/10000000)</f>
        <v/>
      </c>
      <c r="AK515">
        <f>IF(AND(ISNUMBER($N515),$N515&gt;0,ISNUMBER($Y515)),$Y515/$N515,"")</f>
        <v/>
      </c>
    </row>
    <row r="516" ht="15" customHeight="1" s="518">
      <c r="A516" s="123" t="n">
        <v>8</v>
      </c>
      <c r="B516" s="59" t="n">
        <v>510</v>
      </c>
      <c r="C516" t="inlineStr">
        <is>
          <t>R0059553</t>
        </is>
      </c>
      <c r="D516" t="inlineStr">
        <is>
          <t>2385 W 84TH AVE</t>
        </is>
      </c>
      <c r="E516" t="n">
        <v>419</v>
      </c>
      <c r="G516" t="inlineStr">
        <is>
          <t>1</t>
        </is>
      </c>
      <c r="H516" s="703">
        <f>Y516/J516</f>
        <v/>
      </c>
      <c r="I516" s="704" t="n">
        <v>43342</v>
      </c>
      <c r="J516" t="n">
        <v>1958</v>
      </c>
      <c r="L516" t="n">
        <v>1958</v>
      </c>
      <c r="M516" t="n">
        <v>1972</v>
      </c>
      <c r="P516" t="inlineStr">
        <is>
          <t>Commercial</t>
        </is>
      </c>
      <c r="R516" t="inlineStr">
        <is>
          <t>Average</t>
        </is>
      </c>
      <c r="S516" t="n">
        <v>16443</v>
      </c>
      <c r="T516" s="119">
        <f>S516/J516</f>
        <v/>
      </c>
      <c r="U516" t="inlineStr">
        <is>
          <t>Average</t>
        </is>
      </c>
      <c r="Y516" t="n">
        <v>280000</v>
      </c>
      <c r="AA516" t="n">
        <v>280000</v>
      </c>
      <c r="AC516" t="inlineStr">
        <is>
          <t>0171928201006</t>
        </is>
      </c>
      <c r="AD516" t="inlineStr">
        <is>
          <t>2018000072861</t>
        </is>
      </c>
      <c r="AE516" t="inlineStr">
        <is>
          <t>GAS AND FOOD MART LLC</t>
        </is>
      </c>
      <c r="AF516" t="inlineStr">
        <is>
          <t xml:space="preserve">SINGH PRADHAN PRABHAT MAN AND , PRADHAN CHANDANI JOSHI </t>
        </is>
      </c>
      <c r="AI516" s="59">
        <f>IF(AND($E516=Subj_OccCode,Subj_BldgSF&gt;0,ABS($L516-Subj_BldgSF)&lt;=Subj_BldgSF*Subj_SizeTol),ABS($L516-Subj_BldgSF),NA())</f>
        <v/>
      </c>
      <c r="AJ516">
        <f>IF(ISNA(AI516),NA(),AI516+ROW()/10000000)</f>
        <v/>
      </c>
      <c r="AK516">
        <f>IF(AND(ISNUMBER($N516),$N516&gt;0,ISNUMBER($Y516)),$Y516/$N516,"")</f>
        <v/>
      </c>
    </row>
    <row r="517" ht="15" customHeight="1" s="518">
      <c r="A517" s="123" t="n">
        <v>8</v>
      </c>
      <c r="B517" s="59" t="n">
        <v>511</v>
      </c>
      <c r="C517" t="inlineStr">
        <is>
          <t>R0002429</t>
        </is>
      </c>
      <c r="D517" t="inlineStr">
        <is>
          <t>695 N 7TH AVE</t>
        </is>
      </c>
      <c r="E517" t="n">
        <v>334</v>
      </c>
      <c r="F517" t="inlineStr">
        <is>
          <t>BRIGHTON</t>
        </is>
      </c>
      <c r="G517" t="inlineStr">
        <is>
          <t>2</t>
        </is>
      </c>
      <c r="H517" s="703">
        <f>Y517/J517</f>
        <v/>
      </c>
      <c r="I517" s="704" t="n">
        <v>44405</v>
      </c>
      <c r="J517" t="n">
        <v>10106</v>
      </c>
      <c r="L517" t="n">
        <v>10106</v>
      </c>
      <c r="M517" t="n">
        <v>1987</v>
      </c>
      <c r="P517" t="inlineStr">
        <is>
          <t>I-1-Bri</t>
        </is>
      </c>
      <c r="R517" t="inlineStr">
        <is>
          <t>Average</t>
        </is>
      </c>
      <c r="S517" t="n">
        <v>86500</v>
      </c>
      <c r="T517" s="119">
        <f>S517/J517</f>
        <v/>
      </c>
      <c r="U517" t="inlineStr">
        <is>
          <t>Average</t>
        </is>
      </c>
      <c r="Y517" t="n">
        <v>1575000</v>
      </c>
      <c r="AA517" t="n">
        <v>1575000</v>
      </c>
      <c r="AC517" t="inlineStr">
        <is>
          <t>0156906101015</t>
        </is>
      </c>
      <c r="AD517" t="inlineStr">
        <is>
          <t>2021000090938</t>
        </is>
      </c>
      <c r="AE517" t="inlineStr">
        <is>
          <t>ATI DEVELOPMENT LLC</t>
        </is>
      </c>
      <c r="AF517" t="inlineStr">
        <is>
          <t>WEALTH BUILDING PROPERTIES LLC</t>
        </is>
      </c>
      <c r="AI517" s="59">
        <f>IF(AND($E517=Subj_OccCode,Subj_BldgSF&gt;0,ABS($L517-Subj_BldgSF)&lt;=Subj_BldgSF*Subj_SizeTol),ABS($L517-Subj_BldgSF),NA())</f>
        <v/>
      </c>
      <c r="AJ517">
        <f>IF(ISNA(AI517),NA(),AI517+ROW()/10000000)</f>
        <v/>
      </c>
      <c r="AK517">
        <f>IF(AND(ISNUMBER($N517),$N517&gt;0,ISNUMBER($Y517)),$Y517/$N517,"")</f>
        <v/>
      </c>
    </row>
    <row r="518" ht="15" customHeight="1" s="518">
      <c r="A518" s="123" t="n">
        <v>8</v>
      </c>
      <c r="B518" s="59" t="n">
        <v>512</v>
      </c>
      <c r="C518" t="inlineStr">
        <is>
          <t>R0125399</t>
        </is>
      </c>
      <c r="D518" t="inlineStr">
        <is>
          <t>6550  FRANKLIN ST</t>
        </is>
      </c>
      <c r="E518" t="n">
        <v>407</v>
      </c>
      <c r="G518" t="inlineStr">
        <is>
          <t>5</t>
        </is>
      </c>
      <c r="H518" s="703">
        <f>Y518/J518</f>
        <v/>
      </c>
      <c r="I518" s="704" t="n">
        <v>43767</v>
      </c>
      <c r="J518" t="n">
        <v>10384</v>
      </c>
      <c r="L518" t="n">
        <v>10384</v>
      </c>
      <c r="M518" t="n">
        <v>2001</v>
      </c>
      <c r="P518" t="inlineStr">
        <is>
          <t>Planned Unit Development</t>
        </is>
      </c>
      <c r="R518" t="inlineStr">
        <is>
          <t>Average</t>
        </is>
      </c>
      <c r="S518" t="n">
        <v>43560</v>
      </c>
      <c r="T518" s="119">
        <f>S518/J518</f>
        <v/>
      </c>
      <c r="U518" t="inlineStr">
        <is>
          <t>Good</t>
        </is>
      </c>
      <c r="Y518" t="n">
        <v>2000000</v>
      </c>
      <c r="AA518" t="n">
        <v>2000000</v>
      </c>
      <c r="AC518" t="inlineStr">
        <is>
          <t>0182502403042</t>
        </is>
      </c>
      <c r="AD518" t="inlineStr">
        <is>
          <t>2019000093364</t>
        </is>
      </c>
      <c r="AE518" t="inlineStr">
        <is>
          <t>URSUS HORRIBILIS LLC</t>
        </is>
      </c>
      <c r="AF518" t="inlineStr">
        <is>
          <t>6550 FRANKLIN LLC</t>
        </is>
      </c>
      <c r="AI518" s="59">
        <f>IF(AND($E518=Subj_OccCode,Subj_BldgSF&gt;0,ABS($L518-Subj_BldgSF)&lt;=Subj_BldgSF*Subj_SizeTol),ABS($L518-Subj_BldgSF),NA())</f>
        <v/>
      </c>
      <c r="AJ518">
        <f>IF(ISNA(AI518),NA(),AI518+ROW()/10000000)</f>
        <v/>
      </c>
      <c r="AK518">
        <f>IF(AND(ISNUMBER($N518),$N518&gt;0,ISNUMBER($Y518)),$Y518/$N518,"")</f>
        <v/>
      </c>
    </row>
    <row r="519" ht="15" customHeight="1" s="518">
      <c r="A519" s="123" t="n">
        <v>8</v>
      </c>
      <c r="B519" s="59" t="n">
        <v>513</v>
      </c>
      <c r="C519" t="inlineStr">
        <is>
          <t>R0002759</t>
        </is>
      </c>
      <c r="D519" t="inlineStr">
        <is>
          <t>257 N MAIN ST</t>
        </is>
      </c>
      <c r="E519" t="n">
        <v>325</v>
      </c>
      <c r="F519" t="inlineStr">
        <is>
          <t>BRIGHTON</t>
        </is>
      </c>
      <c r="G519" t="inlineStr">
        <is>
          <t>2</t>
        </is>
      </c>
      <c r="H519" s="703">
        <f>Y519/J519</f>
        <v/>
      </c>
      <c r="I519" s="704" t="n">
        <v>43217</v>
      </c>
      <c r="J519" t="n">
        <v>2210</v>
      </c>
      <c r="L519" t="n">
        <v>2210</v>
      </c>
      <c r="M519" t="n">
        <v>1982</v>
      </c>
      <c r="P519" t="inlineStr">
        <is>
          <t>Brighton</t>
        </is>
      </c>
      <c r="R519" t="inlineStr">
        <is>
          <t>Average</t>
        </is>
      </c>
      <c r="S519" t="n">
        <v>6800</v>
      </c>
      <c r="T519" s="119">
        <f>S519/J519</f>
        <v/>
      </c>
      <c r="U519" t="inlineStr">
        <is>
          <t>Average</t>
        </is>
      </c>
      <c r="Y519" t="n">
        <v>400000</v>
      </c>
      <c r="AA519" t="n">
        <v>400000</v>
      </c>
      <c r="AC519" t="inlineStr">
        <is>
          <t>0156906306004</t>
        </is>
      </c>
      <c r="AD519" t="inlineStr">
        <is>
          <t>2018000034670</t>
        </is>
      </c>
      <c r="AE519" t="inlineStr">
        <is>
          <t>GUZMAN GUADALUPE</t>
        </is>
      </c>
      <c r="AF519" t="inlineStr">
        <is>
          <t>ALVAREZ JOSE LUIS</t>
        </is>
      </c>
      <c r="AI519" s="59">
        <f>IF(AND($E519=Subj_OccCode,Subj_BldgSF&gt;0,ABS($L519-Subj_BldgSF)&lt;=Subj_BldgSF*Subj_SizeTol),ABS($L519-Subj_BldgSF),NA())</f>
        <v/>
      </c>
      <c r="AJ519">
        <f>IF(ISNA(AI519),NA(),AI519+ROW()/10000000)</f>
        <v/>
      </c>
      <c r="AK519">
        <f>IF(AND(ISNUMBER($N519),$N519&gt;0,ISNUMBER($Y519)),$Y519/$N519,"")</f>
        <v/>
      </c>
    </row>
    <row r="520" ht="15" customHeight="1" s="518">
      <c r="A520" s="123" t="n">
        <v>8</v>
      </c>
      <c r="B520" s="59" t="n">
        <v>515</v>
      </c>
      <c r="C520" t="inlineStr">
        <is>
          <t>R0129932</t>
        </is>
      </c>
      <c r="D520" t="inlineStr">
        <is>
          <t>37550  ASTRA WAY #5E</t>
        </is>
      </c>
      <c r="E520" t="n">
        <v>328</v>
      </c>
      <c r="G520" t="inlineStr">
        <is>
          <t>6</t>
        </is>
      </c>
      <c r="H520" s="703">
        <f>Y520/J520</f>
        <v/>
      </c>
      <c r="I520" s="704" t="n">
        <v>43237</v>
      </c>
      <c r="J520" t="n">
        <v>2900</v>
      </c>
      <c r="L520" t="n">
        <v>2900</v>
      </c>
      <c r="M520" t="n">
        <v>2000</v>
      </c>
      <c r="R520" t="inlineStr">
        <is>
          <t>Average</t>
        </is>
      </c>
      <c r="T520" s="119">
        <f>S520/J520</f>
        <v/>
      </c>
      <c r="U520" t="inlineStr">
        <is>
          <t>Average</t>
        </is>
      </c>
      <c r="Y520" t="n">
        <v>134000</v>
      </c>
      <c r="AA520" t="n">
        <v>134000</v>
      </c>
      <c r="AC520" t="inlineStr">
        <is>
          <t>0181716405006</t>
        </is>
      </c>
      <c r="AD520" t="inlineStr">
        <is>
          <t>2018000040787</t>
        </is>
      </c>
      <c r="AE520" t="inlineStr">
        <is>
          <t>HANGAR SPACE LLC, C/O PEGGY LONG</t>
        </is>
      </c>
      <c r="AF520" t="inlineStr">
        <is>
          <t>WIEBOLD ROBERT T</t>
        </is>
      </c>
      <c r="AI520" s="59">
        <f>IF(AND($E520=Subj_OccCode,Subj_BldgSF&gt;0,ABS($L520-Subj_BldgSF)&lt;=Subj_BldgSF*Subj_SizeTol),ABS($L520-Subj_BldgSF),NA())</f>
        <v/>
      </c>
      <c r="AJ520">
        <f>IF(ISNA(AI520),NA(),AI520+ROW()/10000000)</f>
        <v/>
      </c>
      <c r="AK520">
        <f>IF(AND(ISNUMBER($N520),$N520&gt;0,ISNUMBER($Y520)),$Y520/$N520,"")</f>
        <v/>
      </c>
    </row>
    <row r="521" ht="15" customHeight="1" s="518">
      <c r="A521" s="123" t="n">
        <v>8</v>
      </c>
      <c r="B521" s="59" t="n">
        <v>516</v>
      </c>
      <c r="C521" t="inlineStr">
        <is>
          <t>R0092695</t>
        </is>
      </c>
      <c r="D521" t="inlineStr">
        <is>
          <t>6390 E 49TH DR</t>
        </is>
      </c>
      <c r="E521" t="n">
        <v>407</v>
      </c>
      <c r="F521" t="inlineStr">
        <is>
          <t>COMMERCE CITY</t>
        </is>
      </c>
      <c r="G521" t="inlineStr">
        <is>
          <t>5</t>
        </is>
      </c>
      <c r="H521" s="703">
        <f>Y521/J521</f>
        <v/>
      </c>
      <c r="I521" s="704" t="n">
        <v>43509</v>
      </c>
      <c r="J521" t="n">
        <v>13000</v>
      </c>
      <c r="L521" t="n">
        <v>13000</v>
      </c>
      <c r="M521" t="n">
        <v>1979</v>
      </c>
      <c r="P521" t="inlineStr">
        <is>
          <t>Commerce City</t>
        </is>
      </c>
      <c r="R521" t="inlineStr">
        <is>
          <t>Average</t>
        </is>
      </c>
      <c r="S521" t="n">
        <v>32000</v>
      </c>
      <c r="T521" s="119">
        <f>S521/J521</f>
        <v/>
      </c>
      <c r="U521" t="inlineStr">
        <is>
          <t>Average</t>
        </is>
      </c>
      <c r="Y521" t="n">
        <v>1800000</v>
      </c>
      <c r="AA521" t="n">
        <v>1800000</v>
      </c>
      <c r="AC521" t="inlineStr">
        <is>
          <t>0182317304049</t>
        </is>
      </c>
      <c r="AD521" t="inlineStr">
        <is>
          <t>2019000012690</t>
        </is>
      </c>
      <c r="AE521" t="inlineStr">
        <is>
          <t>KLV INVESTMENTS LLC</t>
        </is>
      </c>
      <c r="AF521" t="inlineStr">
        <is>
          <t>NOVA WAY INVESTMENTS INC</t>
        </is>
      </c>
      <c r="AI521" s="59">
        <f>IF(AND($E521=Subj_OccCode,Subj_BldgSF&gt;0,ABS($L521-Subj_BldgSF)&lt;=Subj_BldgSF*Subj_SizeTol),ABS($L521-Subj_BldgSF),NA())</f>
        <v/>
      </c>
      <c r="AJ521">
        <f>IF(ISNA(AI521),NA(),AI521+ROW()/10000000)</f>
        <v/>
      </c>
      <c r="AK521">
        <f>IF(AND(ISNUMBER($N521),$N521&gt;0,ISNUMBER($Y521)),$Y521/$N521,"")</f>
        <v/>
      </c>
    </row>
    <row r="522" ht="15" customHeight="1" s="518">
      <c r="A522" s="123" t="n">
        <v>8</v>
      </c>
      <c r="B522" s="59" t="n">
        <v>517</v>
      </c>
      <c r="C522" t="inlineStr">
        <is>
          <t>R0141093</t>
        </is>
      </c>
      <c r="D522" t="inlineStr">
        <is>
          <t>37700  CESSNA WAY</t>
        </is>
      </c>
      <c r="E522" t="n">
        <v>328</v>
      </c>
      <c r="G522" t="inlineStr">
        <is>
          <t>1</t>
        </is>
      </c>
      <c r="H522" s="703">
        <f>Y522/J522</f>
        <v/>
      </c>
      <c r="I522" s="704" t="n">
        <v>44128</v>
      </c>
      <c r="J522" t="n">
        <v>2850</v>
      </c>
      <c r="L522" t="n">
        <v>2850</v>
      </c>
      <c r="M522" t="n">
        <v>2001</v>
      </c>
      <c r="R522" t="inlineStr">
        <is>
          <t>Average</t>
        </is>
      </c>
      <c r="T522" s="119">
        <f>S522/J522</f>
        <v/>
      </c>
      <c r="U522" t="inlineStr">
        <is>
          <t>Average</t>
        </is>
      </c>
      <c r="Y522" t="n">
        <v>163000</v>
      </c>
      <c r="AA522" t="n">
        <v>163000</v>
      </c>
      <c r="AC522" t="inlineStr">
        <is>
          <t>0181715201009</t>
        </is>
      </c>
      <c r="AD522" t="inlineStr">
        <is>
          <t>2020000123653</t>
        </is>
      </c>
      <c r="AE522" t="inlineStr">
        <is>
          <t>O MALLEY SUZANNE LOUISE</t>
        </is>
      </c>
      <c r="AF522" t="inlineStr">
        <is>
          <t>FASTGLAS HOLDINGS LLC</t>
        </is>
      </c>
      <c r="AI522" s="59">
        <f>IF(AND($E522=Subj_OccCode,Subj_BldgSF&gt;0,ABS($L522-Subj_BldgSF)&lt;=Subj_BldgSF*Subj_SizeTol),ABS($L522-Subj_BldgSF),NA())</f>
        <v/>
      </c>
      <c r="AJ522">
        <f>IF(ISNA(AI522),NA(),AI522+ROW()/10000000)</f>
        <v/>
      </c>
      <c r="AK522">
        <f>IF(AND(ISNUMBER($N522),$N522&gt;0,ISNUMBER($Y522)),$Y522/$N522,"")</f>
        <v/>
      </c>
    </row>
    <row r="523" ht="15" customHeight="1" s="518">
      <c r="A523" s="123" t="n">
        <v>8</v>
      </c>
      <c r="B523" s="59" t="n">
        <v>518</v>
      </c>
      <c r="C523" t="inlineStr">
        <is>
          <t>R0129305</t>
        </is>
      </c>
      <c r="D523" t="inlineStr">
        <is>
          <t>7175 IVY ST</t>
        </is>
      </c>
      <c r="E523" t="n">
        <v>406</v>
      </c>
      <c r="F523" t="inlineStr">
        <is>
          <t>COMMERCE CITY</t>
        </is>
      </c>
      <c r="G523" t="inlineStr">
        <is>
          <t>5</t>
        </is>
      </c>
      <c r="H523" s="703">
        <f>Y523/J523</f>
        <v/>
      </c>
      <c r="I523" s="704" t="n">
        <v>43106</v>
      </c>
      <c r="J523" t="n">
        <v>4500</v>
      </c>
      <c r="L523" t="n">
        <v>4500</v>
      </c>
      <c r="M523" t="n">
        <v>2001</v>
      </c>
      <c r="R523" t="inlineStr">
        <is>
          <t>Average</t>
        </is>
      </c>
      <c r="S523" t="n">
        <v>21675</v>
      </c>
      <c r="T523" s="119">
        <f>S523/J523</f>
        <v/>
      </c>
      <c r="U523" t="inlineStr">
        <is>
          <t>Average</t>
        </is>
      </c>
      <c r="Y523" t="n">
        <v>630000</v>
      </c>
      <c r="AA523" t="n">
        <v>630000</v>
      </c>
      <c r="AC523" t="inlineStr">
        <is>
          <t>0182305221034</t>
        </is>
      </c>
      <c r="AD523" t="inlineStr">
        <is>
          <t>2018000005251</t>
        </is>
      </c>
      <c r="AE523" t="inlineStr">
        <is>
          <t>BAIRD INDUSTRIAL ASSETS LLC</t>
        </is>
      </c>
      <c r="AF523" t="inlineStr">
        <is>
          <t>PPTS PROPERTIES LLC</t>
        </is>
      </c>
      <c r="AI523" s="59">
        <f>IF(AND($E523=Subj_OccCode,Subj_BldgSF&gt;0,ABS($L523-Subj_BldgSF)&lt;=Subj_BldgSF*Subj_SizeTol),ABS($L523-Subj_BldgSF),NA())</f>
        <v/>
      </c>
      <c r="AJ523">
        <f>IF(ISNA(AI523),NA(),AI523+ROW()/10000000)</f>
        <v/>
      </c>
      <c r="AK523">
        <f>IF(AND(ISNUMBER($N523),$N523&gt;0,ISNUMBER($Y523)),$Y523/$N523,"")</f>
        <v/>
      </c>
    </row>
    <row r="524" ht="15" customHeight="1" s="518">
      <c r="A524" s="123" t="n">
        <v>8</v>
      </c>
      <c r="B524" s="59" t="n">
        <v>519</v>
      </c>
      <c r="C524" t="inlineStr">
        <is>
          <t>R0037110</t>
        </is>
      </c>
      <c r="D524" t="inlineStr">
        <is>
          <t>11184  HURON ST #10</t>
        </is>
      </c>
      <c r="E524" t="n">
        <v>1344</v>
      </c>
      <c r="F524" t="inlineStr">
        <is>
          <t>NORTHGLENN</t>
        </is>
      </c>
      <c r="G524" t="inlineStr">
        <is>
          <t>4</t>
        </is>
      </c>
      <c r="H524" s="703">
        <f>Y524/J524</f>
        <v/>
      </c>
      <c r="I524" s="704" t="n">
        <v>44568</v>
      </c>
      <c r="J524" t="n">
        <v>1742</v>
      </c>
      <c r="L524" t="n">
        <v>1742</v>
      </c>
      <c r="M524" t="n">
        <v>1984</v>
      </c>
      <c r="P524" t="inlineStr">
        <is>
          <t>C-3-Nor</t>
        </is>
      </c>
      <c r="R524" t="inlineStr">
        <is>
          <t>Average</t>
        </is>
      </c>
      <c r="S524" t="n">
        <v>1108</v>
      </c>
      <c r="T524" s="119">
        <f>S524/J524</f>
        <v/>
      </c>
      <c r="U524" t="inlineStr">
        <is>
          <t>Average</t>
        </is>
      </c>
      <c r="Y524" t="n">
        <v>288188</v>
      </c>
      <c r="AA524" t="n">
        <v>288188</v>
      </c>
      <c r="AC524" t="inlineStr">
        <is>
          <t>0171910217010</t>
        </is>
      </c>
      <c r="AD524" t="inlineStr">
        <is>
          <t>2022000002957</t>
        </is>
      </c>
      <c r="AE524" t="inlineStr">
        <is>
          <t>LASZLO ENTERPRISES LLC</t>
        </is>
      </c>
      <c r="AF524" t="inlineStr">
        <is>
          <t>WYGONSKI ENTERPRISES LLC</t>
        </is>
      </c>
      <c r="AI524" s="59">
        <f>IF(AND($E524=Subj_OccCode,Subj_BldgSF&gt;0,ABS($L524-Subj_BldgSF)&lt;=Subj_BldgSF*Subj_SizeTol),ABS($L524-Subj_BldgSF),NA())</f>
        <v/>
      </c>
      <c r="AJ524">
        <f>IF(ISNA(AI524),NA(),AI524+ROW()/10000000)</f>
        <v/>
      </c>
      <c r="AK524">
        <f>IF(AND(ISNUMBER($N524),$N524&gt;0,ISNUMBER($Y524)),$Y524/$N524,"")</f>
        <v/>
      </c>
    </row>
    <row r="525" ht="15" customHeight="1" s="518">
      <c r="A525" s="123" t="n">
        <v>8</v>
      </c>
      <c r="B525" s="59" t="n">
        <v>520</v>
      </c>
      <c r="C525" t="inlineStr">
        <is>
          <t>R0138742</t>
        </is>
      </c>
      <c r="D525" t="inlineStr">
        <is>
          <t>10420  MELODY DR</t>
        </is>
      </c>
      <c r="E525" t="n">
        <v>325</v>
      </c>
      <c r="F525" t="inlineStr">
        <is>
          <t>NORTHGLENN</t>
        </is>
      </c>
      <c r="G525" t="inlineStr">
        <is>
          <t>4</t>
        </is>
      </c>
      <c r="H525" s="703">
        <f>Y525/J525</f>
        <v/>
      </c>
      <c r="I525" s="704" t="n">
        <v>44182</v>
      </c>
      <c r="J525" t="n">
        <v>9036</v>
      </c>
      <c r="L525" t="n">
        <v>9036</v>
      </c>
      <c r="M525" t="n">
        <v>1964</v>
      </c>
      <c r="P525" t="inlineStr">
        <is>
          <t>C-5-Nor</t>
        </is>
      </c>
      <c r="R525" t="inlineStr">
        <is>
          <t>Average</t>
        </is>
      </c>
      <c r="S525" t="n">
        <v>26250</v>
      </c>
      <c r="T525" s="119">
        <f>S525/J525</f>
        <v/>
      </c>
      <c r="U525" t="inlineStr">
        <is>
          <t>Average</t>
        </is>
      </c>
      <c r="Y525" t="n">
        <v>1000000</v>
      </c>
      <c r="AA525" t="n">
        <v>1000000</v>
      </c>
      <c r="AC525" t="inlineStr">
        <is>
          <t>0171910302011</t>
        </is>
      </c>
      <c r="AD525" t="inlineStr">
        <is>
          <t>2020000137538</t>
        </is>
      </c>
      <c r="AE525" t="inlineStr">
        <is>
          <t>MP NORTHGLENN LLC, C/O THE HUTENSKY GROUP LLC</t>
        </is>
      </c>
      <c r="AF525" t="inlineStr">
        <is>
          <t>PISCIOTTA LARRY F 28% UND INT AND ET AL, C/O RED ARROW CAPITAL</t>
        </is>
      </c>
      <c r="AI525" s="59">
        <f>IF(AND($E525=Subj_OccCode,Subj_BldgSF&gt;0,ABS($L525-Subj_BldgSF)&lt;=Subj_BldgSF*Subj_SizeTol),ABS($L525-Subj_BldgSF),NA())</f>
        <v/>
      </c>
      <c r="AJ525">
        <f>IF(ISNA(AI525),NA(),AI525+ROW()/10000000)</f>
        <v/>
      </c>
      <c r="AK525">
        <f>IF(AND(ISNUMBER($N525),$N525&gt;0,ISNUMBER($Y525)),$Y525/$N525,"")</f>
        <v/>
      </c>
    </row>
    <row r="526" ht="15" customHeight="1" s="518">
      <c r="A526" s="123" t="n">
        <v>8</v>
      </c>
      <c r="B526" s="59" t="n">
        <v>521</v>
      </c>
      <c r="C526" t="inlineStr">
        <is>
          <t>R0119551</t>
        </is>
      </c>
      <c r="D526" t="inlineStr">
        <is>
          <t>9101  PEARL ST</t>
        </is>
      </c>
      <c r="E526" t="n">
        <v>344</v>
      </c>
      <c r="F526" t="inlineStr">
        <is>
          <t>THORNTON</t>
        </is>
      </c>
      <c r="G526" t="inlineStr">
        <is>
          <t>4</t>
        </is>
      </c>
      <c r="H526" s="703">
        <f>Y526/J526</f>
        <v/>
      </c>
      <c r="I526" s="704" t="n">
        <v>43880</v>
      </c>
      <c r="J526" t="n">
        <v>26628</v>
      </c>
      <c r="L526" t="n">
        <v>26628</v>
      </c>
      <c r="M526" t="n">
        <v>1982</v>
      </c>
      <c r="P526" t="inlineStr">
        <is>
          <t>City Center</t>
        </is>
      </c>
      <c r="R526" t="inlineStr">
        <is>
          <t>Average</t>
        </is>
      </c>
      <c r="S526" t="n">
        <v>91780.92</v>
      </c>
      <c r="T526" s="119">
        <f>S526/J526</f>
        <v/>
      </c>
      <c r="U526" t="inlineStr">
        <is>
          <t>Fair</t>
        </is>
      </c>
      <c r="Y526" t="n">
        <v>1800000</v>
      </c>
      <c r="AA526" t="n">
        <v>1800000</v>
      </c>
      <c r="AC526" t="inlineStr">
        <is>
          <t>0171922403010</t>
        </is>
      </c>
      <c r="AD526" t="inlineStr">
        <is>
          <t>2020000016308</t>
        </is>
      </c>
      <c r="AE526" t="inlineStr">
        <is>
          <t>PEARL91 LLC</t>
        </is>
      </c>
      <c r="AF526" t="inlineStr">
        <is>
          <t>495 W CEDAR AVE LLC</t>
        </is>
      </c>
      <c r="AI526" s="59">
        <f>IF(AND($E526=Subj_OccCode,Subj_BldgSF&gt;0,ABS($L526-Subj_BldgSF)&lt;=Subj_BldgSF*Subj_SizeTol),ABS($L526-Subj_BldgSF),NA())</f>
        <v/>
      </c>
      <c r="AJ526">
        <f>IF(ISNA(AI526),NA(),AI526+ROW()/10000000)</f>
        <v/>
      </c>
      <c r="AK526">
        <f>IF(AND(ISNUMBER($N526),$N526&gt;0,ISNUMBER($Y526)),$Y526/$N526,"")</f>
        <v/>
      </c>
    </row>
    <row r="527" ht="15" customHeight="1" s="518">
      <c r="A527" s="123" t="n">
        <v>8</v>
      </c>
      <c r="B527" s="59" t="n">
        <v>522</v>
      </c>
      <c r="C527" t="inlineStr">
        <is>
          <t>R0062919</t>
        </is>
      </c>
      <c r="D527" t="inlineStr">
        <is>
          <t>8791  WOLFF CT #120</t>
        </is>
      </c>
      <c r="E527" t="n">
        <v>344</v>
      </c>
      <c r="F527" t="inlineStr">
        <is>
          <t>WESTMINSTER</t>
        </is>
      </c>
      <c r="G527" t="inlineStr">
        <is>
          <t>4</t>
        </is>
      </c>
      <c r="H527" s="703">
        <f>Y527/J527</f>
        <v/>
      </c>
      <c r="I527" s="704" t="n">
        <v>43528</v>
      </c>
      <c r="J527" t="n">
        <v>840</v>
      </c>
      <c r="L527" t="n">
        <v>840</v>
      </c>
      <c r="M527" t="n">
        <v>1984</v>
      </c>
      <c r="P527" t="inlineStr">
        <is>
          <t>Westminster</t>
        </is>
      </c>
      <c r="R527" t="inlineStr">
        <is>
          <t>Average</t>
        </is>
      </c>
      <c r="S527" t="n">
        <v>3842</v>
      </c>
      <c r="T527" s="119">
        <f>S527/J527</f>
        <v/>
      </c>
      <c r="U527" t="inlineStr">
        <is>
          <t>Average</t>
        </is>
      </c>
      <c r="Y527" t="n">
        <v>200000</v>
      </c>
      <c r="AA527" t="n">
        <v>200000</v>
      </c>
      <c r="AC527" t="inlineStr">
        <is>
          <t>0171930218014</t>
        </is>
      </c>
      <c r="AD527" t="inlineStr">
        <is>
          <t>2019000018480</t>
        </is>
      </c>
      <c r="AE527" t="inlineStr">
        <is>
          <t>PATRICK LYNCH INVESTMENTS LLC</t>
        </is>
      </c>
      <c r="AF527" t="inlineStr">
        <is>
          <t>J&amp;M ESTATES LLC</t>
        </is>
      </c>
      <c r="AI527" s="59">
        <f>IF(AND($E527=Subj_OccCode,Subj_BldgSF&gt;0,ABS($L527-Subj_BldgSF)&lt;=Subj_BldgSF*Subj_SizeTol),ABS($L527-Subj_BldgSF),NA())</f>
        <v/>
      </c>
      <c r="AJ527">
        <f>IF(ISNA(AI527),NA(),AI527+ROW()/10000000)</f>
        <v/>
      </c>
      <c r="AK527">
        <f>IF(AND(ISNUMBER($N527),$N527&gt;0,ISNUMBER($Y527)),$Y527/$N527,"")</f>
        <v/>
      </c>
    </row>
    <row r="528" ht="15" customHeight="1" s="518">
      <c r="A528" s="123" t="n">
        <v>8</v>
      </c>
      <c r="B528" s="59" t="n">
        <v>523</v>
      </c>
      <c r="C528" t="inlineStr">
        <is>
          <t>R0085941</t>
        </is>
      </c>
      <c r="D528" t="inlineStr">
        <is>
          <t>1660  CHAMBERS RD</t>
        </is>
      </c>
      <c r="E528" t="n">
        <v>406</v>
      </c>
      <c r="F528" t="inlineStr">
        <is>
          <t>AURORA</t>
        </is>
      </c>
      <c r="G528" t="inlineStr">
        <is>
          <t>6</t>
        </is>
      </c>
      <c r="H528" s="703">
        <f>Y528/J528</f>
        <v/>
      </c>
      <c r="I528" s="704" t="n">
        <v>43430</v>
      </c>
      <c r="J528" t="n">
        <v>9310</v>
      </c>
      <c r="L528" t="n">
        <v>9310</v>
      </c>
      <c r="M528" t="n">
        <v>1969</v>
      </c>
      <c r="R528" t="inlineStr">
        <is>
          <t>Average</t>
        </is>
      </c>
      <c r="S528" t="n">
        <v>20000</v>
      </c>
      <c r="T528" s="119">
        <f>S528/J528</f>
        <v/>
      </c>
      <c r="U528" t="inlineStr">
        <is>
          <t>Average</t>
        </is>
      </c>
      <c r="Y528" t="n">
        <v>1350000</v>
      </c>
      <c r="AA528" t="n">
        <v>1350000</v>
      </c>
      <c r="AC528" t="inlineStr">
        <is>
          <t>0182132315028</t>
        </is>
      </c>
      <c r="AD528" t="inlineStr">
        <is>
          <t>2018000094513</t>
        </is>
      </c>
      <c r="AE528" t="inlineStr">
        <is>
          <t>CARDINAL ENTERPRISES LLC</t>
        </is>
      </c>
      <c r="AF528" t="inlineStr">
        <is>
          <t>HIGHLINE ROOFING &amp; GUTTERS INC</t>
        </is>
      </c>
      <c r="AI528" s="59">
        <f>IF(AND($E528=Subj_OccCode,Subj_BldgSF&gt;0,ABS($L528-Subj_BldgSF)&lt;=Subj_BldgSF*Subj_SizeTol),ABS($L528-Subj_BldgSF),NA())</f>
        <v/>
      </c>
      <c r="AJ528">
        <f>IF(ISNA(AI528),NA(),AI528+ROW()/10000000)</f>
        <v/>
      </c>
      <c r="AK528">
        <f>IF(AND(ISNUMBER($N528),$N528&gt;0,ISNUMBER($Y528)),$Y528/$N528,"")</f>
        <v/>
      </c>
    </row>
    <row r="529" ht="15" customHeight="1" s="518">
      <c r="A529" s="123" t="n">
        <v>8</v>
      </c>
      <c r="B529" s="59" t="n">
        <v>524</v>
      </c>
      <c r="C529" t="inlineStr">
        <is>
          <t>R0091927</t>
        </is>
      </c>
      <c r="D529" t="inlineStr">
        <is>
          <t>6333 E 56TH AVE</t>
        </is>
      </c>
      <c r="E529" t="n">
        <v>407</v>
      </c>
      <c r="F529" t="inlineStr">
        <is>
          <t>COMMERCE CITY</t>
        </is>
      </c>
      <c r="G529" t="inlineStr">
        <is>
          <t>5</t>
        </is>
      </c>
      <c r="H529" s="703">
        <f>Y529/J529</f>
        <v/>
      </c>
      <c r="I529" s="704" t="n">
        <v>43738</v>
      </c>
      <c r="J529" t="n">
        <v>14572</v>
      </c>
      <c r="L529" t="n">
        <v>14572</v>
      </c>
      <c r="M529" t="n">
        <v>1980</v>
      </c>
      <c r="P529" t="inlineStr">
        <is>
          <t>I-1-Com</t>
        </is>
      </c>
      <c r="R529" t="inlineStr">
        <is>
          <t>Average</t>
        </is>
      </c>
      <c r="S529" t="n">
        <v>72000</v>
      </c>
      <c r="T529" s="119">
        <f>S529/J529</f>
        <v/>
      </c>
      <c r="U529" t="inlineStr">
        <is>
          <t>Average</t>
        </is>
      </c>
      <c r="Y529" t="n">
        <v>2350000</v>
      </c>
      <c r="AA529" t="n">
        <v>2350000</v>
      </c>
      <c r="AC529" t="inlineStr">
        <is>
          <t>0182308302045</t>
        </is>
      </c>
      <c r="AD529" t="inlineStr">
        <is>
          <t>2019000082653</t>
        </is>
      </c>
      <c r="AE529" t="inlineStr">
        <is>
          <t>PICCONE INVESTMENT, CORPORATION</t>
        </is>
      </c>
      <c r="AF529" t="inlineStr">
        <is>
          <t>ROCKYSTAR PROPERTIES LLC</t>
        </is>
      </c>
      <c r="AI529" s="59">
        <f>IF(AND($E529=Subj_OccCode,Subj_BldgSF&gt;0,ABS($L529-Subj_BldgSF)&lt;=Subj_BldgSF*Subj_SizeTol),ABS($L529-Subj_BldgSF),NA())</f>
        <v/>
      </c>
      <c r="AJ529">
        <f>IF(ISNA(AI529),NA(),AI529+ROW()/10000000)</f>
        <v/>
      </c>
      <c r="AK529">
        <f>IF(AND(ISNUMBER($N529),$N529&gt;0,ISNUMBER($Y529)),$Y529/$N529,"")</f>
        <v/>
      </c>
    </row>
    <row r="530" ht="15" customHeight="1" s="518">
      <c r="A530" s="123" t="n">
        <v>8</v>
      </c>
      <c r="B530" s="59" t="n">
        <v>525</v>
      </c>
      <c r="C530" t="inlineStr">
        <is>
          <t>R0003372</t>
        </is>
      </c>
      <c r="D530" t="inlineStr">
        <is>
          <t>715  BRIDGE ST</t>
        </is>
      </c>
      <c r="E530" t="n">
        <v>384</v>
      </c>
      <c r="F530" t="inlineStr">
        <is>
          <t>BRIGHTON</t>
        </is>
      </c>
      <c r="G530" t="inlineStr">
        <is>
          <t>2</t>
        </is>
      </c>
      <c r="H530" s="703">
        <f>Y530/J530</f>
        <v/>
      </c>
      <c r="I530" s="704" t="n">
        <v>44351</v>
      </c>
      <c r="J530" t="n">
        <v>600</v>
      </c>
      <c r="L530" t="n">
        <v>600</v>
      </c>
      <c r="M530" t="n">
        <v>1964</v>
      </c>
      <c r="P530" t="inlineStr">
        <is>
          <t>C-2-Bri</t>
        </is>
      </c>
      <c r="R530" t="inlineStr">
        <is>
          <t>Average</t>
        </is>
      </c>
      <c r="S530" t="n">
        <v>6500</v>
      </c>
      <c r="T530" s="119">
        <f>S530/J530</f>
        <v/>
      </c>
      <c r="U530" t="inlineStr">
        <is>
          <t>Average</t>
        </is>
      </c>
      <c r="Y530" t="n">
        <v>240000</v>
      </c>
      <c r="AA530" t="n">
        <v>240000</v>
      </c>
      <c r="AC530" t="inlineStr">
        <is>
          <t>0156906427019</t>
        </is>
      </c>
      <c r="AD530" t="inlineStr">
        <is>
          <t>2021000069979</t>
        </is>
      </c>
      <c r="AE530" t="inlineStr">
        <is>
          <t>DELAY LINDA M</t>
        </is>
      </c>
      <c r="AF530" t="inlineStr">
        <is>
          <t>TORRES GUADALUPE D AND, TORRES LATOYA A</t>
        </is>
      </c>
      <c r="AI530" s="59">
        <f>IF(AND($E530=Subj_OccCode,Subj_BldgSF&gt;0,ABS($L530-Subj_BldgSF)&lt;=Subj_BldgSF*Subj_SizeTol),ABS($L530-Subj_BldgSF),NA())</f>
        <v/>
      </c>
      <c r="AJ530">
        <f>IF(ISNA(AI530),NA(),AI530+ROW()/10000000)</f>
        <v/>
      </c>
      <c r="AK530">
        <f>IF(AND(ISNUMBER($N530),$N530&gt;0,ISNUMBER($Y530)),$Y530/$N530,"")</f>
        <v/>
      </c>
    </row>
    <row r="531" ht="15" customHeight="1" s="518">
      <c r="A531" s="123" t="n">
        <v>8</v>
      </c>
      <c r="B531" s="59" t="n">
        <v>526</v>
      </c>
      <c r="C531" t="inlineStr">
        <is>
          <t>R0062927</t>
        </is>
      </c>
      <c r="D531" t="inlineStr">
        <is>
          <t>8771  WOLFF CT</t>
        </is>
      </c>
      <c r="E531" t="n">
        <v>344</v>
      </c>
      <c r="F531" t="inlineStr">
        <is>
          <t>WESTMINSTER</t>
        </is>
      </c>
      <c r="G531" t="inlineStr">
        <is>
          <t>1</t>
        </is>
      </c>
      <c r="H531" s="703">
        <f>Y531/J531</f>
        <v/>
      </c>
      <c r="I531" s="704" t="n">
        <v>43404</v>
      </c>
      <c r="J531" t="n">
        <v>11720</v>
      </c>
      <c r="L531" t="n">
        <v>11720</v>
      </c>
      <c r="M531" t="n">
        <v>1983</v>
      </c>
      <c r="P531" t="inlineStr">
        <is>
          <t>Westminster</t>
        </is>
      </c>
      <c r="R531" t="inlineStr">
        <is>
          <t>Good</t>
        </is>
      </c>
      <c r="S531" t="n">
        <v>28467</v>
      </c>
      <c r="T531" s="119">
        <f>S531/J531</f>
        <v/>
      </c>
      <c r="U531" t="inlineStr">
        <is>
          <t>Average</t>
        </is>
      </c>
      <c r="Y531" t="n">
        <v>1050000</v>
      </c>
      <c r="AA531" t="n">
        <v>1050000</v>
      </c>
      <c r="AC531" t="inlineStr">
        <is>
          <t>0171930218022</t>
        </is>
      </c>
      <c r="AD531" t="inlineStr">
        <is>
          <t>2018000088227</t>
        </is>
      </c>
      <c r="AE531" t="inlineStr">
        <is>
          <t>LONG RALPH AND LONG KAY</t>
        </is>
      </c>
      <c r="AF531" t="inlineStr">
        <is>
          <t>MILE HI PROPERTY PARTNERS LLC</t>
        </is>
      </c>
      <c r="AI531" s="59">
        <f>IF(AND($E531=Subj_OccCode,Subj_BldgSF&gt;0,ABS($L531-Subj_BldgSF)&lt;=Subj_BldgSF*Subj_SizeTol),ABS($L531-Subj_BldgSF),NA())</f>
        <v/>
      </c>
      <c r="AJ531">
        <f>IF(ISNA(AI531),NA(),AI531+ROW()/10000000)</f>
        <v/>
      </c>
      <c r="AK531">
        <f>IF(AND(ISNUMBER($N531),$N531&gt;0,ISNUMBER($Y531)),$Y531/$N531,"")</f>
        <v/>
      </c>
    </row>
    <row r="532" ht="15" customHeight="1" s="518">
      <c r="A532" s="123" t="n">
        <v>8</v>
      </c>
      <c r="B532" s="59" t="n">
        <v>527</v>
      </c>
      <c r="C532" t="inlineStr">
        <is>
          <t>R0002853</t>
        </is>
      </c>
      <c r="D532" t="inlineStr">
        <is>
          <t>12 N MAIN ST</t>
        </is>
      </c>
      <c r="E532" t="n">
        <v>353</v>
      </c>
      <c r="F532" t="inlineStr">
        <is>
          <t>BRIGHTON</t>
        </is>
      </c>
      <c r="G532" t="inlineStr">
        <is>
          <t>2</t>
        </is>
      </c>
      <c r="H532" s="703">
        <f>Y532/J532</f>
        <v/>
      </c>
      <c r="I532" s="704" t="n">
        <v>43168</v>
      </c>
      <c r="J532" t="n">
        <v>5088</v>
      </c>
      <c r="L532" t="n">
        <v>5088</v>
      </c>
      <c r="M532" t="n">
        <v>1902</v>
      </c>
      <c r="P532" t="inlineStr">
        <is>
          <t>Brighton</t>
        </is>
      </c>
      <c r="R532" t="inlineStr">
        <is>
          <t>Fair</t>
        </is>
      </c>
      <c r="S532" t="n">
        <v>4000</v>
      </c>
      <c r="T532" s="119">
        <f>S532/J532</f>
        <v/>
      </c>
      <c r="U532" t="inlineStr">
        <is>
          <t>Average</t>
        </is>
      </c>
      <c r="Y532" t="n">
        <v>410000</v>
      </c>
      <c r="AA532" t="n">
        <v>410000</v>
      </c>
      <c r="AC532" t="inlineStr">
        <is>
          <t>0156906315011</t>
        </is>
      </c>
      <c r="AD532" t="inlineStr">
        <is>
          <t>2018000019989</t>
        </is>
      </c>
      <c r="AE532" t="inlineStr">
        <is>
          <t>CLARK HOLLY AND, CLARK NANCY</t>
        </is>
      </c>
      <c r="AF532" t="inlineStr">
        <is>
          <t>BLS INVESTMENTS LLC</t>
        </is>
      </c>
      <c r="AI532" s="59">
        <f>IF(AND($E532=Subj_OccCode,Subj_BldgSF&gt;0,ABS($L532-Subj_BldgSF)&lt;=Subj_BldgSF*Subj_SizeTol),ABS($L532-Subj_BldgSF),NA())</f>
        <v/>
      </c>
      <c r="AJ532">
        <f>IF(ISNA(AI532),NA(),AI532+ROW()/10000000)</f>
        <v/>
      </c>
      <c r="AK532">
        <f>IF(AND(ISNUMBER($N532),$N532&gt;0,ISNUMBER($Y532)),$Y532/$N532,"")</f>
        <v/>
      </c>
    </row>
    <row r="533" ht="15" customHeight="1" s="518">
      <c r="A533" s="123" t="n">
        <v>8</v>
      </c>
      <c r="B533" s="59" t="n">
        <v>528</v>
      </c>
      <c r="C533" t="inlineStr">
        <is>
          <t>R0098017</t>
        </is>
      </c>
      <c r="D533" t="inlineStr">
        <is>
          <t>1680 E 69TH AVE</t>
        </is>
      </c>
      <c r="E533" t="n">
        <v>334</v>
      </c>
      <c r="G533" t="inlineStr">
        <is>
          <t>5</t>
        </is>
      </c>
      <c r="H533" s="703">
        <f>Y533/J533</f>
        <v/>
      </c>
      <c r="I533" s="704" t="n">
        <v>43530</v>
      </c>
      <c r="J533" t="n">
        <v>13500</v>
      </c>
      <c r="L533" t="n">
        <v>13500</v>
      </c>
      <c r="M533" t="n">
        <v>1989</v>
      </c>
      <c r="P533" t="inlineStr">
        <is>
          <t>Industrial</t>
        </is>
      </c>
      <c r="R533" t="inlineStr">
        <is>
          <t>Average</t>
        </is>
      </c>
      <c r="S533" t="n">
        <v>80781</v>
      </c>
      <c r="T533" s="119">
        <f>S533/J533</f>
        <v/>
      </c>
      <c r="U533" t="inlineStr">
        <is>
          <t>Average</t>
        </is>
      </c>
      <c r="Y533" t="n">
        <v>2350000</v>
      </c>
      <c r="AA533" t="n">
        <v>2350000</v>
      </c>
      <c r="AC533" t="inlineStr">
        <is>
          <t>0182502105007</t>
        </is>
      </c>
      <c r="AD533" t="inlineStr">
        <is>
          <t>2019000017150</t>
        </is>
      </c>
      <c r="AE533" t="inlineStr">
        <is>
          <t>TSW CORPORATION</t>
        </is>
      </c>
      <c r="AF533" t="inlineStr">
        <is>
          <t>YTTC LLC</t>
        </is>
      </c>
      <c r="AI533" s="59">
        <f>IF(AND($E533=Subj_OccCode,Subj_BldgSF&gt;0,ABS($L533-Subj_BldgSF)&lt;=Subj_BldgSF*Subj_SizeTol),ABS($L533-Subj_BldgSF),NA())</f>
        <v/>
      </c>
      <c r="AJ533">
        <f>IF(ISNA(AI533),NA(),AI533+ROW()/10000000)</f>
        <v/>
      </c>
      <c r="AK533">
        <f>IF(AND(ISNUMBER($N533),$N533&gt;0,ISNUMBER($Y533)),$Y533/$N533,"")</f>
        <v/>
      </c>
    </row>
    <row r="534" ht="15" customHeight="1" s="518">
      <c r="A534" s="123" t="n">
        <v>8</v>
      </c>
      <c r="B534" s="59" t="n">
        <v>529</v>
      </c>
      <c r="C534" t="inlineStr">
        <is>
          <t>R0077333</t>
        </is>
      </c>
      <c r="D534" t="inlineStr">
        <is>
          <t>8150  ROSEMARY ST</t>
        </is>
      </c>
      <c r="E534" t="n">
        <v>406</v>
      </c>
      <c r="F534" t="inlineStr">
        <is>
          <t>COMMERCE CITY</t>
        </is>
      </c>
      <c r="G534" t="inlineStr">
        <is>
          <t>5</t>
        </is>
      </c>
      <c r="H534" s="703">
        <f>Y534/J534</f>
        <v/>
      </c>
      <c r="I534" s="704" t="n">
        <v>44603</v>
      </c>
      <c r="J534" t="n">
        <v>1200</v>
      </c>
      <c r="L534" t="n">
        <v>1200</v>
      </c>
      <c r="M534" t="n">
        <v>2001</v>
      </c>
      <c r="P534" t="inlineStr">
        <is>
          <t>I-1-Com</t>
        </is>
      </c>
      <c r="R534" t="inlineStr">
        <is>
          <t>Fair</t>
        </is>
      </c>
      <c r="S534" t="n">
        <v>11080</v>
      </c>
      <c r="T534" s="119">
        <f>S534/J534</f>
        <v/>
      </c>
      <c r="U534" t="inlineStr">
        <is>
          <t>Average</t>
        </is>
      </c>
      <c r="Y534" t="n">
        <v>475000</v>
      </c>
      <c r="AA534" t="n">
        <v>475000</v>
      </c>
      <c r="AC534" t="inlineStr">
        <is>
          <t>0172128302002</t>
        </is>
      </c>
      <c r="AD534" t="inlineStr">
        <is>
          <t>2022000013846</t>
        </is>
      </c>
      <c r="AE534" t="inlineStr">
        <is>
          <t>GRAYSON MICHAEL</t>
        </is>
      </c>
      <c r="AF534" t="inlineStr">
        <is>
          <t>LANDEROS ROBERTO</t>
        </is>
      </c>
      <c r="AI534" s="59">
        <f>IF(AND($E534=Subj_OccCode,Subj_BldgSF&gt;0,ABS($L534-Subj_BldgSF)&lt;=Subj_BldgSF*Subj_SizeTol),ABS($L534-Subj_BldgSF),NA())</f>
        <v/>
      </c>
      <c r="AJ534">
        <f>IF(ISNA(AI534),NA(),AI534+ROW()/10000000)</f>
        <v/>
      </c>
      <c r="AK534">
        <f>IF(AND(ISNUMBER($N534),$N534&gt;0,ISNUMBER($Y534)),$Y534/$N534,"")</f>
        <v/>
      </c>
    </row>
    <row r="535" ht="15" customHeight="1" s="518">
      <c r="A535" s="123" t="n">
        <v>8</v>
      </c>
      <c r="B535" s="59" t="n">
        <v>530</v>
      </c>
      <c r="C535" t="inlineStr">
        <is>
          <t>R0112069</t>
        </is>
      </c>
      <c r="D535" t="inlineStr">
        <is>
          <t>10310  GRANT ST</t>
        </is>
      </c>
      <c r="E535" t="n">
        <v>350</v>
      </c>
      <c r="F535" t="inlineStr">
        <is>
          <t>THORNTON</t>
        </is>
      </c>
      <c r="G535" t="inlineStr">
        <is>
          <t>4</t>
        </is>
      </c>
      <c r="H535" s="703">
        <f>Y535/J535</f>
        <v/>
      </c>
      <c r="I535" s="704" t="n">
        <v>43748</v>
      </c>
      <c r="J535" t="n">
        <v>7603</v>
      </c>
      <c r="L535" t="n">
        <v>7603</v>
      </c>
      <c r="M535" t="n">
        <v>1998</v>
      </c>
      <c r="P535" t="inlineStr">
        <is>
          <t>Community Retail</t>
        </is>
      </c>
      <c r="R535" t="inlineStr">
        <is>
          <t>Good</t>
        </is>
      </c>
      <c r="S535" t="n">
        <v>78843.60159999999</v>
      </c>
      <c r="T535" s="119">
        <f>S535/J535</f>
        <v/>
      </c>
      <c r="U535" t="inlineStr">
        <is>
          <t>Good</t>
        </is>
      </c>
      <c r="Y535" t="n">
        <v>2000000</v>
      </c>
      <c r="AA535" t="n">
        <v>2000000</v>
      </c>
      <c r="AC535" t="inlineStr">
        <is>
          <t>0171915108003</t>
        </is>
      </c>
      <c r="AD535" t="inlineStr">
        <is>
          <t>2019000087084</t>
        </is>
      </c>
      <c r="AE535" t="inlineStr">
        <is>
          <t>CAPTEC NET LEASE REALTY INC, COMMERCIAL NET LEASE REALTY INC</t>
        </is>
      </c>
      <c r="AF535" t="inlineStr">
        <is>
          <t>TTRE CO I LLC</t>
        </is>
      </c>
      <c r="AI535" s="59">
        <f>IF(AND($E535=Subj_OccCode,Subj_BldgSF&gt;0,ABS($L535-Subj_BldgSF)&lt;=Subj_BldgSF*Subj_SizeTol),ABS($L535-Subj_BldgSF),NA())</f>
        <v/>
      </c>
      <c r="AJ535">
        <f>IF(ISNA(AI535),NA(),AI535+ROW()/10000000)</f>
        <v/>
      </c>
      <c r="AK535">
        <f>IF(AND(ISNUMBER($N535),$N535&gt;0,ISNUMBER($Y535)),$Y535/$N535,"")</f>
        <v/>
      </c>
    </row>
    <row r="536" ht="15" customHeight="1" s="518">
      <c r="A536" s="123" t="n">
        <v>8</v>
      </c>
      <c r="B536" s="59" t="n">
        <v>531</v>
      </c>
      <c r="C536" t="inlineStr">
        <is>
          <t>R0150922</t>
        </is>
      </c>
      <c r="D536" t="inlineStr">
        <is>
          <t>3520 W 92ND AVE #100</t>
        </is>
      </c>
      <c r="E536" t="n">
        <v>1344</v>
      </c>
      <c r="G536" t="inlineStr">
        <is>
          <t>4</t>
        </is>
      </c>
      <c r="H536" s="703">
        <f>Y536/J536</f>
        <v/>
      </c>
      <c r="I536" s="704" t="n">
        <v>44246</v>
      </c>
      <c r="J536" t="n">
        <v>1163</v>
      </c>
      <c r="L536" t="n">
        <v>1163</v>
      </c>
      <c r="M536" t="n">
        <v>2002</v>
      </c>
      <c r="P536" t="inlineStr">
        <is>
          <t>Commercial</t>
        </is>
      </c>
      <c r="R536" t="inlineStr">
        <is>
          <t>Average</t>
        </is>
      </c>
      <c r="S536" t="n">
        <v>4954.36</v>
      </c>
      <c r="T536" s="119">
        <f>S536/J536</f>
        <v/>
      </c>
      <c r="U536" t="inlineStr">
        <is>
          <t>Average</t>
        </is>
      </c>
      <c r="Y536" t="n">
        <v>300000</v>
      </c>
      <c r="AA536" t="n">
        <v>300000</v>
      </c>
      <c r="AC536" t="inlineStr">
        <is>
          <t>0171920325016</t>
        </is>
      </c>
      <c r="AD536" t="inlineStr">
        <is>
          <t>2021000020792</t>
        </is>
      </c>
      <c r="AE536" t="inlineStr">
        <is>
          <t>DR D E SANDUSKY D C LLC</t>
        </is>
      </c>
      <c r="AF536" t="inlineStr">
        <is>
          <t>JASPER ENTERPRISES LLC</t>
        </is>
      </c>
      <c r="AI536" s="59">
        <f>IF(AND($E536=Subj_OccCode,Subj_BldgSF&gt;0,ABS($L536-Subj_BldgSF)&lt;=Subj_BldgSF*Subj_SizeTol),ABS($L536-Subj_BldgSF),NA())</f>
        <v/>
      </c>
      <c r="AJ536">
        <f>IF(ISNA(AI536),NA(),AI536+ROW()/10000000)</f>
        <v/>
      </c>
      <c r="AK536">
        <f>IF(AND(ISNUMBER($N536),$N536&gt;0,ISNUMBER($Y536)),$Y536/$N536,"")</f>
        <v/>
      </c>
    </row>
    <row r="537" ht="15" customHeight="1" s="518">
      <c r="A537" s="123" t="n">
        <v>8</v>
      </c>
      <c r="B537" s="59" t="n">
        <v>532</v>
      </c>
      <c r="C537" t="inlineStr">
        <is>
          <t>R0090965</t>
        </is>
      </c>
      <c r="D537" t="inlineStr">
        <is>
          <t>4100 E 60TH AVE</t>
        </is>
      </c>
      <c r="E537" t="n">
        <v>392</v>
      </c>
      <c r="F537" t="inlineStr">
        <is>
          <t>COMMERCE CITY</t>
        </is>
      </c>
      <c r="G537" t="inlineStr">
        <is>
          <t>5</t>
        </is>
      </c>
      <c r="H537" s="703">
        <f>Y537/J537</f>
        <v/>
      </c>
      <c r="I537" s="704" t="n">
        <v>43465</v>
      </c>
      <c r="J537" t="n">
        <v>14499</v>
      </c>
      <c r="L537" t="n">
        <v>14499</v>
      </c>
      <c r="M537" t="n">
        <v>1922</v>
      </c>
      <c r="P537" t="inlineStr">
        <is>
          <t>Commerce City</t>
        </is>
      </c>
      <c r="R537" t="inlineStr">
        <is>
          <t>Low</t>
        </is>
      </c>
      <c r="S537" t="n">
        <v>63713</v>
      </c>
      <c r="T537" s="119">
        <f>S537/J537</f>
        <v/>
      </c>
      <c r="U537" t="inlineStr">
        <is>
          <t>Low</t>
        </is>
      </c>
      <c r="Y537" t="n">
        <v>1030000</v>
      </c>
      <c r="AA537" t="n">
        <v>1030000</v>
      </c>
      <c r="AC537" t="inlineStr">
        <is>
          <t>0182307300010</t>
        </is>
      </c>
      <c r="AD537" t="inlineStr">
        <is>
          <t>2019000000064</t>
        </is>
      </c>
      <c r="AE537" t="inlineStr">
        <is>
          <t>WOLF GREGORY S</t>
        </is>
      </c>
      <c r="AF537" t="inlineStr">
        <is>
          <t>DENVER OIL LLC</t>
        </is>
      </c>
      <c r="AI537" s="59">
        <f>IF(AND($E537=Subj_OccCode,Subj_BldgSF&gt;0,ABS($L537-Subj_BldgSF)&lt;=Subj_BldgSF*Subj_SizeTol),ABS($L537-Subj_BldgSF),NA())</f>
        <v/>
      </c>
      <c r="AJ537">
        <f>IF(ISNA(AI537),NA(),AI537+ROW()/10000000)</f>
        <v/>
      </c>
      <c r="AK537">
        <f>IF(AND(ISNUMBER($N537),$N537&gt;0,ISNUMBER($Y537)),$Y537/$N537,"")</f>
        <v/>
      </c>
    </row>
    <row r="538" ht="15" customHeight="1" s="518">
      <c r="A538" s="123" t="n">
        <v>8</v>
      </c>
      <c r="B538" s="59" t="n">
        <v>533</v>
      </c>
      <c r="C538" t="inlineStr">
        <is>
          <t>R0124579</t>
        </is>
      </c>
      <c r="D538" t="inlineStr">
        <is>
          <t>11152  HURON ST #209</t>
        </is>
      </c>
      <c r="E538" t="n">
        <v>344</v>
      </c>
      <c r="F538" t="inlineStr">
        <is>
          <t>NORTHGLENN</t>
        </is>
      </c>
      <c r="G538" t="inlineStr">
        <is>
          <t>4</t>
        </is>
      </c>
      <c r="H538" s="703">
        <f>Y538/J538</f>
        <v/>
      </c>
      <c r="I538" s="704" t="n">
        <v>43279</v>
      </c>
      <c r="J538" t="n">
        <v>1192</v>
      </c>
      <c r="L538" t="n">
        <v>1192</v>
      </c>
      <c r="M538" t="n">
        <v>2000</v>
      </c>
      <c r="R538" t="inlineStr">
        <is>
          <t>Good</t>
        </is>
      </c>
      <c r="S538" t="n">
        <v>3100</v>
      </c>
      <c r="T538" s="119">
        <f>S538/J538</f>
        <v/>
      </c>
      <c r="U538" t="inlineStr">
        <is>
          <t>Good</t>
        </is>
      </c>
      <c r="Y538" t="n">
        <v>210000</v>
      </c>
      <c r="AA538" t="n">
        <v>210000</v>
      </c>
      <c r="AC538" t="inlineStr">
        <is>
          <t>0171910205039</t>
        </is>
      </c>
      <c r="AD538" t="inlineStr">
        <is>
          <t>2018000053240</t>
        </is>
      </c>
      <c r="AE538" t="inlineStr">
        <is>
          <t>THB HOLDINGS LLC</t>
        </is>
      </c>
      <c r="AF538" t="inlineStr">
        <is>
          <t>GREWE INVESTMENTS LLC</t>
        </is>
      </c>
      <c r="AI538" s="59">
        <f>IF(AND($E538=Subj_OccCode,Subj_BldgSF&gt;0,ABS($L538-Subj_BldgSF)&lt;=Subj_BldgSF*Subj_SizeTol),ABS($L538-Subj_BldgSF),NA())</f>
        <v/>
      </c>
      <c r="AJ538">
        <f>IF(ISNA(AI538),NA(),AI538+ROW()/10000000)</f>
        <v/>
      </c>
      <c r="AK538">
        <f>IF(AND(ISNUMBER($N538),$N538&gt;0,ISNUMBER($Y538)),$Y538/$N538,"")</f>
        <v/>
      </c>
    </row>
    <row r="539" ht="15" customHeight="1" s="518">
      <c r="A539" s="123" t="n">
        <v>8</v>
      </c>
      <c r="B539" s="59" t="n">
        <v>534</v>
      </c>
      <c r="C539" t="inlineStr">
        <is>
          <t>R0155098</t>
        </is>
      </c>
      <c r="D539" t="inlineStr">
        <is>
          <t>6941  BROADWAY ST</t>
        </is>
      </c>
      <c r="E539" t="n">
        <v>425</v>
      </c>
      <c r="G539" t="inlineStr">
        <is>
          <t>5</t>
        </is>
      </c>
      <c r="H539" s="703">
        <f>Y539/J539</f>
        <v/>
      </c>
      <c r="I539" s="704" t="n">
        <v>44497</v>
      </c>
      <c r="J539" t="n">
        <v>1310</v>
      </c>
      <c r="L539" t="n">
        <v>1310</v>
      </c>
      <c r="M539" t="n">
        <v>2003</v>
      </c>
      <c r="P539" t="inlineStr">
        <is>
          <t>Planned Unit Development</t>
        </is>
      </c>
      <c r="R539" t="inlineStr">
        <is>
          <t>Good</t>
        </is>
      </c>
      <c r="S539" t="n">
        <v>4402</v>
      </c>
      <c r="T539" s="119">
        <f>S539/J539</f>
        <v/>
      </c>
      <c r="U539" t="inlineStr">
        <is>
          <t>Good</t>
        </is>
      </c>
      <c r="Y539" t="n">
        <v>402000</v>
      </c>
      <c r="AA539" t="n">
        <v>402000</v>
      </c>
      <c r="AC539" t="inlineStr">
        <is>
          <t>0182503218043</t>
        </is>
      </c>
      <c r="AD539" t="inlineStr">
        <is>
          <t>2021000128943</t>
        </is>
      </c>
      <c r="AE539" t="inlineStr">
        <is>
          <t>NB VENTURE LLC</t>
        </is>
      </c>
      <c r="AF539" t="inlineStr">
        <is>
          <t>COLORADO RED ROCKS PROPERTIES LLC</t>
        </is>
      </c>
      <c r="AI539" s="59">
        <f>IF(AND($E539=Subj_OccCode,Subj_BldgSF&gt;0,ABS($L539-Subj_BldgSF)&lt;=Subj_BldgSF*Subj_SizeTol),ABS($L539-Subj_BldgSF),NA())</f>
        <v/>
      </c>
      <c r="AJ539">
        <f>IF(ISNA(AI539),NA(),AI539+ROW()/10000000)</f>
        <v/>
      </c>
      <c r="AK539">
        <f>IF(AND(ISNUMBER($N539),$N539&gt;0,ISNUMBER($Y539)),$Y539/$N539,"")</f>
        <v/>
      </c>
    </row>
    <row r="540" ht="15" customHeight="1" s="518">
      <c r="A540" s="123" t="n">
        <v>8</v>
      </c>
      <c r="B540" s="59" t="n">
        <v>535</v>
      </c>
      <c r="C540" t="inlineStr">
        <is>
          <t>R0089683</t>
        </is>
      </c>
      <c r="D540" t="inlineStr">
        <is>
          <t>6970  EUDORA DR</t>
        </is>
      </c>
      <c r="E540" t="n">
        <v>442</v>
      </c>
      <c r="F540" t="inlineStr">
        <is>
          <t>COMMERCE CITY</t>
        </is>
      </c>
      <c r="G540" t="inlineStr">
        <is>
          <t>5</t>
        </is>
      </c>
      <c r="H540" s="703">
        <f>Y540/J540</f>
        <v/>
      </c>
      <c r="I540" s="704" t="n">
        <v>44356</v>
      </c>
      <c r="J540" t="n">
        <v>1403</v>
      </c>
      <c r="L540" t="n">
        <v>1403</v>
      </c>
      <c r="M540" t="n">
        <v>1955</v>
      </c>
      <c r="P540" t="inlineStr">
        <is>
          <t>I-2-Com</t>
        </is>
      </c>
      <c r="R540" t="inlineStr">
        <is>
          <t>Average</t>
        </is>
      </c>
      <c r="S540" t="n">
        <v>15008</v>
      </c>
      <c r="T540" s="119">
        <f>S540/J540</f>
        <v/>
      </c>
      <c r="U540" t="inlineStr">
        <is>
          <t>Average</t>
        </is>
      </c>
      <c r="Y540" t="n">
        <v>365000</v>
      </c>
      <c r="AA540" t="n">
        <v>365000</v>
      </c>
      <c r="AC540" t="inlineStr">
        <is>
          <t>0182306106013</t>
        </is>
      </c>
      <c r="AD540" t="inlineStr">
        <is>
          <t>2021000070195</t>
        </is>
      </c>
      <c r="AE540" t="inlineStr">
        <is>
          <t>COMMERCE 6970 EUDORA LLC</t>
        </is>
      </c>
      <c r="AF540" t="inlineStr">
        <is>
          <t>AMERICAN TRUCK CENTERS INC</t>
        </is>
      </c>
      <c r="AI540" s="59">
        <f>IF(AND($E540=Subj_OccCode,Subj_BldgSF&gt;0,ABS($L540-Subj_BldgSF)&lt;=Subj_BldgSF*Subj_SizeTol),ABS($L540-Subj_BldgSF),NA())</f>
        <v/>
      </c>
      <c r="AJ540">
        <f>IF(ISNA(AI540),NA(),AI540+ROW()/10000000)</f>
        <v/>
      </c>
      <c r="AK540">
        <f>IF(AND(ISNUMBER($N540),$N540&gt;0,ISNUMBER($Y540)),$Y540/$N540,"")</f>
        <v/>
      </c>
    </row>
    <row r="541" ht="15" customHeight="1" s="518">
      <c r="A541" s="123" t="n">
        <v>8</v>
      </c>
      <c r="B541" s="59" t="n">
        <v>536</v>
      </c>
      <c r="C541" t="inlineStr">
        <is>
          <t>R0085963</t>
        </is>
      </c>
      <c r="D541" t="inlineStr">
        <is>
          <t>1563  JASPER ST</t>
        </is>
      </c>
      <c r="E541" t="n">
        <v>386</v>
      </c>
      <c r="F541" t="inlineStr">
        <is>
          <t>AURORA</t>
        </is>
      </c>
      <c r="G541" t="inlineStr">
        <is>
          <t>6</t>
        </is>
      </c>
      <c r="H541" s="703">
        <f>Y541/J541</f>
        <v/>
      </c>
      <c r="I541" s="704" t="n">
        <v>44539</v>
      </c>
      <c r="J541" t="n">
        <v>29650</v>
      </c>
      <c r="L541" t="n">
        <v>29650</v>
      </c>
      <c r="M541" t="n">
        <v>1985</v>
      </c>
      <c r="P541" t="inlineStr">
        <is>
          <t>B-4-Aur</t>
        </is>
      </c>
      <c r="R541" t="inlineStr">
        <is>
          <t>Average</t>
        </is>
      </c>
      <c r="S541" t="n">
        <v>62929</v>
      </c>
      <c r="T541" s="119">
        <f>S541/J541</f>
        <v/>
      </c>
      <c r="U541" t="inlineStr">
        <is>
          <t>Average</t>
        </is>
      </c>
      <c r="Y541" t="n">
        <v>1900000</v>
      </c>
      <c r="AA541" t="n">
        <v>1900000</v>
      </c>
      <c r="AC541" t="inlineStr">
        <is>
          <t>0182132315052</t>
        </is>
      </c>
      <c r="AD541" t="inlineStr">
        <is>
          <t>2021000146014</t>
        </is>
      </c>
      <c r="AE541" t="inlineStr">
        <is>
          <t>ELK RIDGE SELF STORAGE LLC</t>
        </is>
      </c>
      <c r="AF541" t="inlineStr">
        <is>
          <t>CTTW HOLDINGS LLC AND, MARSCH NICHOLAS AND MARSCH &amp; BAKOUCHE RENTALS LLC ET AL</t>
        </is>
      </c>
      <c r="AI541" s="59">
        <f>IF(AND($E541=Subj_OccCode,Subj_BldgSF&gt;0,ABS($L541-Subj_BldgSF)&lt;=Subj_BldgSF*Subj_SizeTol),ABS($L541-Subj_BldgSF),NA())</f>
        <v/>
      </c>
      <c r="AJ541">
        <f>IF(ISNA(AI541),NA(),AI541+ROW()/10000000)</f>
        <v/>
      </c>
      <c r="AK541">
        <f>IF(AND(ISNUMBER($N541),$N541&gt;0,ISNUMBER($Y541)),$Y541/$N541,"")</f>
        <v/>
      </c>
    </row>
    <row r="542" ht="15" customHeight="1" s="518">
      <c r="A542" s="123" t="n">
        <v>8</v>
      </c>
      <c r="B542" s="59" t="n">
        <v>537</v>
      </c>
      <c r="C542" t="inlineStr">
        <is>
          <t>R0024086</t>
        </is>
      </c>
      <c r="D542" t="inlineStr">
        <is>
          <t>1401 W 122ND AVE</t>
        </is>
      </c>
      <c r="E542" t="n">
        <v>210</v>
      </c>
      <c r="F542" t="inlineStr">
        <is>
          <t>WESTMINSTER</t>
        </is>
      </c>
      <c r="G542" t="inlineStr">
        <is>
          <t>3</t>
        </is>
      </c>
      <c r="H542" s="703">
        <f>Y542/J542</f>
        <v/>
      </c>
      <c r="I542" s="704" t="n">
        <v>44117</v>
      </c>
      <c r="J542" t="n">
        <v>73499</v>
      </c>
      <c r="L542" t="n">
        <v>73499</v>
      </c>
      <c r="M542" t="n">
        <v>1994</v>
      </c>
      <c r="P542" t="inlineStr">
        <is>
          <t>PUD-Wes</t>
        </is>
      </c>
      <c r="R542" t="inlineStr">
        <is>
          <t>Very Good</t>
        </is>
      </c>
      <c r="S542" t="n">
        <v>888615.98496</v>
      </c>
      <c r="T542" s="119">
        <f>S542/J542</f>
        <v/>
      </c>
      <c r="U542" t="inlineStr">
        <is>
          <t>Good</t>
        </is>
      </c>
      <c r="Y542" t="n">
        <v>9400000</v>
      </c>
      <c r="AA542" t="n">
        <v>9400000</v>
      </c>
      <c r="AC542" t="inlineStr">
        <is>
          <t>0157333006021</t>
        </is>
      </c>
      <c r="AD542" t="inlineStr">
        <is>
          <t>2020000103992</t>
        </is>
      </c>
      <c r="AE542" t="inlineStr">
        <is>
          <t>WFI PROPERTIES III LLC</t>
        </is>
      </c>
      <c r="AF542" t="inlineStr">
        <is>
          <t>ICP-FLYWHEEL PARK CENTRE LLC</t>
        </is>
      </c>
      <c r="AI542" s="59">
        <f>IF(AND($E542=Subj_OccCode,Subj_BldgSF&gt;0,ABS($L542-Subj_BldgSF)&lt;=Subj_BldgSF*Subj_SizeTol),ABS($L542-Subj_BldgSF),NA())</f>
        <v/>
      </c>
      <c r="AJ542">
        <f>IF(ISNA(AI542),NA(),AI542+ROW()/10000000)</f>
        <v/>
      </c>
      <c r="AK542">
        <f>IF(AND(ISNUMBER($N542),$N542&gt;0,ISNUMBER($Y542)),$Y542/$N542,"")</f>
        <v/>
      </c>
    </row>
    <row r="543" ht="15" customHeight="1" s="518">
      <c r="A543" s="123" t="n">
        <v>8</v>
      </c>
      <c r="B543" s="59" t="n">
        <v>538</v>
      </c>
      <c r="C543" t="inlineStr">
        <is>
          <t>R0132004</t>
        </is>
      </c>
      <c r="D543" t="inlineStr">
        <is>
          <t>12021  PENNSYLVANIA AVE #205</t>
        </is>
      </c>
      <c r="E543" t="n">
        <v>1344</v>
      </c>
      <c r="F543" t="inlineStr">
        <is>
          <t>THORNTON</t>
        </is>
      </c>
      <c r="G543" t="inlineStr">
        <is>
          <t>3</t>
        </is>
      </c>
      <c r="H543" s="703">
        <f>Y543/J543</f>
        <v/>
      </c>
      <c r="I543" s="704" t="n">
        <v>44253</v>
      </c>
      <c r="J543" t="n">
        <v>974</v>
      </c>
      <c r="L543" t="n">
        <v>974</v>
      </c>
      <c r="M543" t="n">
        <v>2000</v>
      </c>
      <c r="P543" t="inlineStr">
        <is>
          <t>Regional Commercial</t>
        </is>
      </c>
      <c r="R543" t="inlineStr">
        <is>
          <t>Average</t>
        </is>
      </c>
      <c r="S543" t="n">
        <v>3838.69</v>
      </c>
      <c r="T543" s="119">
        <f>S543/J543</f>
        <v/>
      </c>
      <c r="U543" t="inlineStr">
        <is>
          <t>Average</t>
        </is>
      </c>
      <c r="Y543" t="n">
        <v>250000</v>
      </c>
      <c r="AA543" t="n">
        <v>250000</v>
      </c>
      <c r="AC543" t="inlineStr">
        <is>
          <t>0157334401017</t>
        </is>
      </c>
      <c r="AD543" t="inlineStr">
        <is>
          <t>2021000024315</t>
        </is>
      </c>
      <c r="AE543" t="inlineStr">
        <is>
          <t>PENN PLAZA 205 LLC</t>
        </is>
      </c>
      <c r="AF543" t="inlineStr">
        <is>
          <t>ORCHID HOLDINGS LLC</t>
        </is>
      </c>
      <c r="AI543" s="59">
        <f>IF(AND($E543=Subj_OccCode,Subj_BldgSF&gt;0,ABS($L543-Subj_BldgSF)&lt;=Subj_BldgSF*Subj_SizeTol),ABS($L543-Subj_BldgSF),NA())</f>
        <v/>
      </c>
      <c r="AJ543">
        <f>IF(ISNA(AI543),NA(),AI543+ROW()/10000000)</f>
        <v/>
      </c>
      <c r="AK543">
        <f>IF(AND(ISNUMBER($N543),$N543&gt;0,ISNUMBER($Y543)),$Y543/$N543,"")</f>
        <v/>
      </c>
    </row>
    <row r="544" ht="15" customHeight="1" s="518">
      <c r="A544" s="123" t="n">
        <v>8</v>
      </c>
      <c r="B544" s="59" t="n">
        <v>539</v>
      </c>
      <c r="C544" t="inlineStr">
        <is>
          <t>R0159472</t>
        </is>
      </c>
      <c r="D544" t="inlineStr">
        <is>
          <t>12001 E 33RD AVE #N</t>
        </is>
      </c>
      <c r="E544" t="n">
        <v>425</v>
      </c>
      <c r="F544" t="inlineStr">
        <is>
          <t>AURORA</t>
        </is>
      </c>
      <c r="G544" t="inlineStr">
        <is>
          <t>6</t>
        </is>
      </c>
      <c r="H544" s="703">
        <f>Y544/J544</f>
        <v/>
      </c>
      <c r="I544" s="704" t="n">
        <v>44726</v>
      </c>
      <c r="J544" t="n">
        <v>1625</v>
      </c>
      <c r="L544" t="n">
        <v>1625</v>
      </c>
      <c r="M544" t="n">
        <v>2004</v>
      </c>
      <c r="P544" t="inlineStr">
        <is>
          <t>M-2</t>
        </is>
      </c>
      <c r="R544" t="inlineStr">
        <is>
          <t>Average</t>
        </is>
      </c>
      <c r="S544" t="n">
        <v>4740</v>
      </c>
      <c r="T544" s="119">
        <f>S544/J544</f>
        <v/>
      </c>
      <c r="U544" t="inlineStr">
        <is>
          <t>Average</t>
        </is>
      </c>
      <c r="Y544" t="n">
        <v>550000</v>
      </c>
      <c r="AA544" t="n">
        <v>550000</v>
      </c>
      <c r="AC544" t="inlineStr">
        <is>
          <t>0182326103036</t>
        </is>
      </c>
      <c r="AD544" t="inlineStr">
        <is>
          <t>2022000053071</t>
        </is>
      </c>
      <c r="AE544" t="inlineStr">
        <is>
          <t>KEIL WILLIAM D</t>
        </is>
      </c>
      <c r="AF544" t="inlineStr">
        <is>
          <t>R/E LLC</t>
        </is>
      </c>
      <c r="AI544" s="59">
        <f>IF(AND($E544=Subj_OccCode,Subj_BldgSF&gt;0,ABS($L544-Subj_BldgSF)&lt;=Subj_BldgSF*Subj_SizeTol),ABS($L544-Subj_BldgSF),NA())</f>
        <v/>
      </c>
      <c r="AJ544">
        <f>IF(ISNA(AI544),NA(),AI544+ROW()/10000000)</f>
        <v/>
      </c>
      <c r="AK544">
        <f>IF(AND(ISNUMBER($N544),$N544&gt;0,ISNUMBER($Y544)),$Y544/$N544,"")</f>
        <v/>
      </c>
    </row>
    <row r="545" ht="15" customHeight="1" s="518">
      <c r="A545" s="123" t="n">
        <v>8</v>
      </c>
      <c r="B545" s="59" t="n">
        <v>540</v>
      </c>
      <c r="C545" t="inlineStr">
        <is>
          <t>R0173173</t>
        </is>
      </c>
      <c r="D545" t="inlineStr">
        <is>
          <t>11154 HURON ST #210</t>
        </is>
      </c>
      <c r="E545" t="n">
        <v>344</v>
      </c>
      <c r="F545" t="inlineStr">
        <is>
          <t>NORTHGLENN</t>
        </is>
      </c>
      <c r="G545" t="inlineStr">
        <is>
          <t>4</t>
        </is>
      </c>
      <c r="H545" s="703">
        <f>Y545/J545</f>
        <v/>
      </c>
      <c r="I545" s="704" t="n">
        <v>44077</v>
      </c>
      <c r="J545" t="n">
        <v>1480</v>
      </c>
      <c r="L545" t="n">
        <v>1480</v>
      </c>
      <c r="M545" t="n">
        <v>2001</v>
      </c>
      <c r="P545" t="inlineStr">
        <is>
          <t>C-0-Nor</t>
        </is>
      </c>
      <c r="R545" t="inlineStr">
        <is>
          <t>Good</t>
        </is>
      </c>
      <c r="S545" t="n">
        <v>5862</v>
      </c>
      <c r="T545" s="119">
        <f>S545/J545</f>
        <v/>
      </c>
      <c r="U545" t="inlineStr">
        <is>
          <t>Good</t>
        </is>
      </c>
      <c r="Y545" t="n">
        <v>330000</v>
      </c>
      <c r="AA545" t="n">
        <v>330000</v>
      </c>
      <c r="AC545" t="inlineStr">
        <is>
          <t>0171910205052</t>
        </is>
      </c>
      <c r="AD545" t="inlineStr">
        <is>
          <t>2020000087985</t>
        </is>
      </c>
      <c r="AE545" t="inlineStr">
        <is>
          <t>LAMM DEVELOPMENTS LTD</t>
        </is>
      </c>
      <c r="AF545" t="inlineStr">
        <is>
          <t>AKERS ASSET MANAGEMENT</t>
        </is>
      </c>
      <c r="AI545" s="59">
        <f>IF(AND($E545=Subj_OccCode,Subj_BldgSF&gt;0,ABS($L545-Subj_BldgSF)&lt;=Subj_BldgSF*Subj_SizeTol),ABS($L545-Subj_BldgSF),NA())</f>
        <v/>
      </c>
      <c r="AJ545">
        <f>IF(ISNA(AI545),NA(),AI545+ROW()/10000000)</f>
        <v/>
      </c>
      <c r="AK545">
        <f>IF(AND(ISNUMBER($N545),$N545&gt;0,ISNUMBER($Y545)),$Y545/$N545,"")</f>
        <v/>
      </c>
    </row>
    <row r="546" ht="15" customHeight="1" s="518">
      <c r="A546" s="123" t="n">
        <v>8</v>
      </c>
      <c r="B546" s="59" t="n">
        <v>541</v>
      </c>
      <c r="C546" t="inlineStr">
        <is>
          <t>R0177682</t>
        </is>
      </c>
      <c r="D546" t="inlineStr">
        <is>
          <t>535 W 115TH AVE</t>
        </is>
      </c>
      <c r="E546" t="n">
        <v>325</v>
      </c>
      <c r="F546" t="inlineStr">
        <is>
          <t>NORTHGLENN</t>
        </is>
      </c>
      <c r="G546" t="inlineStr">
        <is>
          <t>4</t>
        </is>
      </c>
      <c r="H546" s="703">
        <f>Y546/J546</f>
        <v/>
      </c>
      <c r="I546" s="704" t="n">
        <v>44560</v>
      </c>
      <c r="J546" t="n">
        <v>11288</v>
      </c>
      <c r="L546" t="n">
        <v>11288</v>
      </c>
      <c r="M546" t="n">
        <v>2000</v>
      </c>
      <c r="P546" t="inlineStr">
        <is>
          <t>PUD-Nor</t>
        </is>
      </c>
      <c r="R546" t="inlineStr">
        <is>
          <t>Average</t>
        </is>
      </c>
      <c r="S546" t="n">
        <v>40262</v>
      </c>
      <c r="T546" s="119">
        <f>S546/J546</f>
        <v/>
      </c>
      <c r="U546" t="inlineStr">
        <is>
          <t>Average</t>
        </is>
      </c>
      <c r="Y546" t="n">
        <v>2986396</v>
      </c>
      <c r="AA546" t="n">
        <v>2986396</v>
      </c>
      <c r="AC546" t="inlineStr">
        <is>
          <t>0171903305004</t>
        </is>
      </c>
      <c r="AD546" t="inlineStr">
        <is>
          <t>2022000013420</t>
        </is>
      </c>
      <c r="AE546" t="inlineStr">
        <is>
          <t>TILZER HOLDING LLC</t>
        </is>
      </c>
      <c r="AF546" t="inlineStr">
        <is>
          <t>SCF RC FUNDING III LLC</t>
        </is>
      </c>
      <c r="AI546" s="59">
        <f>IF(AND($E546=Subj_OccCode,Subj_BldgSF&gt;0,ABS($L546-Subj_BldgSF)&lt;=Subj_BldgSF*Subj_SizeTol),ABS($L546-Subj_BldgSF),NA())</f>
        <v/>
      </c>
      <c r="AJ546">
        <f>IF(ISNA(AI546),NA(),AI546+ROW()/10000000)</f>
        <v/>
      </c>
      <c r="AK546">
        <f>IF(AND(ISNUMBER($N546),$N546&gt;0,ISNUMBER($Y546)),$Y546/$N546,"")</f>
        <v/>
      </c>
    </row>
    <row r="547" ht="15" customHeight="1" s="518">
      <c r="A547" s="123" t="n">
        <v>8</v>
      </c>
      <c r="B547" s="59" t="n">
        <v>542</v>
      </c>
      <c r="C547" t="inlineStr">
        <is>
          <t>R0113336</t>
        </is>
      </c>
      <c r="D547" t="inlineStr">
        <is>
          <t>1750 E 112TH AVE</t>
        </is>
      </c>
      <c r="E547" t="n">
        <v>319</v>
      </c>
      <c r="F547" t="inlineStr">
        <is>
          <t>NORTHGLENN</t>
        </is>
      </c>
      <c r="G547" t="inlineStr">
        <is>
          <t>4</t>
        </is>
      </c>
      <c r="H547" s="703">
        <f>Y547/J547</f>
        <v/>
      </c>
      <c r="I547" s="704" t="n">
        <v>44582</v>
      </c>
      <c r="J547" t="n">
        <v>15276</v>
      </c>
      <c r="L547" t="n">
        <v>15276</v>
      </c>
      <c r="M547" t="n">
        <v>1964</v>
      </c>
      <c r="P547" t="inlineStr">
        <is>
          <t>C-4-Nor</t>
        </is>
      </c>
      <c r="R547" t="inlineStr">
        <is>
          <t>Low</t>
        </is>
      </c>
      <c r="S547" t="n">
        <v>69391.0781</v>
      </c>
      <c r="T547" s="119">
        <f>S547/J547</f>
        <v/>
      </c>
      <c r="U547" t="inlineStr">
        <is>
          <t>Average</t>
        </is>
      </c>
      <c r="Y547" t="n">
        <v>2350000</v>
      </c>
      <c r="AA547" t="n">
        <v>2350000</v>
      </c>
      <c r="AC547" t="inlineStr">
        <is>
          <t>0171911101043</t>
        </is>
      </c>
      <c r="AD547" t="inlineStr">
        <is>
          <t>2022000007970</t>
        </is>
      </c>
      <c r="AE547" t="inlineStr">
        <is>
          <t>EXCELL IRMA II LLC</t>
        </is>
      </c>
      <c r="AF547" t="inlineStr">
        <is>
          <t>K AND K BHATTI LLC</t>
        </is>
      </c>
      <c r="AI547" s="59">
        <f>IF(AND($E547=Subj_OccCode,Subj_BldgSF&gt;0,ABS($L547-Subj_BldgSF)&lt;=Subj_BldgSF*Subj_SizeTol),ABS($L547-Subj_BldgSF),NA())</f>
        <v/>
      </c>
      <c r="AJ547">
        <f>IF(ISNA(AI547),NA(),AI547+ROW()/10000000)</f>
        <v/>
      </c>
      <c r="AK547">
        <f>IF(AND(ISNUMBER($N547),$N547&gt;0,ISNUMBER($Y547)),$Y547/$N547,"")</f>
        <v/>
      </c>
    </row>
    <row r="548" ht="15" customHeight="1" s="518">
      <c r="A548" s="123" t="n">
        <v>8</v>
      </c>
      <c r="B548" s="59" t="n">
        <v>543</v>
      </c>
      <c r="C548" t="inlineStr">
        <is>
          <t>R0147985</t>
        </is>
      </c>
      <c r="D548" t="inlineStr">
        <is>
          <t>15800 E 40TH AVE</t>
        </is>
      </c>
      <c r="E548" t="n">
        <v>407</v>
      </c>
      <c r="F548" t="inlineStr">
        <is>
          <t>AURORA</t>
        </is>
      </c>
      <c r="G548" t="inlineStr">
        <is>
          <t>6</t>
        </is>
      </c>
      <c r="H548" s="703">
        <f>Y548/J548</f>
        <v/>
      </c>
      <c r="I548" s="704" t="n">
        <v>43951</v>
      </c>
      <c r="J548" t="n">
        <v>75000</v>
      </c>
      <c r="L548" t="n">
        <v>75000</v>
      </c>
      <c r="M548" t="n">
        <v>2003</v>
      </c>
      <c r="P548" t="inlineStr">
        <is>
          <t>PD</t>
        </is>
      </c>
      <c r="R548" t="inlineStr">
        <is>
          <t>Average</t>
        </is>
      </c>
      <c r="S548" t="n">
        <v>415287.97</v>
      </c>
      <c r="T548" s="119">
        <f>S548/J548</f>
        <v/>
      </c>
      <c r="U548" t="inlineStr">
        <is>
          <t>Average</t>
        </is>
      </c>
      <c r="Y548" t="n">
        <v>7125000</v>
      </c>
      <c r="AA548" t="n">
        <v>7125000</v>
      </c>
      <c r="AC548" t="inlineStr">
        <is>
          <t>0182120301001</t>
        </is>
      </c>
      <c r="AD548" t="inlineStr">
        <is>
          <t>2020000039644</t>
        </is>
      </c>
      <c r="AE548" t="inlineStr">
        <is>
          <t>NATIONAL BEDDING COMPANY LLC</t>
        </is>
      </c>
      <c r="AF548" t="inlineStr">
        <is>
          <t>SHALOM REALTY  (AURORA CENTER I AT GATEWAY COLORADO), C/O DALFEN INDUSTRIAL LLC</t>
        </is>
      </c>
      <c r="AI548" s="59">
        <f>IF(AND($E548=Subj_OccCode,Subj_BldgSF&gt;0,ABS($L548-Subj_BldgSF)&lt;=Subj_BldgSF*Subj_SizeTol),ABS($L548-Subj_BldgSF),NA())</f>
        <v/>
      </c>
      <c r="AJ548">
        <f>IF(ISNA(AI548),NA(),AI548+ROW()/10000000)</f>
        <v/>
      </c>
      <c r="AK548">
        <f>IF(AND(ISNUMBER($N548),$N548&gt;0,ISNUMBER($Y548)),$Y548/$N548,"")</f>
        <v/>
      </c>
    </row>
    <row r="549" ht="15" customHeight="1" s="518">
      <c r="A549" s="123" t="n">
        <v>8</v>
      </c>
      <c r="B549" s="59" t="n">
        <v>544</v>
      </c>
      <c r="C549" t="inlineStr">
        <is>
          <t>R0179935</t>
        </is>
      </c>
      <c r="D549" t="inlineStr">
        <is>
          <t>9410 FEDERAL BLVD</t>
        </is>
      </c>
      <c r="E549" t="n">
        <v>353</v>
      </c>
      <c r="F549" t="inlineStr">
        <is>
          <t>FEDERAL HEIGHTS</t>
        </is>
      </c>
      <c r="G549" t="inlineStr">
        <is>
          <t>4</t>
        </is>
      </c>
      <c r="H549" s="703">
        <f>Y549/J549</f>
        <v/>
      </c>
      <c r="I549" s="704" t="n">
        <v>44335</v>
      </c>
      <c r="J549" t="n">
        <v>8000</v>
      </c>
      <c r="L549" t="n">
        <v>8000</v>
      </c>
      <c r="M549" t="n">
        <v>2011</v>
      </c>
      <c r="P549" t="inlineStr">
        <is>
          <t>C-1-Fed</t>
        </is>
      </c>
      <c r="R549" t="inlineStr">
        <is>
          <t>Average</t>
        </is>
      </c>
      <c r="S549" t="n">
        <v>53023</v>
      </c>
      <c r="T549" s="119">
        <f>S549/J549</f>
        <v/>
      </c>
      <c r="U549" t="inlineStr">
        <is>
          <t>Average</t>
        </is>
      </c>
      <c r="Y549" t="n">
        <v>1445000</v>
      </c>
      <c r="AA549" t="n">
        <v>1445000</v>
      </c>
      <c r="AC549" t="inlineStr">
        <is>
          <t>0171920101021</t>
        </is>
      </c>
      <c r="AD549" t="inlineStr">
        <is>
          <t>2021000062577</t>
        </is>
      </c>
      <c r="AE549" t="inlineStr">
        <is>
          <t>HOANG KING FAMILY TRUST THE</t>
        </is>
      </c>
      <c r="AF549" t="inlineStr">
        <is>
          <t>A&amp;A HOLDING LIMITED COMPANY OF UTAH</t>
        </is>
      </c>
      <c r="AI549" s="59">
        <f>IF(AND($E549=Subj_OccCode,Subj_BldgSF&gt;0,ABS($L549-Subj_BldgSF)&lt;=Subj_BldgSF*Subj_SizeTol),ABS($L549-Subj_BldgSF),NA())</f>
        <v/>
      </c>
      <c r="AJ549">
        <f>IF(ISNA(AI549),NA(),AI549+ROW()/10000000)</f>
        <v/>
      </c>
      <c r="AK549">
        <f>IF(AND(ISNUMBER($N549),$N549&gt;0,ISNUMBER($Y549)),$Y549/$N549,"")</f>
        <v/>
      </c>
    </row>
    <row r="550" ht="15" customHeight="1" s="518">
      <c r="A550" s="123" t="n">
        <v>8</v>
      </c>
      <c r="B550" s="59" t="n">
        <v>545</v>
      </c>
      <c r="C550" t="inlineStr">
        <is>
          <t>R0110689</t>
        </is>
      </c>
      <c r="D550" t="inlineStr">
        <is>
          <t>9141 GRANT ST #206</t>
        </is>
      </c>
      <c r="E550" t="n">
        <v>341</v>
      </c>
      <c r="F550" t="inlineStr">
        <is>
          <t>THORNTON</t>
        </is>
      </c>
      <c r="G550" t="inlineStr">
        <is>
          <t>3</t>
        </is>
      </c>
      <c r="H550" s="703">
        <f>Y550/J550</f>
        <v/>
      </c>
      <c r="I550" s="704" t="n">
        <v>43273</v>
      </c>
      <c r="J550" t="n">
        <v>1400</v>
      </c>
      <c r="L550" t="n">
        <v>1400</v>
      </c>
      <c r="M550" t="n">
        <v>1986</v>
      </c>
      <c r="P550" t="inlineStr">
        <is>
          <t>Thornton</t>
        </is>
      </c>
      <c r="R550" t="inlineStr">
        <is>
          <t>Average</t>
        </is>
      </c>
      <c r="S550" t="n">
        <v>692</v>
      </c>
      <c r="T550" s="119">
        <f>S550/J550</f>
        <v/>
      </c>
      <c r="U550" t="inlineStr">
        <is>
          <t>Average</t>
        </is>
      </c>
      <c r="Y550" t="n">
        <v>195000</v>
      </c>
      <c r="AA550" t="n">
        <v>195000</v>
      </c>
      <c r="AC550" t="inlineStr">
        <is>
          <t>0171922404221</t>
        </is>
      </c>
      <c r="AD550" t="inlineStr">
        <is>
          <t>2018000050696</t>
        </is>
      </c>
      <c r="AE550" t="inlineStr">
        <is>
          <t>COLUMBIA-HEALTHONE LLC, C/O JOHN A LAMPE MD</t>
        </is>
      </c>
      <c r="AF550" t="inlineStr">
        <is>
          <t xml:space="preserve">COLUMBIA-HEALTHONE LLC, C/O JAMES C GARLITZ </t>
        </is>
      </c>
      <c r="AI550" s="59">
        <f>IF(AND($E550=Subj_OccCode,Subj_BldgSF&gt;0,ABS($L550-Subj_BldgSF)&lt;=Subj_BldgSF*Subj_SizeTol),ABS($L550-Subj_BldgSF),NA())</f>
        <v/>
      </c>
      <c r="AJ550">
        <f>IF(ISNA(AI550),NA(),AI550+ROW()/10000000)</f>
        <v/>
      </c>
      <c r="AK550">
        <f>IF(AND(ISNUMBER($N550),$N550&gt;0,ISNUMBER($Y550)),$Y550/$N550,"")</f>
        <v/>
      </c>
    </row>
    <row r="551" ht="15" customHeight="1" s="518">
      <c r="A551" s="123" t="n">
        <v>8</v>
      </c>
      <c r="B551" s="59" t="n">
        <v>546</v>
      </c>
      <c r="C551" t="inlineStr">
        <is>
          <t>R0168907</t>
        </is>
      </c>
      <c r="D551" t="inlineStr">
        <is>
          <t>14777 E 35TH PL</t>
        </is>
      </c>
      <c r="E551" t="n">
        <v>406</v>
      </c>
      <c r="F551" t="inlineStr">
        <is>
          <t>AURORA</t>
        </is>
      </c>
      <c r="G551" t="inlineStr">
        <is>
          <t>6</t>
        </is>
      </c>
      <c r="H551" s="703">
        <f>Y551/J551</f>
        <v/>
      </c>
      <c r="I551" s="704" t="n">
        <v>43462</v>
      </c>
      <c r="J551" t="n">
        <v>19968</v>
      </c>
      <c r="L551" t="n">
        <v>19968</v>
      </c>
      <c r="M551" t="n">
        <v>2006</v>
      </c>
      <c r="R551" t="inlineStr">
        <is>
          <t>Average</t>
        </is>
      </c>
      <c r="S551" t="n">
        <v>130617</v>
      </c>
      <c r="T551" s="119">
        <f>S551/J551</f>
        <v/>
      </c>
      <c r="U551" t="inlineStr">
        <is>
          <t>Average</t>
        </is>
      </c>
      <c r="Y551" t="n">
        <v>4000000</v>
      </c>
      <c r="AA551" t="n">
        <v>4000000</v>
      </c>
      <c r="AC551" t="inlineStr">
        <is>
          <t>0182130105001</t>
        </is>
      </c>
      <c r="AD551" t="inlineStr">
        <is>
          <t>2018000103583</t>
        </is>
      </c>
      <c r="AE551" t="inlineStr">
        <is>
          <t>MERRITT 777 LLC</t>
        </is>
      </c>
      <c r="AF551" t="inlineStr">
        <is>
          <t>AMG INVESTMENTS LLC</t>
        </is>
      </c>
      <c r="AI551" s="59">
        <f>IF(AND($E551=Subj_OccCode,Subj_BldgSF&gt;0,ABS($L551-Subj_BldgSF)&lt;=Subj_BldgSF*Subj_SizeTol),ABS($L551-Subj_BldgSF),NA())</f>
        <v/>
      </c>
      <c r="AJ551">
        <f>IF(ISNA(AI551),NA(),AI551+ROW()/10000000)</f>
        <v/>
      </c>
      <c r="AK551">
        <f>IF(AND(ISNUMBER($N551),$N551&gt;0,ISNUMBER($Y551)),$Y551/$N551,"")</f>
        <v/>
      </c>
    </row>
    <row r="552" ht="15" customHeight="1" s="518">
      <c r="A552" s="123" t="n">
        <v>8</v>
      </c>
      <c r="B552" s="59" t="n">
        <v>547</v>
      </c>
      <c r="C552" t="inlineStr">
        <is>
          <t>R0169154</t>
        </is>
      </c>
      <c r="D552" t="inlineStr">
        <is>
          <t>1137  BRIDGE ST</t>
        </is>
      </c>
      <c r="E552" t="n">
        <v>3441</v>
      </c>
      <c r="F552" t="inlineStr">
        <is>
          <t>BRIGHTON</t>
        </is>
      </c>
      <c r="G552" t="inlineStr">
        <is>
          <t>2</t>
        </is>
      </c>
      <c r="H552" s="703">
        <f>Y552/J552</f>
        <v/>
      </c>
      <c r="I552" s="704" t="n">
        <v>43213</v>
      </c>
      <c r="J552" t="n">
        <v>1056</v>
      </c>
      <c r="L552" t="n">
        <v>1056</v>
      </c>
      <c r="M552" t="n">
        <v>1949</v>
      </c>
      <c r="R552" t="inlineStr">
        <is>
          <t>Average</t>
        </is>
      </c>
      <c r="S552" t="n">
        <v>7624</v>
      </c>
      <c r="T552" s="119">
        <f>S552/J552</f>
        <v/>
      </c>
      <c r="U552" t="inlineStr">
        <is>
          <t>Good</t>
        </is>
      </c>
      <c r="Y552" t="n">
        <v>262200</v>
      </c>
      <c r="AA552" t="n">
        <v>262200</v>
      </c>
      <c r="AC552" t="inlineStr">
        <is>
          <t>0156905321008</t>
        </is>
      </c>
      <c r="AD552" t="inlineStr">
        <is>
          <t>2018000033834</t>
        </is>
      </c>
      <c r="AE552" t="inlineStr">
        <is>
          <t>5 G LLC</t>
        </is>
      </c>
      <c r="AF552" t="inlineStr">
        <is>
          <t>LANZER RACHEL L</t>
        </is>
      </c>
      <c r="AI552" s="59">
        <f>IF(AND($E552=Subj_OccCode,Subj_BldgSF&gt;0,ABS($L552-Subj_BldgSF)&lt;=Subj_BldgSF*Subj_SizeTol),ABS($L552-Subj_BldgSF),NA())</f>
        <v/>
      </c>
      <c r="AJ552">
        <f>IF(ISNA(AI552),NA(),AI552+ROW()/10000000)</f>
        <v/>
      </c>
      <c r="AK552">
        <f>IF(AND(ISNUMBER($N552),$N552&gt;0,ISNUMBER($Y552)),$Y552/$N552,"")</f>
        <v/>
      </c>
    </row>
    <row r="553" ht="15" customHeight="1" s="518">
      <c r="A553" s="123" t="n">
        <v>8</v>
      </c>
      <c r="B553" s="59" t="n">
        <v>548</v>
      </c>
      <c r="C553" t="inlineStr">
        <is>
          <t>R0173180</t>
        </is>
      </c>
      <c r="D553" t="inlineStr">
        <is>
          <t>5454  WASHINGTON ST#1</t>
        </is>
      </c>
      <c r="E553" t="n">
        <v>425</v>
      </c>
      <c r="G553" t="inlineStr">
        <is>
          <t>5</t>
        </is>
      </c>
      <c r="H553" s="703">
        <f>Y553/J553</f>
        <v/>
      </c>
      <c r="I553" s="704" t="n">
        <v>43838</v>
      </c>
      <c r="J553" t="n">
        <v>3158</v>
      </c>
      <c r="L553" t="n">
        <v>3158</v>
      </c>
      <c r="M553" t="n">
        <v>1985</v>
      </c>
      <c r="P553" t="inlineStr">
        <is>
          <t>Industrial</t>
        </is>
      </c>
      <c r="R553" t="inlineStr">
        <is>
          <t>Average</t>
        </is>
      </c>
      <c r="S553" t="n">
        <v>7920</v>
      </c>
      <c r="T553" s="119">
        <f>S553/J553</f>
        <v/>
      </c>
      <c r="U553" t="inlineStr">
        <is>
          <t>Average</t>
        </is>
      </c>
      <c r="Y553" t="n">
        <v>575000</v>
      </c>
      <c r="AA553" t="n">
        <v>575000</v>
      </c>
      <c r="AC553" t="inlineStr">
        <is>
          <t>0182514210012</t>
        </is>
      </c>
      <c r="AD553" t="inlineStr">
        <is>
          <t>2020000003847</t>
        </is>
      </c>
      <c r="AE553" t="inlineStr">
        <is>
          <t>5454 WASHINGTON ST NO 1 LLC</t>
        </is>
      </c>
      <c r="AF553" t="inlineStr">
        <is>
          <t>2020 VISION LLC</t>
        </is>
      </c>
      <c r="AI553" s="59">
        <f>IF(AND($E553=Subj_OccCode,Subj_BldgSF&gt;0,ABS($L553-Subj_BldgSF)&lt;=Subj_BldgSF*Subj_SizeTol),ABS($L553-Subj_BldgSF),NA())</f>
        <v/>
      </c>
      <c r="AJ553">
        <f>IF(ISNA(AI553),NA(),AI553+ROW()/10000000)</f>
        <v/>
      </c>
      <c r="AK553">
        <f>IF(AND(ISNUMBER($N553),$N553&gt;0,ISNUMBER($Y553)),$Y553/$N553,"")</f>
        <v/>
      </c>
    </row>
    <row r="554" ht="15" customHeight="1" s="518">
      <c r="A554" s="123" t="n">
        <v>8</v>
      </c>
      <c r="B554" s="59" t="n">
        <v>549</v>
      </c>
      <c r="C554" t="inlineStr">
        <is>
          <t>R0173187</t>
        </is>
      </c>
      <c r="D554" t="inlineStr">
        <is>
          <t>5454  WASHINGTON ST #8</t>
        </is>
      </c>
      <c r="E554" t="n">
        <v>425</v>
      </c>
      <c r="G554" t="inlineStr">
        <is>
          <t>5</t>
        </is>
      </c>
      <c r="H554" s="703">
        <f>Y554/J554</f>
        <v/>
      </c>
      <c r="I554" s="704" t="n">
        <v>44384</v>
      </c>
      <c r="J554" t="n">
        <v>3158</v>
      </c>
      <c r="L554" t="n">
        <v>3158</v>
      </c>
      <c r="M554" t="n">
        <v>1985</v>
      </c>
      <c r="P554" t="inlineStr">
        <is>
          <t>Industrial</t>
        </is>
      </c>
      <c r="R554" t="inlineStr">
        <is>
          <t>Average</t>
        </is>
      </c>
      <c r="S554" t="n">
        <v>7920</v>
      </c>
      <c r="T554" s="119">
        <f>S554/J554</f>
        <v/>
      </c>
      <c r="U554" t="inlineStr">
        <is>
          <t>Average</t>
        </is>
      </c>
      <c r="Y554" t="n">
        <v>562500</v>
      </c>
      <c r="AA554" t="n">
        <v>562500</v>
      </c>
      <c r="AC554" t="inlineStr">
        <is>
          <t>0182514210019</t>
        </is>
      </c>
      <c r="AD554" t="inlineStr">
        <is>
          <t>2021000081652</t>
        </is>
      </c>
      <c r="AE554" t="inlineStr">
        <is>
          <t>REIL ENTERPRISES LLC</t>
        </is>
      </c>
      <c r="AF554" t="inlineStr">
        <is>
          <t>VXSN LLC</t>
        </is>
      </c>
      <c r="AI554" s="59">
        <f>IF(AND($E554=Subj_OccCode,Subj_BldgSF&gt;0,ABS($L554-Subj_BldgSF)&lt;=Subj_BldgSF*Subj_SizeTol),ABS($L554-Subj_BldgSF),NA())</f>
        <v/>
      </c>
      <c r="AJ554">
        <f>IF(ISNA(AI554),NA(),AI554+ROW()/10000000)</f>
        <v/>
      </c>
      <c r="AK554">
        <f>IF(AND(ISNUMBER($N554),$N554&gt;0,ISNUMBER($Y554)),$Y554/$N554,"")</f>
        <v/>
      </c>
    </row>
    <row r="555" ht="15" customHeight="1" s="518">
      <c r="A555" s="123" t="n">
        <v>8</v>
      </c>
      <c r="B555" s="59" t="n">
        <v>550</v>
      </c>
      <c r="C555" t="inlineStr">
        <is>
          <t>R0098573</t>
        </is>
      </c>
      <c r="D555" t="inlineStr">
        <is>
          <t>75 W 64TH AVE</t>
        </is>
      </c>
      <c r="E555" t="n">
        <v>213</v>
      </c>
      <c r="G555" t="inlineStr">
        <is>
          <t>5</t>
        </is>
      </c>
      <c r="H555" s="703">
        <f>Y555/J555</f>
        <v/>
      </c>
      <c r="I555" s="704" t="n">
        <v>43116</v>
      </c>
      <c r="J555" t="n">
        <v>1920</v>
      </c>
      <c r="L555" t="n">
        <v>1920</v>
      </c>
      <c r="M555" t="n">
        <v>2003</v>
      </c>
      <c r="P555" t="inlineStr">
        <is>
          <t>Industrial</t>
        </is>
      </c>
      <c r="R555" t="inlineStr">
        <is>
          <t>Fair</t>
        </is>
      </c>
      <c r="S555" t="n">
        <v>75794</v>
      </c>
      <c r="T555" s="119">
        <f>S555/J555</f>
        <v/>
      </c>
      <c r="U555" t="inlineStr">
        <is>
          <t>Average</t>
        </is>
      </c>
      <c r="Y555" t="n">
        <v>790500</v>
      </c>
      <c r="AA555" t="n">
        <v>790500</v>
      </c>
      <c r="AC555" t="inlineStr">
        <is>
          <t>0182503306002</t>
        </is>
      </c>
      <c r="AD555" t="inlineStr">
        <is>
          <t>2018000005787</t>
        </is>
      </c>
      <c r="AE555" t="inlineStr">
        <is>
          <t>BOULDER CAMPGROUNDS INC</t>
        </is>
      </c>
      <c r="AF555" t="inlineStr">
        <is>
          <t>BPOS LLC</t>
        </is>
      </c>
      <c r="AI555" s="59">
        <f>IF(AND($E555=Subj_OccCode,Subj_BldgSF&gt;0,ABS($L555-Subj_BldgSF)&lt;=Subj_BldgSF*Subj_SizeTol),ABS($L555-Subj_BldgSF),NA())</f>
        <v/>
      </c>
      <c r="AJ555">
        <f>IF(ISNA(AI555),NA(),AI555+ROW()/10000000)</f>
        <v/>
      </c>
      <c r="AK555">
        <f>IF(AND(ISNUMBER($N555),$N555&gt;0,ISNUMBER($Y555)),$Y555/$N555,"")</f>
        <v/>
      </c>
    </row>
    <row r="556" ht="15" customHeight="1" s="518">
      <c r="A556" s="123" t="n">
        <v>8</v>
      </c>
      <c r="B556" s="59" t="n">
        <v>551</v>
      </c>
      <c r="C556" t="inlineStr">
        <is>
          <t>R0002837</t>
        </is>
      </c>
      <c r="D556" t="inlineStr">
        <is>
          <t>29 N MAIN ST</t>
        </is>
      </c>
      <c r="E556" t="n">
        <v>353</v>
      </c>
      <c r="F556" t="inlineStr">
        <is>
          <t>BRIGHTON</t>
        </is>
      </c>
      <c r="G556" t="inlineStr">
        <is>
          <t>2</t>
        </is>
      </c>
      <c r="H556" s="703">
        <f>Y556/J556</f>
        <v/>
      </c>
      <c r="I556" s="704" t="n">
        <v>43271</v>
      </c>
      <c r="J556" t="n">
        <v>5750</v>
      </c>
      <c r="L556" t="n">
        <v>5750</v>
      </c>
      <c r="M556" t="n">
        <v>1966</v>
      </c>
      <c r="P556" t="inlineStr">
        <is>
          <t>Brighton</t>
        </is>
      </c>
      <c r="R556" t="inlineStr">
        <is>
          <t>Average</t>
        </is>
      </c>
      <c r="S556" t="n">
        <v>10150</v>
      </c>
      <c r="T556" s="119">
        <f>S556/J556</f>
        <v/>
      </c>
      <c r="U556" t="inlineStr">
        <is>
          <t>Average</t>
        </is>
      </c>
      <c r="Y556" t="n">
        <v>530000</v>
      </c>
      <c r="AA556" t="n">
        <v>530000</v>
      </c>
      <c r="AC556" t="inlineStr">
        <is>
          <t>0156906314005</t>
        </is>
      </c>
      <c r="AD556" t="inlineStr">
        <is>
          <t>2018000049723</t>
        </is>
      </c>
      <c r="AE556" t="inlineStr">
        <is>
          <t>LAZY V SLASH LAND AND CATTLE COMPANY</t>
        </is>
      </c>
      <c r="AF556" t="inlineStr">
        <is>
          <t>3885 FOREST LLC</t>
        </is>
      </c>
      <c r="AI556" s="59">
        <f>IF(AND($E556=Subj_OccCode,Subj_BldgSF&gt;0,ABS($L556-Subj_BldgSF)&lt;=Subj_BldgSF*Subj_SizeTol),ABS($L556-Subj_BldgSF),NA())</f>
        <v/>
      </c>
      <c r="AJ556">
        <f>IF(ISNA(AI556),NA(),AI556+ROW()/10000000)</f>
        <v/>
      </c>
      <c r="AK556">
        <f>IF(AND(ISNUMBER($N556),$N556&gt;0,ISNUMBER($Y556)),$Y556/$N556,"")</f>
        <v/>
      </c>
    </row>
    <row r="557" ht="15" customHeight="1" s="518">
      <c r="A557" s="123" t="n">
        <v>8</v>
      </c>
      <c r="B557" s="59" t="n">
        <v>552</v>
      </c>
      <c r="C557" t="inlineStr">
        <is>
          <t>R0004562</t>
        </is>
      </c>
      <c r="D557" t="inlineStr">
        <is>
          <t>599 S MAIN ST</t>
        </is>
      </c>
      <c r="E557" t="n">
        <v>339</v>
      </c>
      <c r="F557" t="inlineStr">
        <is>
          <t>BRIGHTON</t>
        </is>
      </c>
      <c r="G557" t="inlineStr">
        <is>
          <t>2</t>
        </is>
      </c>
      <c r="H557" s="703">
        <f>Y557/J557</f>
        <v/>
      </c>
      <c r="I557" s="704" t="n">
        <v>43199</v>
      </c>
      <c r="J557" t="n">
        <v>7200</v>
      </c>
      <c r="L557" t="n">
        <v>7200</v>
      </c>
      <c r="M557" t="n">
        <v>1983</v>
      </c>
      <c r="P557" t="inlineStr">
        <is>
          <t>Brighton</t>
        </is>
      </c>
      <c r="R557" t="inlineStr">
        <is>
          <t>Low</t>
        </is>
      </c>
      <c r="S557" t="n">
        <v>96965</v>
      </c>
      <c r="T557" s="119">
        <f>S557/J557</f>
        <v/>
      </c>
      <c r="U557" t="inlineStr">
        <is>
          <t>Average</t>
        </is>
      </c>
      <c r="Y557" t="n">
        <v>1300000</v>
      </c>
      <c r="AA557" t="n">
        <v>1300000</v>
      </c>
      <c r="AC557" t="inlineStr">
        <is>
          <t>0156907323005</t>
        </is>
      </c>
      <c r="AD557" t="inlineStr">
        <is>
          <t>2018000029142</t>
        </is>
      </c>
      <c r="AE557" t="inlineStr">
        <is>
          <t>599 SO MAIN STREET LLC</t>
        </is>
      </c>
      <c r="AF557" t="inlineStr">
        <is>
          <t>WATER DROP TRUST</t>
        </is>
      </c>
      <c r="AI557" s="59">
        <f>IF(AND($E557=Subj_OccCode,Subj_BldgSF&gt;0,ABS($L557-Subj_BldgSF)&lt;=Subj_BldgSF*Subj_SizeTol),ABS($L557-Subj_BldgSF),NA())</f>
        <v/>
      </c>
      <c r="AJ557">
        <f>IF(ISNA(AI557),NA(),AI557+ROW()/10000000)</f>
        <v/>
      </c>
      <c r="AK557">
        <f>IF(AND(ISNUMBER($N557),$N557&gt;0,ISNUMBER($Y557)),$Y557/$N557,"")</f>
        <v/>
      </c>
    </row>
    <row r="558" ht="15" customHeight="1" s="518">
      <c r="A558" s="123" t="n">
        <v>8</v>
      </c>
      <c r="B558" s="59" t="n">
        <v>553</v>
      </c>
      <c r="C558" t="inlineStr">
        <is>
          <t>R0004562</t>
        </is>
      </c>
      <c r="D558" t="inlineStr">
        <is>
          <t>599 S MAIN ST</t>
        </is>
      </c>
      <c r="E558" t="n">
        <v>353</v>
      </c>
      <c r="F558" t="inlineStr">
        <is>
          <t>BRIGHTON</t>
        </is>
      </c>
      <c r="G558" t="inlineStr">
        <is>
          <t>2</t>
        </is>
      </c>
      <c r="H558" s="703">
        <f>Y558/J558</f>
        <v/>
      </c>
      <c r="I558" s="704" t="n">
        <v>44182</v>
      </c>
      <c r="J558" t="n">
        <v>7200</v>
      </c>
      <c r="L558" t="n">
        <v>7200</v>
      </c>
      <c r="M558" t="n">
        <v>1983</v>
      </c>
      <c r="P558" t="inlineStr">
        <is>
          <t>I-1-Bri</t>
        </is>
      </c>
      <c r="R558" t="inlineStr">
        <is>
          <t>Low</t>
        </is>
      </c>
      <c r="S558" t="n">
        <v>96965</v>
      </c>
      <c r="T558" s="119">
        <f>S558/J558</f>
        <v/>
      </c>
      <c r="U558" t="inlineStr">
        <is>
          <t>Average</t>
        </is>
      </c>
      <c r="Y558" t="n">
        <v>1400000</v>
      </c>
      <c r="AA558" t="n">
        <v>1400000</v>
      </c>
      <c r="AC558" t="inlineStr">
        <is>
          <t>0156907323005</t>
        </is>
      </c>
      <c r="AD558" t="inlineStr">
        <is>
          <t>2020000134040</t>
        </is>
      </c>
      <c r="AE558" t="inlineStr">
        <is>
          <t>WATER DROP TRUST</t>
        </is>
      </c>
      <c r="AF558" t="inlineStr">
        <is>
          <t>MAINLINE CONSTRUCTION LLC</t>
        </is>
      </c>
      <c r="AI558" s="59">
        <f>IF(AND($E558=Subj_OccCode,Subj_BldgSF&gt;0,ABS($L558-Subj_BldgSF)&lt;=Subj_BldgSF*Subj_SizeTol),ABS($L558-Subj_BldgSF),NA())</f>
        <v/>
      </c>
      <c r="AJ558">
        <f>IF(ISNA(AI558),NA(),AI558+ROW()/10000000)</f>
        <v/>
      </c>
      <c r="AK558">
        <f>IF(AND(ISNUMBER($N558),$N558&gt;0,ISNUMBER($Y558)),$Y558/$N558,"")</f>
        <v/>
      </c>
    </row>
    <row r="559" ht="15" customHeight="1" s="518">
      <c r="A559" s="123" t="n">
        <v>8</v>
      </c>
      <c r="B559" s="59" t="n">
        <v>554</v>
      </c>
      <c r="C559" t="inlineStr">
        <is>
          <t>R0075346</t>
        </is>
      </c>
      <c r="D559" t="inlineStr">
        <is>
          <t>10001  BRIGHTON RD</t>
        </is>
      </c>
      <c r="E559" t="n">
        <v>325</v>
      </c>
      <c r="G559" t="inlineStr">
        <is>
          <t>5</t>
        </is>
      </c>
      <c r="H559" s="703">
        <f>Y559/J559</f>
        <v/>
      </c>
      <c r="I559" s="704" t="n">
        <v>43874</v>
      </c>
      <c r="J559" t="n">
        <v>4927</v>
      </c>
      <c r="L559" t="n">
        <v>4927</v>
      </c>
      <c r="M559" t="n">
        <v>1950</v>
      </c>
      <c r="P559" t="inlineStr">
        <is>
          <t>Commercial</t>
        </is>
      </c>
      <c r="R559" t="inlineStr">
        <is>
          <t>Average</t>
        </is>
      </c>
      <c r="S559" t="n">
        <v>30492</v>
      </c>
      <c r="T559" s="119">
        <f>S559/J559</f>
        <v/>
      </c>
      <c r="U559" t="inlineStr">
        <is>
          <t>Average</t>
        </is>
      </c>
      <c r="Y559" t="n">
        <v>440000</v>
      </c>
      <c r="AA559" t="n">
        <v>440000</v>
      </c>
      <c r="AC559" t="inlineStr">
        <is>
          <t>0172116002001</t>
        </is>
      </c>
      <c r="AD559" t="inlineStr">
        <is>
          <t>2020000015791</t>
        </is>
      </c>
      <c r="AE559" t="inlineStr">
        <is>
          <t>NOREGS LLC</t>
        </is>
      </c>
      <c r="AF559" t="inlineStr">
        <is>
          <t>10001 BRIGHTON LLC</t>
        </is>
      </c>
      <c r="AI559" s="59">
        <f>IF(AND($E559=Subj_OccCode,Subj_BldgSF&gt;0,ABS($L559-Subj_BldgSF)&lt;=Subj_BldgSF*Subj_SizeTol),ABS($L559-Subj_BldgSF),NA())</f>
        <v/>
      </c>
      <c r="AJ559">
        <f>IF(ISNA(AI559),NA(),AI559+ROW()/10000000)</f>
        <v/>
      </c>
      <c r="AK559">
        <f>IF(AND(ISNUMBER($N559),$N559&gt;0,ISNUMBER($Y559)),$Y559/$N559,"")</f>
        <v/>
      </c>
    </row>
    <row r="560" ht="15" customHeight="1" s="518">
      <c r="A560" s="123" t="n">
        <v>8</v>
      </c>
      <c r="B560" s="59" t="n">
        <v>555</v>
      </c>
      <c r="C560" t="inlineStr">
        <is>
          <t>R0098211</t>
        </is>
      </c>
      <c r="D560" t="inlineStr">
        <is>
          <t>6580  VINE CT</t>
        </is>
      </c>
      <c r="E560" t="n">
        <v>407</v>
      </c>
      <c r="G560" t="inlineStr">
        <is>
          <t>5</t>
        </is>
      </c>
      <c r="H560" s="703">
        <f>Y560/J560</f>
        <v/>
      </c>
      <c r="I560" s="704" t="n">
        <v>43189</v>
      </c>
      <c r="J560" t="n">
        <v>9520</v>
      </c>
      <c r="L560" t="n">
        <v>9520</v>
      </c>
      <c r="M560" t="n">
        <v>1997</v>
      </c>
      <c r="P560" t="inlineStr">
        <is>
          <t>Industrial</t>
        </is>
      </c>
      <c r="R560" t="inlineStr">
        <is>
          <t>Average</t>
        </is>
      </c>
      <c r="S560" t="n">
        <v>30056</v>
      </c>
      <c r="T560" s="119">
        <f>S560/J560</f>
        <v/>
      </c>
      <c r="U560" t="inlineStr">
        <is>
          <t>Average</t>
        </is>
      </c>
      <c r="Y560" t="n">
        <v>1350000</v>
      </c>
      <c r="AA560" t="n">
        <v>1350000</v>
      </c>
      <c r="AC560" t="inlineStr">
        <is>
          <t>0182502404010</t>
        </is>
      </c>
      <c r="AD560" t="inlineStr">
        <is>
          <t>2018000029188</t>
        </is>
      </c>
      <c r="AE560" t="inlineStr">
        <is>
          <t>ARMSTRONG DARRYL AND, ARMSTRONG MARY E</t>
        </is>
      </c>
      <c r="AF560" t="inlineStr">
        <is>
          <t>PVGG PROPERTIES LLC</t>
        </is>
      </c>
      <c r="AI560" s="59">
        <f>IF(AND($E560=Subj_OccCode,Subj_BldgSF&gt;0,ABS($L560-Subj_BldgSF)&lt;=Subj_BldgSF*Subj_SizeTol),ABS($L560-Subj_BldgSF),NA())</f>
        <v/>
      </c>
      <c r="AJ560">
        <f>IF(ISNA(AI560),NA(),AI560+ROW()/10000000)</f>
        <v/>
      </c>
      <c r="AK560">
        <f>IF(AND(ISNUMBER($N560),$N560&gt;0,ISNUMBER($Y560)),$Y560/$N560,"")</f>
        <v/>
      </c>
    </row>
    <row r="561" ht="15" customHeight="1" s="518">
      <c r="A561" s="123" t="n">
        <v>8</v>
      </c>
      <c r="B561" s="59" t="n">
        <v>556</v>
      </c>
      <c r="C561" t="inlineStr">
        <is>
          <t>R0103717</t>
        </is>
      </c>
      <c r="D561" t="inlineStr">
        <is>
          <t>5960  MARION DR</t>
        </is>
      </c>
      <c r="E561" t="n">
        <v>406</v>
      </c>
      <c r="G561" t="inlineStr">
        <is>
          <t>5</t>
        </is>
      </c>
      <c r="H561" s="703">
        <f>Y561/J561</f>
        <v/>
      </c>
      <c r="I561" s="704" t="n">
        <v>43259</v>
      </c>
      <c r="J561" t="n">
        <v>5000</v>
      </c>
      <c r="L561" t="n">
        <v>5000</v>
      </c>
      <c r="M561" t="n">
        <v>1999</v>
      </c>
      <c r="P561" t="inlineStr">
        <is>
          <t>Industrial</t>
        </is>
      </c>
      <c r="R561" t="inlineStr">
        <is>
          <t>Average</t>
        </is>
      </c>
      <c r="S561" t="n">
        <v>35250</v>
      </c>
      <c r="T561" s="119">
        <f>S561/J561</f>
        <v/>
      </c>
      <c r="U561" t="inlineStr">
        <is>
          <t>Average</t>
        </is>
      </c>
      <c r="Y561" t="n">
        <v>925000</v>
      </c>
      <c r="AA561" t="n">
        <v>925000</v>
      </c>
      <c r="AC561" t="inlineStr">
        <is>
          <t>0182511303006</t>
        </is>
      </c>
      <c r="AD561" t="inlineStr">
        <is>
          <t>2018000046553</t>
        </is>
      </c>
      <c r="AE561" t="inlineStr">
        <is>
          <t>VEGHTE RICHARD</t>
        </is>
      </c>
      <c r="AF561" t="inlineStr">
        <is>
          <t>REGION LTD</t>
        </is>
      </c>
      <c r="AI561" s="59">
        <f>IF(AND($E561=Subj_OccCode,Subj_BldgSF&gt;0,ABS($L561-Subj_BldgSF)&lt;=Subj_BldgSF*Subj_SizeTol),ABS($L561-Subj_BldgSF),NA())</f>
        <v/>
      </c>
      <c r="AJ561">
        <f>IF(ISNA(AI561),NA(),AI561+ROW()/10000000)</f>
        <v/>
      </c>
      <c r="AK561">
        <f>IF(AND(ISNUMBER($N561),$N561&gt;0,ISNUMBER($Y561)),$Y561/$N561,"")</f>
        <v/>
      </c>
    </row>
    <row r="562" ht="15" customHeight="1" s="518">
      <c r="A562" s="123" t="n">
        <v>8</v>
      </c>
      <c r="B562" s="59" t="n">
        <v>557</v>
      </c>
      <c r="C562" t="inlineStr">
        <is>
          <t>R0071224</t>
        </is>
      </c>
      <c r="D562" t="inlineStr">
        <is>
          <t>12555 E 112TH AVE</t>
        </is>
      </c>
      <c r="E562" t="n">
        <v>100</v>
      </c>
      <c r="F562" t="inlineStr">
        <is>
          <t>BRIGHTON</t>
        </is>
      </c>
      <c r="G562" t="inlineStr">
        <is>
          <t>530</t>
        </is>
      </c>
      <c r="H562" s="703">
        <f>Y562/J562</f>
        <v/>
      </c>
      <c r="I562" s="704" t="n">
        <v>43105</v>
      </c>
      <c r="J562" t="n">
        <v>3280</v>
      </c>
      <c r="L562" t="n">
        <v>3280</v>
      </c>
      <c r="M562" t="n">
        <v>1957</v>
      </c>
      <c r="P562" t="inlineStr">
        <is>
          <t>Brighton</t>
        </is>
      </c>
      <c r="R562" t="inlineStr">
        <is>
          <t>Fair</t>
        </is>
      </c>
      <c r="S562" t="n">
        <v>255958.56</v>
      </c>
      <c r="T562" s="119">
        <f>S562/J562</f>
        <v/>
      </c>
      <c r="U562" t="inlineStr">
        <is>
          <t>Fair</t>
        </is>
      </c>
      <c r="Y562" t="n">
        <v>749900</v>
      </c>
      <c r="AA562" t="n">
        <v>749900</v>
      </c>
      <c r="AC562" t="inlineStr">
        <is>
          <t>0172101000025</t>
        </is>
      </c>
      <c r="AD562" t="inlineStr">
        <is>
          <t>2018000002368</t>
        </is>
      </c>
      <c r="AE562" t="inlineStr">
        <is>
          <t>ERGER PATRICIA L</t>
        </is>
      </c>
      <c r="AF562" t="inlineStr">
        <is>
          <t>MYR REAL ESTATE HOLDINGS LLC</t>
        </is>
      </c>
      <c r="AI562" s="59">
        <f>IF(AND($E562=Subj_OccCode,Subj_BldgSF&gt;0,ABS($L562-Subj_BldgSF)&lt;=Subj_BldgSF*Subj_SizeTol),ABS($L562-Subj_BldgSF),NA())</f>
        <v/>
      </c>
      <c r="AJ562">
        <f>IF(ISNA(AI562),NA(),AI562+ROW()/10000000)</f>
        <v/>
      </c>
      <c r="AK562">
        <f>IF(AND(ISNUMBER($N562),$N562&gt;0,ISNUMBER($Y562)),$Y562/$N562,"")</f>
        <v/>
      </c>
    </row>
    <row r="563" ht="15" customHeight="1" s="518">
      <c r="A563" s="123" t="n">
        <v>8</v>
      </c>
      <c r="B563" s="59" t="n">
        <v>558</v>
      </c>
      <c r="C563" t="inlineStr">
        <is>
          <t>R0068361</t>
        </is>
      </c>
      <c r="D563" t="inlineStr">
        <is>
          <t>2387 W 72ND AVE</t>
        </is>
      </c>
      <c r="E563" t="n">
        <v>531</v>
      </c>
      <c r="G563" t="inlineStr">
        <is>
          <t>4</t>
        </is>
      </c>
      <c r="H563" s="703">
        <f>Y563/J563</f>
        <v/>
      </c>
      <c r="I563" s="704" t="n">
        <v>44560</v>
      </c>
      <c r="J563" t="n">
        <v>1054</v>
      </c>
      <c r="L563" t="n">
        <v>1054</v>
      </c>
      <c r="M563" t="n">
        <v>1966</v>
      </c>
      <c r="P563" t="inlineStr">
        <is>
          <t>Commercial</t>
        </is>
      </c>
      <c r="R563" t="inlineStr">
        <is>
          <t>Average</t>
        </is>
      </c>
      <c r="S563" t="n">
        <v>18750</v>
      </c>
      <c r="T563" s="119">
        <f>S563/J563</f>
        <v/>
      </c>
      <c r="U563" t="inlineStr">
        <is>
          <t>Average</t>
        </is>
      </c>
      <c r="Y563" t="n">
        <v>1412000</v>
      </c>
      <c r="AA563" t="n">
        <v>1412000</v>
      </c>
      <c r="AC563" t="inlineStr">
        <is>
          <t>0171933300007</t>
        </is>
      </c>
      <c r="AD563" t="inlineStr">
        <is>
          <t>2022000002206</t>
        </is>
      </c>
      <c r="AE563" t="inlineStr">
        <is>
          <t>CF ALTITUDE PROPCO II LLC</t>
        </is>
      </c>
      <c r="AF563" t="inlineStr">
        <is>
          <t>COLAFLO LLC</t>
        </is>
      </c>
      <c r="AI563" s="59">
        <f>IF(AND($E563=Subj_OccCode,Subj_BldgSF&gt;0,ABS($L563-Subj_BldgSF)&lt;=Subj_BldgSF*Subj_SizeTol),ABS($L563-Subj_BldgSF),NA())</f>
        <v/>
      </c>
      <c r="AJ563">
        <f>IF(ISNA(AI563),NA(),AI563+ROW()/10000000)</f>
        <v/>
      </c>
      <c r="AK563">
        <f>IF(AND(ISNUMBER($N563),$N563&gt;0,ISNUMBER($Y563)),$Y563/$N563,"")</f>
        <v/>
      </c>
    </row>
    <row r="564" ht="15" customHeight="1" s="518">
      <c r="A564" s="123" t="n">
        <v>8</v>
      </c>
      <c r="B564" s="59" t="n">
        <v>559</v>
      </c>
      <c r="C564" t="inlineStr">
        <is>
          <t>R0174705</t>
        </is>
      </c>
      <c r="D564" t="inlineStr">
        <is>
          <t>15550 E 103RD PL</t>
        </is>
      </c>
      <c r="E564" t="n">
        <v>413</v>
      </c>
      <c r="F564" t="inlineStr">
        <is>
          <t>COMMERCE CITY</t>
        </is>
      </c>
      <c r="G564" t="inlineStr">
        <is>
          <t>3</t>
        </is>
      </c>
      <c r="H564" s="703">
        <f>Y564/J564</f>
        <v/>
      </c>
      <c r="I564" s="704" t="n">
        <v>43364</v>
      </c>
      <c r="J564" t="n">
        <v>17160</v>
      </c>
      <c r="L564" t="n">
        <v>17160</v>
      </c>
      <c r="M564" t="n">
        <v>2007</v>
      </c>
      <c r="R564" t="inlineStr">
        <is>
          <t>Average</t>
        </is>
      </c>
      <c r="S564" t="n">
        <v>89445</v>
      </c>
      <c r="T564" s="119">
        <f>S564/J564</f>
        <v/>
      </c>
      <c r="U564" t="inlineStr">
        <is>
          <t>Average</t>
        </is>
      </c>
      <c r="Y564" t="n">
        <v>4900000</v>
      </c>
      <c r="AA564" t="n">
        <v>4900000</v>
      </c>
      <c r="AC564" t="inlineStr">
        <is>
          <t>0172317214001</t>
        </is>
      </c>
      <c r="AD564" t="inlineStr">
        <is>
          <t>2018000077482</t>
        </is>
      </c>
      <c r="AE564" t="inlineStr">
        <is>
          <t>NORTH RANGE TC LLC</t>
        </is>
      </c>
      <c r="AF564" t="inlineStr">
        <is>
          <t>NORTH RANGE HOLDINGS LLC</t>
        </is>
      </c>
      <c r="AI564" s="59">
        <f>IF(AND($E564=Subj_OccCode,Subj_BldgSF&gt;0,ABS($L564-Subj_BldgSF)&lt;=Subj_BldgSF*Subj_SizeTol),ABS($L564-Subj_BldgSF),NA())</f>
        <v/>
      </c>
      <c r="AJ564">
        <f>IF(ISNA(AI564),NA(),AI564+ROW()/10000000)</f>
        <v/>
      </c>
      <c r="AK564">
        <f>IF(AND(ISNUMBER($N564),$N564&gt;0,ISNUMBER($Y564)),$Y564/$N564,"")</f>
        <v/>
      </c>
    </row>
    <row r="565" ht="15" customHeight="1" s="518">
      <c r="A565" s="123" t="n">
        <v>8</v>
      </c>
      <c r="B565" s="59" t="n">
        <v>560</v>
      </c>
      <c r="C565" t="inlineStr">
        <is>
          <t>R0178833</t>
        </is>
      </c>
      <c r="D565" t="inlineStr">
        <is>
          <t>5190  VIOLET HILL ST #F</t>
        </is>
      </c>
      <c r="E565" t="n">
        <v>328</v>
      </c>
      <c r="F565" t="inlineStr">
        <is>
          <t>BENNETT</t>
        </is>
      </c>
      <c r="G565" t="inlineStr">
        <is>
          <t>1</t>
        </is>
      </c>
      <c r="H565" s="703">
        <f>Y565/J565</f>
        <v/>
      </c>
      <c r="I565" s="704" t="n">
        <v>44544</v>
      </c>
      <c r="J565" t="n">
        <v>4500</v>
      </c>
      <c r="L565" t="n">
        <v>4500</v>
      </c>
      <c r="M565" t="n">
        <v>2006</v>
      </c>
      <c r="R565" t="inlineStr">
        <is>
          <t>Average</t>
        </is>
      </c>
      <c r="T565" s="119">
        <f>S565/J565</f>
        <v/>
      </c>
      <c r="U565" t="inlineStr">
        <is>
          <t>Average</t>
        </is>
      </c>
      <c r="Y565" t="n">
        <v>490000</v>
      </c>
      <c r="AA565" t="n">
        <v>490000</v>
      </c>
      <c r="AC565" t="inlineStr">
        <is>
          <t>0181716411004</t>
        </is>
      </c>
      <c r="AD565" t="inlineStr">
        <is>
          <t>2021000145381</t>
        </is>
      </c>
      <c r="AE565" t="inlineStr">
        <is>
          <t>KLV INVESTMENTS LLC</t>
        </is>
      </c>
      <c r="AF565" t="inlineStr">
        <is>
          <t>CONSALVI JAMES V</t>
        </is>
      </c>
      <c r="AI565" s="59">
        <f>IF(AND($E565=Subj_OccCode,Subj_BldgSF&gt;0,ABS($L565-Subj_BldgSF)&lt;=Subj_BldgSF*Subj_SizeTol),ABS($L565-Subj_BldgSF),NA())</f>
        <v/>
      </c>
      <c r="AJ565">
        <f>IF(ISNA(AI565),NA(),AI565+ROW()/10000000)</f>
        <v/>
      </c>
      <c r="AK565">
        <f>IF(AND(ISNUMBER($N565),$N565&gt;0,ISNUMBER($Y565)),$Y565/$N565,"")</f>
        <v/>
      </c>
    </row>
    <row r="566" ht="15" customHeight="1" s="518">
      <c r="A566" s="123" t="n">
        <v>8</v>
      </c>
      <c r="B566" s="59" t="n">
        <v>561</v>
      </c>
      <c r="C566" t="inlineStr">
        <is>
          <t>R0178835</t>
        </is>
      </c>
      <c r="D566" t="inlineStr">
        <is>
          <t>5190  VIOLET HILL ST #B</t>
        </is>
      </c>
      <c r="E566" t="n">
        <v>328</v>
      </c>
      <c r="G566" t="inlineStr">
        <is>
          <t>1</t>
        </is>
      </c>
      <c r="H566" s="703">
        <f>Y566/J566</f>
        <v/>
      </c>
      <c r="I566" s="704" t="n">
        <v>44105</v>
      </c>
      <c r="J566" t="n">
        <v>4500</v>
      </c>
      <c r="L566" t="n">
        <v>4500</v>
      </c>
      <c r="M566" t="n">
        <v>2006</v>
      </c>
      <c r="R566" t="inlineStr">
        <is>
          <t>Average</t>
        </is>
      </c>
      <c r="T566" s="119">
        <f>S566/J566</f>
        <v/>
      </c>
      <c r="U566" t="inlineStr">
        <is>
          <t>Average</t>
        </is>
      </c>
      <c r="Y566" t="n">
        <v>350000</v>
      </c>
      <c r="AA566" t="n">
        <v>350000</v>
      </c>
      <c r="AC566" t="inlineStr">
        <is>
          <t>0181716411006</t>
        </is>
      </c>
      <c r="AD566" t="inlineStr">
        <is>
          <t>2020000101848</t>
        </is>
      </c>
      <c r="AE566" t="inlineStr">
        <is>
          <t>NORLOFF RICHARD W</t>
        </is>
      </c>
      <c r="AF566" t="inlineStr">
        <is>
          <t>RANDEL VERNON E AND, RANDEL CHERYL V</t>
        </is>
      </c>
      <c r="AI566" s="59">
        <f>IF(AND($E566=Subj_OccCode,Subj_BldgSF&gt;0,ABS($L566-Subj_BldgSF)&lt;=Subj_BldgSF*Subj_SizeTol),ABS($L566-Subj_BldgSF),NA())</f>
        <v/>
      </c>
      <c r="AJ566">
        <f>IF(ISNA(AI566),NA(),AI566+ROW()/10000000)</f>
        <v/>
      </c>
      <c r="AK566">
        <f>IF(AND(ISNUMBER($N566),$N566&gt;0,ISNUMBER($Y566)),$Y566/$N566,"")</f>
        <v/>
      </c>
    </row>
    <row r="567" ht="15" customHeight="1" s="518">
      <c r="A567" s="123" t="n">
        <v>8</v>
      </c>
      <c r="B567" s="59" t="n">
        <v>562</v>
      </c>
      <c r="C567" t="inlineStr">
        <is>
          <t>R0178830</t>
        </is>
      </c>
      <c r="D567" t="inlineStr">
        <is>
          <t>5190  VIOLET HILL ST #A</t>
        </is>
      </c>
      <c r="E567" t="n">
        <v>328</v>
      </c>
      <c r="G567" t="inlineStr">
        <is>
          <t>1</t>
        </is>
      </c>
      <c r="H567" s="703">
        <f>Y567/J567</f>
        <v/>
      </c>
      <c r="I567" s="704" t="n">
        <v>44287</v>
      </c>
      <c r="J567" t="n">
        <v>4500</v>
      </c>
      <c r="L567" t="n">
        <v>4500</v>
      </c>
      <c r="M567" t="n">
        <v>2006</v>
      </c>
      <c r="R567" t="inlineStr">
        <is>
          <t>Average</t>
        </is>
      </c>
      <c r="T567" s="119">
        <f>S567/J567</f>
        <v/>
      </c>
      <c r="U567" t="inlineStr">
        <is>
          <t>Average</t>
        </is>
      </c>
      <c r="Y567" t="n">
        <v>350000</v>
      </c>
      <c r="AA567" t="n">
        <v>350000</v>
      </c>
      <c r="AC567" t="inlineStr">
        <is>
          <t>0181716411001</t>
        </is>
      </c>
      <c r="AD567" t="inlineStr">
        <is>
          <t>2021000042447</t>
        </is>
      </c>
      <c r="AE567" t="inlineStr">
        <is>
          <t>NORLOFF RICHARD W</t>
        </is>
      </c>
      <c r="AF567" t="inlineStr">
        <is>
          <t>AEROJET SERVICES INC</t>
        </is>
      </c>
      <c r="AI567" s="59">
        <f>IF(AND($E567=Subj_OccCode,Subj_BldgSF&gt;0,ABS($L567-Subj_BldgSF)&lt;=Subj_BldgSF*Subj_SizeTol),ABS($L567-Subj_BldgSF),NA())</f>
        <v/>
      </c>
      <c r="AJ567">
        <f>IF(ISNA(AI567),NA(),AI567+ROW()/10000000)</f>
        <v/>
      </c>
      <c r="AK567">
        <f>IF(AND(ISNUMBER($N567),$N567&gt;0,ISNUMBER($Y567)),$Y567/$N567,"")</f>
        <v/>
      </c>
    </row>
    <row r="568" ht="15" customHeight="1" s="518">
      <c r="A568" s="123" t="n">
        <v>8</v>
      </c>
      <c r="B568" s="59" t="n">
        <v>563</v>
      </c>
      <c r="C568" t="inlineStr">
        <is>
          <t>R0130283</t>
        </is>
      </c>
      <c r="D568" t="inlineStr">
        <is>
          <t>5635  FRANKLIN ST</t>
        </is>
      </c>
      <c r="E568" t="n">
        <v>407</v>
      </c>
      <c r="G568" t="inlineStr">
        <is>
          <t>5</t>
        </is>
      </c>
      <c r="H568" s="703">
        <f>Y568/J568</f>
        <v/>
      </c>
      <c r="I568" s="704" t="n">
        <v>44666</v>
      </c>
      <c r="J568" t="n">
        <v>30000</v>
      </c>
      <c r="L568" t="n">
        <v>30000</v>
      </c>
      <c r="M568" t="n">
        <v>2001</v>
      </c>
      <c r="P568" t="inlineStr">
        <is>
          <t>Industrial</t>
        </is>
      </c>
      <c r="R568" t="inlineStr">
        <is>
          <t>Average</t>
        </is>
      </c>
      <c r="S568" t="n">
        <v>96703.2</v>
      </c>
      <c r="T568" s="119">
        <f>S568/J568</f>
        <v/>
      </c>
      <c r="U568" t="inlineStr">
        <is>
          <t>Average</t>
        </is>
      </c>
      <c r="Y568" t="n">
        <v>5325000</v>
      </c>
      <c r="AA568" t="n">
        <v>5325000</v>
      </c>
      <c r="AC568" t="inlineStr">
        <is>
          <t>0182511314008</t>
        </is>
      </c>
      <c r="AD568" t="inlineStr">
        <is>
          <t>2022000034170</t>
        </is>
      </c>
      <c r="AE568" t="inlineStr">
        <is>
          <t>HARBERT ENTERPRISES LLC</t>
        </is>
      </c>
      <c r="AF568" t="inlineStr">
        <is>
          <t>P STREET II LLC</t>
        </is>
      </c>
      <c r="AI568" s="59">
        <f>IF(AND($E568=Subj_OccCode,Subj_BldgSF&gt;0,ABS($L568-Subj_BldgSF)&lt;=Subj_BldgSF*Subj_SizeTol),ABS($L568-Subj_BldgSF),NA())</f>
        <v/>
      </c>
      <c r="AJ568">
        <f>IF(ISNA(AI568),NA(),AI568+ROW()/10000000)</f>
        <v/>
      </c>
      <c r="AK568">
        <f>IF(AND(ISNUMBER($N568),$N568&gt;0,ISNUMBER($Y568)),$Y568/$N568,"")</f>
        <v/>
      </c>
    </row>
    <row r="569" ht="15" customHeight="1" s="518">
      <c r="A569" s="123" t="n">
        <v>8</v>
      </c>
      <c r="B569" s="59" t="n">
        <v>564</v>
      </c>
      <c r="C569" t="inlineStr">
        <is>
          <t>R0178847</t>
        </is>
      </c>
      <c r="D569" t="inlineStr">
        <is>
          <t>2091  CORONADO PKYN</t>
        </is>
      </c>
      <c r="E569" t="n">
        <v>442</v>
      </c>
      <c r="G569" t="inlineStr">
        <is>
          <t>4</t>
        </is>
      </c>
      <c r="H569" s="703">
        <f>Y569/J569</f>
        <v/>
      </c>
      <c r="I569" s="704" t="n">
        <v>44501</v>
      </c>
      <c r="J569" t="n">
        <v>2000</v>
      </c>
      <c r="L569" t="n">
        <v>2000</v>
      </c>
      <c r="M569" t="n">
        <v>1974</v>
      </c>
      <c r="P569" t="inlineStr">
        <is>
          <t>Commercial</t>
        </is>
      </c>
      <c r="R569" t="inlineStr">
        <is>
          <t>Average</t>
        </is>
      </c>
      <c r="S569" t="n">
        <v>27934</v>
      </c>
      <c r="T569" s="119">
        <f>S569/J569</f>
        <v/>
      </c>
      <c r="U569" t="inlineStr">
        <is>
          <t>Average</t>
        </is>
      </c>
      <c r="Y569" t="n">
        <v>425000</v>
      </c>
      <c r="AA569" t="n">
        <v>425000</v>
      </c>
      <c r="AC569" t="inlineStr">
        <is>
          <t>0171926416150</t>
        </is>
      </c>
      <c r="AD569" t="inlineStr">
        <is>
          <t>2021000129215</t>
        </is>
      </c>
      <c r="AE569" t="inlineStr">
        <is>
          <t>CORONADO PROPERTIES LLC</t>
        </is>
      </c>
      <c r="AF569" t="inlineStr">
        <is>
          <t>GG PROPERTY LLC</t>
        </is>
      </c>
      <c r="AI569" s="59">
        <f>IF(AND($E569=Subj_OccCode,Subj_BldgSF&gt;0,ABS($L569-Subj_BldgSF)&lt;=Subj_BldgSF*Subj_SizeTol),ABS($L569-Subj_BldgSF),NA())</f>
        <v/>
      </c>
      <c r="AJ569">
        <f>IF(ISNA(AI569),NA(),AI569+ROW()/10000000)</f>
        <v/>
      </c>
      <c r="AK569">
        <f>IF(AND(ISNUMBER($N569),$N569&gt;0,ISNUMBER($Y569)),$Y569/$N569,"")</f>
        <v/>
      </c>
    </row>
    <row r="570" ht="15" customHeight="1" s="518">
      <c r="A570" s="123" t="n">
        <v>8</v>
      </c>
      <c r="B570" s="59" t="n">
        <v>565</v>
      </c>
      <c r="C570" t="inlineStr">
        <is>
          <t>R0164255</t>
        </is>
      </c>
      <c r="D570" t="inlineStr">
        <is>
          <t>19401 E 23RD AVE</t>
        </is>
      </c>
      <c r="E570" t="n">
        <v>407</v>
      </c>
      <c r="F570" t="inlineStr">
        <is>
          <t>AURORA</t>
        </is>
      </c>
      <c r="G570" t="inlineStr">
        <is>
          <t>6</t>
        </is>
      </c>
      <c r="H570" s="703">
        <f>Y570/J570</f>
        <v/>
      </c>
      <c r="I570" s="704" t="n">
        <v>43966</v>
      </c>
      <c r="J570" t="n">
        <v>14120</v>
      </c>
      <c r="L570" t="n">
        <v>14120</v>
      </c>
      <c r="M570" t="n">
        <v>2005</v>
      </c>
      <c r="P570" t="inlineStr">
        <is>
          <t>M-1-Aur</t>
        </is>
      </c>
      <c r="R570" t="inlineStr">
        <is>
          <t>Average</t>
        </is>
      </c>
      <c r="S570" t="n">
        <v>56361</v>
      </c>
      <c r="T570" s="119">
        <f>S570/J570</f>
        <v/>
      </c>
      <c r="U570" t="inlineStr">
        <is>
          <t>Average</t>
        </is>
      </c>
      <c r="Y570" t="n">
        <v>2335000</v>
      </c>
      <c r="AA570" t="n">
        <v>2335000</v>
      </c>
      <c r="AC570" t="inlineStr">
        <is>
          <t>0182134101008</t>
        </is>
      </c>
      <c r="AD570" t="inlineStr">
        <is>
          <t>2020000045310</t>
        </is>
      </c>
      <c r="AE570" t="inlineStr">
        <is>
          <t>GUTH HOLDINGS LLC</t>
        </is>
      </c>
      <c r="AF570" t="inlineStr">
        <is>
          <t>BUEHLER GROUP LLC</t>
        </is>
      </c>
      <c r="AI570" s="59">
        <f>IF(AND($E570=Subj_OccCode,Subj_BldgSF&gt;0,ABS($L570-Subj_BldgSF)&lt;=Subj_BldgSF*Subj_SizeTol),ABS($L570-Subj_BldgSF),NA())</f>
        <v/>
      </c>
      <c r="AJ570">
        <f>IF(ISNA(AI570),NA(),AI570+ROW()/10000000)</f>
        <v/>
      </c>
      <c r="AK570">
        <f>IF(AND(ISNUMBER($N570),$N570&gt;0,ISNUMBER($Y570)),$Y570/$N570,"")</f>
        <v/>
      </c>
    </row>
    <row r="571" ht="15" customHeight="1" s="518">
      <c r="A571" s="123" t="n">
        <v>8</v>
      </c>
      <c r="B571" s="59" t="n">
        <v>566</v>
      </c>
      <c r="C571" t="inlineStr">
        <is>
          <t>R0165727</t>
        </is>
      </c>
      <c r="D571" t="inlineStr">
        <is>
          <t>997  PLATTE RIVER BLVD</t>
        </is>
      </c>
      <c r="E571" t="n">
        <v>344</v>
      </c>
      <c r="F571" t="inlineStr">
        <is>
          <t>BRIGHTON</t>
        </is>
      </c>
      <c r="G571" t="inlineStr">
        <is>
          <t>2</t>
        </is>
      </c>
      <c r="H571" s="703">
        <f>Y571/J571</f>
        <v/>
      </c>
      <c r="I571" s="704" t="n">
        <v>43213</v>
      </c>
      <c r="J571" t="n">
        <v>7500</v>
      </c>
      <c r="L571" t="n">
        <v>7500</v>
      </c>
      <c r="M571" t="n">
        <v>2005</v>
      </c>
      <c r="R571" t="inlineStr">
        <is>
          <t>Average</t>
        </is>
      </c>
      <c r="S571" t="n">
        <v>50033</v>
      </c>
      <c r="T571" s="119">
        <f>S571/J571</f>
        <v/>
      </c>
      <c r="U571" t="inlineStr">
        <is>
          <t>Average</t>
        </is>
      </c>
      <c r="Y571" t="n">
        <v>750000</v>
      </c>
      <c r="AA571" t="n">
        <v>750000</v>
      </c>
      <c r="AC571" t="inlineStr">
        <is>
          <t>0157113101029</t>
        </is>
      </c>
      <c r="AD571" t="inlineStr">
        <is>
          <t>2018000032847</t>
        </is>
      </c>
      <c r="AE571" t="inlineStr">
        <is>
          <t>SWEDE HOLDINGS LLC</t>
        </is>
      </c>
      <c r="AF571" t="inlineStr">
        <is>
          <t>NORAA INVESTMENTS LLC</t>
        </is>
      </c>
      <c r="AI571" s="59">
        <f>IF(AND($E571=Subj_OccCode,Subj_BldgSF&gt;0,ABS($L571-Subj_BldgSF)&lt;=Subj_BldgSF*Subj_SizeTol),ABS($L571-Subj_BldgSF),NA())</f>
        <v/>
      </c>
      <c r="AJ571">
        <f>IF(ISNA(AI571),NA(),AI571+ROW()/10000000)</f>
        <v/>
      </c>
      <c r="AK571">
        <f>IF(AND(ISNUMBER($N571),$N571&gt;0,ISNUMBER($Y571)),$Y571/$N571,"")</f>
        <v/>
      </c>
    </row>
    <row r="572" ht="15" customHeight="1" s="518">
      <c r="A572" s="123" t="n">
        <v>8</v>
      </c>
      <c r="B572" s="59" t="n">
        <v>567</v>
      </c>
      <c r="C572" t="inlineStr">
        <is>
          <t>R0082795</t>
        </is>
      </c>
      <c r="D572" t="inlineStr">
        <is>
          <t>475  PALMER AVE</t>
        </is>
      </c>
      <c r="E572" t="n">
        <v>3441</v>
      </c>
      <c r="F572" t="inlineStr">
        <is>
          <t>BENNETT</t>
        </is>
      </c>
      <c r="G572" t="inlineStr">
        <is>
          <t>1</t>
        </is>
      </c>
      <c r="H572" s="703">
        <f>Y572/J572</f>
        <v/>
      </c>
      <c r="I572" s="704" t="n">
        <v>43329</v>
      </c>
      <c r="J572" t="n">
        <v>2990</v>
      </c>
      <c r="L572" t="n">
        <v>2990</v>
      </c>
      <c r="M572" t="n">
        <v>1901</v>
      </c>
      <c r="P572" t="inlineStr">
        <is>
          <t>Bennett</t>
        </is>
      </c>
      <c r="R572" t="inlineStr">
        <is>
          <t>Average</t>
        </is>
      </c>
      <c r="S572" t="n">
        <v>17750</v>
      </c>
      <c r="T572" s="119">
        <f>S572/J572</f>
        <v/>
      </c>
      <c r="U572" t="inlineStr">
        <is>
          <t>Good</t>
        </is>
      </c>
      <c r="Y572" t="n">
        <v>300000</v>
      </c>
      <c r="AA572" t="n">
        <v>300000</v>
      </c>
      <c r="AC572" t="inlineStr">
        <is>
          <t>0181527318005</t>
        </is>
      </c>
      <c r="AD572" t="inlineStr">
        <is>
          <t>2018000067420</t>
        </is>
      </c>
      <c r="AE572" t="inlineStr">
        <is>
          <t>PALMER HOUSE OF BENNETT INC THE</t>
        </is>
      </c>
      <c r="AF572" t="inlineStr">
        <is>
          <t>BENNETT PROPERTIES UNLIMITED LLC</t>
        </is>
      </c>
      <c r="AI572" s="59">
        <f>IF(AND($E572=Subj_OccCode,Subj_BldgSF&gt;0,ABS($L572-Subj_BldgSF)&lt;=Subj_BldgSF*Subj_SizeTol),ABS($L572-Subj_BldgSF),NA())</f>
        <v/>
      </c>
      <c r="AJ572">
        <f>IF(ISNA(AI572),NA(),AI572+ROW()/10000000)</f>
        <v/>
      </c>
      <c r="AK572">
        <f>IF(AND(ISNUMBER($N572),$N572&gt;0,ISNUMBER($Y572)),$Y572/$N572,"")</f>
        <v/>
      </c>
    </row>
    <row r="573" ht="15" customHeight="1" s="518">
      <c r="A573" s="123" t="n">
        <v>8</v>
      </c>
      <c r="B573" s="59" t="n">
        <v>568</v>
      </c>
      <c r="C573" t="inlineStr">
        <is>
          <t>R0003845</t>
        </is>
      </c>
      <c r="D573" t="inlineStr">
        <is>
          <t>55 S 4TH AVE</t>
        </is>
      </c>
      <c r="E573" t="n">
        <v>353</v>
      </c>
      <c r="F573" t="inlineStr">
        <is>
          <t>BRIGHTON</t>
        </is>
      </c>
      <c r="G573" t="inlineStr">
        <is>
          <t>2</t>
        </is>
      </c>
      <c r="H573" s="703">
        <f>Y573/J573</f>
        <v/>
      </c>
      <c r="I573" s="704" t="n">
        <v>43616</v>
      </c>
      <c r="J573" t="n">
        <v>1810</v>
      </c>
      <c r="L573" t="n">
        <v>1810</v>
      </c>
      <c r="M573" t="n">
        <v>1910</v>
      </c>
      <c r="P573" t="inlineStr">
        <is>
          <t>Brighton</t>
        </is>
      </c>
      <c r="R573" t="inlineStr">
        <is>
          <t>Average</t>
        </is>
      </c>
      <c r="S573" t="n">
        <v>9000</v>
      </c>
      <c r="T573" s="119">
        <f>S573/J573</f>
        <v/>
      </c>
      <c r="U573" t="inlineStr">
        <is>
          <t>Average</t>
        </is>
      </c>
      <c r="Y573" t="n">
        <v>375000</v>
      </c>
      <c r="AA573" t="n">
        <v>375000</v>
      </c>
      <c r="AC573" t="inlineStr">
        <is>
          <t>0156907201015</t>
        </is>
      </c>
      <c r="AD573" t="inlineStr">
        <is>
          <t>2019000044695</t>
        </is>
      </c>
      <c r="AE573" t="inlineStr">
        <is>
          <t>NELSON GEOFFREY A</t>
        </is>
      </c>
      <c r="AF573" t="inlineStr">
        <is>
          <t>COLORADO PRESTIGE INSURANCE INC</t>
        </is>
      </c>
      <c r="AI573" s="59">
        <f>IF(AND($E573=Subj_OccCode,Subj_BldgSF&gt;0,ABS($L573-Subj_BldgSF)&lt;=Subj_BldgSF*Subj_SizeTol),ABS($L573-Subj_BldgSF),NA())</f>
        <v/>
      </c>
      <c r="AJ573">
        <f>IF(ISNA(AI573),NA(),AI573+ROW()/10000000)</f>
        <v/>
      </c>
      <c r="AK573">
        <f>IF(AND(ISNUMBER($N573),$N573&gt;0,ISNUMBER($Y573)),$Y573/$N573,"")</f>
        <v/>
      </c>
    </row>
    <row r="574" ht="15" customHeight="1" s="518">
      <c r="A574" s="123" t="n">
        <v>8</v>
      </c>
      <c r="B574" s="59" t="n">
        <v>569</v>
      </c>
      <c r="C574" t="inlineStr">
        <is>
          <t>R0024059</t>
        </is>
      </c>
      <c r="D574" t="inlineStr">
        <is>
          <t>12095 MARIPOSA ST</t>
        </is>
      </c>
      <c r="E574" t="n">
        <v>1332</v>
      </c>
      <c r="F574" t="inlineStr">
        <is>
          <t>WESTMINSTER</t>
        </is>
      </c>
      <c r="G574" t="inlineStr">
        <is>
          <t>3</t>
        </is>
      </c>
      <c r="H574" s="703">
        <f>Y574/J574</f>
        <v/>
      </c>
      <c r="I574" s="704" t="n">
        <v>44691</v>
      </c>
      <c r="J574" t="n">
        <v>56376</v>
      </c>
      <c r="L574" t="n">
        <v>56376</v>
      </c>
      <c r="M574" t="n">
        <v>2008</v>
      </c>
      <c r="P574" t="inlineStr">
        <is>
          <t>PUD-Wes</t>
        </is>
      </c>
      <c r="R574" t="inlineStr">
        <is>
          <t>Average</t>
        </is>
      </c>
      <c r="S574" t="n">
        <v>128502</v>
      </c>
      <c r="T574" s="119">
        <f>S574/J574</f>
        <v/>
      </c>
      <c r="U574" t="inlineStr">
        <is>
          <t>Average</t>
        </is>
      </c>
      <c r="Y574" t="n">
        <v>7038765</v>
      </c>
      <c r="AA574" t="n">
        <v>7038765</v>
      </c>
      <c r="AC574" t="inlineStr">
        <is>
          <t>0157333004005</t>
        </is>
      </c>
      <c r="AD574" t="inlineStr">
        <is>
          <t>2022000042686</t>
        </is>
      </c>
      <c r="AE574" t="inlineStr">
        <is>
          <t>PURE STRIKE WESTMINSTER LLC, C/O PETER KRAMER</t>
        </is>
      </c>
      <c r="AF574" t="inlineStr">
        <is>
          <t>CWP WESTMINSTER I LLC</t>
        </is>
      </c>
      <c r="AI574" s="59">
        <f>IF(AND($E574=Subj_OccCode,Subj_BldgSF&gt;0,ABS($L574-Subj_BldgSF)&lt;=Subj_BldgSF*Subj_SizeTol),ABS($L574-Subj_BldgSF),NA())</f>
        <v/>
      </c>
      <c r="AJ574">
        <f>IF(ISNA(AI574),NA(),AI574+ROW()/10000000)</f>
        <v/>
      </c>
      <c r="AK574">
        <f>IF(AND(ISNUMBER($N574),$N574&gt;0,ISNUMBER($Y574)),$Y574/$N574,"")</f>
        <v/>
      </c>
    </row>
    <row r="575" ht="15" customHeight="1" s="518">
      <c r="A575" s="123" t="n">
        <v>8</v>
      </c>
      <c r="B575" s="59" t="n">
        <v>570</v>
      </c>
      <c r="C575" t="inlineStr">
        <is>
          <t>R0125142</t>
        </is>
      </c>
      <c r="D575" t="inlineStr">
        <is>
          <t>9670  DALLAS ST UNIT 11</t>
        </is>
      </c>
      <c r="E575" t="n">
        <v>425</v>
      </c>
      <c r="G575" t="inlineStr">
        <is>
          <t>5</t>
        </is>
      </c>
      <c r="H575" s="703">
        <f>Y575/J575</f>
        <v/>
      </c>
      <c r="I575" s="704" t="n">
        <v>44336</v>
      </c>
      <c r="J575" t="n">
        <v>2500</v>
      </c>
      <c r="L575" t="n">
        <v>2500</v>
      </c>
      <c r="M575" t="n">
        <v>2000</v>
      </c>
      <c r="P575" t="inlineStr">
        <is>
          <t>I-3-Com</t>
        </is>
      </c>
      <c r="R575" t="inlineStr">
        <is>
          <t>Average</t>
        </is>
      </c>
      <c r="S575" t="n">
        <v>7949</v>
      </c>
      <c r="T575" s="119">
        <f>S575/J575</f>
        <v/>
      </c>
      <c r="U575" t="inlineStr">
        <is>
          <t>Average</t>
        </is>
      </c>
      <c r="Y575" t="n">
        <v>425000</v>
      </c>
      <c r="AA575" t="n">
        <v>425000</v>
      </c>
      <c r="AC575" t="inlineStr">
        <is>
          <t>0172115303011</t>
        </is>
      </c>
      <c r="AD575" t="inlineStr">
        <is>
          <t>2021000061946</t>
        </is>
      </c>
      <c r="AE575" t="inlineStr">
        <is>
          <t>THOMAS RUBY A TRUST</t>
        </is>
      </c>
      <c r="AF575" t="inlineStr">
        <is>
          <t>SCOTT EZRA THOMAS</t>
        </is>
      </c>
      <c r="AI575" s="59">
        <f>IF(AND($E575=Subj_OccCode,Subj_BldgSF&gt;0,ABS($L575-Subj_BldgSF)&lt;=Subj_BldgSF*Subj_SizeTol),ABS($L575-Subj_BldgSF),NA())</f>
        <v/>
      </c>
      <c r="AJ575">
        <f>IF(ISNA(AI575),NA(),AI575+ROW()/10000000)</f>
        <v/>
      </c>
      <c r="AK575">
        <f>IF(AND(ISNUMBER($N575),$N575&gt;0,ISNUMBER($Y575)),$Y575/$N575,"")</f>
        <v/>
      </c>
    </row>
    <row r="576" ht="15" customHeight="1" s="518">
      <c r="A576" s="123" t="n">
        <v>8</v>
      </c>
      <c r="B576" s="59" t="n">
        <v>571</v>
      </c>
      <c r="C576" t="inlineStr">
        <is>
          <t>R0125131</t>
        </is>
      </c>
      <c r="D576" t="inlineStr">
        <is>
          <t>9670  DALLAS ST UNIT 1</t>
        </is>
      </c>
      <c r="E576" t="n">
        <v>425</v>
      </c>
      <c r="G576" t="inlineStr">
        <is>
          <t>5</t>
        </is>
      </c>
      <c r="H576" s="703">
        <f>Y576/J576</f>
        <v/>
      </c>
      <c r="I576" s="704" t="n">
        <v>44742</v>
      </c>
      <c r="J576" t="n">
        <v>2500</v>
      </c>
      <c r="L576" t="n">
        <v>2500</v>
      </c>
      <c r="M576" t="n">
        <v>2000</v>
      </c>
      <c r="P576" t="inlineStr">
        <is>
          <t>I-3-Com</t>
        </is>
      </c>
      <c r="R576" t="inlineStr">
        <is>
          <t>Average</t>
        </is>
      </c>
      <c r="S576" t="n">
        <v>7949</v>
      </c>
      <c r="T576" s="119">
        <f>S576/J576</f>
        <v/>
      </c>
      <c r="U576" t="inlineStr">
        <is>
          <t>Average</t>
        </is>
      </c>
      <c r="Y576" t="n">
        <v>630000</v>
      </c>
      <c r="AA576" t="n">
        <v>630000</v>
      </c>
      <c r="AC576" t="inlineStr">
        <is>
          <t>0172115303001</t>
        </is>
      </c>
      <c r="AD576" t="inlineStr">
        <is>
          <t>2022000057529</t>
        </is>
      </c>
      <c r="AE576" t="inlineStr">
        <is>
          <t>EHW LLC</t>
        </is>
      </c>
      <c r="AF576" t="inlineStr">
        <is>
          <t>9670 COMMERCE LLC</t>
        </is>
      </c>
      <c r="AI576" s="59">
        <f>IF(AND($E576=Subj_OccCode,Subj_BldgSF&gt;0,ABS($L576-Subj_BldgSF)&lt;=Subj_BldgSF*Subj_SizeTol),ABS($L576-Subj_BldgSF),NA())</f>
        <v/>
      </c>
      <c r="AJ576">
        <f>IF(ISNA(AI576),NA(),AI576+ROW()/10000000)</f>
        <v/>
      </c>
      <c r="AK576">
        <f>IF(AND(ISNUMBER($N576),$N576&gt;0,ISNUMBER($Y576)),$Y576/$N576,"")</f>
        <v/>
      </c>
    </row>
    <row r="577" ht="15" customHeight="1" s="518">
      <c r="A577" s="123" t="n">
        <v>8</v>
      </c>
      <c r="B577" s="59" t="n">
        <v>572</v>
      </c>
      <c r="C577" t="inlineStr">
        <is>
          <t>R0075193</t>
        </is>
      </c>
      <c r="D577" t="inlineStr">
        <is>
          <t>10301 E 107TH PL</t>
        </is>
      </c>
      <c r="E577" t="n">
        <v>406</v>
      </c>
      <c r="G577" t="inlineStr">
        <is>
          <t>2</t>
        </is>
      </c>
      <c r="H577" s="703">
        <f>Y577/J577</f>
        <v/>
      </c>
      <c r="I577" s="704" t="n">
        <v>43727</v>
      </c>
      <c r="J577" t="n">
        <v>10000</v>
      </c>
      <c r="L577" t="n">
        <v>10000</v>
      </c>
      <c r="M577" t="n">
        <v>1983</v>
      </c>
      <c r="P577" t="inlineStr">
        <is>
          <t>I-3-Com</t>
        </is>
      </c>
      <c r="R577" t="inlineStr">
        <is>
          <t>Average</t>
        </is>
      </c>
      <c r="S577" t="n">
        <v>87120</v>
      </c>
      <c r="T577" s="119">
        <f>S577/J577</f>
        <v/>
      </c>
      <c r="U577" t="inlineStr">
        <is>
          <t>Average</t>
        </is>
      </c>
      <c r="Y577" t="n">
        <v>2200000</v>
      </c>
      <c r="AA577" t="n">
        <v>2200000</v>
      </c>
      <c r="AC577" t="inlineStr">
        <is>
          <t>0172110004006</t>
        </is>
      </c>
      <c r="AD577" t="inlineStr">
        <is>
          <t>2019000078801</t>
        </is>
      </c>
      <c r="AE577" t="inlineStr">
        <is>
          <t>RAM LEASING LLC</t>
        </is>
      </c>
      <c r="AF577" t="inlineStr">
        <is>
          <t xml:space="preserve">L AND A HOLDINGS LLC, C/O ORION </t>
        </is>
      </c>
      <c r="AI577" s="59">
        <f>IF(AND($E577=Subj_OccCode,Subj_BldgSF&gt;0,ABS($L577-Subj_BldgSF)&lt;=Subj_BldgSF*Subj_SizeTol),ABS($L577-Subj_BldgSF),NA())</f>
        <v/>
      </c>
      <c r="AJ577">
        <f>IF(ISNA(AI577),NA(),AI577+ROW()/10000000)</f>
        <v/>
      </c>
      <c r="AK577">
        <f>IF(AND(ISNUMBER($N577),$N577&gt;0,ISNUMBER($Y577)),$Y577/$N577,"")</f>
        <v/>
      </c>
    </row>
    <row r="578" ht="15" customHeight="1" s="518">
      <c r="A578" s="123" t="n">
        <v>8</v>
      </c>
      <c r="B578" s="59" t="n">
        <v>573</v>
      </c>
      <c r="C578" t="inlineStr">
        <is>
          <t>R0003510</t>
        </is>
      </c>
      <c r="D578" t="inlineStr">
        <is>
          <t>420  COURT PL</t>
        </is>
      </c>
      <c r="E578" t="n">
        <v>3441</v>
      </c>
      <c r="F578" t="inlineStr">
        <is>
          <t>BRIGHTON</t>
        </is>
      </c>
      <c r="G578" t="inlineStr">
        <is>
          <t>2</t>
        </is>
      </c>
      <c r="H578" s="703">
        <f>Y578/J578</f>
        <v/>
      </c>
      <c r="I578" s="704" t="n">
        <v>44063</v>
      </c>
      <c r="J578" t="n">
        <v>1195</v>
      </c>
      <c r="L578" t="n">
        <v>1195</v>
      </c>
      <c r="M578" t="n">
        <v>1919</v>
      </c>
      <c r="P578" t="inlineStr">
        <is>
          <t>C-O</t>
        </is>
      </c>
      <c r="R578" t="inlineStr">
        <is>
          <t>Average</t>
        </is>
      </c>
      <c r="S578" t="n">
        <v>7500</v>
      </c>
      <c r="T578" s="119">
        <f>S578/J578</f>
        <v/>
      </c>
      <c r="U578" t="inlineStr">
        <is>
          <t>Average</t>
        </is>
      </c>
      <c r="Y578" t="n">
        <v>450000</v>
      </c>
      <c r="AA578" t="n">
        <v>450000</v>
      </c>
      <c r="AC578" t="inlineStr">
        <is>
          <t>0156907107001</t>
        </is>
      </c>
      <c r="AD578" t="inlineStr">
        <is>
          <t>2020000084242</t>
        </is>
      </c>
      <c r="AE578" t="inlineStr">
        <is>
          <t>DAVIDS COURT LL</t>
        </is>
      </c>
      <c r="AF578" t="inlineStr">
        <is>
          <t>G&amp;T GROUP 120 LLC</t>
        </is>
      </c>
      <c r="AI578" s="59">
        <f>IF(AND($E578=Subj_OccCode,Subj_BldgSF&gt;0,ABS($L578-Subj_BldgSF)&lt;=Subj_BldgSF*Subj_SizeTol),ABS($L578-Subj_BldgSF),NA())</f>
        <v/>
      </c>
      <c r="AJ578">
        <f>IF(ISNA(AI578),NA(),AI578+ROW()/10000000)</f>
        <v/>
      </c>
      <c r="AK578">
        <f>IF(AND(ISNUMBER($N578),$N578&gt;0,ISNUMBER($Y578)),$Y578/$N578,"")</f>
        <v/>
      </c>
    </row>
    <row r="579" ht="15" customHeight="1" s="518">
      <c r="A579" s="123" t="n">
        <v>8</v>
      </c>
      <c r="B579" s="59" t="n">
        <v>574</v>
      </c>
      <c r="C579" t="inlineStr">
        <is>
          <t>R0031065</t>
        </is>
      </c>
      <c r="D579" t="inlineStr">
        <is>
          <t>11411  PEARL ST</t>
        </is>
      </c>
      <c r="E579" t="n">
        <v>341</v>
      </c>
      <c r="F579" t="inlineStr">
        <is>
          <t>NORTHGLENN</t>
        </is>
      </c>
      <c r="G579" t="inlineStr">
        <is>
          <t>4</t>
        </is>
      </c>
      <c r="H579" s="703">
        <f>Y579/J579</f>
        <v/>
      </c>
      <c r="I579" s="704" t="n">
        <v>44739</v>
      </c>
      <c r="J579" t="n">
        <v>5750</v>
      </c>
      <c r="L579" t="n">
        <v>5750</v>
      </c>
      <c r="M579" t="n">
        <v>1972</v>
      </c>
      <c r="P579" t="inlineStr">
        <is>
          <t>C-0-Nor</t>
        </is>
      </c>
      <c r="R579" t="inlineStr">
        <is>
          <t>Average</t>
        </is>
      </c>
      <c r="S579" t="n">
        <v>38180</v>
      </c>
      <c r="T579" s="119">
        <f>S579/J579</f>
        <v/>
      </c>
      <c r="U579" t="inlineStr">
        <is>
          <t>Average</t>
        </is>
      </c>
      <c r="Y579" t="n">
        <v>1400000</v>
      </c>
      <c r="AA579" t="n">
        <v>1400000</v>
      </c>
      <c r="AC579" t="inlineStr">
        <is>
          <t>0171903410015</t>
        </is>
      </c>
      <c r="AD579" t="inlineStr">
        <is>
          <t>2022000056456</t>
        </is>
      </c>
      <c r="AE579" t="inlineStr">
        <is>
          <t>ARMS LLC</t>
        </is>
      </c>
      <c r="AF579" t="inlineStr">
        <is>
          <t>CHUONG KELLY</t>
        </is>
      </c>
      <c r="AI579" s="59">
        <f>IF(AND($E579=Subj_OccCode,Subj_BldgSF&gt;0,ABS($L579-Subj_BldgSF)&lt;=Subj_BldgSF*Subj_SizeTol),ABS($L579-Subj_BldgSF),NA())</f>
        <v/>
      </c>
      <c r="AJ579">
        <f>IF(ISNA(AI579),NA(),AI579+ROW()/10000000)</f>
        <v/>
      </c>
      <c r="AK579">
        <f>IF(AND(ISNUMBER($N579),$N579&gt;0,ISNUMBER($Y579)),$Y579/$N579,"")</f>
        <v/>
      </c>
    </row>
    <row r="580" ht="15" customHeight="1" s="518">
      <c r="A580" s="123" t="n">
        <v>8</v>
      </c>
      <c r="B580" s="59" t="n">
        <v>575</v>
      </c>
      <c r="C580" t="inlineStr">
        <is>
          <t>R0152700</t>
        </is>
      </c>
      <c r="D580" t="inlineStr">
        <is>
          <t>2600 W 62ND AVE</t>
        </is>
      </c>
      <c r="E580" t="n">
        <v>406</v>
      </c>
      <c r="G580" t="inlineStr">
        <is>
          <t>5</t>
        </is>
      </c>
      <c r="H580" s="703">
        <f>Y580/J580</f>
        <v/>
      </c>
      <c r="I580" s="704" t="n">
        <v>43791</v>
      </c>
      <c r="J580" t="n">
        <v>11250</v>
      </c>
      <c r="L580" t="n">
        <v>11250</v>
      </c>
      <c r="M580" t="n">
        <v>2003</v>
      </c>
      <c r="P580" t="inlineStr">
        <is>
          <t>Planned Unit Development</t>
        </is>
      </c>
      <c r="R580" t="inlineStr">
        <is>
          <t>Average</t>
        </is>
      </c>
      <c r="S580" t="n">
        <v>80716.67999999999</v>
      </c>
      <c r="T580" s="119">
        <f>S580/J580</f>
        <v/>
      </c>
      <c r="U580" t="inlineStr">
        <is>
          <t>Average</t>
        </is>
      </c>
      <c r="Y580" t="n">
        <v>2450000</v>
      </c>
      <c r="AA580" t="n">
        <v>2450000</v>
      </c>
      <c r="AC580" t="inlineStr">
        <is>
          <t>0182508103047</t>
        </is>
      </c>
      <c r="AD580" t="inlineStr">
        <is>
          <t>2019000102164</t>
        </is>
      </c>
      <c r="AE580" t="inlineStr">
        <is>
          <t>STEP 13 INC</t>
        </is>
      </c>
      <c r="AF580" t="inlineStr">
        <is>
          <t>ATR HOLDINGS LLC</t>
        </is>
      </c>
      <c r="AI580" s="59">
        <f>IF(AND($E580=Subj_OccCode,Subj_BldgSF&gt;0,ABS($L580-Subj_BldgSF)&lt;=Subj_BldgSF*Subj_SizeTol),ABS($L580-Subj_BldgSF),NA())</f>
        <v/>
      </c>
      <c r="AJ580">
        <f>IF(ISNA(AI580),NA(),AI580+ROW()/10000000)</f>
        <v/>
      </c>
      <c r="AK580">
        <f>IF(AND(ISNUMBER($N580),$N580&gt;0,ISNUMBER($Y580)),$Y580/$N580,"")</f>
        <v/>
      </c>
    </row>
    <row r="581" ht="15" customHeight="1" s="518">
      <c r="A581" s="123" t="n">
        <v>8</v>
      </c>
      <c r="B581" s="59" t="n">
        <v>576</v>
      </c>
      <c r="C581" t="inlineStr">
        <is>
          <t>R0085791</t>
        </is>
      </c>
      <c r="D581" t="inlineStr">
        <is>
          <t>2200  CHAMBERS RD #F</t>
        </is>
      </c>
      <c r="E581" t="n">
        <v>425</v>
      </c>
      <c r="F581" t="inlineStr">
        <is>
          <t>AURORA</t>
        </is>
      </c>
      <c r="G581" t="inlineStr">
        <is>
          <t>6</t>
        </is>
      </c>
      <c r="H581" s="703">
        <f>Y581/J581</f>
        <v/>
      </c>
      <c r="I581" s="704" t="n">
        <v>44134</v>
      </c>
      <c r="J581" t="n">
        <v>1500</v>
      </c>
      <c r="L581" t="n">
        <v>1500</v>
      </c>
      <c r="M581" t="n">
        <v>1984</v>
      </c>
      <c r="P581" t="inlineStr">
        <is>
          <t>M-1-Aur</t>
        </is>
      </c>
      <c r="R581" t="inlineStr">
        <is>
          <t>Good</t>
        </is>
      </c>
      <c r="S581" t="n">
        <v>5227</v>
      </c>
      <c r="T581" s="119">
        <f>S581/J581</f>
        <v/>
      </c>
      <c r="U581" t="inlineStr">
        <is>
          <t>Average</t>
        </is>
      </c>
      <c r="Y581" t="n">
        <v>216000</v>
      </c>
      <c r="AA581" t="n">
        <v>216000</v>
      </c>
      <c r="AC581" t="inlineStr">
        <is>
          <t>0182132008007</t>
        </is>
      </c>
      <c r="AD581" t="inlineStr">
        <is>
          <t>2020000114296</t>
        </is>
      </c>
      <c r="AE581" t="inlineStr">
        <is>
          <t>MYERS CHARLES R</t>
        </is>
      </c>
      <c r="AF581" t="inlineStr">
        <is>
          <t>2200 CHAMBERS UNIT F LLC</t>
        </is>
      </c>
      <c r="AI581" s="59">
        <f>IF(AND($E581=Subj_OccCode,Subj_BldgSF&gt;0,ABS($L581-Subj_BldgSF)&lt;=Subj_BldgSF*Subj_SizeTol),ABS($L581-Subj_BldgSF),NA())</f>
        <v/>
      </c>
      <c r="AJ581">
        <f>IF(ISNA(AI581),NA(),AI581+ROW()/10000000)</f>
        <v/>
      </c>
      <c r="AK581">
        <f>IF(AND(ISNUMBER($N581),$N581&gt;0,ISNUMBER($Y581)),$Y581/$N581,"")</f>
        <v/>
      </c>
    </row>
    <row r="582" ht="15" customHeight="1" s="518">
      <c r="A582" s="123" t="n">
        <v>8</v>
      </c>
      <c r="B582" s="59" t="n">
        <v>577</v>
      </c>
      <c r="C582" t="inlineStr">
        <is>
          <t>R0129049</t>
        </is>
      </c>
      <c r="D582" t="inlineStr">
        <is>
          <t>2530 W 63RD CT</t>
        </is>
      </c>
      <c r="E582" t="n">
        <v>407</v>
      </c>
      <c r="G582" t="inlineStr">
        <is>
          <t>5</t>
        </is>
      </c>
      <c r="H582" s="703">
        <f>Y582/J582</f>
        <v/>
      </c>
      <c r="I582" s="704" t="n">
        <v>44498</v>
      </c>
      <c r="J582" t="n">
        <v>6041</v>
      </c>
      <c r="L582" t="n">
        <v>6041</v>
      </c>
      <c r="M582" t="n">
        <v>2001</v>
      </c>
      <c r="P582" t="inlineStr">
        <is>
          <t>Planned Unit Development</t>
        </is>
      </c>
      <c r="R582" t="inlineStr">
        <is>
          <t>Average</t>
        </is>
      </c>
      <c r="S582" t="n">
        <v>43560</v>
      </c>
      <c r="T582" s="119">
        <f>S582/J582</f>
        <v/>
      </c>
      <c r="U582" t="inlineStr">
        <is>
          <t>Good</t>
        </is>
      </c>
      <c r="Y582" t="n">
        <v>1194111</v>
      </c>
      <c r="AA582" t="n">
        <v>1194111</v>
      </c>
      <c r="AC582" t="inlineStr">
        <is>
          <t>0182508103016</t>
        </is>
      </c>
      <c r="AD582" t="inlineStr">
        <is>
          <t>2021000135624</t>
        </is>
      </c>
      <c r="AE582" t="inlineStr">
        <is>
          <t>GWE L P</t>
        </is>
      </c>
      <c r="AF582" t="inlineStr">
        <is>
          <t>ABSOLUTE DIPLOMACY LLC</t>
        </is>
      </c>
      <c r="AI582" s="59">
        <f>IF(AND($E582=Subj_OccCode,Subj_BldgSF&gt;0,ABS($L582-Subj_BldgSF)&lt;=Subj_BldgSF*Subj_SizeTol),ABS($L582-Subj_BldgSF),NA())</f>
        <v/>
      </c>
      <c r="AJ582">
        <f>IF(ISNA(AI582),NA(),AI582+ROW()/10000000)</f>
        <v/>
      </c>
      <c r="AK582">
        <f>IF(AND(ISNUMBER($N582),$N582&gt;0,ISNUMBER($Y582)),$Y582/$N582,"")</f>
        <v/>
      </c>
    </row>
    <row r="583" ht="15" customHeight="1" s="518">
      <c r="A583" s="123" t="n">
        <v>8</v>
      </c>
      <c r="B583" s="59" t="n">
        <v>578</v>
      </c>
      <c r="C583" t="inlineStr">
        <is>
          <t>R0084104</t>
        </is>
      </c>
      <c r="D583" t="inlineStr">
        <is>
          <t>15370  SMITH RD</t>
        </is>
      </c>
      <c r="E583" t="n">
        <v>407</v>
      </c>
      <c r="F583" t="inlineStr">
        <is>
          <t>AURORA</t>
        </is>
      </c>
      <c r="G583" t="inlineStr">
        <is>
          <t>6</t>
        </is>
      </c>
      <c r="H583" s="703">
        <f>Y583/J583</f>
        <v/>
      </c>
      <c r="I583" s="704" t="n">
        <v>44650</v>
      </c>
      <c r="J583" t="n">
        <v>16200</v>
      </c>
      <c r="L583" t="n">
        <v>16200</v>
      </c>
      <c r="M583" t="n">
        <v>1975</v>
      </c>
      <c r="P583" t="inlineStr">
        <is>
          <t>M-1-Aur</t>
        </is>
      </c>
      <c r="R583" t="inlineStr">
        <is>
          <t>Average</t>
        </is>
      </c>
      <c r="S583" t="n">
        <v>57847.68</v>
      </c>
      <c r="T583" s="119">
        <f>S583/J583</f>
        <v/>
      </c>
      <c r="U583" t="inlineStr">
        <is>
          <t>Average</t>
        </is>
      </c>
      <c r="Y583" t="n">
        <v>1500000</v>
      </c>
      <c r="AA583" t="n">
        <v>1500000</v>
      </c>
      <c r="AC583" t="inlineStr">
        <is>
          <t>0182129003001</t>
        </is>
      </c>
      <c r="AD583" t="inlineStr">
        <is>
          <t>2022000029850</t>
        </is>
      </c>
      <c r="AE583" t="inlineStr">
        <is>
          <t>MARQUIS JOHN C</t>
        </is>
      </c>
      <c r="AF583" t="inlineStr">
        <is>
          <t>SMITH ROAD PARTNERS LLC</t>
        </is>
      </c>
      <c r="AI583" s="59">
        <f>IF(AND($E583=Subj_OccCode,Subj_BldgSF&gt;0,ABS($L583-Subj_BldgSF)&lt;=Subj_BldgSF*Subj_SizeTol),ABS($L583-Subj_BldgSF),NA())</f>
        <v/>
      </c>
      <c r="AJ583">
        <f>IF(ISNA(AI583),NA(),AI583+ROW()/10000000)</f>
        <v/>
      </c>
      <c r="AK583">
        <f>IF(AND(ISNUMBER($N583),$N583&gt;0,ISNUMBER($Y583)),$Y583/$N583,"")</f>
        <v/>
      </c>
    </row>
    <row r="584" ht="15" customHeight="1" s="518">
      <c r="A584" s="123" t="n">
        <v>8</v>
      </c>
      <c r="B584" s="59" t="n">
        <v>579</v>
      </c>
      <c r="C584" t="inlineStr">
        <is>
          <t>R0117232</t>
        </is>
      </c>
      <c r="D584" t="inlineStr">
        <is>
          <t>1801 W 64TH LN</t>
        </is>
      </c>
      <c r="E584" t="n">
        <v>334</v>
      </c>
      <c r="G584" t="inlineStr">
        <is>
          <t>5</t>
        </is>
      </c>
      <c r="H584" s="703">
        <f>Y584/J584</f>
        <v/>
      </c>
      <c r="I584" s="704" t="n">
        <v>44538</v>
      </c>
      <c r="J584" t="n">
        <v>11375</v>
      </c>
      <c r="L584" t="n">
        <v>11375</v>
      </c>
      <c r="M584" t="n">
        <v>2000</v>
      </c>
      <c r="P584" t="inlineStr">
        <is>
          <t>Planned Unit Development</t>
        </is>
      </c>
      <c r="R584" t="inlineStr">
        <is>
          <t>Average</t>
        </is>
      </c>
      <c r="S584" t="n">
        <v>43995.6</v>
      </c>
      <c r="T584" s="119">
        <f>S584/J584</f>
        <v/>
      </c>
      <c r="U584" t="inlineStr">
        <is>
          <t>Average</t>
        </is>
      </c>
      <c r="Y584" t="n">
        <v>2350000</v>
      </c>
      <c r="AA584" t="n">
        <v>2350000</v>
      </c>
      <c r="AC584" t="inlineStr">
        <is>
          <t>0182504302005</t>
        </is>
      </c>
      <c r="AD584" t="inlineStr">
        <is>
          <t>2021000143584</t>
        </is>
      </c>
      <c r="AE584" t="inlineStr">
        <is>
          <t>SAME PAGE LLC</t>
        </is>
      </c>
      <c r="AF584" t="inlineStr">
        <is>
          <t>J3 HOLDINGS LLC</t>
        </is>
      </c>
      <c r="AI584" s="59">
        <f>IF(AND($E584=Subj_OccCode,Subj_BldgSF&gt;0,ABS($L584-Subj_BldgSF)&lt;=Subj_BldgSF*Subj_SizeTol),ABS($L584-Subj_BldgSF),NA())</f>
        <v/>
      </c>
      <c r="AJ584">
        <f>IF(ISNA(AI584),NA(),AI584+ROW()/10000000)</f>
        <v/>
      </c>
      <c r="AK584">
        <f>IF(AND(ISNUMBER($N584),$N584&gt;0,ISNUMBER($Y584)),$Y584/$N584,"")</f>
        <v/>
      </c>
    </row>
    <row r="585" ht="15" customHeight="1" s="518">
      <c r="A585" s="123" t="n">
        <v>8</v>
      </c>
      <c r="B585" s="59" t="n">
        <v>580</v>
      </c>
      <c r="C585" t="inlineStr">
        <is>
          <t>R0077603</t>
        </is>
      </c>
      <c r="D585" t="inlineStr">
        <is>
          <t>8021  PONTIAC ST</t>
        </is>
      </c>
      <c r="E585" t="n">
        <v>336</v>
      </c>
      <c r="G585" t="inlineStr">
        <is>
          <t>5</t>
        </is>
      </c>
      <c r="H585" s="703">
        <f>Y585/J585</f>
        <v/>
      </c>
      <c r="I585" s="704" t="n">
        <v>43495</v>
      </c>
      <c r="J585" t="n">
        <v>1500</v>
      </c>
      <c r="L585" t="n">
        <v>1500</v>
      </c>
      <c r="M585" t="n">
        <v>1960</v>
      </c>
      <c r="P585" t="inlineStr">
        <is>
          <t>Commercial</t>
        </is>
      </c>
      <c r="R585" t="inlineStr">
        <is>
          <t>Average</t>
        </is>
      </c>
      <c r="S585" t="n">
        <v>6250</v>
      </c>
      <c r="T585" s="119">
        <f>S585/J585</f>
        <v/>
      </c>
      <c r="U585" t="inlineStr">
        <is>
          <t>Average</t>
        </is>
      </c>
      <c r="Y585" t="n">
        <v>160000</v>
      </c>
      <c r="AA585" t="n">
        <v>160000</v>
      </c>
      <c r="AC585" t="inlineStr">
        <is>
          <t>0172129404005</t>
        </is>
      </c>
      <c r="AD585" t="inlineStr">
        <is>
          <t>2019000007753</t>
        </is>
      </c>
      <c r="AE585" t="inlineStr">
        <is>
          <t>NGUYEN THANH AND, NGUYEN NGAT</t>
        </is>
      </c>
      <c r="AF585" t="inlineStr">
        <is>
          <t>TIU JOSEPH T AND, TIU CHRISTINA G</t>
        </is>
      </c>
      <c r="AI585" s="59">
        <f>IF(AND($E585=Subj_OccCode,Subj_BldgSF&gt;0,ABS($L585-Subj_BldgSF)&lt;=Subj_BldgSF*Subj_SizeTol),ABS($L585-Subj_BldgSF),NA())</f>
        <v/>
      </c>
      <c r="AJ585">
        <f>IF(ISNA(AI585),NA(),AI585+ROW()/10000000)</f>
        <v/>
      </c>
      <c r="AK585">
        <f>IF(AND(ISNUMBER($N585),$N585&gt;0,ISNUMBER($Y585)),$Y585/$N585,"")</f>
        <v/>
      </c>
    </row>
    <row r="586" ht="15" customHeight="1" s="518">
      <c r="A586" s="123" t="n">
        <v>8</v>
      </c>
      <c r="B586" s="59" t="n">
        <v>581</v>
      </c>
      <c r="C586" t="inlineStr">
        <is>
          <t>R0173191</t>
        </is>
      </c>
      <c r="D586" t="inlineStr">
        <is>
          <t>1511 W 70TH AVE</t>
        </is>
      </c>
      <c r="E586" t="n">
        <v>353</v>
      </c>
      <c r="G586" t="inlineStr">
        <is>
          <t>4</t>
        </is>
      </c>
      <c r="H586" s="703">
        <f>Y586/J586</f>
        <v/>
      </c>
      <c r="I586" s="704" t="n">
        <v>43759</v>
      </c>
      <c r="J586" t="n">
        <v>5345</v>
      </c>
      <c r="L586" t="n">
        <v>5345</v>
      </c>
      <c r="M586" t="n">
        <v>1971</v>
      </c>
      <c r="P586" t="inlineStr">
        <is>
          <t>Planned Unit Development</t>
        </is>
      </c>
      <c r="R586" t="inlineStr">
        <is>
          <t>Average</t>
        </is>
      </c>
      <c r="S586" t="n">
        <v>5192</v>
      </c>
      <c r="T586" s="119">
        <f>S586/J586</f>
        <v/>
      </c>
      <c r="U586" t="inlineStr">
        <is>
          <t>Average</t>
        </is>
      </c>
      <c r="Y586" t="n">
        <v>600000</v>
      </c>
      <c r="AA586" t="n">
        <v>600000</v>
      </c>
      <c r="AC586" t="inlineStr">
        <is>
          <t>0182504123002</t>
        </is>
      </c>
      <c r="AD586" t="inlineStr">
        <is>
          <t>2019000090438</t>
        </is>
      </c>
      <c r="AE586" t="inlineStr">
        <is>
          <t>BRICKOP COLORADO I LLC</t>
        </is>
      </c>
      <c r="AF586" t="inlineStr">
        <is>
          <t>NBC COMMERCIAL LLC</t>
        </is>
      </c>
      <c r="AI586" s="59">
        <f>IF(AND($E586=Subj_OccCode,Subj_BldgSF&gt;0,ABS($L586-Subj_BldgSF)&lt;=Subj_BldgSF*Subj_SizeTol),ABS($L586-Subj_BldgSF),NA())</f>
        <v/>
      </c>
      <c r="AJ586">
        <f>IF(ISNA(AI586),NA(),AI586+ROW()/10000000)</f>
        <v/>
      </c>
      <c r="AK586">
        <f>IF(AND(ISNUMBER($N586),$N586&gt;0,ISNUMBER($Y586)),$Y586/$N586,"")</f>
        <v/>
      </c>
    </row>
    <row r="587" ht="15" customHeight="1" s="518">
      <c r="A587" s="123" t="n">
        <v>8</v>
      </c>
      <c r="B587" s="59" t="n">
        <v>582</v>
      </c>
      <c r="C587" t="inlineStr">
        <is>
          <t>R0079075</t>
        </is>
      </c>
      <c r="D587" t="inlineStr">
        <is>
          <t>5640 E 77TH AVE</t>
        </is>
      </c>
      <c r="E587" t="n">
        <v>325</v>
      </c>
      <c r="G587" t="inlineStr">
        <is>
          <t>5</t>
        </is>
      </c>
      <c r="H587" s="703">
        <f>Y587/J587</f>
        <v/>
      </c>
      <c r="I587" s="704" t="n">
        <v>43133</v>
      </c>
      <c r="J587" t="n">
        <v>11350</v>
      </c>
      <c r="L587" t="n">
        <v>11350</v>
      </c>
      <c r="M587" t="n">
        <v>1978</v>
      </c>
      <c r="R587" t="inlineStr">
        <is>
          <t>Average</t>
        </is>
      </c>
      <c r="S587" t="n">
        <v>47916</v>
      </c>
      <c r="T587" s="119">
        <f>S587/J587</f>
        <v/>
      </c>
      <c r="U587" t="inlineStr">
        <is>
          <t>Average</t>
        </is>
      </c>
      <c r="Y587" t="n">
        <v>1410000</v>
      </c>
      <c r="AA587" t="n">
        <v>1410000</v>
      </c>
      <c r="AC587" t="inlineStr">
        <is>
          <t>0172132225004</t>
        </is>
      </c>
      <c r="AD587" t="inlineStr">
        <is>
          <t>2018000010550</t>
        </is>
      </c>
      <c r="AE587" t="inlineStr">
        <is>
          <t>WALTERS GARY AND CAROL FAMILY TRUST, 2014</t>
        </is>
      </c>
      <c r="AF587" t="inlineStr">
        <is>
          <t>PENNWAY ASSOCIATES IV LLC</t>
        </is>
      </c>
      <c r="AI587" s="59">
        <f>IF(AND($E587=Subj_OccCode,Subj_BldgSF&gt;0,ABS($L587-Subj_BldgSF)&lt;=Subj_BldgSF*Subj_SizeTol),ABS($L587-Subj_BldgSF),NA())</f>
        <v/>
      </c>
      <c r="AJ587">
        <f>IF(ISNA(AI587),NA(),AI587+ROW()/10000000)</f>
        <v/>
      </c>
      <c r="AK587">
        <f>IF(AND(ISNUMBER($N587),$N587&gt;0,ISNUMBER($Y587)),$Y587/$N587,"")</f>
        <v/>
      </c>
    </row>
    <row r="588" ht="15" customHeight="1" s="518">
      <c r="A588" s="123" t="n">
        <v>8</v>
      </c>
      <c r="B588" s="59" t="n">
        <v>583</v>
      </c>
      <c r="C588" t="inlineStr">
        <is>
          <t>R0100916</t>
        </is>
      </c>
      <c r="D588" t="inlineStr">
        <is>
          <t>3720 W 72ND AVE</t>
        </is>
      </c>
      <c r="E588" t="n">
        <v>325</v>
      </c>
      <c r="F588" t="inlineStr">
        <is>
          <t>WESTMINSTER</t>
        </is>
      </c>
      <c r="G588" t="inlineStr">
        <is>
          <t>4</t>
        </is>
      </c>
      <c r="H588" s="703">
        <f>Y588/J588</f>
        <v/>
      </c>
      <c r="I588" s="704" t="n">
        <v>43922</v>
      </c>
      <c r="J588" t="n">
        <v>6000</v>
      </c>
      <c r="L588" t="n">
        <v>6000</v>
      </c>
      <c r="M588" t="n">
        <v>1990</v>
      </c>
      <c r="P588" t="inlineStr">
        <is>
          <t>C-1-Wes</t>
        </is>
      </c>
      <c r="R588" t="inlineStr">
        <is>
          <t>Average</t>
        </is>
      </c>
      <c r="S588" t="n">
        <v>17564</v>
      </c>
      <c r="T588" s="119">
        <f>S588/J588</f>
        <v/>
      </c>
      <c r="U588" t="inlineStr">
        <is>
          <t>Average</t>
        </is>
      </c>
      <c r="Y588" t="n">
        <v>1125000</v>
      </c>
      <c r="AA588" t="n">
        <v>1125000</v>
      </c>
      <c r="AC588" t="inlineStr">
        <is>
          <t>0182506114001</t>
        </is>
      </c>
      <c r="AD588" t="inlineStr">
        <is>
          <t>2020000029593</t>
        </is>
      </c>
      <c r="AE588" t="inlineStr">
        <is>
          <t>LUKE ERIC T AND, LUKE KATHY H</t>
        </is>
      </c>
      <c r="AF588" t="inlineStr">
        <is>
          <t>SPH LLC</t>
        </is>
      </c>
      <c r="AI588" s="59">
        <f>IF(AND($E588=Subj_OccCode,Subj_BldgSF&gt;0,ABS($L588-Subj_BldgSF)&lt;=Subj_BldgSF*Subj_SizeTol),ABS($L588-Subj_BldgSF),NA())</f>
        <v/>
      </c>
      <c r="AJ588">
        <f>IF(ISNA(AI588),NA(),AI588+ROW()/10000000)</f>
        <v/>
      </c>
      <c r="AK588">
        <f>IF(AND(ISNUMBER($N588),$N588&gt;0,ISNUMBER($Y588)),$Y588/$N588,"")</f>
        <v/>
      </c>
    </row>
    <row r="589" ht="15" customHeight="1" s="518">
      <c r="A589" s="123" t="n">
        <v>8</v>
      </c>
      <c r="B589" s="59" t="n">
        <v>584</v>
      </c>
      <c r="C589" t="inlineStr">
        <is>
          <t>R0187068</t>
        </is>
      </c>
      <c r="D589" t="inlineStr">
        <is>
          <t>12774 S COLORADO BLVD #B-1</t>
        </is>
      </c>
      <c r="E589" t="n">
        <v>341</v>
      </c>
      <c r="F589" t="inlineStr">
        <is>
          <t>THORNTON</t>
        </is>
      </c>
      <c r="G589" t="inlineStr">
        <is>
          <t>3</t>
        </is>
      </c>
      <c r="H589" s="703">
        <f>Y589/J589</f>
        <v/>
      </c>
      <c r="I589" s="704" t="n">
        <v>43455</v>
      </c>
      <c r="J589" t="n">
        <v>4933</v>
      </c>
      <c r="L589" t="n">
        <v>4933</v>
      </c>
      <c r="M589" t="n">
        <v>2004</v>
      </c>
      <c r="R589" t="inlineStr">
        <is>
          <t>Average</t>
        </is>
      </c>
      <c r="S589" t="n">
        <v>22563</v>
      </c>
      <c r="T589" s="119">
        <f>S589/J589</f>
        <v/>
      </c>
      <c r="U589" t="inlineStr">
        <is>
          <t>Average</t>
        </is>
      </c>
      <c r="Y589" t="n">
        <v>700700</v>
      </c>
      <c r="AA589" t="n">
        <v>700700</v>
      </c>
      <c r="AC589" t="inlineStr">
        <is>
          <t>0157131209026</t>
        </is>
      </c>
      <c r="AD589" t="inlineStr">
        <is>
          <t>2018000103186</t>
        </is>
      </c>
      <c r="AE589" t="inlineStr">
        <is>
          <t>JIMMY2 LLC</t>
        </is>
      </c>
      <c r="AF589" t="inlineStr">
        <is>
          <t>PERFORMANCE RENTALS LLC</t>
        </is>
      </c>
      <c r="AI589" s="59">
        <f>IF(AND($E589=Subj_OccCode,Subj_BldgSF&gt;0,ABS($L589-Subj_BldgSF)&lt;=Subj_BldgSF*Subj_SizeTol),ABS($L589-Subj_BldgSF),NA())</f>
        <v/>
      </c>
      <c r="AJ589">
        <f>IF(ISNA(AI589),NA(),AI589+ROW()/10000000)</f>
        <v/>
      </c>
      <c r="AK589">
        <f>IF(AND(ISNUMBER($N589),$N589&gt;0,ISNUMBER($Y589)),$Y589/$N589,"")</f>
        <v/>
      </c>
    </row>
    <row r="590" ht="15" customHeight="1" s="518">
      <c r="A590" s="123" t="n">
        <v>8</v>
      </c>
      <c r="B590" s="59" t="n">
        <v>585</v>
      </c>
      <c r="C590" t="inlineStr">
        <is>
          <t>R0125143</t>
        </is>
      </c>
      <c r="D590" t="inlineStr">
        <is>
          <t>9670  DALLAS ST #12</t>
        </is>
      </c>
      <c r="E590" t="n">
        <v>425</v>
      </c>
      <c r="G590" t="inlineStr">
        <is>
          <t>2</t>
        </is>
      </c>
      <c r="H590" s="703">
        <f>Y590/J590</f>
        <v/>
      </c>
      <c r="I590" s="704" t="n">
        <v>43395</v>
      </c>
      <c r="J590" t="n">
        <v>2500</v>
      </c>
      <c r="L590" t="n">
        <v>2500</v>
      </c>
      <c r="M590" t="n">
        <v>2000</v>
      </c>
      <c r="R590" t="inlineStr">
        <is>
          <t>Average</t>
        </is>
      </c>
      <c r="S590" t="n">
        <v>7949</v>
      </c>
      <c r="T590" s="119">
        <f>S590/J590</f>
        <v/>
      </c>
      <c r="U590" t="inlineStr">
        <is>
          <t>Average</t>
        </is>
      </c>
      <c r="Y590" t="n">
        <v>425000</v>
      </c>
      <c r="AA590" t="n">
        <v>425000</v>
      </c>
      <c r="AC590" t="inlineStr">
        <is>
          <t>0172115303012</t>
        </is>
      </c>
      <c r="AD590" t="inlineStr">
        <is>
          <t>2018000086276</t>
        </is>
      </c>
      <c r="AE590" t="inlineStr">
        <is>
          <t>GA RENTAL LLC</t>
        </is>
      </c>
      <c r="AF590" t="inlineStr">
        <is>
          <t>FROEMKE LINDA AND, DELVALLE JAMES</t>
        </is>
      </c>
      <c r="AI590" s="59">
        <f>IF(AND($E590=Subj_OccCode,Subj_BldgSF&gt;0,ABS($L590-Subj_BldgSF)&lt;=Subj_BldgSF*Subj_SizeTol),ABS($L590-Subj_BldgSF),NA())</f>
        <v/>
      </c>
      <c r="AJ590">
        <f>IF(ISNA(AI590),NA(),AI590+ROW()/10000000)</f>
        <v/>
      </c>
      <c r="AK590">
        <f>IF(AND(ISNUMBER($N590),$N590&gt;0,ISNUMBER($Y590)),$Y590/$N590,"")</f>
        <v/>
      </c>
    </row>
    <row r="591" ht="15" customHeight="1" s="518">
      <c r="A591" s="123" t="n">
        <v>8</v>
      </c>
      <c r="B591" s="59" t="n">
        <v>586</v>
      </c>
      <c r="C591" t="inlineStr">
        <is>
          <t>R0125131</t>
        </is>
      </c>
      <c r="D591" t="inlineStr">
        <is>
          <t>9670  DALLAS ST #1</t>
        </is>
      </c>
      <c r="E591" t="n">
        <v>425</v>
      </c>
      <c r="G591" t="inlineStr">
        <is>
          <t>2</t>
        </is>
      </c>
      <c r="H591" s="703">
        <f>Y591/J591</f>
        <v/>
      </c>
      <c r="I591" s="704" t="n">
        <v>43433</v>
      </c>
      <c r="J591" t="n">
        <v>2500</v>
      </c>
      <c r="L591" t="n">
        <v>2500</v>
      </c>
      <c r="M591" t="n">
        <v>2000</v>
      </c>
      <c r="R591" t="inlineStr">
        <is>
          <t>Average</t>
        </is>
      </c>
      <c r="S591" t="n">
        <v>7949</v>
      </c>
      <c r="T591" s="119">
        <f>S591/J591</f>
        <v/>
      </c>
      <c r="U591" t="inlineStr">
        <is>
          <t>Average</t>
        </is>
      </c>
      <c r="Y591" t="n">
        <v>420000</v>
      </c>
      <c r="AA591" t="n">
        <v>420000</v>
      </c>
      <c r="AC591" t="inlineStr">
        <is>
          <t>0172115303001</t>
        </is>
      </c>
      <c r="AD591" t="inlineStr">
        <is>
          <t>2018000095674</t>
        </is>
      </c>
      <c r="AE591" t="inlineStr">
        <is>
          <t>PUNJI PROPERTIES LLC</t>
        </is>
      </c>
      <c r="AF591" t="inlineStr">
        <is>
          <t>9670 DALLAS ST UNIT 1 LLC</t>
        </is>
      </c>
      <c r="AI591" s="59">
        <f>IF(AND($E591=Subj_OccCode,Subj_BldgSF&gt;0,ABS($L591-Subj_BldgSF)&lt;=Subj_BldgSF*Subj_SizeTol),ABS($L591-Subj_BldgSF),NA())</f>
        <v/>
      </c>
      <c r="AJ591">
        <f>IF(ISNA(AI591),NA(),AI591+ROW()/10000000)</f>
        <v/>
      </c>
      <c r="AK591">
        <f>IF(AND(ISNUMBER($N591),$N591&gt;0,ISNUMBER($Y591)),$Y591/$N591,"")</f>
        <v/>
      </c>
    </row>
    <row r="592" ht="15" customHeight="1" s="518">
      <c r="A592" s="123" t="n">
        <v>8</v>
      </c>
      <c r="B592" s="59" t="n">
        <v>587</v>
      </c>
      <c r="C592" t="inlineStr">
        <is>
          <t>R0153403</t>
        </is>
      </c>
      <c r="D592" t="inlineStr">
        <is>
          <t>2150  BRIDGE ST</t>
        </is>
      </c>
      <c r="E592" t="n">
        <v>419</v>
      </c>
      <c r="F592" t="inlineStr">
        <is>
          <t>BRIGHTON</t>
        </is>
      </c>
      <c r="G592" t="inlineStr">
        <is>
          <t>2</t>
        </is>
      </c>
      <c r="H592" s="703">
        <f>Y592/J592</f>
        <v/>
      </c>
      <c r="I592" s="704" t="n">
        <v>44369</v>
      </c>
      <c r="J592" t="n">
        <v>3456</v>
      </c>
      <c r="L592" t="n">
        <v>3456</v>
      </c>
      <c r="M592" t="n">
        <v>2008</v>
      </c>
      <c r="P592" t="inlineStr">
        <is>
          <t>C-2-Bri</t>
        </is>
      </c>
      <c r="R592" t="inlineStr">
        <is>
          <t>Average</t>
        </is>
      </c>
      <c r="S592" t="n">
        <v>76534.92</v>
      </c>
      <c r="T592" s="119">
        <f>S592/J592</f>
        <v/>
      </c>
      <c r="U592" t="inlineStr">
        <is>
          <t>Average</t>
        </is>
      </c>
      <c r="Y592" t="n">
        <v>3240000</v>
      </c>
      <c r="AA592" t="n">
        <v>3240000</v>
      </c>
      <c r="AC592" t="inlineStr">
        <is>
          <t>0156908101064</t>
        </is>
      </c>
      <c r="AD592" t="inlineStr">
        <is>
          <t>2021000075481</t>
        </is>
      </c>
      <c r="AE592" t="inlineStr">
        <is>
          <t>GRD BURLESON LLC</t>
        </is>
      </c>
      <c r="AF592" t="inlineStr">
        <is>
          <t>HURD WAUKEE LLC, C/O HURD REAL ESTATE</t>
        </is>
      </c>
      <c r="AI592" s="59">
        <f>IF(AND($E592=Subj_OccCode,Subj_BldgSF&gt;0,ABS($L592-Subj_BldgSF)&lt;=Subj_BldgSF*Subj_SizeTol),ABS($L592-Subj_BldgSF),NA())</f>
        <v/>
      </c>
      <c r="AJ592">
        <f>IF(ISNA(AI592),NA(),AI592+ROW()/10000000)</f>
        <v/>
      </c>
      <c r="AK592">
        <f>IF(AND(ISNUMBER($N592),$N592&gt;0,ISNUMBER($Y592)),$Y592/$N592,"")</f>
        <v/>
      </c>
    </row>
    <row r="593" ht="15" customHeight="1" s="518">
      <c r="A593" s="123" t="n">
        <v>8</v>
      </c>
      <c r="B593" s="59" t="n">
        <v>588</v>
      </c>
      <c r="C593" t="inlineStr">
        <is>
          <t>R0095069</t>
        </is>
      </c>
      <c r="D593" t="inlineStr">
        <is>
          <t>1520  CHESTER ST</t>
        </is>
      </c>
      <c r="E593" t="n">
        <v>325</v>
      </c>
      <c r="F593" t="inlineStr">
        <is>
          <t>AURORA</t>
        </is>
      </c>
      <c r="G593" t="inlineStr">
        <is>
          <t>6</t>
        </is>
      </c>
      <c r="H593" s="703">
        <f>Y593/J593</f>
        <v/>
      </c>
      <c r="I593" s="704" t="n">
        <v>43866</v>
      </c>
      <c r="J593" t="n">
        <v>6455</v>
      </c>
      <c r="L593" t="n">
        <v>6455</v>
      </c>
      <c r="M593" t="n">
        <v>1962</v>
      </c>
      <c r="P593" t="inlineStr">
        <is>
          <t>OA-MS</t>
        </is>
      </c>
      <c r="R593" t="inlineStr">
        <is>
          <t>Average</t>
        </is>
      </c>
      <c r="S593" t="n">
        <v>18335</v>
      </c>
      <c r="T593" s="119">
        <f>S593/J593</f>
        <v/>
      </c>
      <c r="U593" t="inlineStr">
        <is>
          <t>Average</t>
        </is>
      </c>
      <c r="Y593" t="n">
        <v>1290000</v>
      </c>
      <c r="AA593" t="n">
        <v>1290000</v>
      </c>
      <c r="AC593" t="inlineStr">
        <is>
          <t>0182334329010</t>
        </is>
      </c>
      <c r="AD593" t="inlineStr">
        <is>
          <t>2020000011930</t>
        </is>
      </c>
      <c r="AE593" t="inlineStr">
        <is>
          <t>GRISWOLD MICHAEL M AND, GRISWOLD ANNETTE M</t>
        </is>
      </c>
      <c r="AF593" t="inlineStr">
        <is>
          <t>HAT TRICK LLC</t>
        </is>
      </c>
      <c r="AI593" s="59">
        <f>IF(AND($E593=Subj_OccCode,Subj_BldgSF&gt;0,ABS($L593-Subj_BldgSF)&lt;=Subj_BldgSF*Subj_SizeTol),ABS($L593-Subj_BldgSF),NA())</f>
        <v/>
      </c>
      <c r="AJ593">
        <f>IF(ISNA(AI593),NA(),AI593+ROW()/10000000)</f>
        <v/>
      </c>
      <c r="AK593">
        <f>IF(AND(ISNUMBER($N593),$N593&gt;0,ISNUMBER($Y593)),$Y593/$N593,"")</f>
        <v/>
      </c>
    </row>
    <row r="594" ht="15" customHeight="1" s="518">
      <c r="A594" s="123" t="n">
        <v>8</v>
      </c>
      <c r="B594" s="59" t="n">
        <v>589</v>
      </c>
      <c r="C594" t="inlineStr">
        <is>
          <t>R0176451</t>
        </is>
      </c>
      <c r="D594" t="inlineStr">
        <is>
          <t>848 E 78TH AVE  3 UNITS</t>
        </is>
      </c>
      <c r="E594" t="n">
        <v>425</v>
      </c>
      <c r="G594" t="inlineStr">
        <is>
          <t>5</t>
        </is>
      </c>
      <c r="H594" s="703">
        <f>Y594/J594</f>
        <v/>
      </c>
      <c r="I594" s="704" t="n">
        <v>44042</v>
      </c>
      <c r="J594" t="n">
        <v>5625</v>
      </c>
      <c r="L594" t="n">
        <v>5625</v>
      </c>
      <c r="M594" t="n">
        <v>2006</v>
      </c>
      <c r="P594" t="inlineStr">
        <is>
          <t>Industrial</t>
        </is>
      </c>
      <c r="R594" t="inlineStr">
        <is>
          <t>Average</t>
        </is>
      </c>
      <c r="S594" t="n">
        <v>21888</v>
      </c>
      <c r="T594" s="119">
        <f>S594/J594</f>
        <v/>
      </c>
      <c r="U594" t="inlineStr">
        <is>
          <t>Average</t>
        </is>
      </c>
      <c r="Y594" t="n">
        <v>825000</v>
      </c>
      <c r="AA594" t="n">
        <v>825000</v>
      </c>
      <c r="AC594" t="inlineStr">
        <is>
          <t>0171935233010</t>
        </is>
      </c>
      <c r="AD594" t="inlineStr">
        <is>
          <t>2020000073688</t>
        </is>
      </c>
      <c r="AE594" t="inlineStr">
        <is>
          <t>K &amp; L LLC</t>
        </is>
      </c>
      <c r="AF594" t="inlineStr">
        <is>
          <t>RAMES INVESTMENTS LLC</t>
        </is>
      </c>
      <c r="AI594" s="59">
        <f>IF(AND($E594=Subj_OccCode,Subj_BldgSF&gt;0,ABS($L594-Subj_BldgSF)&lt;=Subj_BldgSF*Subj_SizeTol),ABS($L594-Subj_BldgSF),NA())</f>
        <v/>
      </c>
      <c r="AJ594">
        <f>IF(ISNA(AI594),NA(),AI594+ROW()/10000000)</f>
        <v/>
      </c>
      <c r="AK594">
        <f>IF(AND(ISNUMBER($N594),$N594&gt;0,ISNUMBER($Y594)),$Y594/$N594,"")</f>
        <v/>
      </c>
    </row>
    <row r="595" ht="15" customHeight="1" s="518">
      <c r="A595" s="123" t="n">
        <v>8</v>
      </c>
      <c r="B595" s="59" t="n">
        <v>590</v>
      </c>
      <c r="C595" t="inlineStr">
        <is>
          <t>R0187234</t>
        </is>
      </c>
      <c r="D595" t="inlineStr">
        <is>
          <t>70  BRIDGE ST</t>
        </is>
      </c>
      <c r="E595" t="n">
        <v>419</v>
      </c>
      <c r="F595" t="inlineStr">
        <is>
          <t>BRIGHTON</t>
        </is>
      </c>
      <c r="G595" t="inlineStr">
        <is>
          <t>2</t>
        </is>
      </c>
      <c r="H595" s="703">
        <f>Y595/J595</f>
        <v/>
      </c>
      <c r="I595" s="704" t="n">
        <v>44559</v>
      </c>
      <c r="J595" t="n">
        <v>3401</v>
      </c>
      <c r="L595" t="n">
        <v>3401</v>
      </c>
      <c r="M595" t="n">
        <v>2009</v>
      </c>
      <c r="P595" t="inlineStr">
        <is>
          <t>C-3-Bri</t>
        </is>
      </c>
      <c r="R595" t="inlineStr">
        <is>
          <t>Average</t>
        </is>
      </c>
      <c r="S595" t="n">
        <v>59440</v>
      </c>
      <c r="T595" s="119">
        <f>S595/J595</f>
        <v/>
      </c>
      <c r="U595" t="inlineStr">
        <is>
          <t>Average</t>
        </is>
      </c>
      <c r="Y595" t="n">
        <v>5085050</v>
      </c>
      <c r="AA595" t="n">
        <v>5085050</v>
      </c>
      <c r="AC595" t="inlineStr">
        <is>
          <t>0156907206023</t>
        </is>
      </c>
      <c r="AD595" t="inlineStr">
        <is>
          <t>2022000000192</t>
        </is>
      </c>
      <c r="AE595" t="inlineStr">
        <is>
          <t>CAPO HOLDINGS LLC</t>
        </is>
      </c>
      <c r="AF595" t="inlineStr">
        <is>
          <t>REALTY INCOME PROPERTIES 26 LLC</t>
        </is>
      </c>
      <c r="AI595" s="59">
        <f>IF(AND($E595=Subj_OccCode,Subj_BldgSF&gt;0,ABS($L595-Subj_BldgSF)&lt;=Subj_BldgSF*Subj_SizeTol),ABS($L595-Subj_BldgSF),NA())</f>
        <v/>
      </c>
      <c r="AJ595">
        <f>IF(ISNA(AI595),NA(),AI595+ROW()/10000000)</f>
        <v/>
      </c>
      <c r="AK595">
        <f>IF(AND(ISNUMBER($N595),$N595&gt;0,ISNUMBER($Y595)),$Y595/$N595,"")</f>
        <v/>
      </c>
    </row>
    <row r="596" ht="15" customHeight="1" s="518">
      <c r="A596" s="123" t="n">
        <v>8</v>
      </c>
      <c r="B596" s="59" t="n">
        <v>591</v>
      </c>
      <c r="C596" t="inlineStr">
        <is>
          <t>R0091505</t>
        </is>
      </c>
      <c r="D596" t="inlineStr">
        <is>
          <t>6100 E 64TH AVE</t>
        </is>
      </c>
      <c r="E596" t="n">
        <v>325</v>
      </c>
      <c r="F596" t="inlineStr">
        <is>
          <t>COMMERCE CITY</t>
        </is>
      </c>
      <c r="G596" t="inlineStr">
        <is>
          <t>5</t>
        </is>
      </c>
      <c r="H596" s="703">
        <f>Y596/J596</f>
        <v/>
      </c>
      <c r="I596" s="704" t="n">
        <v>43294</v>
      </c>
      <c r="J596" t="n">
        <v>2050</v>
      </c>
      <c r="L596" t="n">
        <v>2050</v>
      </c>
      <c r="M596" t="n">
        <v>1968</v>
      </c>
      <c r="P596" t="inlineStr">
        <is>
          <t>Commerce City</t>
        </is>
      </c>
      <c r="R596" t="inlineStr">
        <is>
          <t>Average</t>
        </is>
      </c>
      <c r="S596" t="n">
        <v>15540</v>
      </c>
      <c r="T596" s="119">
        <f>S596/J596</f>
        <v/>
      </c>
      <c r="U596" t="inlineStr">
        <is>
          <t>Average</t>
        </is>
      </c>
      <c r="Y596" t="n">
        <v>505000</v>
      </c>
      <c r="AA596" t="n">
        <v>505000</v>
      </c>
      <c r="AC596" t="inlineStr">
        <is>
          <t>0182308201001</t>
        </is>
      </c>
      <c r="AD596" t="inlineStr">
        <is>
          <t>2018000057313</t>
        </is>
      </c>
      <c r="AE596" t="inlineStr">
        <is>
          <t>6100 E 64TH LLC</t>
        </is>
      </c>
      <c r="AF596" t="inlineStr">
        <is>
          <t>HOTAKI ALI K</t>
        </is>
      </c>
      <c r="AI596" s="59">
        <f>IF(AND($E596=Subj_OccCode,Subj_BldgSF&gt;0,ABS($L596-Subj_BldgSF)&lt;=Subj_BldgSF*Subj_SizeTol),ABS($L596-Subj_BldgSF),NA())</f>
        <v/>
      </c>
      <c r="AJ596">
        <f>IF(ISNA(AI596),NA(),AI596+ROW()/10000000)</f>
        <v/>
      </c>
      <c r="AK596">
        <f>IF(AND(ISNUMBER($N596),$N596&gt;0,ISNUMBER($Y596)),$Y596/$N596,"")</f>
        <v/>
      </c>
    </row>
    <row r="597" ht="15" customHeight="1" s="518">
      <c r="A597" s="123" t="n">
        <v>8</v>
      </c>
      <c r="B597" s="59" t="n">
        <v>592</v>
      </c>
      <c r="C597" t="inlineStr">
        <is>
          <t>R0037125</t>
        </is>
      </c>
      <c r="D597" t="inlineStr">
        <is>
          <t>11172  HURON ST #25</t>
        </is>
      </c>
      <c r="E597" t="n">
        <v>1344</v>
      </c>
      <c r="F597" t="inlineStr">
        <is>
          <t>NORTHGLENN</t>
        </is>
      </c>
      <c r="G597" t="inlineStr">
        <is>
          <t>4</t>
        </is>
      </c>
      <c r="H597" s="703">
        <f>Y597/J597</f>
        <v/>
      </c>
      <c r="I597" s="704" t="n">
        <v>44298</v>
      </c>
      <c r="J597" t="n">
        <v>1817</v>
      </c>
      <c r="L597" t="n">
        <v>1817</v>
      </c>
      <c r="M597" t="n">
        <v>1984</v>
      </c>
      <c r="P597" t="inlineStr">
        <is>
          <t>C-3-Nor</t>
        </is>
      </c>
      <c r="R597" t="inlineStr">
        <is>
          <t>Average</t>
        </is>
      </c>
      <c r="S597" t="n">
        <v>1108</v>
      </c>
      <c r="T597" s="119">
        <f>S597/J597</f>
        <v/>
      </c>
      <c r="U597" t="inlineStr">
        <is>
          <t>Average</t>
        </is>
      </c>
      <c r="Y597" t="n">
        <v>275000</v>
      </c>
      <c r="AA597" t="n">
        <v>275000</v>
      </c>
      <c r="AC597" t="inlineStr">
        <is>
          <t>0171910217025</t>
        </is>
      </c>
      <c r="AD597" t="inlineStr">
        <is>
          <t>2021000044765</t>
        </is>
      </c>
      <c r="AE597" t="inlineStr">
        <is>
          <t>COCCIMIGLIO DAVID CAHOON</t>
        </is>
      </c>
      <c r="AF597" t="inlineStr">
        <is>
          <t>DALE STACEY</t>
        </is>
      </c>
      <c r="AI597" s="59">
        <f>IF(AND($E597=Subj_OccCode,Subj_BldgSF&gt;0,ABS($L597-Subj_BldgSF)&lt;=Subj_BldgSF*Subj_SizeTol),ABS($L597-Subj_BldgSF),NA())</f>
        <v/>
      </c>
      <c r="AJ597">
        <f>IF(ISNA(AI597),NA(),AI597+ROW()/10000000)</f>
        <v/>
      </c>
      <c r="AK597">
        <f>IF(AND(ISNUMBER($N597),$N597&gt;0,ISNUMBER($Y597)),$Y597/$N597,"")</f>
        <v/>
      </c>
    </row>
    <row r="598" ht="15" customHeight="1" s="518">
      <c r="A598" s="123" t="n">
        <v>8</v>
      </c>
      <c r="B598" s="59" t="n">
        <v>593</v>
      </c>
      <c r="C598" t="inlineStr">
        <is>
          <t>R0145696</t>
        </is>
      </c>
      <c r="D598" t="inlineStr">
        <is>
          <t>5418  FEDERAL BLVD</t>
        </is>
      </c>
      <c r="E598" t="n">
        <v>353</v>
      </c>
      <c r="G598" t="inlineStr">
        <is>
          <t>5</t>
        </is>
      </c>
      <c r="H598" s="703">
        <f>Y598/J598</f>
        <v/>
      </c>
      <c r="I598" s="704" t="n">
        <v>43167</v>
      </c>
      <c r="J598" t="n">
        <v>10220</v>
      </c>
      <c r="L598" t="n">
        <v>10220</v>
      </c>
      <c r="M598" t="n">
        <v>1983</v>
      </c>
      <c r="R598" t="inlineStr">
        <is>
          <t>Average</t>
        </is>
      </c>
      <c r="S598" t="n">
        <v>44938</v>
      </c>
      <c r="T598" s="119">
        <f>S598/J598</f>
        <v/>
      </c>
      <c r="U598" t="inlineStr">
        <is>
          <t>Average</t>
        </is>
      </c>
      <c r="Y598" t="n">
        <v>1390000</v>
      </c>
      <c r="AA598" t="n">
        <v>1390000</v>
      </c>
      <c r="AC598" t="inlineStr">
        <is>
          <t>0182517104050</t>
        </is>
      </c>
      <c r="AD598" t="inlineStr">
        <is>
          <t>2018000019896</t>
        </is>
      </c>
      <c r="AE598" t="inlineStr">
        <is>
          <t>PASSTIME COLORADO PROPERTIES LLC</t>
        </is>
      </c>
      <c r="AF598" t="inlineStr">
        <is>
          <t>LEGER PROPERTY GROUP LLC</t>
        </is>
      </c>
      <c r="AI598" s="59">
        <f>IF(AND($E598=Subj_OccCode,Subj_BldgSF&gt;0,ABS($L598-Subj_BldgSF)&lt;=Subj_BldgSF*Subj_SizeTol),ABS($L598-Subj_BldgSF),NA())</f>
        <v/>
      </c>
      <c r="AJ598">
        <f>IF(ISNA(AI598),NA(),AI598+ROW()/10000000)</f>
        <v/>
      </c>
      <c r="AK598">
        <f>IF(AND(ISNUMBER($N598),$N598&gt;0,ISNUMBER($Y598)),$Y598/$N598,"")</f>
        <v/>
      </c>
    </row>
    <row r="599" ht="15" customHeight="1" s="518">
      <c r="A599" s="123" t="n">
        <v>8</v>
      </c>
      <c r="B599" s="59" t="n">
        <v>594</v>
      </c>
      <c r="C599" t="inlineStr">
        <is>
          <t>R0037823</t>
        </is>
      </c>
      <c r="D599" t="inlineStr">
        <is>
          <t>10795  IRMA DR</t>
        </is>
      </c>
      <c r="E599" t="n">
        <v>406</v>
      </c>
      <c r="F599" t="inlineStr">
        <is>
          <t>NORTHGLENN</t>
        </is>
      </c>
      <c r="G599" t="inlineStr">
        <is>
          <t>4</t>
        </is>
      </c>
      <c r="H599" s="703">
        <f>Y599/J599</f>
        <v/>
      </c>
      <c r="I599" s="704" t="n">
        <v>43448</v>
      </c>
      <c r="J599" t="n">
        <v>4000</v>
      </c>
      <c r="L599" t="n">
        <v>4000</v>
      </c>
      <c r="M599" t="n">
        <v>1974</v>
      </c>
      <c r="R599" t="inlineStr">
        <is>
          <t>Average</t>
        </is>
      </c>
      <c r="S599" t="n">
        <v>35086</v>
      </c>
      <c r="T599" s="119">
        <f>S599/J599</f>
        <v/>
      </c>
      <c r="U599" t="inlineStr">
        <is>
          <t>Average</t>
        </is>
      </c>
      <c r="Y599" t="n">
        <v>860000</v>
      </c>
      <c r="AA599" t="n">
        <v>860000</v>
      </c>
      <c r="AC599" t="inlineStr">
        <is>
          <t>0171911110002</t>
        </is>
      </c>
      <c r="AD599" t="inlineStr">
        <is>
          <t>2018000100590</t>
        </is>
      </c>
      <c r="AE599" t="inlineStr">
        <is>
          <t>MITCHELL ANTHONY C</t>
        </is>
      </c>
      <c r="AF599" t="inlineStr">
        <is>
          <t>JAMES RUSSELL PROPERTIES LLC</t>
        </is>
      </c>
      <c r="AI599" s="59">
        <f>IF(AND($E599=Subj_OccCode,Subj_BldgSF&gt;0,ABS($L599-Subj_BldgSF)&lt;=Subj_BldgSF*Subj_SizeTol),ABS($L599-Subj_BldgSF),NA())</f>
        <v/>
      </c>
      <c r="AJ599">
        <f>IF(ISNA(AI599),NA(),AI599+ROW()/10000000)</f>
        <v/>
      </c>
      <c r="AK599">
        <f>IF(AND(ISNUMBER($N599),$N599&gt;0,ISNUMBER($Y599)),$Y599/$N599,"")</f>
        <v/>
      </c>
    </row>
    <row r="600" ht="15" customHeight="1" s="518">
      <c r="A600" s="123" t="n">
        <v>8</v>
      </c>
      <c r="B600" s="59" t="n">
        <v>595</v>
      </c>
      <c r="C600" t="inlineStr">
        <is>
          <t>R0118776</t>
        </is>
      </c>
      <c r="D600" t="inlineStr">
        <is>
          <t>6071 E 72ND AVE</t>
        </is>
      </c>
      <c r="E600" t="n">
        <v>319</v>
      </c>
      <c r="F600" t="inlineStr">
        <is>
          <t>COMMERCE CITY</t>
        </is>
      </c>
      <c r="G600" t="inlineStr">
        <is>
          <t>5</t>
        </is>
      </c>
      <c r="H600" s="703">
        <f>Y600/J600</f>
        <v/>
      </c>
      <c r="I600" s="704" t="n">
        <v>43654</v>
      </c>
      <c r="J600" t="n">
        <v>7880</v>
      </c>
      <c r="L600" t="n">
        <v>7880</v>
      </c>
      <c r="M600" t="n">
        <v>2004</v>
      </c>
      <c r="R600" t="inlineStr">
        <is>
          <t>Good</t>
        </is>
      </c>
      <c r="S600" t="n">
        <v>33671.88</v>
      </c>
      <c r="T600" s="119">
        <f>S600/J600</f>
        <v/>
      </c>
      <c r="U600" t="inlineStr">
        <is>
          <t>Average</t>
        </is>
      </c>
      <c r="Y600" t="n">
        <v>1335000</v>
      </c>
      <c r="AA600" t="n">
        <v>1335000</v>
      </c>
      <c r="AC600" t="inlineStr">
        <is>
          <t>0172132309021</t>
        </is>
      </c>
      <c r="AD600" t="inlineStr">
        <is>
          <t>2019000054501</t>
        </is>
      </c>
      <c r="AE600" t="inlineStr">
        <is>
          <t>PETERMAN INVESTMENTS LLC</t>
        </is>
      </c>
      <c r="AF600" t="inlineStr">
        <is>
          <t>LEGER PROPERTY GROUP LLC</t>
        </is>
      </c>
      <c r="AI600" s="59">
        <f>IF(AND($E600=Subj_OccCode,Subj_BldgSF&gt;0,ABS($L600-Subj_BldgSF)&lt;=Subj_BldgSF*Subj_SizeTol),ABS($L600-Subj_BldgSF),NA())</f>
        <v/>
      </c>
      <c r="AJ600">
        <f>IF(ISNA(AI600),NA(),AI600+ROW()/10000000)</f>
        <v/>
      </c>
      <c r="AK600">
        <f>IF(AND(ISNUMBER($N600),$N600&gt;0,ISNUMBER($Y600)),$Y600/$N600,"")</f>
        <v/>
      </c>
    </row>
    <row r="601" ht="15" customHeight="1" s="518">
      <c r="A601" s="123" t="n">
        <v>8</v>
      </c>
      <c r="B601" s="59" t="n">
        <v>596</v>
      </c>
      <c r="C601" t="inlineStr">
        <is>
          <t>R0137582</t>
        </is>
      </c>
      <c r="D601" t="inlineStr">
        <is>
          <t>5610  PECOS ST</t>
        </is>
      </c>
      <c r="E601" t="n">
        <v>406</v>
      </c>
      <c r="G601" t="inlineStr">
        <is>
          <t>5</t>
        </is>
      </c>
      <c r="H601" s="703">
        <f>Y601/J601</f>
        <v/>
      </c>
      <c r="I601" s="704" t="n">
        <v>43250</v>
      </c>
      <c r="J601" t="n">
        <v>17399</v>
      </c>
      <c r="L601" t="n">
        <v>17399</v>
      </c>
      <c r="M601" t="n">
        <v>2004</v>
      </c>
      <c r="R601" t="inlineStr">
        <is>
          <t>Average</t>
        </is>
      </c>
      <c r="S601" t="n">
        <v>321860.48</v>
      </c>
      <c r="T601" s="119">
        <f>S601/J601</f>
        <v/>
      </c>
      <c r="U601" t="inlineStr">
        <is>
          <t>Average</t>
        </is>
      </c>
      <c r="Y601" t="n">
        <v>4150000</v>
      </c>
      <c r="AA601" t="n">
        <v>4150000</v>
      </c>
      <c r="AC601" t="inlineStr">
        <is>
          <t>0182516102004</t>
        </is>
      </c>
      <c r="AD601" t="inlineStr">
        <is>
          <t>2018000049454</t>
        </is>
      </c>
      <c r="AE601" t="inlineStr">
        <is>
          <t>MERCHANTS METALS LLC</t>
        </is>
      </c>
      <c r="AF601" t="inlineStr">
        <is>
          <t>RINGSBY TERMINALS INC</t>
        </is>
      </c>
      <c r="AI601" s="59">
        <f>IF(AND($E601=Subj_OccCode,Subj_BldgSF&gt;0,ABS($L601-Subj_BldgSF)&lt;=Subj_BldgSF*Subj_SizeTol),ABS($L601-Subj_BldgSF),NA())</f>
        <v/>
      </c>
      <c r="AJ601">
        <f>IF(ISNA(AI601),NA(),AI601+ROW()/10000000)</f>
        <v/>
      </c>
      <c r="AK601">
        <f>IF(AND(ISNUMBER($N601),$N601&gt;0,ISNUMBER($Y601)),$Y601/$N601,"")</f>
        <v/>
      </c>
    </row>
    <row r="602" ht="15" customHeight="1" s="518">
      <c r="A602" s="123" t="n">
        <v>8</v>
      </c>
      <c r="B602" s="59" t="n">
        <v>597</v>
      </c>
      <c r="C602" t="inlineStr">
        <is>
          <t>R0051858</t>
        </is>
      </c>
      <c r="D602" t="inlineStr">
        <is>
          <t>1540  EPPINGER BLVD</t>
        </is>
      </c>
      <c r="E602" t="n">
        <v>426</v>
      </c>
      <c r="F602" t="inlineStr">
        <is>
          <t>THORNTON</t>
        </is>
      </c>
      <c r="G602" t="inlineStr">
        <is>
          <t>4</t>
        </is>
      </c>
      <c r="H602" s="703">
        <f>Y602/J602</f>
        <v/>
      </c>
      <c r="I602" s="704" t="n">
        <v>43675</v>
      </c>
      <c r="J602" t="n">
        <v>2428</v>
      </c>
      <c r="L602" t="n">
        <v>2428</v>
      </c>
      <c r="M602" t="n">
        <v>1954</v>
      </c>
      <c r="P602" t="inlineStr">
        <is>
          <t>Single Family Detached</t>
        </is>
      </c>
      <c r="R602" t="inlineStr">
        <is>
          <t>Average</t>
        </is>
      </c>
      <c r="S602" t="n">
        <v>6500</v>
      </c>
      <c r="T602" s="119">
        <f>S602/J602</f>
        <v/>
      </c>
      <c r="U602" t="inlineStr">
        <is>
          <t>Fair</t>
        </is>
      </c>
      <c r="Y602" t="n">
        <v>327000</v>
      </c>
      <c r="AA602" t="n">
        <v>327000</v>
      </c>
      <c r="AC602" t="inlineStr">
        <is>
          <t>0171923116018</t>
        </is>
      </c>
      <c r="AD602" t="inlineStr">
        <is>
          <t>2019000072976</t>
        </is>
      </c>
      <c r="AE602" t="inlineStr">
        <is>
          <t>ACCION NEW MEXICO INC , DBA ACCION NEW MEXICO-ARIZONA-COLORADO</t>
        </is>
      </c>
      <c r="AF602" t="inlineStr">
        <is>
          <t>1540 EPPINGER BLVD LLC</t>
        </is>
      </c>
      <c r="AI602" s="59">
        <f>IF(AND($E602=Subj_OccCode,Subj_BldgSF&gt;0,ABS($L602-Subj_BldgSF)&lt;=Subj_BldgSF*Subj_SizeTol),ABS($L602-Subj_BldgSF),NA())</f>
        <v/>
      </c>
      <c r="AJ602">
        <f>IF(ISNA(AI602),NA(),AI602+ROW()/10000000)</f>
        <v/>
      </c>
      <c r="AK602">
        <f>IF(AND(ISNUMBER($N602),$N602&gt;0,ISNUMBER($Y602)),$Y602/$N602,"")</f>
        <v/>
      </c>
    </row>
    <row r="603" ht="15" customHeight="1" s="518">
      <c r="A603" s="123" t="n">
        <v>8</v>
      </c>
      <c r="B603" s="59" t="n">
        <v>598</v>
      </c>
      <c r="C603" t="inlineStr">
        <is>
          <t>R0141086</t>
        </is>
      </c>
      <c r="D603" t="inlineStr">
        <is>
          <t>37700  CESSNA WAY #1E</t>
        </is>
      </c>
      <c r="E603" t="n">
        <v>328</v>
      </c>
      <c r="G603" t="inlineStr">
        <is>
          <t>1</t>
        </is>
      </c>
      <c r="H603" s="703">
        <f>Y603/J603</f>
        <v/>
      </c>
      <c r="I603" s="704" t="n">
        <v>44715</v>
      </c>
      <c r="J603" t="n">
        <v>2900</v>
      </c>
      <c r="L603" t="n">
        <v>2900</v>
      </c>
      <c r="M603" t="n">
        <v>2001</v>
      </c>
      <c r="R603" t="inlineStr">
        <is>
          <t>Average</t>
        </is>
      </c>
      <c r="T603" s="119">
        <f>S603/J603</f>
        <v/>
      </c>
      <c r="U603" t="inlineStr">
        <is>
          <t>Average</t>
        </is>
      </c>
      <c r="Y603" t="n">
        <v>250000</v>
      </c>
      <c r="AA603" t="n">
        <v>250000</v>
      </c>
      <c r="AC603" t="inlineStr">
        <is>
          <t>0181715201002</t>
        </is>
      </c>
      <c r="AD603" t="inlineStr">
        <is>
          <t>2022000049868</t>
        </is>
      </c>
      <c r="AE603" t="inlineStr">
        <is>
          <t>KOONTZ DENNIS E AND, KOONTZ CELESTE N</t>
        </is>
      </c>
      <c r="AF603" t="inlineStr">
        <is>
          <t>CFO HANGAR LLC</t>
        </is>
      </c>
      <c r="AI603" s="59">
        <f>IF(AND($E603=Subj_OccCode,Subj_BldgSF&gt;0,ABS($L603-Subj_BldgSF)&lt;=Subj_BldgSF*Subj_SizeTol),ABS($L603-Subj_BldgSF),NA())</f>
        <v/>
      </c>
      <c r="AJ603">
        <f>IF(ISNA(AI603),NA(),AI603+ROW()/10000000)</f>
        <v/>
      </c>
      <c r="AK603">
        <f>IF(AND(ISNUMBER($N603),$N603&gt;0,ISNUMBER($Y603)),$Y603/$N603,"")</f>
        <v/>
      </c>
    </row>
    <row r="604" ht="15" customHeight="1" s="518">
      <c r="A604" s="123" t="n">
        <v>8</v>
      </c>
      <c r="B604" s="59" t="n">
        <v>600</v>
      </c>
      <c r="C604" t="inlineStr">
        <is>
          <t>R0138741</t>
        </is>
      </c>
      <c r="D604" t="inlineStr">
        <is>
          <t>10410  MELODY DR</t>
        </is>
      </c>
      <c r="E604" t="n">
        <v>419</v>
      </c>
      <c r="F604" t="inlineStr">
        <is>
          <t>NORTHGLENN</t>
        </is>
      </c>
      <c r="G604" t="inlineStr">
        <is>
          <t>4</t>
        </is>
      </c>
      <c r="H604" s="703">
        <f>Y604/J604</f>
        <v/>
      </c>
      <c r="I604" s="704" t="n">
        <v>44182</v>
      </c>
      <c r="J604" t="n">
        <v>2995</v>
      </c>
      <c r="L604" t="n">
        <v>2995</v>
      </c>
      <c r="M604" t="n">
        <v>1989</v>
      </c>
      <c r="P604" t="inlineStr">
        <is>
          <t>C-5-Nor</t>
        </is>
      </c>
      <c r="R604" t="inlineStr">
        <is>
          <t>Average</t>
        </is>
      </c>
      <c r="S604" t="n">
        <v>22500</v>
      </c>
      <c r="T604" s="119">
        <f>S604/J604</f>
        <v/>
      </c>
      <c r="U604" t="inlineStr">
        <is>
          <t>Average</t>
        </is>
      </c>
      <c r="Y604" t="n">
        <v>2200000</v>
      </c>
      <c r="AA604" t="n">
        <v>2200000</v>
      </c>
      <c r="AC604" t="inlineStr">
        <is>
          <t>0171910302012</t>
        </is>
      </c>
      <c r="AD604" t="inlineStr">
        <is>
          <t>2020000137537</t>
        </is>
      </c>
      <c r="AE604" t="inlineStr">
        <is>
          <t>MP NORTHGLENN LLC, C/O THE HUTENSKY GROUP LLC</t>
        </is>
      </c>
      <c r="AF604" t="inlineStr">
        <is>
          <t>PISCIOTTA LARRY F 28% UND INT AND ET AL, C/O RED ARROW CAPITAL</t>
        </is>
      </c>
      <c r="AI604" s="59">
        <f>IF(AND($E604=Subj_OccCode,Subj_BldgSF&gt;0,ABS($L604-Subj_BldgSF)&lt;=Subj_BldgSF*Subj_SizeTol),ABS($L604-Subj_BldgSF),NA())</f>
        <v/>
      </c>
      <c r="AJ604">
        <f>IF(ISNA(AI604),NA(),AI604+ROW()/10000000)</f>
        <v/>
      </c>
      <c r="AK604">
        <f>IF(AND(ISNUMBER($N604),$N604&gt;0,ISNUMBER($Y604)),$Y604/$N604,"")</f>
        <v/>
      </c>
    </row>
    <row r="605" ht="15" customHeight="1" s="518">
      <c r="A605" s="123" t="n">
        <v>8</v>
      </c>
      <c r="B605" s="59" t="n">
        <v>601</v>
      </c>
      <c r="C605" t="inlineStr">
        <is>
          <t>R0178850</t>
        </is>
      </c>
      <c r="D605" t="inlineStr">
        <is>
          <t>10337  WASHINGTON ST</t>
        </is>
      </c>
      <c r="E605" t="n">
        <v>353</v>
      </c>
      <c r="F605" t="inlineStr">
        <is>
          <t>THORNTON</t>
        </is>
      </c>
      <c r="G605" t="inlineStr">
        <is>
          <t>4</t>
        </is>
      </c>
      <c r="H605" s="703">
        <f>Y605/J605</f>
        <v/>
      </c>
      <c r="I605" s="704" t="n">
        <v>44595</v>
      </c>
      <c r="J605" t="n">
        <v>14980</v>
      </c>
      <c r="L605" t="n">
        <v>14980</v>
      </c>
      <c r="M605" t="n">
        <v>2009</v>
      </c>
      <c r="P605" t="inlineStr">
        <is>
          <t>Community Retail</t>
        </is>
      </c>
      <c r="R605" t="inlineStr">
        <is>
          <t>Low</t>
        </is>
      </c>
      <c r="S605" t="n">
        <v>90147</v>
      </c>
      <c r="T605" s="119">
        <f>S605/J605</f>
        <v/>
      </c>
      <c r="U605" t="inlineStr">
        <is>
          <t>Average</t>
        </is>
      </c>
      <c r="Y605" t="n">
        <v>7783050</v>
      </c>
      <c r="AA605" t="n">
        <v>7783050</v>
      </c>
      <c r="AC605" t="inlineStr">
        <is>
          <t>0171915109002</t>
        </is>
      </c>
      <c r="AD605" t="inlineStr">
        <is>
          <t>2022000012148</t>
        </is>
      </c>
      <c r="AE605" t="inlineStr">
        <is>
          <t>US-STABLE-P1 10337 WASHINGTON STREET THORNTON LLC</t>
        </is>
      </c>
      <c r="AF605" t="inlineStr">
        <is>
          <t>KEYSTONE 1031 NET LEASED PORTFOLIO II DST</t>
        </is>
      </c>
      <c r="AI605" s="59">
        <f>IF(AND($E605=Subj_OccCode,Subj_BldgSF&gt;0,ABS($L605-Subj_BldgSF)&lt;=Subj_BldgSF*Subj_SizeTol),ABS($L605-Subj_BldgSF),NA())</f>
        <v/>
      </c>
      <c r="AJ605">
        <f>IF(ISNA(AI605),NA(),AI605+ROW()/10000000)</f>
        <v/>
      </c>
      <c r="AK605">
        <f>IF(AND(ISNUMBER($N605),$N605&gt;0,ISNUMBER($Y605)),$Y605/$N605,"")</f>
        <v/>
      </c>
    </row>
    <row r="606" ht="15" customHeight="1" s="518">
      <c r="A606" s="123" t="n">
        <v>8</v>
      </c>
      <c r="B606" s="59" t="n">
        <v>602</v>
      </c>
      <c r="C606" t="inlineStr">
        <is>
          <t>R0173800</t>
        </is>
      </c>
      <c r="D606" t="inlineStr">
        <is>
          <t>12302 E 104TH PL</t>
        </is>
      </c>
      <c r="E606" t="n">
        <v>353</v>
      </c>
      <c r="F606" t="inlineStr">
        <is>
          <t>COMMERCE CITY</t>
        </is>
      </c>
      <c r="G606" t="inlineStr">
        <is>
          <t>2</t>
        </is>
      </c>
      <c r="H606" s="703">
        <f>Y606/J606</f>
        <v/>
      </c>
      <c r="I606" s="704" t="n">
        <v>44225</v>
      </c>
      <c r="J606" t="n">
        <v>4720</v>
      </c>
      <c r="L606" t="n">
        <v>4720</v>
      </c>
      <c r="M606" t="n">
        <v>2007</v>
      </c>
      <c r="P606" t="inlineStr">
        <is>
          <t>PUD-Com</t>
        </is>
      </c>
      <c r="R606" t="inlineStr">
        <is>
          <t>Average</t>
        </is>
      </c>
      <c r="S606" t="n">
        <v>53215</v>
      </c>
      <c r="T606" s="119">
        <f>S606/J606</f>
        <v/>
      </c>
      <c r="U606" t="inlineStr">
        <is>
          <t>Average</t>
        </is>
      </c>
      <c r="Y606" t="n">
        <v>2600000</v>
      </c>
      <c r="AA606" t="n">
        <v>2600000</v>
      </c>
      <c r="AC606" t="inlineStr">
        <is>
          <t>0172112303067</t>
        </is>
      </c>
      <c r="AD606" t="inlineStr">
        <is>
          <t>2021000011477</t>
        </is>
      </c>
      <c r="AE606" t="inlineStr">
        <is>
          <t>PIERCE STREET PROPERTIES LLC</t>
        </is>
      </c>
      <c r="AF606" t="inlineStr">
        <is>
          <t>2401 RR LLC</t>
        </is>
      </c>
      <c r="AI606" s="59">
        <f>IF(AND($E606=Subj_OccCode,Subj_BldgSF&gt;0,ABS($L606-Subj_BldgSF)&lt;=Subj_BldgSF*Subj_SizeTol),ABS($L606-Subj_BldgSF),NA())</f>
        <v/>
      </c>
      <c r="AJ606">
        <f>IF(ISNA(AI606),NA(),AI606+ROW()/10000000)</f>
        <v/>
      </c>
      <c r="AK606">
        <f>IF(AND(ISNUMBER($N606),$N606&gt;0,ISNUMBER($Y606)),$Y606/$N606,"")</f>
        <v/>
      </c>
    </row>
    <row r="607" ht="15" customHeight="1" s="518">
      <c r="A607" s="123" t="n">
        <v>8</v>
      </c>
      <c r="B607" s="59" t="n">
        <v>603</v>
      </c>
      <c r="C607" t="inlineStr">
        <is>
          <t>R0155372</t>
        </is>
      </c>
      <c r="D607" t="inlineStr">
        <is>
          <t>1101 W 62ND AVE</t>
        </is>
      </c>
      <c r="E607" t="n">
        <v>406</v>
      </c>
      <c r="G607" t="inlineStr">
        <is>
          <t>5</t>
        </is>
      </c>
      <c r="H607" s="703">
        <f>Y607/J607</f>
        <v/>
      </c>
      <c r="I607" s="704" t="n">
        <v>43249</v>
      </c>
      <c r="J607" t="n">
        <v>3500</v>
      </c>
      <c r="L607" t="n">
        <v>3500</v>
      </c>
      <c r="M607" t="n">
        <v>2008</v>
      </c>
      <c r="R607" t="inlineStr">
        <is>
          <t>Average</t>
        </is>
      </c>
      <c r="S607" t="n">
        <v>30759</v>
      </c>
      <c r="T607" s="119">
        <f>S607/J607</f>
        <v/>
      </c>
      <c r="U607" t="inlineStr">
        <is>
          <t>Average</t>
        </is>
      </c>
      <c r="Y607" t="n">
        <v>406000</v>
      </c>
      <c r="AA607" t="n">
        <v>406000</v>
      </c>
      <c r="AC607" t="inlineStr">
        <is>
          <t>0182509100052</t>
        </is>
      </c>
      <c r="AD607" t="inlineStr">
        <is>
          <t>2018000043358</t>
        </is>
      </c>
      <c r="AE607" t="inlineStr">
        <is>
          <t>TEJEDA COSME S</t>
        </is>
      </c>
      <c r="AF607" t="inlineStr">
        <is>
          <t>MARTINEZ ORLANDO</t>
        </is>
      </c>
      <c r="AI607" s="59">
        <f>IF(AND($E607=Subj_OccCode,Subj_BldgSF&gt;0,ABS($L607-Subj_BldgSF)&lt;=Subj_BldgSF*Subj_SizeTol),ABS($L607-Subj_BldgSF),NA())</f>
        <v/>
      </c>
      <c r="AJ607">
        <f>IF(ISNA(AI607),NA(),AI607+ROW()/10000000)</f>
        <v/>
      </c>
      <c r="AK607">
        <f>IF(AND(ISNUMBER($N607),$N607&gt;0,ISNUMBER($Y607)),$Y607/$N607,"")</f>
        <v/>
      </c>
    </row>
    <row r="608" ht="15" customHeight="1" s="518">
      <c r="A608" s="123" t="n">
        <v>8</v>
      </c>
      <c r="B608" s="59" t="n">
        <v>604</v>
      </c>
      <c r="C608" t="inlineStr">
        <is>
          <t>R0178237</t>
        </is>
      </c>
      <c r="D608" t="inlineStr">
        <is>
          <t>12295  PENNSYLVANIA ST</t>
        </is>
      </c>
      <c r="E608" t="n">
        <v>425</v>
      </c>
      <c r="F608" t="inlineStr">
        <is>
          <t>THORNTON</t>
        </is>
      </c>
      <c r="G608" t="inlineStr">
        <is>
          <t>3</t>
        </is>
      </c>
      <c r="H608" s="703">
        <f>Y608/J608</f>
        <v/>
      </c>
      <c r="I608" s="704" t="n">
        <v>44218</v>
      </c>
      <c r="J608" t="n">
        <v>10372</v>
      </c>
      <c r="L608" t="n">
        <v>10372</v>
      </c>
      <c r="M608" t="n">
        <v>2007</v>
      </c>
      <c r="P608" t="inlineStr">
        <is>
          <t>Business Park</t>
        </is>
      </c>
      <c r="R608" t="inlineStr">
        <is>
          <t>Average</t>
        </is>
      </c>
      <c r="S608" t="n">
        <v>9086.379999999999</v>
      </c>
      <c r="T608" s="119">
        <f>S608/J608</f>
        <v/>
      </c>
      <c r="U608" t="inlineStr">
        <is>
          <t>Average</t>
        </is>
      </c>
      <c r="Y608" t="n">
        <v>350000</v>
      </c>
      <c r="AA608" t="n">
        <v>350000</v>
      </c>
      <c r="AC608" t="inlineStr">
        <is>
          <t>0157334405010</t>
        </is>
      </c>
      <c r="AD608" t="inlineStr">
        <is>
          <t>2021000008722</t>
        </is>
      </c>
      <c r="AE608" t="inlineStr">
        <is>
          <t>PENN INVESTMENT LLC</t>
        </is>
      </c>
      <c r="AF608" t="inlineStr">
        <is>
          <t>RIVERDANCE LAND COMPANY LLC</t>
        </is>
      </c>
      <c r="AI608" s="59">
        <f>IF(AND($E608=Subj_OccCode,Subj_BldgSF&gt;0,ABS($L608-Subj_BldgSF)&lt;=Subj_BldgSF*Subj_SizeTol),ABS($L608-Subj_BldgSF),NA())</f>
        <v/>
      </c>
      <c r="AJ608">
        <f>IF(ISNA(AI608),NA(),AI608+ROW()/10000000)</f>
        <v/>
      </c>
      <c r="AK608">
        <f>IF(AND(ISNUMBER($N608),$N608&gt;0,ISNUMBER($Y608)),$Y608/$N608,"")</f>
        <v/>
      </c>
    </row>
    <row r="609" ht="15" customHeight="1" s="518">
      <c r="A609" s="123" t="n">
        <v>8</v>
      </c>
      <c r="B609" s="59" t="n">
        <v>605</v>
      </c>
      <c r="C609" t="inlineStr">
        <is>
          <t>R0169173</t>
        </is>
      </c>
      <c r="D609" t="inlineStr">
        <is>
          <t>2751 W 120TH AVE</t>
        </is>
      </c>
      <c r="E609" t="n">
        <v>353</v>
      </c>
      <c r="F609" t="inlineStr">
        <is>
          <t>WESTMINSTER</t>
        </is>
      </c>
      <c r="G609" t="inlineStr">
        <is>
          <t>3</t>
        </is>
      </c>
      <c r="H609" s="703">
        <f>Y609/J609</f>
        <v/>
      </c>
      <c r="I609" s="704" t="n">
        <v>44050</v>
      </c>
      <c r="J609" t="n">
        <v>6306</v>
      </c>
      <c r="L609" t="n">
        <v>6306</v>
      </c>
      <c r="M609" t="n">
        <v>2006</v>
      </c>
      <c r="P609" t="inlineStr">
        <is>
          <t>PUD-Wes</t>
        </is>
      </c>
      <c r="R609" t="inlineStr">
        <is>
          <t>Good</t>
        </is>
      </c>
      <c r="S609" t="n">
        <v>40087</v>
      </c>
      <c r="T609" s="119">
        <f>S609/J609</f>
        <v/>
      </c>
      <c r="U609" t="inlineStr">
        <is>
          <t>Average</t>
        </is>
      </c>
      <c r="Y609" t="n">
        <v>1641000</v>
      </c>
      <c r="AA609" t="n">
        <v>1641000</v>
      </c>
      <c r="AC609" t="inlineStr">
        <is>
          <t>0157332401012</t>
        </is>
      </c>
      <c r="AD609" t="inlineStr">
        <is>
          <t>2020000076366</t>
        </is>
      </c>
      <c r="AE609" t="inlineStr">
        <is>
          <t>FIG JOINT VENTURE LLC</t>
        </is>
      </c>
      <c r="AF609" t="inlineStr">
        <is>
          <t>R &amp; R PROPERTIES LLC</t>
        </is>
      </c>
      <c r="AI609" s="59">
        <f>IF(AND($E609=Subj_OccCode,Subj_BldgSF&gt;0,ABS($L609-Subj_BldgSF)&lt;=Subj_BldgSF*Subj_SizeTol),ABS($L609-Subj_BldgSF),NA())</f>
        <v/>
      </c>
      <c r="AJ609">
        <f>IF(ISNA(AI609),NA(),AI609+ROW()/10000000)</f>
        <v/>
      </c>
      <c r="AK609">
        <f>IF(AND(ISNUMBER($N609),$N609&gt;0,ISNUMBER($Y609)),$Y609/$N609,"")</f>
        <v/>
      </c>
    </row>
    <row r="610" ht="15" customHeight="1" s="518">
      <c r="A610" s="123" t="n">
        <v>8</v>
      </c>
      <c r="B610" s="59" t="n">
        <v>606</v>
      </c>
      <c r="C610" t="inlineStr">
        <is>
          <t>R0165671</t>
        </is>
      </c>
      <c r="D610" t="inlineStr">
        <is>
          <t>37800  ASTRA WAY #5E</t>
        </is>
      </c>
      <c r="E610" t="n">
        <v>409</v>
      </c>
      <c r="G610" t="inlineStr">
        <is>
          <t>1</t>
        </is>
      </c>
      <c r="H610" s="703">
        <f>Y610/J610</f>
        <v/>
      </c>
      <c r="I610" s="704" t="n">
        <v>44244</v>
      </c>
      <c r="J610" t="n">
        <v>1234</v>
      </c>
      <c r="L610" t="n">
        <v>1234</v>
      </c>
      <c r="M610" t="n">
        <v>2002</v>
      </c>
      <c r="R610" t="inlineStr">
        <is>
          <t>Average</t>
        </is>
      </c>
      <c r="T610" s="119">
        <f>S610/J610</f>
        <v/>
      </c>
      <c r="U610" t="inlineStr">
        <is>
          <t>Average</t>
        </is>
      </c>
      <c r="Y610" t="n">
        <v>65000</v>
      </c>
      <c r="AA610" t="n">
        <v>65000</v>
      </c>
      <c r="AC610" t="inlineStr">
        <is>
          <t>0181715309011</t>
        </is>
      </c>
      <c r="AD610" t="inlineStr">
        <is>
          <t>2021000019693</t>
        </is>
      </c>
      <c r="AE610" t="inlineStr">
        <is>
          <t>COLORADO HANGARS LLC</t>
        </is>
      </c>
      <c r="AF610" t="inlineStr">
        <is>
          <t>SPACEPORT HANGARS LLC</t>
        </is>
      </c>
      <c r="AI610" s="59">
        <f>IF(AND($E610=Subj_OccCode,Subj_BldgSF&gt;0,ABS($L610-Subj_BldgSF)&lt;=Subj_BldgSF*Subj_SizeTol),ABS($L610-Subj_BldgSF),NA())</f>
        <v/>
      </c>
      <c r="AJ610">
        <f>IF(ISNA(AI610),NA(),AI610+ROW()/10000000)</f>
        <v/>
      </c>
      <c r="AK610">
        <f>IF(AND(ISNUMBER($N610),$N610&gt;0,ISNUMBER($Y610)),$Y610/$N610,"")</f>
        <v/>
      </c>
    </row>
    <row r="611" ht="15" customHeight="1" s="518">
      <c r="A611" s="123" t="n">
        <v>8</v>
      </c>
      <c r="B611" s="59" t="n">
        <v>607</v>
      </c>
      <c r="C611" t="inlineStr">
        <is>
          <t>R0051118</t>
        </is>
      </c>
      <c r="D611" t="inlineStr">
        <is>
          <t>9190  HURON ST</t>
        </is>
      </c>
      <c r="E611" t="n">
        <v>419</v>
      </c>
      <c r="F611" t="inlineStr">
        <is>
          <t>THORNTON</t>
        </is>
      </c>
      <c r="G611" t="inlineStr">
        <is>
          <t>4</t>
        </is>
      </c>
      <c r="H611" s="703">
        <f>Y611/J611</f>
        <v/>
      </c>
      <c r="I611" s="704" t="n">
        <v>43118</v>
      </c>
      <c r="J611" t="n">
        <v>1713</v>
      </c>
      <c r="L611" t="n">
        <v>1713</v>
      </c>
      <c r="M611" t="n">
        <v>1971</v>
      </c>
      <c r="P611" t="inlineStr">
        <is>
          <t>Thornton</t>
        </is>
      </c>
      <c r="R611" t="inlineStr">
        <is>
          <t>Average</t>
        </is>
      </c>
      <c r="S611" t="n">
        <v>41411</v>
      </c>
      <c r="T611" s="119">
        <f>S611/J611</f>
        <v/>
      </c>
      <c r="U611" t="inlineStr">
        <is>
          <t>Average</t>
        </is>
      </c>
      <c r="Y611" t="n">
        <v>2266000</v>
      </c>
      <c r="AA611" t="n">
        <v>2266000</v>
      </c>
      <c r="AC611" t="inlineStr">
        <is>
          <t>0171922300005</t>
        </is>
      </c>
      <c r="AD611" t="inlineStr">
        <is>
          <t>2018000006854</t>
        </is>
      </c>
      <c r="AE611" t="inlineStr">
        <is>
          <t>H D T FIFTEEN LIMITED, LIABILITY COMPANY</t>
        </is>
      </c>
      <c r="AF611" t="inlineStr">
        <is>
          <t>CH REALTY VIII/CG CO WESTERN LLC</t>
        </is>
      </c>
      <c r="AI611" s="59">
        <f>IF(AND($E611=Subj_OccCode,Subj_BldgSF&gt;0,ABS($L611-Subj_BldgSF)&lt;=Subj_BldgSF*Subj_SizeTol),ABS($L611-Subj_BldgSF),NA())</f>
        <v/>
      </c>
      <c r="AJ611">
        <f>IF(ISNA(AI611),NA(),AI611+ROW()/10000000)</f>
        <v/>
      </c>
      <c r="AK611">
        <f>IF(AND(ISNUMBER($N611),$N611&gt;0,ISNUMBER($Y611)),$Y611/$N611,"")</f>
        <v/>
      </c>
    </row>
    <row r="612" ht="15" customHeight="1" s="518">
      <c r="A612" s="123" t="n">
        <v>8</v>
      </c>
      <c r="B612" s="59" t="n">
        <v>608</v>
      </c>
      <c r="C612" t="inlineStr">
        <is>
          <t>R0051118</t>
        </is>
      </c>
      <c r="D612" t="inlineStr">
        <is>
          <t>9190  HURON ST</t>
        </is>
      </c>
      <c r="E612" t="n">
        <v>419</v>
      </c>
      <c r="F612" t="inlineStr">
        <is>
          <t>THORNTON</t>
        </is>
      </c>
      <c r="G612" t="inlineStr">
        <is>
          <t>4</t>
        </is>
      </c>
      <c r="H612" s="703">
        <f>Y612/J612</f>
        <v/>
      </c>
      <c r="I612" s="704" t="n">
        <v>44592</v>
      </c>
      <c r="J612" t="n">
        <v>1713</v>
      </c>
      <c r="L612" t="n">
        <v>1713</v>
      </c>
      <c r="M612" t="n">
        <v>1971</v>
      </c>
      <c r="P612" t="inlineStr">
        <is>
          <t>Community Retail</t>
        </is>
      </c>
      <c r="R612" t="inlineStr">
        <is>
          <t>Average</t>
        </is>
      </c>
      <c r="S612" t="n">
        <v>41411</v>
      </c>
      <c r="T612" s="119">
        <f>S612/J612</f>
        <v/>
      </c>
      <c r="U612" t="inlineStr">
        <is>
          <t>Average</t>
        </is>
      </c>
      <c r="Y612" t="n">
        <v>2495000</v>
      </c>
      <c r="AA612" t="n">
        <v>2495000</v>
      </c>
      <c r="AC612" t="inlineStr">
        <is>
          <t>0171922300005</t>
        </is>
      </c>
      <c r="AD612" t="inlineStr">
        <is>
          <t>2022000012044</t>
        </is>
      </c>
      <c r="AE612" t="inlineStr">
        <is>
          <t>CF ALTITUDE PROPCO II LLC</t>
        </is>
      </c>
      <c r="AF612" t="inlineStr">
        <is>
          <t>DYCHES FAMILY LLC</t>
        </is>
      </c>
      <c r="AI612" s="59">
        <f>IF(AND($E612=Subj_OccCode,Subj_BldgSF&gt;0,ABS($L612-Subj_BldgSF)&lt;=Subj_BldgSF*Subj_SizeTol),ABS($L612-Subj_BldgSF),NA())</f>
        <v/>
      </c>
      <c r="AJ612">
        <f>IF(ISNA(AI612),NA(),AI612+ROW()/10000000)</f>
        <v/>
      </c>
      <c r="AK612">
        <f>IF(AND(ISNUMBER($N612),$N612&gt;0,ISNUMBER($Y612)),$Y612/$N612,"")</f>
        <v/>
      </c>
    </row>
    <row r="613" ht="15" customHeight="1" s="518">
      <c r="A613" s="123" t="n">
        <v>8</v>
      </c>
      <c r="B613" s="59" t="n">
        <v>609</v>
      </c>
      <c r="C613" t="inlineStr">
        <is>
          <t>R0174043</t>
        </is>
      </c>
      <c r="D613" t="inlineStr">
        <is>
          <t>2761 W 120TH AVE #220</t>
        </is>
      </c>
      <c r="E613" t="n">
        <v>1344</v>
      </c>
      <c r="F613" t="inlineStr">
        <is>
          <t>WESTMINSTER</t>
        </is>
      </c>
      <c r="G613" t="inlineStr">
        <is>
          <t>3</t>
        </is>
      </c>
      <c r="H613" s="703">
        <f>Y613/J613</f>
        <v/>
      </c>
      <c r="I613" s="704" t="n">
        <v>44659</v>
      </c>
      <c r="J613" t="n">
        <v>1689</v>
      </c>
      <c r="L613" t="n">
        <v>1689</v>
      </c>
      <c r="M613" t="n">
        <v>2006</v>
      </c>
      <c r="P613" t="inlineStr">
        <is>
          <t>PUD-Wes</t>
        </is>
      </c>
      <c r="R613" t="inlineStr">
        <is>
          <t>Average</t>
        </is>
      </c>
      <c r="S613" t="n">
        <v>7699.56</v>
      </c>
      <c r="T613" s="119">
        <f>S613/J613</f>
        <v/>
      </c>
      <c r="U613" t="inlineStr">
        <is>
          <t>Average</t>
        </is>
      </c>
      <c r="Y613" t="n">
        <v>632500</v>
      </c>
      <c r="AA613" t="n">
        <v>632500</v>
      </c>
      <c r="AC613" t="inlineStr">
        <is>
          <t>0157332401020</t>
        </is>
      </c>
      <c r="AD613" t="inlineStr">
        <is>
          <t>2022000032186</t>
        </is>
      </c>
      <c r="AE613" t="inlineStr">
        <is>
          <t>RML REAL ESTATE LLC</t>
        </is>
      </c>
      <c r="AF613" t="inlineStr">
        <is>
          <t>NYGAARD SPELLMAN REAL ESTATE LLC</t>
        </is>
      </c>
      <c r="AI613" s="59">
        <f>IF(AND($E613=Subj_OccCode,Subj_BldgSF&gt;0,ABS($L613-Subj_BldgSF)&lt;=Subj_BldgSF*Subj_SizeTol),ABS($L613-Subj_BldgSF),NA())</f>
        <v/>
      </c>
      <c r="AJ613">
        <f>IF(ISNA(AI613),NA(),AI613+ROW()/10000000)</f>
        <v/>
      </c>
      <c r="AK613">
        <f>IF(AND(ISNUMBER($N613),$N613&gt;0,ISNUMBER($Y613)),$Y613/$N613,"")</f>
        <v/>
      </c>
    </row>
    <row r="614" ht="15" customHeight="1" s="518">
      <c r="A614" s="123" t="n">
        <v>8</v>
      </c>
      <c r="B614" s="59" t="n">
        <v>610</v>
      </c>
      <c r="C614" t="inlineStr">
        <is>
          <t>R0173177</t>
        </is>
      </c>
      <c r="D614" t="inlineStr">
        <is>
          <t>2761 W 120TH AVE #110</t>
        </is>
      </c>
      <c r="E614" t="n">
        <v>1344</v>
      </c>
      <c r="F614" t="inlineStr">
        <is>
          <t>WESTMINSTER</t>
        </is>
      </c>
      <c r="G614" t="inlineStr">
        <is>
          <t>3</t>
        </is>
      </c>
      <c r="H614" s="703">
        <f>Y614/J614</f>
        <v/>
      </c>
      <c r="I614" s="704" t="n">
        <v>44533</v>
      </c>
      <c r="J614" t="n">
        <v>3761</v>
      </c>
      <c r="L614" t="n">
        <v>3761</v>
      </c>
      <c r="M614" t="n">
        <v>2006</v>
      </c>
      <c r="P614" t="inlineStr">
        <is>
          <t>PUD-Wes</t>
        </is>
      </c>
      <c r="R614" t="inlineStr">
        <is>
          <t>Average</t>
        </is>
      </c>
      <c r="S614" t="n">
        <v>17499</v>
      </c>
      <c r="T614" s="119">
        <f>S614/J614</f>
        <v/>
      </c>
      <c r="U614" t="inlineStr">
        <is>
          <t>Average</t>
        </is>
      </c>
      <c r="Y614" t="n">
        <v>1078000</v>
      </c>
      <c r="AA614" t="n">
        <v>1078000</v>
      </c>
      <c r="AC614" t="inlineStr">
        <is>
          <t>0157332401016</t>
        </is>
      </c>
      <c r="AD614" t="inlineStr">
        <is>
          <t>2021000148340</t>
        </is>
      </c>
      <c r="AE614" t="inlineStr">
        <is>
          <t>GOLD CROWN LLC</t>
        </is>
      </c>
      <c r="AF614" t="inlineStr">
        <is>
          <t>S &amp; E PROPERTIES LLC</t>
        </is>
      </c>
      <c r="AI614" s="59">
        <f>IF(AND($E614=Subj_OccCode,Subj_BldgSF&gt;0,ABS($L614-Subj_BldgSF)&lt;=Subj_BldgSF*Subj_SizeTol),ABS($L614-Subj_BldgSF),NA())</f>
        <v/>
      </c>
      <c r="AJ614">
        <f>IF(ISNA(AI614),NA(),AI614+ROW()/10000000)</f>
        <v/>
      </c>
      <c r="AK614">
        <f>IF(AND(ISNUMBER($N614),$N614&gt;0,ISNUMBER($Y614)),$Y614/$N614,"")</f>
        <v/>
      </c>
    </row>
    <row r="615" ht="15" customHeight="1" s="518">
      <c r="A615" s="123" t="n">
        <v>8</v>
      </c>
      <c r="B615" s="59" t="n">
        <v>611</v>
      </c>
      <c r="C615" t="inlineStr">
        <is>
          <t>R0003495</t>
        </is>
      </c>
      <c r="D615" t="inlineStr">
        <is>
          <t>618  BRIDGE ST</t>
        </is>
      </c>
      <c r="E615" t="n">
        <v>344</v>
      </c>
      <c r="F615" t="inlineStr">
        <is>
          <t>BRIGHTON</t>
        </is>
      </c>
      <c r="G615" t="inlineStr">
        <is>
          <t>2</t>
        </is>
      </c>
      <c r="H615" s="703">
        <f>Y615/J615</f>
        <v/>
      </c>
      <c r="I615" s="704" t="n">
        <v>43145</v>
      </c>
      <c r="J615" t="n">
        <v>912</v>
      </c>
      <c r="L615" t="n">
        <v>912</v>
      </c>
      <c r="M615" t="n">
        <v>1918</v>
      </c>
      <c r="P615" t="inlineStr">
        <is>
          <t>Brighton</t>
        </is>
      </c>
      <c r="R615" t="inlineStr">
        <is>
          <t>Average</t>
        </is>
      </c>
      <c r="S615" t="n">
        <v>6250</v>
      </c>
      <c r="T615" s="119">
        <f>S615/J615</f>
        <v/>
      </c>
      <c r="U615" t="inlineStr">
        <is>
          <t>Average</t>
        </is>
      </c>
      <c r="Y615" t="n">
        <v>153000</v>
      </c>
      <c r="AA615" t="n">
        <v>153000</v>
      </c>
      <c r="AC615" t="inlineStr">
        <is>
          <t>0156907105019</t>
        </is>
      </c>
      <c r="AD615" t="inlineStr">
        <is>
          <t>2018000013213</t>
        </is>
      </c>
      <c r="AE615" t="inlineStr">
        <is>
          <t>SER ENTERPRISES LLC</t>
        </is>
      </c>
      <c r="AF615" t="inlineStr">
        <is>
          <t>MOLINARO SAMUEL AND , MOLINARO PAMELA</t>
        </is>
      </c>
      <c r="AI615" s="59">
        <f>IF(AND($E615=Subj_OccCode,Subj_BldgSF&gt;0,ABS($L615-Subj_BldgSF)&lt;=Subj_BldgSF*Subj_SizeTol),ABS($L615-Subj_BldgSF),NA())</f>
        <v/>
      </c>
      <c r="AJ615">
        <f>IF(ISNA(AI615),NA(),AI615+ROW()/10000000)</f>
        <v/>
      </c>
      <c r="AK615">
        <f>IF(AND(ISNUMBER($N615),$N615&gt;0,ISNUMBER($Y615)),$Y615/$N615,"")</f>
        <v/>
      </c>
    </row>
    <row r="616" ht="15" customHeight="1" s="518">
      <c r="A616" s="123" t="n">
        <v>8</v>
      </c>
      <c r="B616" s="59" t="n">
        <v>612</v>
      </c>
      <c r="C616" t="inlineStr">
        <is>
          <t>R0082008</t>
        </is>
      </c>
      <c r="D616" t="inlineStr">
        <is>
          <t>56841 E COLFAX AVE</t>
        </is>
      </c>
      <c r="E616" t="n">
        <v>344</v>
      </c>
      <c r="G616" t="inlineStr">
        <is>
          <t>1</t>
        </is>
      </c>
      <c r="H616" s="703">
        <f>Y616/J616</f>
        <v/>
      </c>
      <c r="I616" s="704" t="n">
        <v>44012</v>
      </c>
      <c r="J616" t="n">
        <v>952</v>
      </c>
      <c r="L616" t="n">
        <v>952</v>
      </c>
      <c r="M616" t="n">
        <v>1954</v>
      </c>
      <c r="P616" t="inlineStr">
        <is>
          <t>Commercial</t>
        </is>
      </c>
      <c r="R616" t="inlineStr">
        <is>
          <t>Average</t>
        </is>
      </c>
      <c r="S616" t="n">
        <v>9375</v>
      </c>
      <c r="T616" s="119">
        <f>S616/J616</f>
        <v/>
      </c>
      <c r="U616" t="inlineStr">
        <is>
          <t>Average</t>
        </is>
      </c>
      <c r="Y616" t="n">
        <v>220000</v>
      </c>
      <c r="AA616" t="n">
        <v>220000</v>
      </c>
      <c r="AC616" t="inlineStr">
        <is>
          <t>0181333423006</t>
        </is>
      </c>
      <c r="AD616" t="inlineStr">
        <is>
          <t>2020000060499</t>
        </is>
      </c>
      <c r="AE616" t="inlineStr">
        <is>
          <t>COYOTE CREEK PROPERTY LLC</t>
        </is>
      </c>
      <c r="AF616" t="inlineStr">
        <is>
          <t>VARGAS MANUEL AND, VARGAS DEBBIE</t>
        </is>
      </c>
      <c r="AI616" s="59">
        <f>IF(AND($E616=Subj_OccCode,Subj_BldgSF&gt;0,ABS($L616-Subj_BldgSF)&lt;=Subj_BldgSF*Subj_SizeTol),ABS($L616-Subj_BldgSF),NA())</f>
        <v/>
      </c>
      <c r="AJ616">
        <f>IF(ISNA(AI616),NA(),AI616+ROW()/10000000)</f>
        <v/>
      </c>
      <c r="AK616">
        <f>IF(AND(ISNUMBER($N616),$N616&gt;0,ISNUMBER($Y616)),$Y616/$N616,"")</f>
        <v/>
      </c>
    </row>
    <row r="617" ht="15" customHeight="1" s="518">
      <c r="A617" s="123" t="n">
        <v>8</v>
      </c>
      <c r="B617" s="59" t="n">
        <v>613</v>
      </c>
      <c r="C617" t="inlineStr">
        <is>
          <t>R0102985</t>
        </is>
      </c>
      <c r="D617" t="inlineStr">
        <is>
          <t>5861  TENNYSON ST</t>
        </is>
      </c>
      <c r="E617" t="n">
        <v>334</v>
      </c>
      <c r="F617" t="inlineStr">
        <is>
          <t>ARVADA</t>
        </is>
      </c>
      <c r="G617" t="inlineStr">
        <is>
          <t>5</t>
        </is>
      </c>
      <c r="H617" s="703">
        <f>Y617/J617</f>
        <v/>
      </c>
      <c r="I617" s="704" t="n">
        <v>44733</v>
      </c>
      <c r="J617" t="n">
        <v>80640</v>
      </c>
      <c r="L617" t="n">
        <v>80640</v>
      </c>
      <c r="M617" t="n">
        <v>2000</v>
      </c>
      <c r="P617" t="inlineStr">
        <is>
          <t>I-1-Arv</t>
        </is>
      </c>
      <c r="R617" t="inlineStr">
        <is>
          <t>Good</t>
        </is>
      </c>
      <c r="S617" t="n">
        <v>230428</v>
      </c>
      <c r="T617" s="119">
        <f>S617/J617</f>
        <v/>
      </c>
      <c r="U617" t="inlineStr">
        <is>
          <t>Average</t>
        </is>
      </c>
      <c r="Y617" t="n">
        <v>9000000</v>
      </c>
      <c r="AA617" t="n">
        <v>9000000</v>
      </c>
      <c r="AC617" t="inlineStr">
        <is>
          <t>0182507305001</t>
        </is>
      </c>
      <c r="AD617" t="inlineStr">
        <is>
          <t>2022000054931</t>
        </is>
      </c>
      <c r="AE617" t="inlineStr">
        <is>
          <t>PKS ARVADA LLC, C/O PRIORITY PLASTICS INC</t>
        </is>
      </c>
      <c r="AF617" t="inlineStr">
        <is>
          <t>L&amp;L DRY CREEK LLC</t>
        </is>
      </c>
      <c r="AI617" s="59">
        <f>IF(AND($E617=Subj_OccCode,Subj_BldgSF&gt;0,ABS($L617-Subj_BldgSF)&lt;=Subj_BldgSF*Subj_SizeTol),ABS($L617-Subj_BldgSF),NA())</f>
        <v/>
      </c>
      <c r="AJ617">
        <f>IF(ISNA(AI617),NA(),AI617+ROW()/10000000)</f>
        <v/>
      </c>
      <c r="AK617">
        <f>IF(AND(ISNUMBER($N617),$N617&gt;0,ISNUMBER($Y617)),$Y617/$N617,"")</f>
        <v/>
      </c>
    </row>
    <row r="618" ht="15" customHeight="1" s="518">
      <c r="A618" s="123" t="n">
        <v>8</v>
      </c>
      <c r="B618" s="59" t="n">
        <v>614</v>
      </c>
      <c r="C618" t="inlineStr">
        <is>
          <t>R0058113</t>
        </is>
      </c>
      <c r="D618" t="inlineStr">
        <is>
          <t>8490  PEARL ST</t>
        </is>
      </c>
      <c r="E618" t="n">
        <v>325</v>
      </c>
      <c r="F618" t="inlineStr">
        <is>
          <t>THORNTON</t>
        </is>
      </c>
      <c r="G618" t="inlineStr">
        <is>
          <t>4</t>
        </is>
      </c>
      <c r="H618" s="703">
        <f>Y618/J618</f>
        <v/>
      </c>
      <c r="I618" s="704" t="n">
        <v>44516</v>
      </c>
      <c r="J618" t="n">
        <v>4530</v>
      </c>
      <c r="L618" t="n">
        <v>4530</v>
      </c>
      <c r="M618" t="n">
        <v>1962</v>
      </c>
      <c r="P618" t="inlineStr">
        <is>
          <t>Regional Commercial</t>
        </is>
      </c>
      <c r="R618" t="inlineStr">
        <is>
          <t>Average</t>
        </is>
      </c>
      <c r="S618" t="n">
        <v>13650</v>
      </c>
      <c r="T618" s="119">
        <f>S618/J618</f>
        <v/>
      </c>
      <c r="U618" t="inlineStr">
        <is>
          <t>Average</t>
        </is>
      </c>
      <c r="Y618" t="n">
        <v>1300000</v>
      </c>
      <c r="AA618" t="n">
        <v>1300000</v>
      </c>
      <c r="AC618" t="inlineStr">
        <is>
          <t>0171927100024</t>
        </is>
      </c>
      <c r="AD618" t="inlineStr">
        <is>
          <t>2021000134845</t>
        </is>
      </c>
      <c r="AE618" t="inlineStr">
        <is>
          <t>DRAWE JUSTIN L</t>
        </is>
      </c>
      <c r="AF618" t="inlineStr">
        <is>
          <t>8490 PEARL LLC</t>
        </is>
      </c>
      <c r="AI618" s="59">
        <f>IF(AND($E618=Subj_OccCode,Subj_BldgSF&gt;0,ABS($L618-Subj_BldgSF)&lt;=Subj_BldgSF*Subj_SizeTol),ABS($L618-Subj_BldgSF),NA())</f>
        <v/>
      </c>
      <c r="AJ618">
        <f>IF(ISNA(AI618),NA(),AI618+ROW()/10000000)</f>
        <v/>
      </c>
      <c r="AK618">
        <f>IF(AND(ISNUMBER($N618),$N618&gt;0,ISNUMBER($Y618)),$Y618/$N618,"")</f>
        <v/>
      </c>
    </row>
    <row r="619" ht="15" customHeight="1" s="518">
      <c r="A619" s="123" t="n">
        <v>8</v>
      </c>
      <c r="B619" s="59" t="n">
        <v>615</v>
      </c>
      <c r="C619" t="inlineStr">
        <is>
          <t>R0173166</t>
        </is>
      </c>
      <c r="D619" t="inlineStr">
        <is>
          <t>11154  HURON ST #103</t>
        </is>
      </c>
      <c r="E619" t="n">
        <v>1344</v>
      </c>
      <c r="F619" t="inlineStr">
        <is>
          <t>NORTHGLENN</t>
        </is>
      </c>
      <c r="G619" t="inlineStr">
        <is>
          <t>4</t>
        </is>
      </c>
      <c r="H619" s="703">
        <f>Y619/J619</f>
        <v/>
      </c>
      <c r="I619" s="704" t="n">
        <v>44523</v>
      </c>
      <c r="J619" t="n">
        <v>1500</v>
      </c>
      <c r="L619" t="n">
        <v>1500</v>
      </c>
      <c r="M619" t="n">
        <v>2001</v>
      </c>
      <c r="P619" t="inlineStr">
        <is>
          <t>C-0-Nor</t>
        </is>
      </c>
      <c r="R619" t="inlineStr">
        <is>
          <t>Average</t>
        </is>
      </c>
      <c r="S619" t="n">
        <v>5862</v>
      </c>
      <c r="T619" s="119">
        <f>S619/J619</f>
        <v/>
      </c>
      <c r="U619" t="inlineStr">
        <is>
          <t>Average</t>
        </is>
      </c>
      <c r="Y619" t="n">
        <v>335000</v>
      </c>
      <c r="AA619" t="n">
        <v>335000</v>
      </c>
      <c r="AC619" t="inlineStr">
        <is>
          <t>0171910205045</t>
        </is>
      </c>
      <c r="AD619" t="inlineStr">
        <is>
          <t>2021000136965</t>
        </is>
      </c>
      <c r="AE619" t="inlineStr">
        <is>
          <t>LUCERO LAND TRUST</t>
        </is>
      </c>
      <c r="AF619" t="inlineStr">
        <is>
          <t>CHANCE LAND TRUST L L C</t>
        </is>
      </c>
      <c r="AI619" s="59">
        <f>IF(AND($E619=Subj_OccCode,Subj_BldgSF&gt;0,ABS($L619-Subj_BldgSF)&lt;=Subj_BldgSF*Subj_SizeTol),ABS($L619-Subj_BldgSF),NA())</f>
        <v/>
      </c>
      <c r="AJ619">
        <f>IF(ISNA(AI619),NA(),AI619+ROW()/10000000)</f>
        <v/>
      </c>
      <c r="AK619">
        <f>IF(AND(ISNUMBER($N619),$N619&gt;0,ISNUMBER($Y619)),$Y619/$N619,"")</f>
        <v/>
      </c>
    </row>
    <row r="620" ht="15" customHeight="1" s="518">
      <c r="A620" s="123" t="n">
        <v>8</v>
      </c>
      <c r="B620" s="59" t="n">
        <v>616</v>
      </c>
      <c r="C620" t="inlineStr">
        <is>
          <t>R0173170</t>
        </is>
      </c>
      <c r="D620" t="inlineStr">
        <is>
          <t>11154  HURON ST #207</t>
        </is>
      </c>
      <c r="E620" t="n">
        <v>1344</v>
      </c>
      <c r="F620" t="inlineStr">
        <is>
          <t>NORTHGLENN</t>
        </is>
      </c>
      <c r="G620" t="inlineStr">
        <is>
          <t>4</t>
        </is>
      </c>
      <c r="H620" s="703">
        <f>Y620/J620</f>
        <v/>
      </c>
      <c r="I620" s="704" t="n">
        <v>44470</v>
      </c>
      <c r="J620" t="n">
        <v>1829</v>
      </c>
      <c r="L620" t="n">
        <v>1829</v>
      </c>
      <c r="M620" t="n">
        <v>2001</v>
      </c>
      <c r="P620" t="inlineStr">
        <is>
          <t>C-0-Nor</t>
        </is>
      </c>
      <c r="R620" t="inlineStr">
        <is>
          <t>Average</t>
        </is>
      </c>
      <c r="S620" t="n">
        <v>5862</v>
      </c>
      <c r="T620" s="119">
        <f>S620/J620</f>
        <v/>
      </c>
      <c r="U620" t="inlineStr">
        <is>
          <t>Average</t>
        </is>
      </c>
      <c r="Y620" t="n">
        <v>330000</v>
      </c>
      <c r="AA620" t="n">
        <v>330000</v>
      </c>
      <c r="AC620" t="inlineStr">
        <is>
          <t>0171910205049</t>
        </is>
      </c>
      <c r="AD620" t="inlineStr">
        <is>
          <t>2021000116826</t>
        </is>
      </c>
      <c r="AE620" t="inlineStr">
        <is>
          <t>LUCERO LAND TRUST</t>
        </is>
      </c>
      <c r="AF620" t="inlineStr">
        <is>
          <t>CYNOSURA LLC</t>
        </is>
      </c>
      <c r="AI620" s="59">
        <f>IF(AND($E620=Subj_OccCode,Subj_BldgSF&gt;0,ABS($L620-Subj_BldgSF)&lt;=Subj_BldgSF*Subj_SizeTol),ABS($L620-Subj_BldgSF),NA())</f>
        <v/>
      </c>
      <c r="AJ620">
        <f>IF(ISNA(AI620),NA(),AI620+ROW()/10000000)</f>
        <v/>
      </c>
      <c r="AK620">
        <f>IF(AND(ISNUMBER($N620),$N620&gt;0,ISNUMBER($Y620)),$Y620/$N620,"")</f>
        <v/>
      </c>
    </row>
    <row r="621" ht="15" customHeight="1" s="518">
      <c r="A621" s="123" t="n">
        <v>8</v>
      </c>
      <c r="B621" s="59" t="n">
        <v>617</v>
      </c>
      <c r="C621" t="inlineStr">
        <is>
          <t>R0164391</t>
        </is>
      </c>
      <c r="D621" t="inlineStr">
        <is>
          <t>2611 W 64TH AVE #B</t>
        </is>
      </c>
      <c r="E621" t="n">
        <v>425</v>
      </c>
      <c r="G621" t="inlineStr">
        <is>
          <t>5</t>
        </is>
      </c>
      <c r="H621" s="703">
        <f>Y621/J621</f>
        <v/>
      </c>
      <c r="I621" s="704" t="n">
        <v>44315</v>
      </c>
      <c r="J621" t="n">
        <v>2005</v>
      </c>
      <c r="L621" t="n">
        <v>2005</v>
      </c>
      <c r="M621" t="n">
        <v>2005</v>
      </c>
      <c r="P621" t="inlineStr">
        <is>
          <t>Industrial</t>
        </is>
      </c>
      <c r="R621" t="inlineStr">
        <is>
          <t>Average</t>
        </is>
      </c>
      <c r="S621" t="n">
        <v>10924</v>
      </c>
      <c r="T621" s="119">
        <f>S621/J621</f>
        <v/>
      </c>
      <c r="U621" t="inlineStr">
        <is>
          <t>Average</t>
        </is>
      </c>
      <c r="Y621" t="n">
        <v>395000</v>
      </c>
      <c r="AA621" t="n">
        <v>395000</v>
      </c>
      <c r="AC621" t="inlineStr">
        <is>
          <t>0182505407029</t>
        </is>
      </c>
      <c r="AD621" t="inlineStr">
        <is>
          <t>2021000053410</t>
        </is>
      </c>
      <c r="AE621" t="inlineStr">
        <is>
          <t>RAB77 LLC</t>
        </is>
      </c>
      <c r="AF621" t="inlineStr">
        <is>
          <t>FREEDMAN ROBERT ANDREW AND , FREEDMAN LORI ELAINE</t>
        </is>
      </c>
      <c r="AI621" s="59">
        <f>IF(AND($E621=Subj_OccCode,Subj_BldgSF&gt;0,ABS($L621-Subj_BldgSF)&lt;=Subj_BldgSF*Subj_SizeTol),ABS($L621-Subj_BldgSF),NA())</f>
        <v/>
      </c>
      <c r="AJ621">
        <f>IF(ISNA(AI621),NA(),AI621+ROW()/10000000)</f>
        <v/>
      </c>
      <c r="AK621">
        <f>IF(AND(ISNUMBER($N621),$N621&gt;0,ISNUMBER($Y621)),$Y621/$N621,"")</f>
        <v/>
      </c>
    </row>
    <row r="622" ht="15" customHeight="1" s="518">
      <c r="A622" s="123" t="n">
        <v>8</v>
      </c>
      <c r="B622" s="59" t="n">
        <v>618</v>
      </c>
      <c r="C622" t="inlineStr">
        <is>
          <t>R0150308</t>
        </is>
      </c>
      <c r="D622" t="inlineStr">
        <is>
          <t>7140  IVY ST #F</t>
        </is>
      </c>
      <c r="E622" t="n">
        <v>534</v>
      </c>
      <c r="F622" t="inlineStr">
        <is>
          <t>COMMERCE CITY</t>
        </is>
      </c>
      <c r="G622" t="inlineStr">
        <is>
          <t>2</t>
        </is>
      </c>
      <c r="H622" s="703">
        <f>Y622/J622</f>
        <v/>
      </c>
      <c r="I622" s="704" t="n">
        <v>43328</v>
      </c>
      <c r="J622" t="n">
        <v>1500</v>
      </c>
      <c r="L622" t="n">
        <v>1500</v>
      </c>
      <c r="M622" t="n">
        <v>2002</v>
      </c>
      <c r="R622" t="inlineStr">
        <is>
          <t>Average</t>
        </is>
      </c>
      <c r="S622" t="n">
        <v>6448</v>
      </c>
      <c r="T622" s="119">
        <f>S622/J622</f>
        <v/>
      </c>
      <c r="U622" t="inlineStr">
        <is>
          <t>Average</t>
        </is>
      </c>
      <c r="Y622" t="n">
        <v>250000</v>
      </c>
      <c r="AA622" t="n">
        <v>250000</v>
      </c>
      <c r="AC622" t="inlineStr">
        <is>
          <t>0182305221049</t>
        </is>
      </c>
      <c r="AD622" t="inlineStr">
        <is>
          <t>2018000067294</t>
        </is>
      </c>
      <c r="AE622" t="inlineStr">
        <is>
          <t>IVY IVY LLC</t>
        </is>
      </c>
      <c r="AF622" t="inlineStr">
        <is>
          <t>ALPHAENDEAVOR INC</t>
        </is>
      </c>
      <c r="AI622" s="59">
        <f>IF(AND($E622=Subj_OccCode,Subj_BldgSF&gt;0,ABS($L622-Subj_BldgSF)&lt;=Subj_BldgSF*Subj_SizeTol),ABS($L622-Subj_BldgSF),NA())</f>
        <v/>
      </c>
      <c r="AJ622">
        <f>IF(ISNA(AI622),NA(),AI622+ROW()/10000000)</f>
        <v/>
      </c>
      <c r="AK622">
        <f>IF(AND(ISNUMBER($N622),$N622&gt;0,ISNUMBER($Y622)),$Y622/$N622,"")</f>
        <v/>
      </c>
    </row>
    <row r="623" ht="15" customHeight="1" s="518">
      <c r="A623" s="123" t="n">
        <v>8</v>
      </c>
      <c r="B623" s="59" t="n">
        <v>619</v>
      </c>
      <c r="C623" t="inlineStr">
        <is>
          <t>R0155093</t>
        </is>
      </c>
      <c r="D623" t="inlineStr">
        <is>
          <t>6915  BROADWAY ST</t>
        </is>
      </c>
      <c r="E623" t="n">
        <v>425</v>
      </c>
      <c r="G623" t="inlineStr">
        <is>
          <t>5</t>
        </is>
      </c>
      <c r="H623" s="703">
        <f>Y623/J623</f>
        <v/>
      </c>
      <c r="I623" s="704" t="n">
        <v>43539</v>
      </c>
      <c r="J623" t="n">
        <v>1310</v>
      </c>
      <c r="L623" t="n">
        <v>1310</v>
      </c>
      <c r="M623" t="n">
        <v>2003</v>
      </c>
      <c r="R623" t="inlineStr">
        <is>
          <t>Good</t>
        </is>
      </c>
      <c r="S623" t="n">
        <v>4402</v>
      </c>
      <c r="T623" s="119">
        <f>S623/J623</f>
        <v/>
      </c>
      <c r="U623" t="inlineStr">
        <is>
          <t>Good</t>
        </is>
      </c>
      <c r="Y623" t="n">
        <v>395000</v>
      </c>
      <c r="AA623" t="n">
        <v>395000</v>
      </c>
      <c r="AC623" t="inlineStr">
        <is>
          <t>0182503218038</t>
        </is>
      </c>
      <c r="AD623" t="inlineStr">
        <is>
          <t>2019000024190</t>
        </is>
      </c>
      <c r="AE623" t="inlineStr">
        <is>
          <t>WHAT REAL ESTATE LLC</t>
        </is>
      </c>
      <c r="AF623" t="inlineStr">
        <is>
          <t>MITCHELL BROTHERS HOLDINGS LLC</t>
        </is>
      </c>
      <c r="AI623" s="59">
        <f>IF(AND($E623=Subj_OccCode,Subj_BldgSF&gt;0,ABS($L623-Subj_BldgSF)&lt;=Subj_BldgSF*Subj_SizeTol),ABS($L623-Subj_BldgSF),NA())</f>
        <v/>
      </c>
      <c r="AJ623">
        <f>IF(ISNA(AI623),NA(),AI623+ROW()/10000000)</f>
        <v/>
      </c>
      <c r="AK623">
        <f>IF(AND(ISNUMBER($N623),$N623&gt;0,ISNUMBER($Y623)),$Y623/$N623,"")</f>
        <v/>
      </c>
    </row>
    <row r="624" ht="15" customHeight="1" s="518">
      <c r="A624" s="123" t="n">
        <v>8</v>
      </c>
      <c r="B624" s="59" t="n">
        <v>620</v>
      </c>
      <c r="C624" t="inlineStr">
        <is>
          <t>R0175491</t>
        </is>
      </c>
      <c r="D624" t="inlineStr">
        <is>
          <t>9461 HURON ST</t>
        </is>
      </c>
      <c r="E624" t="n">
        <v>382</v>
      </c>
      <c r="F624" t="inlineStr">
        <is>
          <t>THORNTON</t>
        </is>
      </c>
      <c r="G624" t="inlineStr">
        <is>
          <t>4</t>
        </is>
      </c>
      <c r="H624" s="703">
        <f>Y624/J624</f>
        <v/>
      </c>
      <c r="I624" s="704" t="n">
        <v>43731</v>
      </c>
      <c r="J624" t="n">
        <v>19254</v>
      </c>
      <c r="L624" t="n">
        <v>19254</v>
      </c>
      <c r="M624" t="n">
        <v>2007</v>
      </c>
      <c r="P624" t="inlineStr">
        <is>
          <t>Community Retail</t>
        </is>
      </c>
      <c r="R624" t="inlineStr">
        <is>
          <t>Average</t>
        </is>
      </c>
      <c r="S624" t="n">
        <v>100440</v>
      </c>
      <c r="T624" s="119">
        <f>S624/J624</f>
        <v/>
      </c>
      <c r="U624" t="inlineStr">
        <is>
          <t>Average</t>
        </is>
      </c>
      <c r="Y624" t="n">
        <v>4100000</v>
      </c>
      <c r="AA624" t="n">
        <v>4100000</v>
      </c>
      <c r="AC624" t="inlineStr">
        <is>
          <t>0171921103054</t>
        </is>
      </c>
      <c r="AD624" t="inlineStr">
        <is>
          <t>2019000080708</t>
        </is>
      </c>
      <c r="AE624" t="inlineStr">
        <is>
          <t>NREF THORNTON COLORADO LLC UND 92.60, MARTIN THORNTON COLORADO LLC UND 7.40</t>
        </is>
      </c>
      <c r="AF624" t="inlineStr">
        <is>
          <t>PARAMOUNT COMMERCIAL REALTY LLC</t>
        </is>
      </c>
      <c r="AI624" s="59">
        <f>IF(AND($E624=Subj_OccCode,Subj_BldgSF&gt;0,ABS($L624-Subj_BldgSF)&lt;=Subj_BldgSF*Subj_SizeTol),ABS($L624-Subj_BldgSF),NA())</f>
        <v/>
      </c>
      <c r="AJ624">
        <f>IF(ISNA(AI624),NA(),AI624+ROW()/10000000)</f>
        <v/>
      </c>
      <c r="AK624">
        <f>IF(AND(ISNUMBER($N624),$N624&gt;0,ISNUMBER($Y624)),$Y624/$N624,"")</f>
        <v/>
      </c>
    </row>
    <row r="625" ht="15" customHeight="1" s="518">
      <c r="A625" s="123" t="n">
        <v>8</v>
      </c>
      <c r="B625" s="59" t="n">
        <v>621</v>
      </c>
      <c r="C625" t="inlineStr">
        <is>
          <t>R0168918</t>
        </is>
      </c>
      <c r="D625" t="inlineStr">
        <is>
          <t>640  MALLEY DR</t>
        </is>
      </c>
      <c r="E625" t="n">
        <v>353</v>
      </c>
      <c r="F625" t="inlineStr">
        <is>
          <t>NORTHGLENN</t>
        </is>
      </c>
      <c r="G625" t="inlineStr">
        <is>
          <t>4</t>
        </is>
      </c>
      <c r="H625" s="703">
        <f>Y625/J625</f>
        <v/>
      </c>
      <c r="I625" s="704" t="n">
        <v>44348</v>
      </c>
      <c r="J625" t="n">
        <v>4020</v>
      </c>
      <c r="L625" t="n">
        <v>4020</v>
      </c>
      <c r="M625" t="n">
        <v>1978</v>
      </c>
      <c r="P625" t="inlineStr">
        <is>
          <t>C-4-Nor</t>
        </is>
      </c>
      <c r="R625" t="inlineStr">
        <is>
          <t>Average</t>
        </is>
      </c>
      <c r="S625" t="n">
        <v>36199</v>
      </c>
      <c r="T625" s="119">
        <f>S625/J625</f>
        <v/>
      </c>
      <c r="U625" t="inlineStr">
        <is>
          <t>Average</t>
        </is>
      </c>
      <c r="Y625" t="n">
        <v>838800</v>
      </c>
      <c r="AA625" t="n">
        <v>838800</v>
      </c>
      <c r="AC625" t="inlineStr">
        <is>
          <t>0171903409021</t>
        </is>
      </c>
      <c r="AD625" t="inlineStr">
        <is>
          <t>2021000067049</t>
        </is>
      </c>
      <c r="AE625" t="inlineStr">
        <is>
          <t>QUAN LAWRENCE AND, WU HAN WEN</t>
        </is>
      </c>
      <c r="AF625" t="inlineStr">
        <is>
          <t>XING LONG HOUSE LLC</t>
        </is>
      </c>
      <c r="AI625" s="59">
        <f>IF(AND($E625=Subj_OccCode,Subj_BldgSF&gt;0,ABS($L625-Subj_BldgSF)&lt;=Subj_BldgSF*Subj_SizeTol),ABS($L625-Subj_BldgSF),NA())</f>
        <v/>
      </c>
      <c r="AJ625">
        <f>IF(ISNA(AI625),NA(),AI625+ROW()/10000000)</f>
        <v/>
      </c>
      <c r="AK625">
        <f>IF(AND(ISNUMBER($N625),$N625&gt;0,ISNUMBER($Y625)),$Y625/$N625,"")</f>
        <v/>
      </c>
    </row>
    <row r="626" ht="15" customHeight="1" s="518">
      <c r="A626" s="123" t="n">
        <v>8</v>
      </c>
      <c r="B626" s="59" t="n">
        <v>622</v>
      </c>
      <c r="C626" t="inlineStr">
        <is>
          <t>R0178560</t>
        </is>
      </c>
      <c r="D626" t="inlineStr">
        <is>
          <t>8450 ROSEMARY ST</t>
        </is>
      </c>
      <c r="E626" t="n">
        <v>406</v>
      </c>
      <c r="F626" t="inlineStr">
        <is>
          <t>COMMERCE CITY</t>
        </is>
      </c>
      <c r="G626" t="inlineStr">
        <is>
          <t>5</t>
        </is>
      </c>
      <c r="H626" s="703">
        <f>Y626/J626</f>
        <v/>
      </c>
      <c r="I626" s="704" t="n">
        <v>44687</v>
      </c>
      <c r="J626" t="n">
        <v>18980</v>
      </c>
      <c r="L626" t="n">
        <v>18980</v>
      </c>
      <c r="M626" t="n">
        <v>1972</v>
      </c>
      <c r="P626" t="inlineStr">
        <is>
          <t>I-1-Com</t>
        </is>
      </c>
      <c r="R626" t="inlineStr">
        <is>
          <t>Average</t>
        </is>
      </c>
      <c r="S626" t="n">
        <v>53025.588</v>
      </c>
      <c r="T626" s="119">
        <f>S626/J626</f>
        <v/>
      </c>
      <c r="U626" t="inlineStr">
        <is>
          <t>Average</t>
        </is>
      </c>
      <c r="Y626" t="n">
        <v>3625000</v>
      </c>
      <c r="AA626" t="n">
        <v>3625000</v>
      </c>
      <c r="AC626" t="inlineStr">
        <is>
          <t>0172128212013</t>
        </is>
      </c>
      <c r="AD626" t="inlineStr">
        <is>
          <t>2022000042382</t>
        </is>
      </c>
      <c r="AE626" t="inlineStr">
        <is>
          <t>GLTS HOLDINGS LLC</t>
        </is>
      </c>
      <c r="AF626" t="inlineStr">
        <is>
          <t>ROSEMARY INDUSTRIAL GROUP LLC ET AL</t>
        </is>
      </c>
      <c r="AI626" s="59">
        <f>IF(AND($E626=Subj_OccCode,Subj_BldgSF&gt;0,ABS($L626-Subj_BldgSF)&lt;=Subj_BldgSF*Subj_SizeTol),ABS($L626-Subj_BldgSF),NA())</f>
        <v/>
      </c>
      <c r="AJ626">
        <f>IF(ISNA(AI626),NA(),AI626+ROW()/10000000)</f>
        <v/>
      </c>
      <c r="AK626">
        <f>IF(AND(ISNUMBER($N626),$N626&gt;0,ISNUMBER($Y626)),$Y626/$N626,"")</f>
        <v/>
      </c>
    </row>
    <row r="627" ht="15" customHeight="1" s="518">
      <c r="A627" s="123" t="n">
        <v>8</v>
      </c>
      <c r="B627" s="59" t="n">
        <v>623</v>
      </c>
      <c r="C627" t="inlineStr">
        <is>
          <t>R0132254</t>
        </is>
      </c>
      <c r="D627" t="inlineStr">
        <is>
          <t>9752  HANOVER CT</t>
        </is>
      </c>
      <c r="E627" t="n">
        <v>407</v>
      </c>
      <c r="F627" t="inlineStr">
        <is>
          <t>COMMERCE CITY</t>
        </is>
      </c>
      <c r="G627" t="inlineStr">
        <is>
          <t>5</t>
        </is>
      </c>
      <c r="H627" s="703">
        <f>Y627/J627</f>
        <v/>
      </c>
      <c r="I627" s="704" t="n">
        <v>43983</v>
      </c>
      <c r="J627" t="n">
        <v>14500</v>
      </c>
      <c r="L627" t="n">
        <v>14500</v>
      </c>
      <c r="M627" t="n">
        <v>1999</v>
      </c>
      <c r="P627" t="inlineStr">
        <is>
          <t>PUD-Com</t>
        </is>
      </c>
      <c r="R627" t="inlineStr">
        <is>
          <t>Good</t>
        </is>
      </c>
      <c r="S627" t="n">
        <v>93252</v>
      </c>
      <c r="T627" s="119">
        <f>S627/J627</f>
        <v/>
      </c>
      <c r="U627" t="inlineStr">
        <is>
          <t>Average</t>
        </is>
      </c>
      <c r="Y627" t="n">
        <v>2690000</v>
      </c>
      <c r="AA627" t="n">
        <v>2690000</v>
      </c>
      <c r="AC627" t="inlineStr">
        <is>
          <t>0172115401007</t>
        </is>
      </c>
      <c r="AD627" t="inlineStr">
        <is>
          <t>2020000049018</t>
        </is>
      </c>
      <c r="AE627" t="inlineStr">
        <is>
          <t>HANOVER COURT LLC</t>
        </is>
      </c>
      <c r="AF627" t="inlineStr">
        <is>
          <t>LMS REAL ESTATE LLC</t>
        </is>
      </c>
      <c r="AI627" s="59">
        <f>IF(AND($E627=Subj_OccCode,Subj_BldgSF&gt;0,ABS($L627-Subj_BldgSF)&lt;=Subj_BldgSF*Subj_SizeTol),ABS($L627-Subj_BldgSF),NA())</f>
        <v/>
      </c>
      <c r="AJ627">
        <f>IF(ISNA(AI627),NA(),AI627+ROW()/10000000)</f>
        <v/>
      </c>
      <c r="AK627">
        <f>IF(AND(ISNUMBER($N627),$N627&gt;0,ISNUMBER($Y627)),$Y627/$N627,"")</f>
        <v/>
      </c>
    </row>
    <row r="628" ht="15" customHeight="1" s="518">
      <c r="A628" s="123" t="n">
        <v>8</v>
      </c>
      <c r="B628" s="59" t="n">
        <v>624</v>
      </c>
      <c r="C628" t="inlineStr">
        <is>
          <t>R0179639</t>
        </is>
      </c>
      <c r="D628" t="inlineStr">
        <is>
          <t>18335 E 103RD AVE #203</t>
        </is>
      </c>
      <c r="E628" t="n">
        <v>344</v>
      </c>
      <c r="F628" t="inlineStr">
        <is>
          <t>COMMERCE CITY</t>
        </is>
      </c>
      <c r="G628" t="inlineStr">
        <is>
          <t>2</t>
        </is>
      </c>
      <c r="H628" s="703">
        <f>Y628/J628</f>
        <v/>
      </c>
      <c r="I628" s="704" t="n">
        <v>43900</v>
      </c>
      <c r="J628" t="n">
        <v>2621</v>
      </c>
      <c r="L628" t="n">
        <v>2624</v>
      </c>
      <c r="M628" t="n">
        <v>2010</v>
      </c>
      <c r="P628" t="inlineStr">
        <is>
          <t>PUD-Com</t>
        </is>
      </c>
      <c r="R628" t="inlineStr">
        <is>
          <t>Average</t>
        </is>
      </c>
      <c r="S628" t="n">
        <v>10132</v>
      </c>
      <c r="T628" s="119">
        <f>S628/J628</f>
        <v/>
      </c>
      <c r="U628" t="inlineStr">
        <is>
          <t>Average</t>
        </is>
      </c>
      <c r="Y628" t="n">
        <v>225000</v>
      </c>
      <c r="AA628" t="n">
        <v>225000</v>
      </c>
      <c r="AC628" t="inlineStr">
        <is>
          <t>0172316121024</t>
        </is>
      </c>
      <c r="AD628" t="inlineStr">
        <is>
          <t>2020000023177</t>
        </is>
      </c>
      <c r="AE628" t="inlineStr">
        <is>
          <t>ITSB LLC</t>
        </is>
      </c>
      <c r="AF628" t="inlineStr">
        <is>
          <t>BEALL ROBERT L</t>
        </is>
      </c>
      <c r="AI628" s="59">
        <f>IF(AND($E628=Subj_OccCode,Subj_BldgSF&gt;0,ABS($L628-Subj_BldgSF)&lt;=Subj_BldgSF*Subj_SizeTol),ABS($L628-Subj_BldgSF),NA())</f>
        <v/>
      </c>
      <c r="AJ628">
        <f>IF(ISNA(AI628),NA(),AI628+ROW()/10000000)</f>
        <v/>
      </c>
      <c r="AK628">
        <f>IF(AND(ISNUMBER($N628),$N628&gt;0,ISNUMBER($Y628)),$Y628/$N628,"")</f>
        <v/>
      </c>
    </row>
    <row r="629" ht="15" customHeight="1" s="518">
      <c r="A629" s="123" t="n">
        <v>8</v>
      </c>
      <c r="B629" s="59" t="n">
        <v>625</v>
      </c>
      <c r="C629" t="inlineStr">
        <is>
          <t>R0162825</t>
        </is>
      </c>
      <c r="D629" t="inlineStr">
        <is>
          <t>11495  WASHINGTON ST</t>
        </is>
      </c>
      <c r="E629" t="n">
        <v>436</v>
      </c>
      <c r="F629" t="inlineStr">
        <is>
          <t>NORTHGLENN</t>
        </is>
      </c>
      <c r="G629" t="inlineStr">
        <is>
          <t>4</t>
        </is>
      </c>
      <c r="H629" s="703">
        <f>Y629/J629</f>
        <v/>
      </c>
      <c r="I629" s="704" t="n">
        <v>43147</v>
      </c>
      <c r="J629" t="n">
        <v>5416</v>
      </c>
      <c r="L629" t="n">
        <v>5416</v>
      </c>
      <c r="M629" t="n">
        <v>2006</v>
      </c>
      <c r="R629" t="inlineStr">
        <is>
          <t>Average</t>
        </is>
      </c>
      <c r="S629" t="n">
        <v>35777</v>
      </c>
      <c r="T629" s="119">
        <f>S629/J629</f>
        <v/>
      </c>
      <c r="U629" t="inlineStr">
        <is>
          <t>Average</t>
        </is>
      </c>
      <c r="Y629" t="n">
        <v>950000</v>
      </c>
      <c r="AA629" t="n">
        <v>950000</v>
      </c>
      <c r="AC629" t="inlineStr">
        <is>
          <t>0171903413005</t>
        </is>
      </c>
      <c r="AD629" t="inlineStr">
        <is>
          <t>2018000014328</t>
        </is>
      </c>
      <c r="AE629" t="inlineStr">
        <is>
          <t>BRIGHT LIGHT LLC</t>
        </is>
      </c>
      <c r="AF629" t="inlineStr">
        <is>
          <t>TL &amp; DT LLC</t>
        </is>
      </c>
      <c r="AI629" s="59">
        <f>IF(AND($E629=Subj_OccCode,Subj_BldgSF&gt;0,ABS($L629-Subj_BldgSF)&lt;=Subj_BldgSF*Subj_SizeTol),ABS($L629-Subj_BldgSF),NA())</f>
        <v/>
      </c>
      <c r="AJ629">
        <f>IF(ISNA(AI629),NA(),AI629+ROW()/10000000)</f>
        <v/>
      </c>
      <c r="AK629">
        <f>IF(AND(ISNUMBER($N629),$N629&gt;0,ISNUMBER($Y629)),$Y629/$N629,"")</f>
        <v/>
      </c>
    </row>
    <row r="630" ht="15" customHeight="1" s="518">
      <c r="A630" s="123" t="n">
        <v>8</v>
      </c>
      <c r="B630" s="59" t="n">
        <v>626</v>
      </c>
      <c r="C630" t="inlineStr">
        <is>
          <t>R0155092</t>
        </is>
      </c>
      <c r="D630" t="inlineStr">
        <is>
          <t>6911  BROADWAY ST</t>
        </is>
      </c>
      <c r="E630" t="n">
        <v>425</v>
      </c>
      <c r="G630" t="inlineStr">
        <is>
          <t>5</t>
        </is>
      </c>
      <c r="H630" s="703">
        <f>Y630/J630</f>
        <v/>
      </c>
      <c r="I630" s="704" t="n">
        <v>44153</v>
      </c>
      <c r="J630" t="n">
        <v>2197</v>
      </c>
      <c r="L630" t="n">
        <v>2197</v>
      </c>
      <c r="M630" t="n">
        <v>2003</v>
      </c>
      <c r="P630" t="inlineStr">
        <is>
          <t>Planned Unit Development</t>
        </is>
      </c>
      <c r="R630" t="inlineStr">
        <is>
          <t>Good</t>
        </is>
      </c>
      <c r="S630" t="n">
        <v>4402</v>
      </c>
      <c r="T630" s="119">
        <f>S630/J630</f>
        <v/>
      </c>
      <c r="U630" t="inlineStr">
        <is>
          <t>Good</t>
        </is>
      </c>
      <c r="Y630" t="n">
        <v>395000</v>
      </c>
      <c r="AA630" t="n">
        <v>395000</v>
      </c>
      <c r="AC630" t="inlineStr">
        <is>
          <t>0182503218037</t>
        </is>
      </c>
      <c r="AD630" t="inlineStr">
        <is>
          <t>2020000120628</t>
        </is>
      </c>
      <c r="AE630" t="inlineStr">
        <is>
          <t>BARRIE RANDY L</t>
        </is>
      </c>
      <c r="AF630" t="inlineStr">
        <is>
          <t>GABRIEL RICHARD B</t>
        </is>
      </c>
      <c r="AI630" s="59">
        <f>IF(AND($E630=Subj_OccCode,Subj_BldgSF&gt;0,ABS($L630-Subj_BldgSF)&lt;=Subj_BldgSF*Subj_SizeTol),ABS($L630-Subj_BldgSF),NA())</f>
        <v/>
      </c>
      <c r="AJ630">
        <f>IF(ISNA(AI630),NA(),AI630+ROW()/10000000)</f>
        <v/>
      </c>
      <c r="AK630">
        <f>IF(AND(ISNUMBER($N630),$N630&gt;0,ISNUMBER($Y630)),$Y630/$N630,"")</f>
        <v/>
      </c>
    </row>
    <row r="631" ht="15" customHeight="1" s="518">
      <c r="A631" s="123" t="n">
        <v>8</v>
      </c>
      <c r="B631" s="59" t="n">
        <v>627</v>
      </c>
      <c r="C631" t="inlineStr">
        <is>
          <t>R0165222</t>
        </is>
      </c>
      <c r="D631" t="inlineStr">
        <is>
          <t>18364 E 104TH AVE</t>
        </is>
      </c>
      <c r="E631" t="n">
        <v>353</v>
      </c>
      <c r="F631" t="inlineStr">
        <is>
          <t>COMMERCE CITY</t>
        </is>
      </c>
      <c r="G631" t="inlineStr">
        <is>
          <t>2</t>
        </is>
      </c>
      <c r="H631" s="703">
        <f>Y631/J631</f>
        <v/>
      </c>
      <c r="I631" s="704" t="n">
        <v>43441</v>
      </c>
      <c r="J631" t="n">
        <v>7225</v>
      </c>
      <c r="L631" t="n">
        <v>7225</v>
      </c>
      <c r="M631" t="n">
        <v>2007</v>
      </c>
      <c r="R631" t="inlineStr">
        <is>
          <t>Average</t>
        </is>
      </c>
      <c r="S631" t="n">
        <v>24968</v>
      </c>
      <c r="T631" s="119">
        <f>S631/J631</f>
        <v/>
      </c>
      <c r="U631" t="inlineStr">
        <is>
          <t>Average</t>
        </is>
      </c>
      <c r="Y631" t="n">
        <v>1200000</v>
      </c>
      <c r="AA631" t="n">
        <v>1200000</v>
      </c>
      <c r="AC631" t="inlineStr">
        <is>
          <t>0172316121005</t>
        </is>
      </c>
      <c r="AD631" t="inlineStr">
        <is>
          <t>2018000098261</t>
        </is>
      </c>
      <c r="AE631" t="inlineStr">
        <is>
          <t>BURKE FAMILY INVESTMENT CLUB LLC, FKA BURKE FAMILY INVESTMENT CLUB LLC</t>
        </is>
      </c>
      <c r="AF631" t="inlineStr">
        <is>
          <t>104TH &amp; TOWER LLC</t>
        </is>
      </c>
      <c r="AI631" s="59">
        <f>IF(AND($E631=Subj_OccCode,Subj_BldgSF&gt;0,ABS($L631-Subj_BldgSF)&lt;=Subj_BldgSF*Subj_SizeTol),ABS($L631-Subj_BldgSF),NA())</f>
        <v/>
      </c>
      <c r="AJ631">
        <f>IF(ISNA(AI631),NA(),AI631+ROW()/10000000)</f>
        <v/>
      </c>
      <c r="AK631">
        <f>IF(AND(ISNUMBER($N631),$N631&gt;0,ISNUMBER($Y631)),$Y631/$N631,"")</f>
        <v/>
      </c>
    </row>
    <row r="632" ht="15" customHeight="1" s="518">
      <c r="A632" s="123" t="n">
        <v>8</v>
      </c>
      <c r="B632" s="59" t="n">
        <v>628</v>
      </c>
      <c r="C632" t="inlineStr">
        <is>
          <t>R0174706</t>
        </is>
      </c>
      <c r="D632" t="inlineStr">
        <is>
          <t>21 N 42ND AVE</t>
        </is>
      </c>
      <c r="E632" t="n">
        <v>412</v>
      </c>
      <c r="F632" t="inlineStr">
        <is>
          <t>BRIGHTON</t>
        </is>
      </c>
      <c r="G632" t="inlineStr">
        <is>
          <t>2</t>
        </is>
      </c>
      <c r="H632" s="703">
        <f>Y632/J632</f>
        <v/>
      </c>
      <c r="I632" s="704" t="n">
        <v>43103</v>
      </c>
      <c r="J632" t="n">
        <v>15400</v>
      </c>
      <c r="L632" t="n">
        <v>15400</v>
      </c>
      <c r="M632" t="n">
        <v>2004</v>
      </c>
      <c r="R632" t="inlineStr">
        <is>
          <t>Average</t>
        </is>
      </c>
      <c r="S632" t="n">
        <v>14512</v>
      </c>
      <c r="T632" s="119">
        <f>S632/J632</f>
        <v/>
      </c>
      <c r="U632" t="inlineStr">
        <is>
          <t>Average</t>
        </is>
      </c>
      <c r="Y632" t="n">
        <v>3200000</v>
      </c>
      <c r="AA632" t="n">
        <v>3200000</v>
      </c>
      <c r="AC632" t="inlineStr">
        <is>
          <t>0156903322019</t>
        </is>
      </c>
      <c r="AD632" t="inlineStr">
        <is>
          <t>2018000000861</t>
        </is>
      </c>
      <c r="AE632" t="inlineStr">
        <is>
          <t>BUFFS LANDING WEST LLC</t>
        </is>
      </c>
      <c r="AF632" t="inlineStr">
        <is>
          <t>BACKFLIP LLC</t>
        </is>
      </c>
      <c r="AI632" s="59">
        <f>IF(AND($E632=Subj_OccCode,Subj_BldgSF&gt;0,ABS($L632-Subj_BldgSF)&lt;=Subj_BldgSF*Subj_SizeTol),ABS($L632-Subj_BldgSF),NA())</f>
        <v/>
      </c>
      <c r="AJ632">
        <f>IF(ISNA(AI632),NA(),AI632+ROW()/10000000)</f>
        <v/>
      </c>
      <c r="AK632">
        <f>IF(AND(ISNUMBER($N632),$N632&gt;0,ISNUMBER($Y632)),$Y632/$N632,"")</f>
        <v/>
      </c>
    </row>
    <row r="633" ht="15" customHeight="1" s="518">
      <c r="A633" s="123" t="n">
        <v>8</v>
      </c>
      <c r="B633" s="59" t="n">
        <v>629</v>
      </c>
      <c r="C633" t="inlineStr">
        <is>
          <t>R0178209</t>
        </is>
      </c>
      <c r="D633" t="inlineStr">
        <is>
          <t>8940 COLORADO BLVD</t>
        </is>
      </c>
      <c r="E633" t="n">
        <v>434</v>
      </c>
      <c r="F633" t="inlineStr">
        <is>
          <t>THORNTON</t>
        </is>
      </c>
      <c r="G633" t="inlineStr">
        <is>
          <t>5</t>
        </is>
      </c>
      <c r="H633" s="703">
        <f>Y633/J633</f>
        <v/>
      </c>
      <c r="I633" s="704" t="n">
        <v>43767</v>
      </c>
      <c r="J633" t="n">
        <v>3760</v>
      </c>
      <c r="L633" t="n">
        <v>3760</v>
      </c>
      <c r="M633" t="n">
        <v>2009</v>
      </c>
      <c r="P633" t="inlineStr">
        <is>
          <t>Community Retail</t>
        </is>
      </c>
      <c r="R633" t="inlineStr">
        <is>
          <t>Average</t>
        </is>
      </c>
      <c r="S633" t="n">
        <v>55756.8</v>
      </c>
      <c r="T633" s="119">
        <f>S633/J633</f>
        <v/>
      </c>
      <c r="U633" t="inlineStr">
        <is>
          <t>Average</t>
        </is>
      </c>
      <c r="Y633" t="n">
        <v>950000</v>
      </c>
      <c r="AA633" t="n">
        <v>950000</v>
      </c>
      <c r="AC633" t="inlineStr">
        <is>
          <t>0172119308004</t>
        </is>
      </c>
      <c r="AD633" t="inlineStr">
        <is>
          <t>2019000093682</t>
        </is>
      </c>
      <c r="AE633" t="inlineStr">
        <is>
          <t>NORTH METRO CAR WASH LLC</t>
        </is>
      </c>
      <c r="AF633" t="inlineStr">
        <is>
          <t>RIVERDALE CARWASH LLC</t>
        </is>
      </c>
      <c r="AI633" s="59">
        <f>IF(AND($E633=Subj_OccCode,Subj_BldgSF&gt;0,ABS($L633-Subj_BldgSF)&lt;=Subj_BldgSF*Subj_SizeTol),ABS($L633-Subj_BldgSF),NA())</f>
        <v/>
      </c>
      <c r="AJ633">
        <f>IF(ISNA(AI633),NA(),AI633+ROW()/10000000)</f>
        <v/>
      </c>
      <c r="AK633">
        <f>IF(AND(ISNUMBER($N633),$N633&gt;0,ISNUMBER($Y633)),$Y633/$N633,"")</f>
        <v/>
      </c>
    </row>
    <row r="634" ht="15" customHeight="1" s="518">
      <c r="A634" s="123" t="n">
        <v>8</v>
      </c>
      <c r="B634" s="59" t="n">
        <v>630</v>
      </c>
      <c r="C634" t="inlineStr">
        <is>
          <t>R0179953</t>
        </is>
      </c>
      <c r="D634" t="inlineStr">
        <is>
          <t xml:space="preserve">7770  HIGHWAY 2 </t>
        </is>
      </c>
      <c r="E634" t="n">
        <v>353</v>
      </c>
      <c r="F634" t="inlineStr">
        <is>
          <t>COMMERCE CITY</t>
        </is>
      </c>
      <c r="G634" t="inlineStr">
        <is>
          <t>5</t>
        </is>
      </c>
      <c r="H634" s="703">
        <f>Y634/J634</f>
        <v/>
      </c>
      <c r="I634" s="704" t="n">
        <v>43801</v>
      </c>
      <c r="J634" t="n">
        <v>360</v>
      </c>
      <c r="L634" t="n">
        <v>360</v>
      </c>
      <c r="M634" t="n">
        <v>1967</v>
      </c>
      <c r="P634" t="inlineStr">
        <is>
          <t>C-2-Com</t>
        </is>
      </c>
      <c r="R634" t="inlineStr">
        <is>
          <t>Average</t>
        </is>
      </c>
      <c r="S634" t="n">
        <v>13869</v>
      </c>
      <c r="T634" s="119">
        <f>S634/J634</f>
        <v/>
      </c>
      <c r="U634" t="inlineStr">
        <is>
          <t>Average</t>
        </is>
      </c>
      <c r="Y634" t="n">
        <v>300000</v>
      </c>
      <c r="AA634" t="n">
        <v>300000</v>
      </c>
      <c r="AC634" t="inlineStr">
        <is>
          <t>0172132124017</t>
        </is>
      </c>
      <c r="AD634" t="inlineStr">
        <is>
          <t>2019000106999</t>
        </is>
      </c>
      <c r="AE634" t="inlineStr">
        <is>
          <t>ATENCIO NANCY A AND, ATENCIO ERNEST F</t>
        </is>
      </c>
      <c r="AF634" t="inlineStr">
        <is>
          <t>WELCH 3 INVESTMENTS II LLC</t>
        </is>
      </c>
      <c r="AI634" s="59">
        <f>IF(AND($E634=Subj_OccCode,Subj_BldgSF&gt;0,ABS($L634-Subj_BldgSF)&lt;=Subj_BldgSF*Subj_SizeTol),ABS($L634-Subj_BldgSF),NA())</f>
        <v/>
      </c>
      <c r="AJ634">
        <f>IF(ISNA(AI634),NA(),AI634+ROW()/10000000)</f>
        <v/>
      </c>
      <c r="AK634">
        <f>IF(AND(ISNUMBER($N634),$N634&gt;0,ISNUMBER($Y634)),$Y634/$N634,"")</f>
        <v/>
      </c>
    </row>
    <row r="635" ht="15" customHeight="1" s="518">
      <c r="A635" s="123" t="n">
        <v>8</v>
      </c>
      <c r="B635" s="59" t="n">
        <v>631</v>
      </c>
      <c r="C635" t="inlineStr">
        <is>
          <t>R0088294</t>
        </is>
      </c>
      <c r="D635" t="inlineStr">
        <is>
          <t>6301 E 71ST AVE</t>
        </is>
      </c>
      <c r="E635" t="n">
        <v>325</v>
      </c>
      <c r="F635" t="inlineStr">
        <is>
          <t>COMMERCE CITY</t>
        </is>
      </c>
      <c r="G635" t="inlineStr">
        <is>
          <t>5</t>
        </is>
      </c>
      <c r="H635" s="703">
        <f>Y635/J635</f>
        <v/>
      </c>
      <c r="I635" s="704" t="n">
        <v>44273</v>
      </c>
      <c r="J635" t="n">
        <v>4320</v>
      </c>
      <c r="L635" t="n">
        <v>4320</v>
      </c>
      <c r="M635" t="n">
        <v>1970</v>
      </c>
      <c r="P635" t="inlineStr">
        <is>
          <t>C-3-Com</t>
        </is>
      </c>
      <c r="R635" t="inlineStr">
        <is>
          <t>Average</t>
        </is>
      </c>
      <c r="S635" t="n">
        <v>12075</v>
      </c>
      <c r="T635" s="119">
        <f>S635/J635</f>
        <v/>
      </c>
      <c r="U635" t="inlineStr">
        <is>
          <t>Average</t>
        </is>
      </c>
      <c r="Y635" t="n">
        <v>752000</v>
      </c>
      <c r="AA635" t="n">
        <v>752000</v>
      </c>
      <c r="AC635" t="inlineStr">
        <is>
          <t>0182305203021</t>
        </is>
      </c>
      <c r="AD635" t="inlineStr">
        <is>
          <t>2021000033351</t>
        </is>
      </c>
      <c r="AE635" t="inlineStr">
        <is>
          <t>PARAMOUNT ENTERPRISES LLC</t>
        </is>
      </c>
      <c r="AF635" t="inlineStr">
        <is>
          <t>71ST AVE LLC</t>
        </is>
      </c>
      <c r="AI635" s="59">
        <f>IF(AND($E635=Subj_OccCode,Subj_BldgSF&gt;0,ABS($L635-Subj_BldgSF)&lt;=Subj_BldgSF*Subj_SizeTol),ABS($L635-Subj_BldgSF),NA())</f>
        <v/>
      </c>
      <c r="AJ635">
        <f>IF(ISNA(AI635),NA(),AI635+ROW()/10000000)</f>
        <v/>
      </c>
      <c r="AK635">
        <f>IF(AND(ISNUMBER($N635),$N635&gt;0,ISNUMBER($Y635)),$Y635/$N635,"")</f>
        <v/>
      </c>
    </row>
    <row r="636" ht="15" customHeight="1" s="518">
      <c r="A636" s="123" t="n">
        <v>8</v>
      </c>
      <c r="B636" s="59" t="n">
        <v>632</v>
      </c>
      <c r="C636" t="inlineStr">
        <is>
          <t>R0067136</t>
        </is>
      </c>
      <c r="D636" t="inlineStr">
        <is>
          <t>2957 W 72ND AVE</t>
        </is>
      </c>
      <c r="E636" t="n">
        <v>353</v>
      </c>
      <c r="F636" t="inlineStr">
        <is>
          <t>WESTMINSTER</t>
        </is>
      </c>
      <c r="G636" t="inlineStr">
        <is>
          <t>4</t>
        </is>
      </c>
      <c r="H636" s="703">
        <f>Y636/J636</f>
        <v/>
      </c>
      <c r="I636" s="704" t="n">
        <v>43112</v>
      </c>
      <c r="J636" t="n">
        <v>5145</v>
      </c>
      <c r="L636" t="n">
        <v>5145</v>
      </c>
      <c r="M636" t="n">
        <v>1962</v>
      </c>
      <c r="P636" t="inlineStr">
        <is>
          <t>Westminster</t>
        </is>
      </c>
      <c r="R636" t="inlineStr">
        <is>
          <t>Average</t>
        </is>
      </c>
      <c r="S636" t="n">
        <v>14761</v>
      </c>
      <c r="T636" s="119">
        <f>S636/J636</f>
        <v/>
      </c>
      <c r="U636" t="inlineStr">
        <is>
          <t>Average</t>
        </is>
      </c>
      <c r="Y636" t="n">
        <v>1170000</v>
      </c>
      <c r="AA636" t="n">
        <v>1170000</v>
      </c>
      <c r="AC636" t="inlineStr">
        <is>
          <t>0171932417005</t>
        </is>
      </c>
      <c r="AD636" t="inlineStr">
        <is>
          <t>2018000005633</t>
        </is>
      </c>
      <c r="AE636" t="inlineStr">
        <is>
          <t>WEST CO LLC</t>
        </is>
      </c>
      <c r="AF636" t="inlineStr">
        <is>
          <t>KIM YUNG IK AND , KIM SONG JA</t>
        </is>
      </c>
      <c r="AI636" s="59">
        <f>IF(AND($E636=Subj_OccCode,Subj_BldgSF&gt;0,ABS($L636-Subj_BldgSF)&lt;=Subj_BldgSF*Subj_SizeTol),ABS($L636-Subj_BldgSF),NA())</f>
        <v/>
      </c>
      <c r="AJ636">
        <f>IF(ISNA(AI636),NA(),AI636+ROW()/10000000)</f>
        <v/>
      </c>
      <c r="AK636">
        <f>IF(AND(ISNUMBER($N636),$N636&gt;0,ISNUMBER($Y636)),$Y636/$N636,"")</f>
        <v/>
      </c>
    </row>
    <row r="637" ht="15" customHeight="1" s="518">
      <c r="A637" s="123" t="n">
        <v>8</v>
      </c>
      <c r="B637" s="59" t="n">
        <v>633</v>
      </c>
      <c r="C637" t="inlineStr">
        <is>
          <t>R0059548</t>
        </is>
      </c>
      <c r="D637" t="inlineStr">
        <is>
          <t>2185 W 84TH AVE</t>
        </is>
      </c>
      <c r="E637" t="n">
        <v>325</v>
      </c>
      <c r="G637" t="inlineStr">
        <is>
          <t>4</t>
        </is>
      </c>
      <c r="H637" s="703">
        <f>Y637/J637</f>
        <v/>
      </c>
      <c r="I637" s="704" t="n">
        <v>44685</v>
      </c>
      <c r="J637" t="n">
        <v>2204</v>
      </c>
      <c r="L637" t="n">
        <v>2204</v>
      </c>
      <c r="M637" t="n">
        <v>1967</v>
      </c>
      <c r="P637" t="inlineStr">
        <is>
          <t>Commercial</t>
        </is>
      </c>
      <c r="R637" t="inlineStr">
        <is>
          <t>Average</t>
        </is>
      </c>
      <c r="S637" t="n">
        <v>14941.0801</v>
      </c>
      <c r="T637" s="119">
        <f>S637/J637</f>
        <v/>
      </c>
      <c r="U637" t="inlineStr">
        <is>
          <t>Average</t>
        </is>
      </c>
      <c r="Y637" t="n">
        <v>475000</v>
      </c>
      <c r="AA637" t="n">
        <v>475000</v>
      </c>
      <c r="AC637" t="inlineStr">
        <is>
          <t>0171928200035</t>
        </is>
      </c>
      <c r="AD637" t="inlineStr">
        <is>
          <t>2022000041112</t>
        </is>
      </c>
      <c r="AE637" t="inlineStr">
        <is>
          <t>HALL MATTHEW AND, VALENTINE MICHAEL DAVID</t>
        </is>
      </c>
      <c r="AF637" t="inlineStr">
        <is>
          <t>CROSSCHECK LLC</t>
        </is>
      </c>
      <c r="AI637" s="59">
        <f>IF(AND($E637=Subj_OccCode,Subj_BldgSF&gt;0,ABS($L637-Subj_BldgSF)&lt;=Subj_BldgSF*Subj_SizeTol),ABS($L637-Subj_BldgSF),NA())</f>
        <v/>
      </c>
      <c r="AJ637">
        <f>IF(ISNA(AI637),NA(),AI637+ROW()/10000000)</f>
        <v/>
      </c>
      <c r="AK637">
        <f>IF(AND(ISNUMBER($N637),$N637&gt;0,ISNUMBER($Y637)),$Y637/$N637,"")</f>
        <v/>
      </c>
    </row>
    <row r="638" ht="15" customHeight="1" s="518">
      <c r="A638" s="123" t="n">
        <v>8</v>
      </c>
      <c r="B638" s="59" t="n">
        <v>634</v>
      </c>
      <c r="C638" t="inlineStr">
        <is>
          <t>R0133766</t>
        </is>
      </c>
      <c r="D638" t="inlineStr">
        <is>
          <t>8080  PONTIAC ST</t>
        </is>
      </c>
      <c r="E638" t="n">
        <v>407</v>
      </c>
      <c r="G638" t="inlineStr">
        <is>
          <t>5</t>
        </is>
      </c>
      <c r="H638" s="703">
        <f>Y638/J638</f>
        <v/>
      </c>
      <c r="I638" s="704" t="n">
        <v>44427</v>
      </c>
      <c r="J638" t="n">
        <v>10600</v>
      </c>
      <c r="L638" t="n">
        <v>10600</v>
      </c>
      <c r="M638" t="n">
        <v>2005</v>
      </c>
      <c r="P638" t="inlineStr">
        <is>
          <t>Agricultural</t>
        </is>
      </c>
      <c r="R638" t="inlineStr">
        <is>
          <t>Average</t>
        </is>
      </c>
      <c r="S638" t="n">
        <v>68389.2</v>
      </c>
      <c r="T638" s="119">
        <f>S638/J638</f>
        <v/>
      </c>
      <c r="U638" t="inlineStr">
        <is>
          <t>Average</t>
        </is>
      </c>
      <c r="Y638" t="n">
        <v>2495000</v>
      </c>
      <c r="AA638" t="n">
        <v>2495000</v>
      </c>
      <c r="AC638" t="inlineStr">
        <is>
          <t>0172129403030</t>
        </is>
      </c>
      <c r="AD638" t="inlineStr">
        <is>
          <t>2021000100233</t>
        </is>
      </c>
      <c r="AE638" t="inlineStr">
        <is>
          <t>BURGET REAL ESTATE LLC</t>
        </is>
      </c>
      <c r="AF638" t="inlineStr">
        <is>
          <t>KPTPO9 LLC</t>
        </is>
      </c>
      <c r="AI638" s="59">
        <f>IF(AND($E638=Subj_OccCode,Subj_BldgSF&gt;0,ABS($L638-Subj_BldgSF)&lt;=Subj_BldgSF*Subj_SizeTol),ABS($L638-Subj_BldgSF),NA())</f>
        <v/>
      </c>
      <c r="AJ638">
        <f>IF(ISNA(AI638),NA(),AI638+ROW()/10000000)</f>
        <v/>
      </c>
      <c r="AK638">
        <f>IF(AND(ISNUMBER($N638),$N638&gt;0,ISNUMBER($Y638)),$Y638/$N638,"")</f>
        <v/>
      </c>
    </row>
    <row r="639" ht="15" customHeight="1" s="518">
      <c r="A639" s="123" t="n">
        <v>8</v>
      </c>
      <c r="B639" s="59" t="n">
        <v>635</v>
      </c>
      <c r="C639" t="inlineStr">
        <is>
          <t>R0085794</t>
        </is>
      </c>
      <c r="D639" t="inlineStr">
        <is>
          <t>2200 N CHAMBERS RD #I</t>
        </is>
      </c>
      <c r="E639" t="n">
        <v>425</v>
      </c>
      <c r="F639" t="inlineStr">
        <is>
          <t>AURORA</t>
        </is>
      </c>
      <c r="G639" t="inlineStr">
        <is>
          <t>6</t>
        </is>
      </c>
      <c r="H639" s="703">
        <f>Y639/J639</f>
        <v/>
      </c>
      <c r="I639" s="704" t="n">
        <v>44459</v>
      </c>
      <c r="J639" t="n">
        <v>1500</v>
      </c>
      <c r="L639" t="n">
        <v>1500</v>
      </c>
      <c r="M639" t="n">
        <v>1984</v>
      </c>
      <c r="P639" t="inlineStr">
        <is>
          <t>M-1-Aur</t>
        </is>
      </c>
      <c r="R639" t="inlineStr">
        <is>
          <t>Good</t>
        </is>
      </c>
      <c r="S639" t="n">
        <v>5227</v>
      </c>
      <c r="T639" s="119">
        <f>S639/J639</f>
        <v/>
      </c>
      <c r="U639" t="inlineStr">
        <is>
          <t>Average</t>
        </is>
      </c>
      <c r="Y639" t="n">
        <v>244000</v>
      </c>
      <c r="AA639" t="n">
        <v>244000</v>
      </c>
      <c r="AC639" t="inlineStr">
        <is>
          <t>0182132008010</t>
        </is>
      </c>
      <c r="AD639" t="inlineStr">
        <is>
          <t>2021000113873</t>
        </is>
      </c>
      <c r="AE639" t="inlineStr">
        <is>
          <t>SIMPKINSON TODD</t>
        </is>
      </c>
      <c r="AF639" t="inlineStr">
        <is>
          <t>CRM REAL ESTATE HOLDINGS LLC</t>
        </is>
      </c>
      <c r="AI639" s="59">
        <f>IF(AND($E639=Subj_OccCode,Subj_BldgSF&gt;0,ABS($L639-Subj_BldgSF)&lt;=Subj_BldgSF*Subj_SizeTol),ABS($L639-Subj_BldgSF),NA())</f>
        <v/>
      </c>
      <c r="AJ639">
        <f>IF(ISNA(AI639),NA(),AI639+ROW()/10000000)</f>
        <v/>
      </c>
      <c r="AK639">
        <f>IF(AND(ISNUMBER($N639),$N639&gt;0,ISNUMBER($Y639)),$Y639/$N639,"")</f>
        <v/>
      </c>
    </row>
    <row r="640" ht="15" customHeight="1" s="518">
      <c r="A640" s="123" t="n">
        <v>8</v>
      </c>
      <c r="B640" s="59" t="n">
        <v>636</v>
      </c>
      <c r="C640" t="inlineStr">
        <is>
          <t>R0147573</t>
        </is>
      </c>
      <c r="D640" t="inlineStr">
        <is>
          <t>9751 E 102ND AVE</t>
        </is>
      </c>
      <c r="E640" t="n">
        <v>407</v>
      </c>
      <c r="F640" t="inlineStr">
        <is>
          <t>COMMERCE CITY</t>
        </is>
      </c>
      <c r="G640" t="inlineStr">
        <is>
          <t>5</t>
        </is>
      </c>
      <c r="H640" s="703">
        <f>Y640/J640</f>
        <v/>
      </c>
      <c r="I640" s="704" t="n">
        <v>44222</v>
      </c>
      <c r="J640" t="n">
        <v>34051</v>
      </c>
      <c r="L640" t="n">
        <v>34051</v>
      </c>
      <c r="M640" t="n">
        <v>2003</v>
      </c>
      <c r="P640" t="inlineStr">
        <is>
          <t>PUD-Com</t>
        </is>
      </c>
      <c r="R640" t="inlineStr">
        <is>
          <t>Average</t>
        </is>
      </c>
      <c r="S640" t="n">
        <v>217800</v>
      </c>
      <c r="T640" s="119">
        <f>S640/J640</f>
        <v/>
      </c>
      <c r="U640" t="inlineStr">
        <is>
          <t>Average</t>
        </is>
      </c>
      <c r="Y640" t="n">
        <v>6000000</v>
      </c>
      <c r="AA640" t="n">
        <v>6000000</v>
      </c>
      <c r="AC640" t="inlineStr">
        <is>
          <t>0172115101008</t>
        </is>
      </c>
      <c r="AD640" t="inlineStr">
        <is>
          <t>2021000009784</t>
        </is>
      </c>
      <c r="AE640" t="inlineStr">
        <is>
          <t>GEP INVESTMENTS INC</t>
        </is>
      </c>
      <c r="AF640" t="inlineStr">
        <is>
          <t>CFC INVESTMENTS LLC</t>
        </is>
      </c>
      <c r="AI640" s="59">
        <f>IF(AND($E640=Subj_OccCode,Subj_BldgSF&gt;0,ABS($L640-Subj_BldgSF)&lt;=Subj_BldgSF*Subj_SizeTol),ABS($L640-Subj_BldgSF),NA())</f>
        <v/>
      </c>
      <c r="AJ640">
        <f>IF(ISNA(AI640),NA(),AI640+ROW()/10000000)</f>
        <v/>
      </c>
      <c r="AK640">
        <f>IF(AND(ISNUMBER($N640),$N640&gt;0,ISNUMBER($Y640)),$Y640/$N640,"")</f>
        <v/>
      </c>
    </row>
    <row r="641" ht="15" customHeight="1" s="518">
      <c r="A641" s="123" t="n">
        <v>8</v>
      </c>
      <c r="B641" s="59" t="n">
        <v>637</v>
      </c>
      <c r="C641" t="inlineStr">
        <is>
          <t>R0030406</t>
        </is>
      </c>
      <c r="D641" t="inlineStr">
        <is>
          <t>400 E 120TH AVE</t>
        </is>
      </c>
      <c r="E641" t="n">
        <v>353</v>
      </c>
      <c r="F641" t="inlineStr">
        <is>
          <t>NORTHGLENN</t>
        </is>
      </c>
      <c r="G641" t="inlineStr">
        <is>
          <t>4</t>
        </is>
      </c>
      <c r="H641" s="703">
        <f>Y641/J641</f>
        <v/>
      </c>
      <c r="I641" s="704" t="n">
        <v>44651</v>
      </c>
      <c r="J641" t="n">
        <v>7000</v>
      </c>
      <c r="L641" t="n">
        <v>7000</v>
      </c>
      <c r="M641" t="n">
        <v>1995</v>
      </c>
      <c r="P641" t="inlineStr">
        <is>
          <t>C-4-Nor</t>
        </is>
      </c>
      <c r="R641" t="inlineStr">
        <is>
          <t>Average</t>
        </is>
      </c>
      <c r="S641" t="n">
        <v>41427</v>
      </c>
      <c r="T641" s="119">
        <f>S641/J641</f>
        <v/>
      </c>
      <c r="U641" t="inlineStr">
        <is>
          <t>Average</t>
        </is>
      </c>
      <c r="Y641" t="n">
        <v>1804000</v>
      </c>
      <c r="AA641" t="n">
        <v>1804000</v>
      </c>
      <c r="AC641" t="inlineStr">
        <is>
          <t>0171903111019</t>
        </is>
      </c>
      <c r="AD641" t="inlineStr">
        <is>
          <t>2022000028863</t>
        </is>
      </c>
      <c r="AE641" t="inlineStr">
        <is>
          <t>STONG FAMILY TRUST UND 1/2 INT ET AL, C/O OREILLY AUTO PARTS STORE #2816</t>
        </is>
      </c>
      <c r="AF641" t="inlineStr">
        <is>
          <t>400 E 120TH LLC</t>
        </is>
      </c>
      <c r="AI641" s="59">
        <f>IF(AND($E641=Subj_OccCode,Subj_BldgSF&gt;0,ABS($L641-Subj_BldgSF)&lt;=Subj_BldgSF*Subj_SizeTol),ABS($L641-Subj_BldgSF),NA())</f>
        <v/>
      </c>
      <c r="AJ641">
        <f>IF(ISNA(AI641),NA(),AI641+ROW()/10000000)</f>
        <v/>
      </c>
      <c r="AK641">
        <f>IF(AND(ISNUMBER($N641),$N641&gt;0,ISNUMBER($Y641)),$Y641/$N641,"")</f>
        <v/>
      </c>
    </row>
    <row r="642" ht="15" customHeight="1" s="518">
      <c r="A642" s="123" t="n">
        <v>8</v>
      </c>
      <c r="B642" s="59" t="n">
        <v>638</v>
      </c>
      <c r="C642" t="inlineStr">
        <is>
          <t>R0164254</t>
        </is>
      </c>
      <c r="D642" t="inlineStr">
        <is>
          <t>19301 E 23RD AVE</t>
        </is>
      </c>
      <c r="E642" t="n">
        <v>407</v>
      </c>
      <c r="F642" t="inlineStr">
        <is>
          <t>AURORA</t>
        </is>
      </c>
      <c r="G642" t="inlineStr">
        <is>
          <t>6</t>
        </is>
      </c>
      <c r="H642" s="703">
        <f>Y642/J642</f>
        <v/>
      </c>
      <c r="I642" s="704" t="n">
        <v>43522</v>
      </c>
      <c r="J642" t="n">
        <v>18680</v>
      </c>
      <c r="L642" t="n">
        <v>18680</v>
      </c>
      <c r="M642" t="n">
        <v>2005</v>
      </c>
      <c r="R642" t="inlineStr">
        <is>
          <t>Average</t>
        </is>
      </c>
      <c r="S642" t="n">
        <v>73617</v>
      </c>
      <c r="T642" s="119">
        <f>S642/J642</f>
        <v/>
      </c>
      <c r="U642" t="inlineStr">
        <is>
          <t>Average</t>
        </is>
      </c>
      <c r="Y642" t="n">
        <v>2600000</v>
      </c>
      <c r="AA642" t="n">
        <v>2600000</v>
      </c>
      <c r="AC642" t="inlineStr">
        <is>
          <t>0182134101009</t>
        </is>
      </c>
      <c r="AD642" t="inlineStr">
        <is>
          <t>2019000015321</t>
        </is>
      </c>
      <c r="AE642" t="inlineStr">
        <is>
          <t>19301 E 23RD AVE LLC</t>
        </is>
      </c>
      <c r="AF642" t="inlineStr">
        <is>
          <t>TENBAR INC</t>
        </is>
      </c>
      <c r="AI642" s="59">
        <f>IF(AND($E642=Subj_OccCode,Subj_BldgSF&gt;0,ABS($L642-Subj_BldgSF)&lt;=Subj_BldgSF*Subj_SizeTol),ABS($L642-Subj_BldgSF),NA())</f>
        <v/>
      </c>
      <c r="AJ642">
        <f>IF(ISNA(AI642),NA(),AI642+ROW()/10000000)</f>
        <v/>
      </c>
      <c r="AK642">
        <f>IF(AND(ISNUMBER($N642),$N642&gt;0,ISNUMBER($Y642)),$Y642/$N642,"")</f>
        <v/>
      </c>
    </row>
    <row r="643" ht="15" customHeight="1" s="518">
      <c r="A643" s="123" t="n">
        <v>8</v>
      </c>
      <c r="B643" s="59" t="n">
        <v>639</v>
      </c>
      <c r="C643" t="inlineStr">
        <is>
          <t>R0178832</t>
        </is>
      </c>
      <c r="D643" t="inlineStr">
        <is>
          <t>5190  VIOLET HILL ST #E</t>
        </is>
      </c>
      <c r="E643" t="n">
        <v>328</v>
      </c>
      <c r="G643" t="inlineStr">
        <is>
          <t>1</t>
        </is>
      </c>
      <c r="H643" s="703">
        <f>Y643/J643</f>
        <v/>
      </c>
      <c r="I643" s="704" t="n">
        <v>44669</v>
      </c>
      <c r="J643" t="n">
        <v>4500</v>
      </c>
      <c r="L643" t="n">
        <v>4500</v>
      </c>
      <c r="M643" t="n">
        <v>2006</v>
      </c>
      <c r="R643" t="inlineStr">
        <is>
          <t>Average</t>
        </is>
      </c>
      <c r="T643" s="119">
        <f>S643/J643</f>
        <v/>
      </c>
      <c r="U643" t="inlineStr">
        <is>
          <t>Average</t>
        </is>
      </c>
      <c r="Y643" t="n">
        <v>490000</v>
      </c>
      <c r="AA643" t="n">
        <v>490000</v>
      </c>
      <c r="AC643" t="inlineStr">
        <is>
          <t>0181716411003</t>
        </is>
      </c>
      <c r="AD643" t="inlineStr">
        <is>
          <t>2022000034836</t>
        </is>
      </c>
      <c r="AE643" t="inlineStr">
        <is>
          <t>KLV INVESTMENTS LLC</t>
        </is>
      </c>
      <c r="AF643" t="inlineStr">
        <is>
          <t>PLC LEASING COMPANY II LLC</t>
        </is>
      </c>
      <c r="AI643" s="59">
        <f>IF(AND($E643=Subj_OccCode,Subj_BldgSF&gt;0,ABS($L643-Subj_BldgSF)&lt;=Subj_BldgSF*Subj_SizeTol),ABS($L643-Subj_BldgSF),NA())</f>
        <v/>
      </c>
      <c r="AJ643">
        <f>IF(ISNA(AI643),NA(),AI643+ROW()/10000000)</f>
        <v/>
      </c>
      <c r="AK643">
        <f>IF(AND(ISNUMBER($N643),$N643&gt;0,ISNUMBER($Y643)),$Y643/$N643,"")</f>
        <v/>
      </c>
    </row>
    <row r="644" ht="15" customHeight="1" s="518">
      <c r="A644" s="123" t="n">
        <v>8</v>
      </c>
      <c r="B644" s="59" t="n">
        <v>640</v>
      </c>
      <c r="C644" t="inlineStr">
        <is>
          <t>R0180894</t>
        </is>
      </c>
      <c r="D644" t="inlineStr">
        <is>
          <t>1990  GUN CLUB RD</t>
        </is>
      </c>
      <c r="E644" t="n">
        <v>407</v>
      </c>
      <c r="F644" t="inlineStr">
        <is>
          <t>AURORA</t>
        </is>
      </c>
      <c r="G644" t="inlineStr">
        <is>
          <t>1</t>
        </is>
      </c>
      <c r="H644" s="703">
        <f>Y644/J644</f>
        <v/>
      </c>
      <c r="I644" s="704" t="n">
        <v>44357</v>
      </c>
      <c r="J644" t="n">
        <v>163386</v>
      </c>
      <c r="L644" t="n">
        <v>163386</v>
      </c>
      <c r="M644" t="n">
        <v>2019</v>
      </c>
      <c r="P644" t="inlineStr">
        <is>
          <t>E-470</t>
        </is>
      </c>
      <c r="R644" t="inlineStr">
        <is>
          <t>Average</t>
        </is>
      </c>
      <c r="S644" t="n">
        <v>436488.624</v>
      </c>
      <c r="T644" s="119">
        <f>S644/J644</f>
        <v/>
      </c>
      <c r="U644" t="inlineStr">
        <is>
          <t>Average</t>
        </is>
      </c>
      <c r="Y644" t="n">
        <v>25000000</v>
      </c>
      <c r="AA644" t="n">
        <v>25000000</v>
      </c>
      <c r="AC644" t="inlineStr">
        <is>
          <t>0181931401003</t>
        </is>
      </c>
      <c r="AD644" t="inlineStr">
        <is>
          <t>2021000072509</t>
        </is>
      </c>
      <c r="AE644" t="inlineStr">
        <is>
          <t>PS D-C INDUSTRIAL PARK 70 LLC, C/O STREECH PROPERTIES INC</t>
        </is>
      </c>
      <c r="AF644" t="inlineStr">
        <is>
          <t>CHERRY OWNER II LLC</t>
        </is>
      </c>
      <c r="AI644" s="59">
        <f>IF(AND($E644=Subj_OccCode,Subj_BldgSF&gt;0,ABS($L644-Subj_BldgSF)&lt;=Subj_BldgSF*Subj_SizeTol),ABS($L644-Subj_BldgSF),NA())</f>
        <v/>
      </c>
      <c r="AJ644">
        <f>IF(ISNA(AI644),NA(),AI644+ROW()/10000000)</f>
        <v/>
      </c>
      <c r="AK644">
        <f>IF(AND(ISNUMBER($N644),$N644&gt;0,ISNUMBER($Y644)),$Y644/$N644,"")</f>
        <v/>
      </c>
    </row>
    <row r="645" ht="15" customHeight="1" s="518">
      <c r="A645" s="123" t="n">
        <v>8</v>
      </c>
      <c r="B645" s="59" t="n">
        <v>641</v>
      </c>
      <c r="C645" t="inlineStr">
        <is>
          <t>R0185623</t>
        </is>
      </c>
      <c r="D645" t="inlineStr">
        <is>
          <t>7919  ZENOBIA ST</t>
        </is>
      </c>
      <c r="E645" t="n">
        <v>1344</v>
      </c>
      <c r="F645" t="inlineStr">
        <is>
          <t>WESTMINSTER</t>
        </is>
      </c>
      <c r="G645" t="inlineStr">
        <is>
          <t>4</t>
        </is>
      </c>
      <c r="H645" s="703">
        <f>Y645/J645</f>
        <v/>
      </c>
      <c r="I645" s="704" t="n">
        <v>44452</v>
      </c>
      <c r="J645" t="n">
        <v>3780</v>
      </c>
      <c r="L645" t="n">
        <v>3780</v>
      </c>
      <c r="M645" t="n">
        <v>1982</v>
      </c>
      <c r="P645" t="inlineStr">
        <is>
          <t>B-1-Wes</t>
        </is>
      </c>
      <c r="R645" t="inlineStr">
        <is>
          <t>Average</t>
        </is>
      </c>
      <c r="T645" s="119">
        <f>S645/J645</f>
        <v/>
      </c>
      <c r="U645" t="inlineStr">
        <is>
          <t>Average</t>
        </is>
      </c>
      <c r="Y645" t="n">
        <v>500000</v>
      </c>
      <c r="AA645" t="n">
        <v>500000</v>
      </c>
      <c r="AC645" t="inlineStr">
        <is>
          <t>0171931213036</t>
        </is>
      </c>
      <c r="AD645" t="inlineStr">
        <is>
          <t>2021000116481</t>
        </is>
      </c>
      <c r="AE645" t="inlineStr">
        <is>
          <t>HEIL INVESTMENTS LLC</t>
        </is>
      </c>
      <c r="AF645" t="inlineStr">
        <is>
          <t>JC DENT LLC</t>
        </is>
      </c>
      <c r="AI645" s="59">
        <f>IF(AND($E645=Subj_OccCode,Subj_BldgSF&gt;0,ABS($L645-Subj_BldgSF)&lt;=Subj_BldgSF*Subj_SizeTol),ABS($L645-Subj_BldgSF),NA())</f>
        <v/>
      </c>
      <c r="AJ645">
        <f>IF(ISNA(AI645),NA(),AI645+ROW()/10000000)</f>
        <v/>
      </c>
      <c r="AK645">
        <f>IF(AND(ISNUMBER($N645),$N645&gt;0,ISNUMBER($Y645)),$Y645/$N645,"")</f>
        <v/>
      </c>
    </row>
    <row r="646" ht="15" customHeight="1" s="518">
      <c r="A646" s="123" t="n">
        <v>8</v>
      </c>
      <c r="B646" s="59" t="n">
        <v>642</v>
      </c>
      <c r="C646" t="inlineStr">
        <is>
          <t>R0115424</t>
        </is>
      </c>
      <c r="D646" t="inlineStr">
        <is>
          <t>9652 N HANOVER CTW</t>
        </is>
      </c>
      <c r="E646" t="n">
        <v>407</v>
      </c>
      <c r="F646" t="inlineStr">
        <is>
          <t>COMMERCE CITY</t>
        </is>
      </c>
      <c r="G646" t="inlineStr">
        <is>
          <t>5</t>
        </is>
      </c>
      <c r="H646" s="703">
        <f>Y646/J646</f>
        <v/>
      </c>
      <c r="I646" s="704" t="n">
        <v>44641</v>
      </c>
      <c r="J646" t="n">
        <v>23770</v>
      </c>
      <c r="L646" t="n">
        <v>23770</v>
      </c>
      <c r="M646" t="n">
        <v>2010</v>
      </c>
      <c r="P646" t="inlineStr">
        <is>
          <t>PUD-Com</t>
        </is>
      </c>
      <c r="R646" t="inlineStr">
        <is>
          <t>Average</t>
        </is>
      </c>
      <c r="S646" t="n">
        <v>73703.52340000001</v>
      </c>
      <c r="T646" s="119">
        <f>S646/J646</f>
        <v/>
      </c>
      <c r="U646" t="inlineStr">
        <is>
          <t>Average</t>
        </is>
      </c>
      <c r="Y646" t="n">
        <v>4600000</v>
      </c>
      <c r="AA646" t="n">
        <v>4600000</v>
      </c>
      <c r="AC646" t="inlineStr">
        <is>
          <t>0172115011005</t>
        </is>
      </c>
      <c r="AD646" t="inlineStr">
        <is>
          <t>2022000024984</t>
        </is>
      </c>
      <c r="AE646" t="inlineStr">
        <is>
          <t>FAH DENVER LLC</t>
        </is>
      </c>
      <c r="AF646" t="inlineStr">
        <is>
          <t>GNT PROPERTIES COLORADO LLC</t>
        </is>
      </c>
      <c r="AI646" s="59">
        <f>IF(AND($E646=Subj_OccCode,Subj_BldgSF&gt;0,ABS($L646-Subj_BldgSF)&lt;=Subj_BldgSF*Subj_SizeTol),ABS($L646-Subj_BldgSF),NA())</f>
        <v/>
      </c>
      <c r="AJ646">
        <f>IF(ISNA(AI646),NA(),AI646+ROW()/10000000)</f>
        <v/>
      </c>
      <c r="AK646">
        <f>IF(AND(ISNUMBER($N646),$N646&gt;0,ISNUMBER($Y646)),$Y646/$N646,"")</f>
        <v/>
      </c>
    </row>
    <row r="647" ht="15" customHeight="1" s="518">
      <c r="A647" s="123" t="n">
        <v>8</v>
      </c>
      <c r="B647" s="59" t="n">
        <v>643</v>
      </c>
      <c r="C647" t="inlineStr">
        <is>
          <t>R0177702</t>
        </is>
      </c>
      <c r="D647" t="inlineStr">
        <is>
          <t>525  RUSSELL BLVD</t>
        </is>
      </c>
      <c r="E647" t="n">
        <v>426</v>
      </c>
      <c r="F647" t="inlineStr">
        <is>
          <t>THORNTON</t>
        </is>
      </c>
      <c r="G647" t="inlineStr">
        <is>
          <t>4</t>
        </is>
      </c>
      <c r="H647" s="703">
        <f>Y647/J647</f>
        <v/>
      </c>
      <c r="I647" s="704" t="n">
        <v>43917</v>
      </c>
      <c r="J647" t="n">
        <v>5008</v>
      </c>
      <c r="L647" t="n">
        <v>5008</v>
      </c>
      <c r="M647" t="n">
        <v>2007</v>
      </c>
      <c r="P647" t="inlineStr">
        <is>
          <t>City Center</t>
        </is>
      </c>
      <c r="R647" t="inlineStr">
        <is>
          <t>Average</t>
        </is>
      </c>
      <c r="S647" t="n">
        <v>19283</v>
      </c>
      <c r="T647" s="119">
        <f>S647/J647</f>
        <v/>
      </c>
      <c r="U647" t="inlineStr">
        <is>
          <t>Average</t>
        </is>
      </c>
      <c r="Y647" t="n">
        <v>1000000</v>
      </c>
      <c r="AA647" t="n">
        <v>1000000</v>
      </c>
      <c r="AC647" t="inlineStr">
        <is>
          <t>0171922403012</t>
        </is>
      </c>
      <c r="AD647" t="inlineStr">
        <is>
          <t>2020000028576</t>
        </is>
      </c>
      <c r="AE647" t="inlineStr">
        <is>
          <t>VOJTISEK RENATA</t>
        </is>
      </c>
      <c r="AF647" t="inlineStr">
        <is>
          <t>A NEW GENERATION III LLC</t>
        </is>
      </c>
      <c r="AI647" s="59">
        <f>IF(AND($E647=Subj_OccCode,Subj_BldgSF&gt;0,ABS($L647-Subj_BldgSF)&lt;=Subj_BldgSF*Subj_SizeTol),ABS($L647-Subj_BldgSF),NA())</f>
        <v/>
      </c>
      <c r="AJ647">
        <f>IF(ISNA(AI647),NA(),AI647+ROW()/10000000)</f>
        <v/>
      </c>
      <c r="AK647">
        <f>IF(AND(ISNUMBER($N647),$N647&gt;0,ISNUMBER($Y647)),$Y647/$N647,"")</f>
        <v/>
      </c>
    </row>
    <row r="648" ht="15" customHeight="1" s="518">
      <c r="A648" s="123" t="n">
        <v>8</v>
      </c>
      <c r="B648" s="59" t="n">
        <v>644</v>
      </c>
      <c r="C648" t="inlineStr">
        <is>
          <t>R0179724</t>
        </is>
      </c>
      <c r="D648" t="inlineStr">
        <is>
          <t>3055  CRAFT WAY</t>
        </is>
      </c>
      <c r="E648" t="n">
        <v>343</v>
      </c>
      <c r="F648" t="inlineStr">
        <is>
          <t>WESTMINSTER</t>
        </is>
      </c>
      <c r="G648" t="inlineStr">
        <is>
          <t>4</t>
        </is>
      </c>
      <c r="H648" s="703">
        <f>Y648/J648</f>
        <v/>
      </c>
      <c r="I648" s="704" t="n">
        <v>44729</v>
      </c>
      <c r="J648" t="n">
        <v>13191</v>
      </c>
      <c r="L648" t="n">
        <v>13191</v>
      </c>
      <c r="M648" t="n">
        <v>2014</v>
      </c>
      <c r="P648" t="inlineStr">
        <is>
          <t>SPD</t>
        </is>
      </c>
      <c r="R648" t="inlineStr">
        <is>
          <t>Average</t>
        </is>
      </c>
      <c r="S648" t="n">
        <v>43799</v>
      </c>
      <c r="T648" s="119">
        <f>S648/J648</f>
        <v/>
      </c>
      <c r="U648" t="inlineStr">
        <is>
          <t>Average</t>
        </is>
      </c>
      <c r="Y648" t="n">
        <v>3450000</v>
      </c>
      <c r="AA648" t="n">
        <v>3450000</v>
      </c>
      <c r="AC648" t="inlineStr">
        <is>
          <t>0182505201042</t>
        </is>
      </c>
      <c r="AD648" t="inlineStr">
        <is>
          <t>2022000053807</t>
        </is>
      </c>
      <c r="AE648" t="inlineStr">
        <is>
          <t>MARO CORP</t>
        </is>
      </c>
      <c r="AF648" t="inlineStr">
        <is>
          <t>G &amp; A GROUP LLC</t>
        </is>
      </c>
      <c r="AI648" s="59">
        <f>IF(AND($E648=Subj_OccCode,Subj_BldgSF&gt;0,ABS($L648-Subj_BldgSF)&lt;=Subj_BldgSF*Subj_SizeTol),ABS($L648-Subj_BldgSF),NA())</f>
        <v/>
      </c>
      <c r="AJ648">
        <f>IF(ISNA(AI648),NA(),AI648+ROW()/10000000)</f>
        <v/>
      </c>
      <c r="AK648">
        <f>IF(AND(ISNUMBER($N648),$N648&gt;0,ISNUMBER($Y648)),$Y648/$N648,"")</f>
        <v/>
      </c>
    </row>
    <row r="649" ht="15" customHeight="1" s="518">
      <c r="A649" s="123" t="n">
        <v>8</v>
      </c>
      <c r="B649" s="59" t="n">
        <v>645</v>
      </c>
      <c r="C649" t="inlineStr">
        <is>
          <t>R0179014</t>
        </is>
      </c>
      <c r="D649" t="inlineStr">
        <is>
          <t>7010  LOWELL BLVD</t>
        </is>
      </c>
      <c r="E649" t="n">
        <v>325</v>
      </c>
      <c r="F649" t="inlineStr">
        <is>
          <t>WESTMINSTER</t>
        </is>
      </c>
      <c r="G649" t="inlineStr">
        <is>
          <t>4</t>
        </is>
      </c>
      <c r="H649" s="703">
        <f>Y649/J649</f>
        <v/>
      </c>
      <c r="I649" s="704" t="n">
        <v>44007</v>
      </c>
      <c r="J649" t="n">
        <v>17200</v>
      </c>
      <c r="L649" t="n">
        <v>17200</v>
      </c>
      <c r="M649" t="n">
        <v>1960</v>
      </c>
      <c r="P649" t="inlineStr">
        <is>
          <t>SPD</t>
        </is>
      </c>
      <c r="R649" t="inlineStr">
        <is>
          <t>Average</t>
        </is>
      </c>
      <c r="S649" t="n">
        <v>89210.88</v>
      </c>
      <c r="T649" s="119">
        <f>S649/J649</f>
        <v/>
      </c>
      <c r="U649" t="inlineStr">
        <is>
          <t>Fair</t>
        </is>
      </c>
      <c r="Y649" t="n">
        <v>1900000</v>
      </c>
      <c r="AA649" t="n">
        <v>1900000</v>
      </c>
      <c r="AC649" t="inlineStr">
        <is>
          <t>0182505219005</t>
        </is>
      </c>
      <c r="AD649" t="inlineStr">
        <is>
          <t>2020000059175</t>
        </is>
      </c>
      <c r="AE649" t="inlineStr">
        <is>
          <t>LOWELL GROUP LLC</t>
        </is>
      </c>
      <c r="AF649" t="inlineStr">
        <is>
          <t>LOW DOWN LLC UND 78.81% INT AND, LXXTWO LLC UND 21.19% INT</t>
        </is>
      </c>
      <c r="AI649" s="59">
        <f>IF(AND($E649=Subj_OccCode,Subj_BldgSF&gt;0,ABS($L649-Subj_BldgSF)&lt;=Subj_BldgSF*Subj_SizeTol),ABS($L649-Subj_BldgSF),NA())</f>
        <v/>
      </c>
      <c r="AJ649">
        <f>IF(ISNA(AI649),NA(),AI649+ROW()/10000000)</f>
        <v/>
      </c>
      <c r="AK649">
        <f>IF(AND(ISNUMBER($N649),$N649&gt;0,ISNUMBER($Y649)),$Y649/$N649,"")</f>
        <v/>
      </c>
    </row>
    <row r="650" ht="15" customHeight="1" s="518">
      <c r="A650" s="123" t="n">
        <v>8</v>
      </c>
      <c r="B650" s="59" t="n">
        <v>646</v>
      </c>
      <c r="C650" t="inlineStr">
        <is>
          <t>R0180551</t>
        </is>
      </c>
      <c r="D650" t="inlineStr">
        <is>
          <t>1953 GUNCLUB RD</t>
        </is>
      </c>
      <c r="E650" t="n">
        <v>584</v>
      </c>
      <c r="F650" t="inlineStr">
        <is>
          <t>AURORA</t>
        </is>
      </c>
      <c r="G650" t="inlineStr">
        <is>
          <t>1</t>
        </is>
      </c>
      <c r="H650" s="703">
        <f>Y650/J650</f>
        <v/>
      </c>
      <c r="I650" s="704" t="n">
        <v>44459</v>
      </c>
      <c r="J650" t="n">
        <v>220000</v>
      </c>
      <c r="L650" t="n">
        <v>220000</v>
      </c>
      <c r="M650" t="n">
        <v>2012</v>
      </c>
      <c r="P650" t="inlineStr">
        <is>
          <t>E-470</t>
        </is>
      </c>
      <c r="R650" t="inlineStr">
        <is>
          <t>Average</t>
        </is>
      </c>
      <c r="S650" t="n">
        <v>750297</v>
      </c>
      <c r="T650" s="119">
        <f>S650/J650</f>
        <v/>
      </c>
      <c r="U650" t="inlineStr">
        <is>
          <t>Average</t>
        </is>
      </c>
      <c r="Y650" t="n">
        <v>36150000</v>
      </c>
      <c r="AA650" t="n">
        <v>36150000</v>
      </c>
      <c r="AC650" t="inlineStr">
        <is>
          <t>0181931301010</t>
        </is>
      </c>
      <c r="AD650" t="inlineStr">
        <is>
          <t>2021000111716</t>
        </is>
      </c>
      <c r="AE650" t="inlineStr">
        <is>
          <t>1953 GCR ASSOCIATES LLC 24% INT ET AL</t>
        </is>
      </c>
      <c r="AF650" t="inlineStr">
        <is>
          <t>CHERRY OWNER III LLC</t>
        </is>
      </c>
      <c r="AI650" s="59">
        <f>IF(AND($E650=Subj_OccCode,Subj_BldgSF&gt;0,ABS($L650-Subj_BldgSF)&lt;=Subj_BldgSF*Subj_SizeTol),ABS($L650-Subj_BldgSF),NA())</f>
        <v/>
      </c>
      <c r="AJ650">
        <f>IF(ISNA(AI650),NA(),AI650+ROW()/10000000)</f>
        <v/>
      </c>
      <c r="AK650">
        <f>IF(AND(ISNUMBER($N650),$N650&gt;0,ISNUMBER($Y650)),$Y650/$N650,"")</f>
        <v/>
      </c>
    </row>
    <row r="651" ht="15" customHeight="1" s="518">
      <c r="A651" s="123" t="n">
        <v>8</v>
      </c>
      <c r="B651" s="59" t="n">
        <v>647</v>
      </c>
      <c r="C651" t="inlineStr">
        <is>
          <t>R0082497</t>
        </is>
      </c>
      <c r="D651" t="inlineStr">
        <is>
          <t>47500 E 38TH AVE</t>
        </is>
      </c>
      <c r="E651" t="n">
        <v>406</v>
      </c>
      <c r="F651" t="inlineStr">
        <is>
          <t>BENNETT</t>
        </is>
      </c>
      <c r="G651" t="inlineStr">
        <is>
          <t>1</t>
        </is>
      </c>
      <c r="H651" s="703">
        <f>Y651/J651</f>
        <v/>
      </c>
      <c r="I651" s="704" t="n">
        <v>43934</v>
      </c>
      <c r="J651" t="n">
        <v>1500</v>
      </c>
      <c r="L651" t="n">
        <v>1500</v>
      </c>
      <c r="M651" t="n">
        <v>1986</v>
      </c>
      <c r="P651" t="inlineStr">
        <is>
          <t>Bennett</t>
        </is>
      </c>
      <c r="R651" t="inlineStr">
        <is>
          <t>Average</t>
        </is>
      </c>
      <c r="S651" t="n">
        <v>65340</v>
      </c>
      <c r="T651" s="119">
        <f>S651/J651</f>
        <v/>
      </c>
      <c r="U651" t="inlineStr">
        <is>
          <t>Average</t>
        </is>
      </c>
      <c r="Y651" t="n">
        <v>250000</v>
      </c>
      <c r="AA651" t="n">
        <v>250000</v>
      </c>
      <c r="AC651" t="inlineStr">
        <is>
          <t>0181527200036</t>
        </is>
      </c>
      <c r="AD651" t="inlineStr">
        <is>
          <t>2020000034035</t>
        </is>
      </c>
      <c r="AE651" t="inlineStr">
        <is>
          <t>SCOUT VENTURES LLC</t>
        </is>
      </c>
      <c r="AF651" t="inlineStr">
        <is>
          <t>LFE HOLDINGS LLC</t>
        </is>
      </c>
      <c r="AI651" s="59">
        <f>IF(AND($E651=Subj_OccCode,Subj_BldgSF&gt;0,ABS($L651-Subj_BldgSF)&lt;=Subj_BldgSF*Subj_SizeTol),ABS($L651-Subj_BldgSF),NA())</f>
        <v/>
      </c>
      <c r="AJ651">
        <f>IF(ISNA(AI651),NA(),AI651+ROW()/10000000)</f>
        <v/>
      </c>
      <c r="AK651">
        <f>IF(AND(ISNUMBER($N651),$N651&gt;0,ISNUMBER($Y651)),$Y651/$N651,"")</f>
        <v/>
      </c>
    </row>
    <row r="652" ht="15" customHeight="1" s="518">
      <c r="A652" s="123" t="n">
        <v>8</v>
      </c>
      <c r="B652" s="59" t="n">
        <v>648</v>
      </c>
      <c r="C652" t="inlineStr">
        <is>
          <t>R0190173</t>
        </is>
      </c>
      <c r="D652" t="inlineStr">
        <is>
          <t>1501 W 124TH AVE #800</t>
        </is>
      </c>
      <c r="E652" t="n">
        <v>425</v>
      </c>
      <c r="F652" t="inlineStr">
        <is>
          <t>WESTMINSTER</t>
        </is>
      </c>
      <c r="G652" t="inlineStr">
        <is>
          <t>3</t>
        </is>
      </c>
      <c r="H652" s="703">
        <f>Y652/J652</f>
        <v/>
      </c>
      <c r="I652" s="704" t="n">
        <v>43882</v>
      </c>
      <c r="J652" t="n">
        <v>1791</v>
      </c>
      <c r="L652" t="n">
        <v>1791</v>
      </c>
      <c r="M652" t="n">
        <v>2016</v>
      </c>
      <c r="P652" t="inlineStr">
        <is>
          <t>PUD-Wes</t>
        </is>
      </c>
      <c r="R652" t="inlineStr">
        <is>
          <t>Good</t>
        </is>
      </c>
      <c r="S652" t="n">
        <v>5569</v>
      </c>
      <c r="T652" s="119">
        <f>S652/J652</f>
        <v/>
      </c>
      <c r="U652" t="inlineStr">
        <is>
          <t>Good</t>
        </is>
      </c>
      <c r="Y652" t="n">
        <v>473000</v>
      </c>
      <c r="AA652" t="n">
        <v>473000</v>
      </c>
      <c r="AC652" t="inlineStr">
        <is>
          <t>0157333101003</t>
        </is>
      </c>
      <c r="AD652" t="inlineStr">
        <is>
          <t>2020000017258</t>
        </is>
      </c>
      <c r="AE652" t="inlineStr">
        <is>
          <t>URBAN BOX 800 LLC</t>
        </is>
      </c>
      <c r="AF652" t="inlineStr">
        <is>
          <t>1501 W 124TH AVE UNIT 800 WESTMINSTER CO 80234 LLC</t>
        </is>
      </c>
      <c r="AI652" s="59">
        <f>IF(AND($E652=Subj_OccCode,Subj_BldgSF&gt;0,ABS($L652-Subj_BldgSF)&lt;=Subj_BldgSF*Subj_SizeTol),ABS($L652-Subj_BldgSF),NA())</f>
        <v/>
      </c>
      <c r="AJ652">
        <f>IF(ISNA(AI652),NA(),AI652+ROW()/10000000)</f>
        <v/>
      </c>
      <c r="AK652">
        <f>IF(AND(ISNUMBER($N652),$N652&gt;0,ISNUMBER($Y652)),$Y652/$N652,"")</f>
        <v/>
      </c>
    </row>
    <row r="653" ht="15" customHeight="1" s="518">
      <c r="A653" s="123" t="n">
        <v>8</v>
      </c>
      <c r="B653" s="59" t="n">
        <v>649</v>
      </c>
      <c r="C653" t="inlineStr">
        <is>
          <t>R0190174</t>
        </is>
      </c>
      <c r="D653" t="inlineStr">
        <is>
          <t>1501 W 124TH AVE #700</t>
        </is>
      </c>
      <c r="E653" t="n">
        <v>425</v>
      </c>
      <c r="F653" t="inlineStr">
        <is>
          <t>WESTMINSTER</t>
        </is>
      </c>
      <c r="G653" t="inlineStr">
        <is>
          <t>3</t>
        </is>
      </c>
      <c r="H653" s="703">
        <f>Y653/J653</f>
        <v/>
      </c>
      <c r="I653" s="704" t="n">
        <v>44610</v>
      </c>
      <c r="J653" t="n">
        <v>1791</v>
      </c>
      <c r="L653" t="n">
        <v>1791</v>
      </c>
      <c r="M653" t="n">
        <v>2016</v>
      </c>
      <c r="P653" t="inlineStr">
        <is>
          <t>PUD-Wes</t>
        </is>
      </c>
      <c r="R653" t="inlineStr">
        <is>
          <t>Good</t>
        </is>
      </c>
      <c r="S653" t="n">
        <v>5569</v>
      </c>
      <c r="T653" s="119">
        <f>S653/J653</f>
        <v/>
      </c>
      <c r="U653" t="inlineStr">
        <is>
          <t>Good</t>
        </is>
      </c>
      <c r="Y653" t="n">
        <v>700000</v>
      </c>
      <c r="AA653" t="n">
        <v>700000</v>
      </c>
      <c r="AC653" t="inlineStr">
        <is>
          <t>0157333101004</t>
        </is>
      </c>
      <c r="AD653" t="inlineStr">
        <is>
          <t>2022000017149</t>
        </is>
      </c>
      <c r="AE653" t="inlineStr">
        <is>
          <t>RECOB SAMIRA J</t>
        </is>
      </c>
      <c r="AF653" t="inlineStr">
        <is>
          <t>1501 W 124TH AVE 700 LLC</t>
        </is>
      </c>
      <c r="AI653" s="59">
        <f>IF(AND($E653=Subj_OccCode,Subj_BldgSF&gt;0,ABS($L653-Subj_BldgSF)&lt;=Subj_BldgSF*Subj_SizeTol),ABS($L653-Subj_BldgSF),NA())</f>
        <v/>
      </c>
      <c r="AJ653">
        <f>IF(ISNA(AI653),NA(),AI653+ROW()/10000000)</f>
        <v/>
      </c>
      <c r="AK653">
        <f>IF(AND(ISNUMBER($N653),$N653&gt;0,ISNUMBER($Y653)),$Y653/$N653,"")</f>
        <v/>
      </c>
    </row>
    <row r="654" ht="15" customHeight="1" s="518">
      <c r="A654" s="123" t="n">
        <v>8</v>
      </c>
      <c r="B654" s="59" t="n">
        <v>650</v>
      </c>
      <c r="C654" t="inlineStr">
        <is>
          <t>R0181733</t>
        </is>
      </c>
      <c r="D654" t="inlineStr">
        <is>
          <t>10401  BELLE CREEK BLVD</t>
        </is>
      </c>
      <c r="E654" t="n">
        <v>353</v>
      </c>
      <c r="F654" t="inlineStr">
        <is>
          <t>COMMERCE CITY</t>
        </is>
      </c>
      <c r="G654" t="inlineStr">
        <is>
          <t>2</t>
        </is>
      </c>
      <c r="H654" s="703">
        <f>Y654/J654</f>
        <v/>
      </c>
      <c r="I654" s="704" t="n">
        <v>43178</v>
      </c>
      <c r="J654" t="n">
        <v>8212</v>
      </c>
      <c r="L654" t="n">
        <v>8212</v>
      </c>
      <c r="M654" t="n">
        <v>2013</v>
      </c>
      <c r="R654" t="inlineStr">
        <is>
          <t>Average</t>
        </is>
      </c>
      <c r="S654" t="n">
        <v>60653</v>
      </c>
      <c r="T654" s="119">
        <f>S654/J654</f>
        <v/>
      </c>
      <c r="U654" t="inlineStr">
        <is>
          <t>Average</t>
        </is>
      </c>
      <c r="Y654" t="n">
        <v>3500000</v>
      </c>
      <c r="AA654" t="n">
        <v>3500000</v>
      </c>
      <c r="AC654" t="inlineStr">
        <is>
          <t>0172110317032</t>
        </is>
      </c>
      <c r="AD654" t="inlineStr">
        <is>
          <t>2018000022255</t>
        </is>
      </c>
      <c r="AE654" t="inlineStr">
        <is>
          <t>BELLE CREEK CORNER SHOPS LLC</t>
        </is>
      </c>
      <c r="AF654" t="inlineStr">
        <is>
          <t>BELLE CREEK PLAZA LLC</t>
        </is>
      </c>
      <c r="AI654" s="59">
        <f>IF(AND($E654=Subj_OccCode,Subj_BldgSF&gt;0,ABS($L654-Subj_BldgSF)&lt;=Subj_BldgSF*Subj_SizeTol),ABS($L654-Subj_BldgSF),NA())</f>
        <v/>
      </c>
      <c r="AJ654">
        <f>IF(ISNA(AI654),NA(),AI654+ROW()/10000000)</f>
        <v/>
      </c>
      <c r="AK654">
        <f>IF(AND(ISNUMBER($N654),$N654&gt;0,ISNUMBER($Y654)),$Y654/$N654,"")</f>
        <v/>
      </c>
    </row>
    <row r="655" ht="15" customHeight="1" s="518">
      <c r="A655" s="123" t="n">
        <v>8</v>
      </c>
      <c r="B655" s="59" t="n">
        <v>651</v>
      </c>
      <c r="C655" t="inlineStr">
        <is>
          <t>R0175860</t>
        </is>
      </c>
      <c r="D655" t="inlineStr">
        <is>
          <t>5781 E 128TH AVE</t>
        </is>
      </c>
      <c r="E655" t="n">
        <v>353</v>
      </c>
      <c r="F655" t="inlineStr">
        <is>
          <t>THORNTON</t>
        </is>
      </c>
      <c r="G655" t="inlineStr">
        <is>
          <t>2</t>
        </is>
      </c>
      <c r="H655" s="703">
        <f>Y655/J655</f>
        <v/>
      </c>
      <c r="I655" s="704" t="n">
        <v>43385</v>
      </c>
      <c r="J655" t="n">
        <v>10875</v>
      </c>
      <c r="L655" t="n">
        <v>10875</v>
      </c>
      <c r="M655" t="n">
        <v>2008</v>
      </c>
      <c r="R655" t="inlineStr">
        <is>
          <t>Average</t>
        </is>
      </c>
      <c r="S655" t="n">
        <v>52970</v>
      </c>
      <c r="T655" s="119">
        <f>S655/J655</f>
        <v/>
      </c>
      <c r="U655" t="inlineStr">
        <is>
          <t>Average</t>
        </is>
      </c>
      <c r="Y655" t="n">
        <v>3500000</v>
      </c>
      <c r="AA655" t="n">
        <v>3500000</v>
      </c>
      <c r="AC655" t="inlineStr">
        <is>
          <t>0157129310044</t>
        </is>
      </c>
      <c r="AD655" t="inlineStr">
        <is>
          <t>2018000082919</t>
        </is>
      </c>
      <c r="AE655" t="inlineStr">
        <is>
          <t>MK 22 INVESTMENTS LLC</t>
        </is>
      </c>
      <c r="AF655" t="inlineStr">
        <is>
          <t>BEST 101 LLC</t>
        </is>
      </c>
      <c r="AI655" s="59">
        <f>IF(AND($E655=Subj_OccCode,Subj_BldgSF&gt;0,ABS($L655-Subj_BldgSF)&lt;=Subj_BldgSF*Subj_SizeTol),ABS($L655-Subj_BldgSF),NA())</f>
        <v/>
      </c>
      <c r="AJ655">
        <f>IF(ISNA(AI655),NA(),AI655+ROW()/10000000)</f>
        <v/>
      </c>
      <c r="AK655">
        <f>IF(AND(ISNUMBER($N655),$N655&gt;0,ISNUMBER($Y655)),$Y655/$N655,"")</f>
        <v/>
      </c>
    </row>
    <row r="656" ht="15" customHeight="1" s="518">
      <c r="A656" s="123" t="n">
        <v>8</v>
      </c>
      <c r="B656" s="59" t="n">
        <v>652</v>
      </c>
      <c r="C656" t="inlineStr">
        <is>
          <t>R0188699</t>
        </is>
      </c>
      <c r="D656" t="inlineStr">
        <is>
          <t>15100 E 40TH AVE</t>
        </is>
      </c>
      <c r="E656" t="n">
        <v>407</v>
      </c>
      <c r="F656" t="inlineStr">
        <is>
          <t>AURORA</t>
        </is>
      </c>
      <c r="G656" t="inlineStr">
        <is>
          <t>6</t>
        </is>
      </c>
      <c r="H656" s="703">
        <f>Y656/J656</f>
        <v/>
      </c>
      <c r="I656" s="704" t="n">
        <v>43245</v>
      </c>
      <c r="J656" t="n">
        <v>105848</v>
      </c>
      <c r="L656" t="n">
        <v>105848</v>
      </c>
      <c r="M656" t="n">
        <v>2016</v>
      </c>
      <c r="P656" t="inlineStr">
        <is>
          <t>M-1-Aur</t>
        </is>
      </c>
      <c r="R656" t="inlineStr">
        <is>
          <t>Average</t>
        </is>
      </c>
      <c r="S656" t="n">
        <v>268481</v>
      </c>
      <c r="T656" s="119">
        <f>S656/J656</f>
        <v/>
      </c>
      <c r="U656" t="inlineStr">
        <is>
          <t>Average</t>
        </is>
      </c>
      <c r="Y656" t="n">
        <v>15725000</v>
      </c>
      <c r="AA656" t="n">
        <v>15725000</v>
      </c>
      <c r="AC656" t="inlineStr">
        <is>
          <t>0182119401004</t>
        </is>
      </c>
      <c r="AD656" t="inlineStr">
        <is>
          <t>2018000044527</t>
        </is>
      </c>
      <c r="AE656" t="inlineStr">
        <is>
          <t>CONFLUENT CENTER 70 LLC, ATTN GENERAL COUNSEL</t>
        </is>
      </c>
      <c r="AF656" t="inlineStr">
        <is>
          <t>LBA NCC2-COMPANY II LLC</t>
        </is>
      </c>
      <c r="AI656" s="59">
        <f>IF(AND($E656=Subj_OccCode,Subj_BldgSF&gt;0,ABS($L656-Subj_BldgSF)&lt;=Subj_BldgSF*Subj_SizeTol),ABS($L656-Subj_BldgSF),NA())</f>
        <v/>
      </c>
      <c r="AJ656">
        <f>IF(ISNA(AI656),NA(),AI656+ROW()/10000000)</f>
        <v/>
      </c>
      <c r="AK656">
        <f>IF(AND(ISNUMBER($N656),$N656&gt;0,ISNUMBER($Y656)),$Y656/$N656,"")</f>
        <v/>
      </c>
    </row>
    <row r="657" ht="15" customHeight="1" s="518">
      <c r="A657" s="123" t="n">
        <v>8</v>
      </c>
      <c r="B657" s="59" t="n">
        <v>653</v>
      </c>
      <c r="C657" t="inlineStr">
        <is>
          <t>R0175821</t>
        </is>
      </c>
      <c r="D657" t="inlineStr">
        <is>
          <t>13591  HURON ST</t>
        </is>
      </c>
      <c r="E657" t="n">
        <v>353</v>
      </c>
      <c r="F657" t="inlineStr">
        <is>
          <t>WESTMINSTER</t>
        </is>
      </c>
      <c r="G657" t="inlineStr">
        <is>
          <t>3</t>
        </is>
      </c>
      <c r="H657" s="703">
        <f>Y657/J657</f>
        <v/>
      </c>
      <c r="I657" s="704" t="n">
        <v>43278</v>
      </c>
      <c r="J657" t="n">
        <v>5858</v>
      </c>
      <c r="L657" t="n">
        <v>5858</v>
      </c>
      <c r="M657" t="n">
        <v>2015</v>
      </c>
      <c r="R657" t="inlineStr">
        <is>
          <t>Good</t>
        </is>
      </c>
      <c r="S657" t="n">
        <v>50016</v>
      </c>
      <c r="T657" s="119">
        <f>S657/J657</f>
        <v/>
      </c>
      <c r="U657" t="inlineStr">
        <is>
          <t>Good</t>
        </is>
      </c>
      <c r="Y657" t="n">
        <v>3250000</v>
      </c>
      <c r="AA657" t="n">
        <v>3250000</v>
      </c>
      <c r="AC657" t="inlineStr">
        <is>
          <t>0157328125006</t>
        </is>
      </c>
      <c r="AD657" t="inlineStr">
        <is>
          <t>2018000054647</t>
        </is>
      </c>
      <c r="AE657" t="inlineStr">
        <is>
          <t>WESTMINSTER HURON RETAIL GROUP, LLC</t>
        </is>
      </c>
      <c r="AF657" t="inlineStr">
        <is>
          <t>13591 HURON STREET LLC</t>
        </is>
      </c>
      <c r="AI657" s="59">
        <f>IF(AND($E657=Subj_OccCode,Subj_BldgSF&gt;0,ABS($L657-Subj_BldgSF)&lt;=Subj_BldgSF*Subj_SizeTol),ABS($L657-Subj_BldgSF),NA())</f>
        <v/>
      </c>
      <c r="AJ657">
        <f>IF(ISNA(AI657),NA(),AI657+ROW()/10000000)</f>
        <v/>
      </c>
      <c r="AK657">
        <f>IF(AND(ISNUMBER($N657),$N657&gt;0,ISNUMBER($Y657)),$Y657/$N657,"")</f>
        <v/>
      </c>
    </row>
    <row r="658" ht="15" customHeight="1" s="518">
      <c r="A658" s="123" t="n">
        <v>8</v>
      </c>
      <c r="B658" s="59" t="n">
        <v>654</v>
      </c>
      <c r="C658" t="inlineStr">
        <is>
          <t>R0182980</t>
        </is>
      </c>
      <c r="D658" t="inlineStr">
        <is>
          <t>210  GREAT WESTERN RD</t>
        </is>
      </c>
      <c r="E658" t="n">
        <v>344</v>
      </c>
      <c r="F658" t="inlineStr">
        <is>
          <t>BRIGHTON</t>
        </is>
      </c>
      <c r="G658" t="inlineStr">
        <is>
          <t>2</t>
        </is>
      </c>
      <c r="H658" s="703">
        <f>Y658/J658</f>
        <v/>
      </c>
      <c r="I658" s="704" t="n">
        <v>44620</v>
      </c>
      <c r="J658" t="n">
        <v>2508</v>
      </c>
      <c r="L658" t="n">
        <v>2508</v>
      </c>
      <c r="M658" t="n">
        <v>2014</v>
      </c>
      <c r="P658" t="inlineStr">
        <is>
          <t>DT</t>
        </is>
      </c>
      <c r="R658" t="inlineStr">
        <is>
          <t>Average</t>
        </is>
      </c>
      <c r="S658" t="n">
        <v>46843</v>
      </c>
      <c r="T658" s="119">
        <f>S658/J658</f>
        <v/>
      </c>
      <c r="U658" t="inlineStr">
        <is>
          <t>Average</t>
        </is>
      </c>
      <c r="Y658" t="n">
        <v>1000000</v>
      </c>
      <c r="AA658" t="n">
        <v>1000000</v>
      </c>
      <c r="AC658" t="inlineStr">
        <is>
          <t>0156906306021</t>
        </is>
      </c>
      <c r="AD658" t="inlineStr">
        <is>
          <t>2022000019376</t>
        </is>
      </c>
      <c r="AE658" t="inlineStr">
        <is>
          <t>RAM AUTO REPAIR INC</t>
        </is>
      </c>
      <c r="AF658" t="inlineStr">
        <is>
          <t>RENEW ROOFING AND PAVING LLC</t>
        </is>
      </c>
      <c r="AI658" s="59">
        <f>IF(AND($E658=Subj_OccCode,Subj_BldgSF&gt;0,ABS($L658-Subj_BldgSF)&lt;=Subj_BldgSF*Subj_SizeTol),ABS($L658-Subj_BldgSF),NA())</f>
        <v/>
      </c>
      <c r="AJ658">
        <f>IF(ISNA(AI658),NA(),AI658+ROW()/10000000)</f>
        <v/>
      </c>
      <c r="AK658">
        <f>IF(AND(ISNUMBER($N658),$N658&gt;0,ISNUMBER($Y658)),$Y658/$N658,"")</f>
        <v/>
      </c>
    </row>
    <row r="659" ht="15" customHeight="1" s="518">
      <c r="A659" s="123" t="n">
        <v>8</v>
      </c>
      <c r="B659" s="59" t="n">
        <v>655</v>
      </c>
      <c r="C659" t="inlineStr">
        <is>
          <t>R0190879</t>
        </is>
      </c>
      <c r="D659" t="inlineStr">
        <is>
          <t>1321 S 4TH AVE</t>
        </is>
      </c>
      <c r="E659" t="n">
        <v>341</v>
      </c>
      <c r="F659" t="inlineStr">
        <is>
          <t>BRIGHTON</t>
        </is>
      </c>
      <c r="G659" t="inlineStr">
        <is>
          <t>2</t>
        </is>
      </c>
      <c r="H659" s="703">
        <f>Y659/J659</f>
        <v/>
      </c>
      <c r="I659" s="704" t="n">
        <v>44414</v>
      </c>
      <c r="J659" t="n">
        <v>9444</v>
      </c>
      <c r="L659" t="n">
        <v>9444</v>
      </c>
      <c r="M659" t="n">
        <v>2016</v>
      </c>
      <c r="P659" t="inlineStr">
        <is>
          <t>I-1-Bri</t>
        </is>
      </c>
      <c r="R659" t="inlineStr">
        <is>
          <t>Average</t>
        </is>
      </c>
      <c r="S659" t="n">
        <v>45271</v>
      </c>
      <c r="T659" s="119">
        <f>S659/J659</f>
        <v/>
      </c>
      <c r="U659" t="inlineStr">
        <is>
          <t>Average</t>
        </is>
      </c>
      <c r="Y659" t="n">
        <v>3066747</v>
      </c>
      <c r="AA659" t="n">
        <v>3066747</v>
      </c>
      <c r="AC659" t="inlineStr">
        <is>
          <t>0156918203008</t>
        </is>
      </c>
      <c r="AD659" t="inlineStr">
        <is>
          <t>2021000094535</t>
        </is>
      </c>
      <c r="AE659" t="inlineStr">
        <is>
          <t>148TH AND SABLE BOULEVARD BUILDING, LOT 3 LLC</t>
        </is>
      </c>
      <c r="AF659" t="inlineStr">
        <is>
          <t>DP BRIGHTON LLC</t>
        </is>
      </c>
      <c r="AI659" s="59">
        <f>IF(AND($E659=Subj_OccCode,Subj_BldgSF&gt;0,ABS($L659-Subj_BldgSF)&lt;=Subj_BldgSF*Subj_SizeTol),ABS($L659-Subj_BldgSF),NA())</f>
        <v/>
      </c>
      <c r="AJ659">
        <f>IF(ISNA(AI659),NA(),AI659+ROW()/10000000)</f>
        <v/>
      </c>
      <c r="AK659">
        <f>IF(AND(ISNUMBER($N659),$N659&gt;0,ISNUMBER($Y659)),$Y659/$N659,"")</f>
        <v/>
      </c>
    </row>
    <row r="660" ht="15" customHeight="1" s="518">
      <c r="A660" s="123" t="n">
        <v>8</v>
      </c>
      <c r="B660" s="59" t="n">
        <v>656</v>
      </c>
      <c r="C660" t="inlineStr">
        <is>
          <t>R0181286</t>
        </is>
      </c>
      <c r="D660" t="inlineStr">
        <is>
          <t>10555 IRMA DR</t>
        </is>
      </c>
      <c r="E660" t="n">
        <v>325</v>
      </c>
      <c r="F660" t="inlineStr">
        <is>
          <t>NORTHGLENN</t>
        </is>
      </c>
      <c r="G660" t="inlineStr">
        <is>
          <t>4</t>
        </is>
      </c>
      <c r="H660" s="703">
        <f>Y660/J660</f>
        <v/>
      </c>
      <c r="I660" s="704" t="n">
        <v>44560</v>
      </c>
      <c r="J660" t="n">
        <v>9836</v>
      </c>
      <c r="L660" t="n">
        <v>9836</v>
      </c>
      <c r="M660" t="n">
        <v>2014</v>
      </c>
      <c r="P660" t="inlineStr">
        <is>
          <t>PUD-Nor</t>
        </is>
      </c>
      <c r="R660" t="inlineStr">
        <is>
          <t>Average</t>
        </is>
      </c>
      <c r="S660" t="n">
        <v>49222.8</v>
      </c>
      <c r="T660" s="119">
        <f>S660/J660</f>
        <v/>
      </c>
      <c r="U660" t="inlineStr">
        <is>
          <t>Average</t>
        </is>
      </c>
      <c r="Y660" t="n">
        <v>2602249</v>
      </c>
      <c r="AA660" t="n">
        <v>2602249</v>
      </c>
      <c r="AC660" t="inlineStr">
        <is>
          <t>0171911406031</t>
        </is>
      </c>
      <c r="AD660" t="inlineStr">
        <is>
          <t>2022000013419</t>
        </is>
      </c>
      <c r="AE660" t="inlineStr">
        <is>
          <t>TILZER HOLDINGS LLC</t>
        </is>
      </c>
      <c r="AF660" t="inlineStr">
        <is>
          <t>SCF RC FUNDING III LLC</t>
        </is>
      </c>
      <c r="AI660" s="59">
        <f>IF(AND($E660=Subj_OccCode,Subj_BldgSF&gt;0,ABS($L660-Subj_BldgSF)&lt;=Subj_BldgSF*Subj_SizeTol),ABS($L660-Subj_BldgSF),NA())</f>
        <v/>
      </c>
      <c r="AJ660">
        <f>IF(ISNA(AI660),NA(),AI660+ROW()/10000000)</f>
        <v/>
      </c>
      <c r="AK660">
        <f>IF(AND(ISNUMBER($N660),$N660&gt;0,ISNUMBER($Y660)),$Y660/$N660,"")</f>
        <v/>
      </c>
    </row>
    <row r="661" ht="15" customHeight="1" s="518">
      <c r="A661" s="123" t="n">
        <v>8</v>
      </c>
      <c r="B661" s="59" t="n">
        <v>657</v>
      </c>
      <c r="C661" t="inlineStr">
        <is>
          <t>R0190170</t>
        </is>
      </c>
      <c r="D661" t="inlineStr">
        <is>
          <t>601 E 64TH AVE</t>
        </is>
      </c>
      <c r="E661" t="n">
        <v>407</v>
      </c>
      <c r="G661" t="inlineStr">
        <is>
          <t>5</t>
        </is>
      </c>
      <c r="H661" s="703">
        <f>Y661/J661</f>
        <v/>
      </c>
      <c r="I661" s="704" t="n">
        <v>43230</v>
      </c>
      <c r="J661" t="n">
        <v>419745</v>
      </c>
      <c r="L661" t="n">
        <v>419745</v>
      </c>
      <c r="M661" t="n">
        <v>2016</v>
      </c>
      <c r="R661" t="inlineStr">
        <is>
          <t>Average</t>
        </is>
      </c>
      <c r="S661" t="n">
        <v>1078261</v>
      </c>
      <c r="T661" s="119">
        <f>S661/J661</f>
        <v/>
      </c>
      <c r="U661" t="inlineStr">
        <is>
          <t>Average</t>
        </is>
      </c>
      <c r="Y661" t="n">
        <v>74000000</v>
      </c>
      <c r="AA661" t="n">
        <v>74000000</v>
      </c>
      <c r="AC661" t="inlineStr">
        <is>
          <t>0182503402011</t>
        </is>
      </c>
      <c r="AD661" t="inlineStr">
        <is>
          <t>2018000037912</t>
        </is>
      </c>
      <c r="AE661" t="inlineStr">
        <is>
          <t xml:space="preserve">MAPLETON INDUSTRIAL INVESTORS LLLP, C/O WESTFIELD COMPANY INC </t>
        </is>
      </c>
      <c r="AF661" t="inlineStr">
        <is>
          <t>HUB ACQUISITION LLC, C/O WESTFIELD PROPERTY SERVICES</t>
        </is>
      </c>
      <c r="AI661" s="59">
        <f>IF(AND($E661=Subj_OccCode,Subj_BldgSF&gt;0,ABS($L661-Subj_BldgSF)&lt;=Subj_BldgSF*Subj_SizeTol),ABS($L661-Subj_BldgSF),NA())</f>
        <v/>
      </c>
      <c r="AJ661">
        <f>IF(ISNA(AI661),NA(),AI661+ROW()/10000000)</f>
        <v/>
      </c>
      <c r="AK661">
        <f>IF(AND(ISNUMBER($N661),$N661&gt;0,ISNUMBER($Y661)),$Y661/$N661,"")</f>
        <v/>
      </c>
    </row>
    <row r="662" ht="15" customHeight="1" s="518">
      <c r="A662" s="123" t="n">
        <v>8</v>
      </c>
      <c r="B662" s="59" t="n">
        <v>658</v>
      </c>
      <c r="C662" t="inlineStr">
        <is>
          <t>R0188149</t>
        </is>
      </c>
      <c r="D662" t="inlineStr">
        <is>
          <t>7580  SHERIDAN BLVD</t>
        </is>
      </c>
      <c r="E662" t="n">
        <v>353</v>
      </c>
      <c r="F662" t="inlineStr">
        <is>
          <t>WESTMINSTER</t>
        </is>
      </c>
      <c r="G662" t="inlineStr">
        <is>
          <t>4</t>
        </is>
      </c>
      <c r="H662" s="703">
        <f>Y662/J662</f>
        <v/>
      </c>
      <c r="I662" s="704" t="n">
        <v>44179</v>
      </c>
      <c r="J662" t="n">
        <v>2275</v>
      </c>
      <c r="L662" t="n">
        <v>2275</v>
      </c>
      <c r="M662" t="n">
        <v>1971</v>
      </c>
      <c r="P662" t="inlineStr">
        <is>
          <t>PUD-Wes</t>
        </is>
      </c>
      <c r="R662" t="inlineStr">
        <is>
          <t>Average</t>
        </is>
      </c>
      <c r="S662" t="n">
        <v>20140</v>
      </c>
      <c r="T662" s="119">
        <f>S662/J662</f>
        <v/>
      </c>
      <c r="U662" t="inlineStr">
        <is>
          <t>Average</t>
        </is>
      </c>
      <c r="Y662" t="n">
        <v>645000</v>
      </c>
      <c r="AA662" t="n">
        <v>645000</v>
      </c>
      <c r="AC662" t="inlineStr">
        <is>
          <t>0171931301022</t>
        </is>
      </c>
      <c r="AD662" t="inlineStr">
        <is>
          <t>2020000131129</t>
        </is>
      </c>
      <c r="AE662" t="inlineStr">
        <is>
          <t>TRAN TU Q AND NGUYEN XUAN T</t>
        </is>
      </c>
      <c r="AF662" t="inlineStr">
        <is>
          <t>7580 SHERIDAN BLVD LLC</t>
        </is>
      </c>
      <c r="AI662" s="59">
        <f>IF(AND($E662=Subj_OccCode,Subj_BldgSF&gt;0,ABS($L662-Subj_BldgSF)&lt;=Subj_BldgSF*Subj_SizeTol),ABS($L662-Subj_BldgSF),NA())</f>
        <v/>
      </c>
      <c r="AJ662">
        <f>IF(ISNA(AI662),NA(),AI662+ROW()/10000000)</f>
        <v/>
      </c>
      <c r="AK662">
        <f>IF(AND(ISNUMBER($N662),$N662&gt;0,ISNUMBER($Y662)),$Y662/$N662,"")</f>
        <v/>
      </c>
    </row>
    <row r="663" ht="15" customHeight="1" s="518">
      <c r="A663" s="123" t="n">
        <v>8</v>
      </c>
      <c r="B663" s="59" t="n">
        <v>659</v>
      </c>
      <c r="C663" t="inlineStr">
        <is>
          <t>R0180952</t>
        </is>
      </c>
      <c r="D663" t="inlineStr">
        <is>
          <t>3350 ODESSA WY</t>
        </is>
      </c>
      <c r="E663" t="n">
        <v>406</v>
      </c>
      <c r="F663" t="inlineStr">
        <is>
          <t>AURORA</t>
        </is>
      </c>
      <c r="G663" t="inlineStr">
        <is>
          <t>6</t>
        </is>
      </c>
      <c r="H663" s="703">
        <f>Y663/J663</f>
        <v/>
      </c>
      <c r="I663" s="704" t="n">
        <v>44351</v>
      </c>
      <c r="J663" t="n">
        <v>32845</v>
      </c>
      <c r="L663" t="n">
        <v>32845</v>
      </c>
      <c r="M663" t="n">
        <v>2013</v>
      </c>
      <c r="P663" t="inlineStr">
        <is>
          <t>M-1-Aur</t>
        </is>
      </c>
      <c r="R663" t="inlineStr">
        <is>
          <t>Average</t>
        </is>
      </c>
      <c r="S663" t="n">
        <v>297945</v>
      </c>
      <c r="T663" s="119">
        <f>S663/J663</f>
        <v/>
      </c>
      <c r="U663" t="inlineStr">
        <is>
          <t>Average</t>
        </is>
      </c>
      <c r="Y663" t="n">
        <v>6075000</v>
      </c>
      <c r="AA663" t="n">
        <v>6075000</v>
      </c>
      <c r="AC663" t="inlineStr">
        <is>
          <t>0182126101005</t>
        </is>
      </c>
      <c r="AD663" t="inlineStr">
        <is>
          <t>2021000069300</t>
        </is>
      </c>
      <c r="AE663" t="inlineStr">
        <is>
          <t>PROPERTY LEASING DENVER LLC</t>
        </is>
      </c>
      <c r="AF663" t="inlineStr">
        <is>
          <t>FIRST INDUSTRIAL L P</t>
        </is>
      </c>
      <c r="AI663" s="59">
        <f>IF(AND($E663=Subj_OccCode,Subj_BldgSF&gt;0,ABS($L663-Subj_BldgSF)&lt;=Subj_BldgSF*Subj_SizeTol),ABS($L663-Subj_BldgSF),NA())</f>
        <v/>
      </c>
      <c r="AJ663">
        <f>IF(ISNA(AI663),NA(),AI663+ROW()/10000000)</f>
        <v/>
      </c>
      <c r="AK663">
        <f>IF(AND(ISNUMBER($N663),$N663&gt;0,ISNUMBER($Y663)),$Y663/$N663,"")</f>
        <v/>
      </c>
    </row>
    <row r="664" ht="15" customHeight="1" s="518">
      <c r="A664" s="123" t="n">
        <v>8</v>
      </c>
      <c r="B664" s="59" t="n">
        <v>660</v>
      </c>
      <c r="C664" t="inlineStr">
        <is>
          <t>R0192486</t>
        </is>
      </c>
      <c r="D664" t="inlineStr">
        <is>
          <t>7398  FEDERAL BLVD</t>
        </is>
      </c>
      <c r="E664" t="n">
        <v>344</v>
      </c>
      <c r="F664" t="inlineStr">
        <is>
          <t>WESTMINSTER</t>
        </is>
      </c>
      <c r="G664" t="inlineStr">
        <is>
          <t>4</t>
        </is>
      </c>
      <c r="H664" s="703">
        <f>Y664/J664</f>
        <v/>
      </c>
      <c r="I664" s="704" t="n">
        <v>44091</v>
      </c>
      <c r="J664" t="n">
        <v>2410</v>
      </c>
      <c r="L664" t="n">
        <v>2410</v>
      </c>
      <c r="M664" t="n">
        <v>1971</v>
      </c>
      <c r="P664" t="inlineStr">
        <is>
          <t>C-1-Wes</t>
        </is>
      </c>
      <c r="R664" t="inlineStr">
        <is>
          <t>Average</t>
        </is>
      </c>
      <c r="S664" t="n">
        <v>23139</v>
      </c>
      <c r="T664" s="119">
        <f>S664/J664</f>
        <v/>
      </c>
      <c r="U664" t="inlineStr">
        <is>
          <t>Average</t>
        </is>
      </c>
      <c r="Y664" t="n">
        <v>850000</v>
      </c>
      <c r="AA664" t="n">
        <v>850000</v>
      </c>
      <c r="AC664" t="inlineStr">
        <is>
          <t>0171932421006</t>
        </is>
      </c>
      <c r="AD664" t="inlineStr">
        <is>
          <t>2020000093213</t>
        </is>
      </c>
      <c r="AE664" t="inlineStr">
        <is>
          <t>MTD 74FED LLC, C/O CADENCE DEVELOPMENT LLC</t>
        </is>
      </c>
      <c r="AF664" t="inlineStr">
        <is>
          <t>SEUNG H LEE LLC</t>
        </is>
      </c>
      <c r="AI664" s="59">
        <f>IF(AND($E664=Subj_OccCode,Subj_BldgSF&gt;0,ABS($L664-Subj_BldgSF)&lt;=Subj_BldgSF*Subj_SizeTol),ABS($L664-Subj_BldgSF),NA())</f>
        <v/>
      </c>
      <c r="AJ664">
        <f>IF(ISNA(AI664),NA(),AI664+ROW()/10000000)</f>
        <v/>
      </c>
      <c r="AK664">
        <f>IF(AND(ISNUMBER($N664),$N664&gt;0,ISNUMBER($Y664)),$Y664/$N664,"")</f>
        <v/>
      </c>
    </row>
    <row r="665" ht="15" customHeight="1" s="518">
      <c r="A665" s="123" t="n">
        <v>8</v>
      </c>
      <c r="B665" s="59" t="n">
        <v>661</v>
      </c>
      <c r="C665" t="inlineStr">
        <is>
          <t>R0195676</t>
        </is>
      </c>
      <c r="D665" t="inlineStr">
        <is>
          <t>8411 N STACY DR</t>
        </is>
      </c>
      <c r="E665" t="n">
        <v>444</v>
      </c>
      <c r="F665" t="inlineStr">
        <is>
          <t>FEDERAL HEIGHTS</t>
        </is>
      </c>
      <c r="G665" t="inlineStr">
        <is>
          <t>4</t>
        </is>
      </c>
      <c r="H665" s="703">
        <f>Y665/J665</f>
        <v/>
      </c>
      <c r="I665" s="704" t="n">
        <v>44523</v>
      </c>
      <c r="J665" t="n">
        <v>2873</v>
      </c>
      <c r="L665" t="n">
        <v>2873</v>
      </c>
      <c r="M665" t="n">
        <v>2001</v>
      </c>
      <c r="P665" t="inlineStr">
        <is>
          <t>C-1-Fed</t>
        </is>
      </c>
      <c r="R665" t="inlineStr">
        <is>
          <t>Good</t>
        </is>
      </c>
      <c r="S665" t="n">
        <v>3588</v>
      </c>
      <c r="T665" s="119">
        <f>S665/J665</f>
        <v/>
      </c>
      <c r="U665" t="inlineStr">
        <is>
          <t>Good</t>
        </is>
      </c>
      <c r="Y665" t="n">
        <v>1350000</v>
      </c>
      <c r="AA665" t="n">
        <v>1350000</v>
      </c>
      <c r="AC665" t="inlineStr">
        <is>
          <t>0171928206013</t>
        </is>
      </c>
      <c r="AD665" t="inlineStr">
        <is>
          <t>2021000137591</t>
        </is>
      </c>
      <c r="AE665" t="inlineStr">
        <is>
          <t>WONG ALAN DDS PC</t>
        </is>
      </c>
      <c r="AF665" t="inlineStr">
        <is>
          <t>FRANK AND LOU ENTERPRISES LLC</t>
        </is>
      </c>
      <c r="AI665" s="59">
        <f>IF(AND($E665=Subj_OccCode,Subj_BldgSF&gt;0,ABS($L665-Subj_BldgSF)&lt;=Subj_BldgSF*Subj_SizeTol),ABS($L665-Subj_BldgSF),NA())</f>
        <v/>
      </c>
      <c r="AJ665">
        <f>IF(ISNA(AI665),NA(),AI665+ROW()/10000000)</f>
        <v/>
      </c>
      <c r="AK665">
        <f>IF(AND(ISNUMBER($N665),$N665&gt;0,ISNUMBER($Y665)),$Y665/$N665,"")</f>
        <v/>
      </c>
    </row>
    <row r="666" ht="15" customHeight="1" s="518">
      <c r="A666" s="123" t="n">
        <v>8</v>
      </c>
      <c r="B666" s="59" t="n">
        <v>662</v>
      </c>
      <c r="C666" t="inlineStr">
        <is>
          <t>R0194307</t>
        </is>
      </c>
      <c r="D666" t="inlineStr">
        <is>
          <t xml:space="preserve">6496  HWY 2 </t>
        </is>
      </c>
      <c r="E666" t="n">
        <v>442</v>
      </c>
      <c r="F666" t="inlineStr">
        <is>
          <t>COMMERCE CITY</t>
        </is>
      </c>
      <c r="G666" t="inlineStr">
        <is>
          <t>5</t>
        </is>
      </c>
      <c r="H666" s="703">
        <f>Y666/J666</f>
        <v/>
      </c>
      <c r="I666" s="704" t="n">
        <v>43159</v>
      </c>
      <c r="J666" t="n">
        <v>5016</v>
      </c>
      <c r="L666" t="n">
        <v>5016</v>
      </c>
      <c r="M666" t="n">
        <v>1941</v>
      </c>
      <c r="R666" t="inlineStr">
        <is>
          <t>Average</t>
        </is>
      </c>
      <c r="S666" t="n">
        <v>42636</v>
      </c>
      <c r="T666" s="119">
        <f>S666/J666</f>
        <v/>
      </c>
      <c r="U666" t="inlineStr">
        <is>
          <t>Average</t>
        </is>
      </c>
      <c r="Y666" t="n">
        <v>755000</v>
      </c>
      <c r="AA666" t="n">
        <v>755000</v>
      </c>
      <c r="AC666" t="inlineStr">
        <is>
          <t>0182306406020</t>
        </is>
      </c>
      <c r="AD666" t="inlineStr">
        <is>
          <t>2018000017154</t>
        </is>
      </c>
      <c r="AE666" t="inlineStr">
        <is>
          <t>SHARPLESS CLAUDE J JR</t>
        </is>
      </c>
      <c r="AF666" t="inlineStr">
        <is>
          <t>FERRER LORENZO</t>
        </is>
      </c>
      <c r="AI666" s="59">
        <f>IF(AND($E666=Subj_OccCode,Subj_BldgSF&gt;0,ABS($L666-Subj_BldgSF)&lt;=Subj_BldgSF*Subj_SizeTol),ABS($L666-Subj_BldgSF),NA())</f>
        <v/>
      </c>
      <c r="AJ666">
        <f>IF(ISNA(AI666),NA(),AI666+ROW()/10000000)</f>
        <v/>
      </c>
      <c r="AK666">
        <f>IF(AND(ISNUMBER($N666),$N666&gt;0,ISNUMBER($Y666)),$Y666/$N666,"")</f>
        <v/>
      </c>
    </row>
    <row r="667" ht="15" customHeight="1" s="518">
      <c r="A667" s="123" t="n">
        <v>8</v>
      </c>
      <c r="B667" s="59" t="n">
        <v>663</v>
      </c>
      <c r="C667" t="inlineStr">
        <is>
          <t>R0176600</t>
        </is>
      </c>
      <c r="D667" t="inlineStr">
        <is>
          <t>521 W 115TH AVE</t>
        </is>
      </c>
      <c r="E667" t="n">
        <v>386</v>
      </c>
      <c r="F667" t="inlineStr">
        <is>
          <t>NORTHGLENN</t>
        </is>
      </c>
      <c r="G667" t="inlineStr">
        <is>
          <t>4</t>
        </is>
      </c>
      <c r="H667" s="703">
        <f>Y667/J667</f>
        <v/>
      </c>
      <c r="I667" s="704" t="n">
        <v>44545</v>
      </c>
      <c r="J667" t="n">
        <v>11715</v>
      </c>
      <c r="L667" t="n">
        <v>11715</v>
      </c>
      <c r="M667" t="n">
        <v>2016</v>
      </c>
      <c r="P667" t="inlineStr">
        <is>
          <t>PUD-Nor</t>
        </is>
      </c>
      <c r="R667" t="inlineStr">
        <is>
          <t>Average</t>
        </is>
      </c>
      <c r="S667" t="n">
        <v>34033</v>
      </c>
      <c r="T667" s="119">
        <f>S667/J667</f>
        <v/>
      </c>
      <c r="U667" t="inlineStr">
        <is>
          <t>Average</t>
        </is>
      </c>
      <c r="Y667" t="n">
        <v>1000000</v>
      </c>
      <c r="AA667" t="n">
        <v>1000000</v>
      </c>
      <c r="AC667" t="inlineStr">
        <is>
          <t>0171903305001</t>
        </is>
      </c>
      <c r="AD667" t="inlineStr">
        <is>
          <t>2021000145894</t>
        </is>
      </c>
      <c r="AE667" t="inlineStr">
        <is>
          <t>BRANDON SCOTT AND, BRANDON MARLENE</t>
        </is>
      </c>
      <c r="AF667" t="inlineStr">
        <is>
          <t>PINEAPPLE PROPERTIES LTD</t>
        </is>
      </c>
      <c r="AI667" s="59">
        <f>IF(AND($E667=Subj_OccCode,Subj_BldgSF&gt;0,ABS($L667-Subj_BldgSF)&lt;=Subj_BldgSF*Subj_SizeTol),ABS($L667-Subj_BldgSF),NA())</f>
        <v/>
      </c>
      <c r="AJ667">
        <f>IF(ISNA(AI667),NA(),AI667+ROW()/10000000)</f>
        <v/>
      </c>
      <c r="AK667">
        <f>IF(AND(ISNUMBER($N667),$N667&gt;0,ISNUMBER($Y667)),$Y667/$N667,"")</f>
        <v/>
      </c>
    </row>
    <row r="668" ht="15" customHeight="1" s="518">
      <c r="A668" s="123" t="n">
        <v>8</v>
      </c>
      <c r="B668" s="59" t="n">
        <v>664</v>
      </c>
      <c r="C668" t="inlineStr">
        <is>
          <t>R0190171</t>
        </is>
      </c>
      <c r="D668" t="inlineStr">
        <is>
          <t>1511 W 124TH AVE</t>
        </is>
      </c>
      <c r="E668" t="n">
        <v>425</v>
      </c>
      <c r="F668" t="inlineStr">
        <is>
          <t>WESTMINSTER</t>
        </is>
      </c>
      <c r="G668" t="inlineStr">
        <is>
          <t>3</t>
        </is>
      </c>
      <c r="H668" s="703">
        <f>Y668/J668</f>
        <v/>
      </c>
      <c r="I668" s="704" t="n">
        <v>43920</v>
      </c>
      <c r="J668" t="n">
        <v>4000</v>
      </c>
      <c r="L668" t="n">
        <v>4000</v>
      </c>
      <c r="M668" t="n">
        <v>2016</v>
      </c>
      <c r="P668" t="inlineStr">
        <is>
          <t>PUD-Wes</t>
        </is>
      </c>
      <c r="R668" t="inlineStr">
        <is>
          <t>Good</t>
        </is>
      </c>
      <c r="S668" t="n">
        <v>5569</v>
      </c>
      <c r="T668" s="119">
        <f>S668/J668</f>
        <v/>
      </c>
      <c r="U668" t="inlineStr">
        <is>
          <t>Good</t>
        </is>
      </c>
      <c r="Y668" t="n">
        <v>600000</v>
      </c>
      <c r="AA668" t="n">
        <v>600000</v>
      </c>
      <c r="AC668" t="inlineStr">
        <is>
          <t>0157333101001</t>
        </is>
      </c>
      <c r="AD668" t="inlineStr">
        <is>
          <t>2020000031849</t>
        </is>
      </c>
      <c r="AE668" t="inlineStr">
        <is>
          <t>1511 WEST 124TH AVE LLC</t>
        </is>
      </c>
      <c r="AF668" t="inlineStr">
        <is>
          <t>ABA REAL ESTATE LLC</t>
        </is>
      </c>
      <c r="AI668" s="59">
        <f>IF(AND($E668=Subj_OccCode,Subj_BldgSF&gt;0,ABS($L668-Subj_BldgSF)&lt;=Subj_BldgSF*Subj_SizeTol),ABS($L668-Subj_BldgSF),NA())</f>
        <v/>
      </c>
      <c r="AJ668">
        <f>IF(ISNA(AI668),NA(),AI668+ROW()/10000000)</f>
        <v/>
      </c>
      <c r="AK668">
        <f>IF(AND(ISNUMBER($N668),$N668&gt;0,ISNUMBER($Y668)),$Y668/$N668,"")</f>
        <v/>
      </c>
    </row>
    <row r="669" ht="15" customHeight="1" s="518">
      <c r="A669" s="123" t="n">
        <v>8</v>
      </c>
      <c r="B669" s="59" t="n">
        <v>665</v>
      </c>
      <c r="C669" t="inlineStr">
        <is>
          <t>R0190176</t>
        </is>
      </c>
      <c r="D669" t="inlineStr">
        <is>
          <t>1501 W 124TH AVE</t>
        </is>
      </c>
      <c r="E669" t="n">
        <v>425</v>
      </c>
      <c r="F669" t="inlineStr">
        <is>
          <t>WESTMINSTER</t>
        </is>
      </c>
      <c r="G669" t="inlineStr">
        <is>
          <t>3</t>
        </is>
      </c>
      <c r="H669" s="703">
        <f>Y669/J669</f>
        <v/>
      </c>
      <c r="I669" s="704" t="n">
        <v>44316</v>
      </c>
      <c r="J669" t="n">
        <v>15818</v>
      </c>
      <c r="L669" t="n">
        <v>15818</v>
      </c>
      <c r="M669" t="n">
        <v>2016</v>
      </c>
      <c r="P669" t="inlineStr">
        <is>
          <t>PUD-Wes</t>
        </is>
      </c>
      <c r="R669" t="inlineStr">
        <is>
          <t>Good</t>
        </is>
      </c>
      <c r="S669" t="n">
        <v>5569</v>
      </c>
      <c r="T669" s="119">
        <f>S669/J669</f>
        <v/>
      </c>
      <c r="U669" t="inlineStr">
        <is>
          <t>Good</t>
        </is>
      </c>
      <c r="Y669" t="n">
        <v>680000</v>
      </c>
      <c r="AA669" t="n">
        <v>680000</v>
      </c>
      <c r="AC669" t="inlineStr">
        <is>
          <t>0157333101006</t>
        </is>
      </c>
      <c r="AD669" t="inlineStr">
        <is>
          <t>2021000053506</t>
        </is>
      </c>
      <c r="AE669" t="inlineStr">
        <is>
          <t>URBAN BOX 500 LLC</t>
        </is>
      </c>
      <c r="AF669" t="inlineStr">
        <is>
          <t>MADJOSH ENTERPRISES LLC</t>
        </is>
      </c>
      <c r="AI669" s="59">
        <f>IF(AND($E669=Subj_OccCode,Subj_BldgSF&gt;0,ABS($L669-Subj_BldgSF)&lt;=Subj_BldgSF*Subj_SizeTol),ABS($L669-Subj_BldgSF),NA())</f>
        <v/>
      </c>
      <c r="AJ669">
        <f>IF(ISNA(AI669),NA(),AI669+ROW()/10000000)</f>
        <v/>
      </c>
      <c r="AK669">
        <f>IF(AND(ISNUMBER($N669),$N669&gt;0,ISNUMBER($Y669)),$Y669/$N669,"")</f>
        <v/>
      </c>
    </row>
    <row r="670" ht="15" customHeight="1" s="518">
      <c r="A670" s="123" t="n">
        <v>8</v>
      </c>
      <c r="B670" s="59" t="n">
        <v>666</v>
      </c>
      <c r="C670" t="inlineStr">
        <is>
          <t>R0103510</t>
        </is>
      </c>
      <c r="D670" t="inlineStr">
        <is>
          <t>6145 BROADWAY ST</t>
        </is>
      </c>
      <c r="E670" t="n">
        <v>406</v>
      </c>
      <c r="G670" t="inlineStr">
        <is>
          <t>5</t>
        </is>
      </c>
      <c r="H670" s="703">
        <f>Y670/J670</f>
        <v/>
      </c>
      <c r="I670" s="704" t="n">
        <v>44679</v>
      </c>
      <c r="J670" t="n">
        <v>19812</v>
      </c>
      <c r="L670" t="n">
        <v>19812</v>
      </c>
      <c r="M670" t="n">
        <v>2016</v>
      </c>
      <c r="P670" t="inlineStr">
        <is>
          <t>Industrial</t>
        </is>
      </c>
      <c r="R670" t="inlineStr">
        <is>
          <t>Good</t>
        </is>
      </c>
      <c r="S670" t="n">
        <v>87120</v>
      </c>
      <c r="T670" s="119">
        <f>S670/J670</f>
        <v/>
      </c>
      <c r="U670" t="inlineStr">
        <is>
          <t>Good</t>
        </is>
      </c>
      <c r="Y670" t="n">
        <v>4450000</v>
      </c>
      <c r="AA670" t="n">
        <v>4450000</v>
      </c>
      <c r="AC670" t="inlineStr">
        <is>
          <t>0182510203003</t>
        </is>
      </c>
      <c r="AD670" t="inlineStr">
        <is>
          <t>2022000038923</t>
        </is>
      </c>
      <c r="AE670" t="inlineStr">
        <is>
          <t>6145 BROADWAY LLC</t>
        </is>
      </c>
      <c r="AF670" t="inlineStr">
        <is>
          <t>GWK LLC</t>
        </is>
      </c>
      <c r="AI670" s="59">
        <f>IF(AND($E670=Subj_OccCode,Subj_BldgSF&gt;0,ABS($L670-Subj_BldgSF)&lt;=Subj_BldgSF*Subj_SizeTol),ABS($L670-Subj_BldgSF),NA())</f>
        <v/>
      </c>
      <c r="AJ670">
        <f>IF(ISNA(AI670),NA(),AI670+ROW()/10000000)</f>
        <v/>
      </c>
      <c r="AK670">
        <f>IF(AND(ISNUMBER($N670),$N670&gt;0,ISNUMBER($Y670)),$Y670/$N670,"")</f>
        <v/>
      </c>
    </row>
    <row r="671" ht="15" customHeight="1" s="518">
      <c r="A671" s="123" t="n">
        <v>8</v>
      </c>
      <c r="B671" s="59" t="n">
        <v>667</v>
      </c>
      <c r="C671" t="inlineStr">
        <is>
          <t>R0188697</t>
        </is>
      </c>
      <c r="D671" t="inlineStr">
        <is>
          <t>10195 E MONTVIEW BLVD</t>
        </is>
      </c>
      <c r="E671" t="n">
        <v>353</v>
      </c>
      <c r="F671" t="inlineStr">
        <is>
          <t>AURORA</t>
        </is>
      </c>
      <c r="G671" t="inlineStr">
        <is>
          <t>6</t>
        </is>
      </c>
      <c r="H671" s="703">
        <f>Y671/J671</f>
        <v/>
      </c>
      <c r="I671" s="704" t="n">
        <v>43159</v>
      </c>
      <c r="J671" t="n">
        <v>4850</v>
      </c>
      <c r="L671" t="n">
        <v>4850</v>
      </c>
      <c r="M671" t="n">
        <v>1952</v>
      </c>
      <c r="R671" t="inlineStr">
        <is>
          <t>Average</t>
        </is>
      </c>
      <c r="S671" t="n">
        <v>6282</v>
      </c>
      <c r="T671" s="119">
        <f>S671/J671</f>
        <v/>
      </c>
      <c r="U671" t="inlineStr">
        <is>
          <t>Average</t>
        </is>
      </c>
      <c r="Y671" t="n">
        <v>660000</v>
      </c>
      <c r="AA671" t="n">
        <v>660000</v>
      </c>
      <c r="AC671" t="inlineStr">
        <is>
          <t>0182334129029</t>
        </is>
      </c>
      <c r="AD671" t="inlineStr">
        <is>
          <t>2018000017241</t>
        </is>
      </c>
      <c r="AE671" t="inlineStr">
        <is>
          <t>10195 E MONTVIEW LLC</t>
        </is>
      </c>
      <c r="AF671" t="inlineStr">
        <is>
          <t>TRECO HOLDINGS LLC</t>
        </is>
      </c>
      <c r="AI671" s="59">
        <f>IF(AND($E671=Subj_OccCode,Subj_BldgSF&gt;0,ABS($L671-Subj_BldgSF)&lt;=Subj_BldgSF*Subj_SizeTol),ABS($L671-Subj_BldgSF),NA())</f>
        <v/>
      </c>
      <c r="AJ671">
        <f>IF(ISNA(AI671),NA(),AI671+ROW()/10000000)</f>
        <v/>
      </c>
      <c r="AK671">
        <f>IF(AND(ISNUMBER($N671),$N671&gt;0,ISNUMBER($Y671)),$Y671/$N671,"")</f>
        <v/>
      </c>
    </row>
    <row r="672" ht="15" customHeight="1" s="518">
      <c r="A672" s="123" t="n">
        <v>8</v>
      </c>
      <c r="B672" s="59" t="n">
        <v>668</v>
      </c>
      <c r="C672" t="inlineStr">
        <is>
          <t>R0188347</t>
        </is>
      </c>
      <c r="D672" t="inlineStr">
        <is>
          <t>17901 E 81ST AVE</t>
        </is>
      </c>
      <c r="E672" t="n">
        <v>325</v>
      </c>
      <c r="F672" t="inlineStr">
        <is>
          <t>COMMERCE CITY</t>
        </is>
      </c>
      <c r="G672" t="inlineStr">
        <is>
          <t>2</t>
        </is>
      </c>
      <c r="H672" s="703">
        <f>Y672/J672</f>
        <v/>
      </c>
      <c r="I672" s="704" t="n">
        <v>44579</v>
      </c>
      <c r="J672" t="n">
        <v>3398</v>
      </c>
      <c r="L672" t="n">
        <v>3398</v>
      </c>
      <c r="M672" t="n">
        <v>2017</v>
      </c>
      <c r="P672" t="inlineStr">
        <is>
          <t>PUD-Com</t>
        </is>
      </c>
      <c r="R672" t="inlineStr">
        <is>
          <t>Average</t>
        </is>
      </c>
      <c r="S672" t="n">
        <v>236811.9798</v>
      </c>
      <c r="T672" s="119">
        <f>S672/J672</f>
        <v/>
      </c>
      <c r="U672" t="inlineStr">
        <is>
          <t>Average</t>
        </is>
      </c>
      <c r="Y672" t="n">
        <v>2250000</v>
      </c>
      <c r="AA672" t="n">
        <v>2250000</v>
      </c>
      <c r="AC672" t="inlineStr">
        <is>
          <t>0172328301001</t>
        </is>
      </c>
      <c r="AD672" t="inlineStr">
        <is>
          <t>2022000006303</t>
        </is>
      </c>
      <c r="AE672" t="inlineStr">
        <is>
          <t>AVR DENVER LLC</t>
        </is>
      </c>
      <c r="AF672" t="inlineStr">
        <is>
          <t>DUKE LLC</t>
        </is>
      </c>
      <c r="AI672" s="59">
        <f>IF(AND($E672=Subj_OccCode,Subj_BldgSF&gt;0,ABS($L672-Subj_BldgSF)&lt;=Subj_BldgSF*Subj_SizeTol),ABS($L672-Subj_BldgSF),NA())</f>
        <v/>
      </c>
      <c r="AJ672">
        <f>IF(ISNA(AI672),NA(),AI672+ROW()/10000000)</f>
        <v/>
      </c>
      <c r="AK672">
        <f>IF(AND(ISNUMBER($N672),$N672&gt;0,ISNUMBER($Y672)),$Y672/$N672,"")</f>
        <v/>
      </c>
    </row>
    <row r="673" ht="15" customHeight="1" s="518">
      <c r="A673" s="123" t="n">
        <v>8</v>
      </c>
      <c r="B673" s="59" t="n">
        <v>669</v>
      </c>
      <c r="C673" t="inlineStr">
        <is>
          <t>R0184702</t>
        </is>
      </c>
      <c r="D673" t="inlineStr">
        <is>
          <t>15150 E 104TH AVE</t>
        </is>
      </c>
      <c r="E673" t="n">
        <v>350</v>
      </c>
      <c r="F673" t="inlineStr">
        <is>
          <t>COMMERCE CITY</t>
        </is>
      </c>
      <c r="G673" t="inlineStr">
        <is>
          <t>2</t>
        </is>
      </c>
      <c r="H673" s="703">
        <f>Y673/J673</f>
        <v/>
      </c>
      <c r="I673" s="704" t="n">
        <v>44553</v>
      </c>
      <c r="J673" t="n">
        <v>5688</v>
      </c>
      <c r="L673" t="n">
        <v>5688</v>
      </c>
      <c r="M673" t="n">
        <v>2016</v>
      </c>
      <c r="P673" t="inlineStr">
        <is>
          <t>PUD-Com</t>
        </is>
      </c>
      <c r="R673" t="inlineStr">
        <is>
          <t>Good</t>
        </is>
      </c>
      <c r="S673" t="n">
        <v>58589</v>
      </c>
      <c r="T673" s="119">
        <f>S673/J673</f>
        <v/>
      </c>
      <c r="U673" t="inlineStr">
        <is>
          <t>Good</t>
        </is>
      </c>
      <c r="Y673" t="n">
        <v>2308600</v>
      </c>
      <c r="AA673" t="n">
        <v>2308600</v>
      </c>
      <c r="AC673" t="inlineStr">
        <is>
          <t>0172318102015</t>
        </is>
      </c>
      <c r="AD673" t="inlineStr">
        <is>
          <t>2022000006706</t>
        </is>
      </c>
      <c r="AE673" t="inlineStr">
        <is>
          <t>MEGA PIE LLC</t>
        </is>
      </c>
      <c r="AF673" t="inlineStr">
        <is>
          <t>FIP MASTER FUNDING I LLC</t>
        </is>
      </c>
      <c r="AI673" s="59">
        <f>IF(AND($E673=Subj_OccCode,Subj_BldgSF&gt;0,ABS($L673-Subj_BldgSF)&lt;=Subj_BldgSF*Subj_SizeTol),ABS($L673-Subj_BldgSF),NA())</f>
        <v/>
      </c>
      <c r="AJ673">
        <f>IF(ISNA(AI673),NA(),AI673+ROW()/10000000)</f>
        <v/>
      </c>
      <c r="AK673">
        <f>IF(AND(ISNUMBER($N673),$N673&gt;0,ISNUMBER($Y673)),$Y673/$N673,"")</f>
        <v/>
      </c>
    </row>
    <row r="674" ht="15" customHeight="1" s="518">
      <c r="A674" s="123" t="n">
        <v>8</v>
      </c>
      <c r="B674" s="59" t="n">
        <v>670</v>
      </c>
      <c r="C674" t="inlineStr">
        <is>
          <t>R0191873</t>
        </is>
      </c>
      <c r="D674" t="inlineStr">
        <is>
          <t>5725 E 56TH AVE</t>
        </is>
      </c>
      <c r="E674" t="n">
        <v>210</v>
      </c>
      <c r="F674" t="inlineStr">
        <is>
          <t>COMMERCE CITY</t>
        </is>
      </c>
      <c r="G674" t="inlineStr">
        <is>
          <t>5</t>
        </is>
      </c>
      <c r="H674" s="703">
        <f>Y674/J674</f>
        <v/>
      </c>
      <c r="I674" s="704" t="n">
        <v>44559</v>
      </c>
      <c r="J674" t="n">
        <v>25000</v>
      </c>
      <c r="L674" t="n">
        <v>25000</v>
      </c>
      <c r="M674" t="n">
        <v>2018</v>
      </c>
      <c r="P674" t="inlineStr">
        <is>
          <t>I-1-Com</t>
        </is>
      </c>
      <c r="R674" t="inlineStr">
        <is>
          <t>Average</t>
        </is>
      </c>
      <c r="S674" t="n">
        <v>72506</v>
      </c>
      <c r="T674" s="119">
        <f>S674/J674</f>
        <v/>
      </c>
      <c r="U674" t="inlineStr">
        <is>
          <t>Average</t>
        </is>
      </c>
      <c r="Y674" t="n">
        <v>4000000</v>
      </c>
      <c r="AA674" t="n">
        <v>4000000</v>
      </c>
      <c r="AC674" t="inlineStr">
        <is>
          <t>0182308302078</t>
        </is>
      </c>
      <c r="AD674" t="inlineStr">
        <is>
          <t>2021000151224</t>
        </is>
      </c>
      <c r="AE674" t="inlineStr">
        <is>
          <t>MERMIS LLC</t>
        </is>
      </c>
      <c r="AF674" t="inlineStr">
        <is>
          <t>JSM 5725 LLC</t>
        </is>
      </c>
      <c r="AI674" s="59">
        <f>IF(AND($E674=Subj_OccCode,Subj_BldgSF&gt;0,ABS($L674-Subj_BldgSF)&lt;=Subj_BldgSF*Subj_SizeTol),ABS($L674-Subj_BldgSF),NA())</f>
        <v/>
      </c>
      <c r="AJ674">
        <f>IF(ISNA(AI674),NA(),AI674+ROW()/10000000)</f>
        <v/>
      </c>
      <c r="AK674">
        <f>IF(AND(ISNUMBER($N674),$N674&gt;0,ISNUMBER($Y674)),$Y674/$N674,"")</f>
        <v/>
      </c>
    </row>
    <row r="675" ht="15" customHeight="1" s="518">
      <c r="A675" s="123" t="n">
        <v>8</v>
      </c>
      <c r="B675" s="59" t="n">
        <v>671</v>
      </c>
      <c r="C675" t="inlineStr">
        <is>
          <t>R0194299</t>
        </is>
      </c>
      <c r="D675" t="inlineStr">
        <is>
          <t>11821 HURON ST</t>
        </is>
      </c>
      <c r="E675" t="n">
        <v>334</v>
      </c>
      <c r="F675" t="inlineStr">
        <is>
          <t>WESTMINSTER</t>
        </is>
      </c>
      <c r="G675" t="inlineStr">
        <is>
          <t>4</t>
        </is>
      </c>
      <c r="H675" s="703">
        <f>Y675/J675</f>
        <v/>
      </c>
      <c r="I675" s="704" t="n">
        <v>43420</v>
      </c>
      <c r="J675" t="n">
        <v>36250</v>
      </c>
      <c r="L675" t="n">
        <v>36250</v>
      </c>
      <c r="M675" t="n">
        <v>2018</v>
      </c>
      <c r="R675" t="inlineStr">
        <is>
          <t>Average</t>
        </is>
      </c>
      <c r="S675" t="n">
        <v>178992</v>
      </c>
      <c r="T675" s="119">
        <f>S675/J675</f>
        <v/>
      </c>
      <c r="U675" t="inlineStr">
        <is>
          <t>Average</t>
        </is>
      </c>
      <c r="Y675" t="n">
        <v>5077800</v>
      </c>
      <c r="AA675" t="n">
        <v>5077800</v>
      </c>
      <c r="AC675" t="inlineStr">
        <is>
          <t>0171904101015</t>
        </is>
      </c>
      <c r="AD675" t="inlineStr">
        <is>
          <t>2018000092766</t>
        </is>
      </c>
      <c r="AE675" t="inlineStr">
        <is>
          <t>WL PARK 12 HUNDRED OWNER LLC</t>
        </is>
      </c>
      <c r="AF675" t="inlineStr">
        <is>
          <t>PARK 12 HUNDRED LLC</t>
        </is>
      </c>
      <c r="AI675" s="59">
        <f>IF(AND($E675=Subj_OccCode,Subj_BldgSF&gt;0,ABS($L675-Subj_BldgSF)&lt;=Subj_BldgSF*Subj_SizeTol),ABS($L675-Subj_BldgSF),NA())</f>
        <v/>
      </c>
      <c r="AJ675">
        <f>IF(ISNA(AI675),NA(),AI675+ROW()/10000000)</f>
        <v/>
      </c>
      <c r="AK675">
        <f>IF(AND(ISNUMBER($N675),$N675&gt;0,ISNUMBER($Y675)),$Y675/$N675,"")</f>
        <v/>
      </c>
    </row>
    <row r="676" ht="15" customHeight="1" s="518">
      <c r="A676" s="123" t="n">
        <v>8</v>
      </c>
      <c r="B676" s="59" t="n">
        <v>672</v>
      </c>
      <c r="C676" t="inlineStr">
        <is>
          <t>R0190581</t>
        </is>
      </c>
      <c r="D676" t="inlineStr">
        <is>
          <t>9760  GRANT ST</t>
        </is>
      </c>
      <c r="E676" t="n">
        <v>353</v>
      </c>
      <c r="F676" t="inlineStr">
        <is>
          <t>THORNTON</t>
        </is>
      </c>
      <c r="G676" t="inlineStr">
        <is>
          <t>4</t>
        </is>
      </c>
      <c r="H676" s="703">
        <f>Y676/J676</f>
        <v/>
      </c>
      <c r="I676" s="704" t="n">
        <v>44559</v>
      </c>
      <c r="J676" t="n">
        <v>9771</v>
      </c>
      <c r="L676" t="n">
        <v>9771</v>
      </c>
      <c r="M676" t="n">
        <v>2008</v>
      </c>
      <c r="P676" t="inlineStr">
        <is>
          <t>Planned Development</t>
        </is>
      </c>
      <c r="R676" t="inlineStr">
        <is>
          <t>Average</t>
        </is>
      </c>
      <c r="S676" t="n">
        <v>71500</v>
      </c>
      <c r="T676" s="119">
        <f>S676/J676</f>
        <v/>
      </c>
      <c r="U676" t="inlineStr">
        <is>
          <t>Average</t>
        </is>
      </c>
      <c r="Y676" t="n">
        <v>1902500</v>
      </c>
      <c r="AA676" t="n">
        <v>1902500</v>
      </c>
      <c r="AC676" t="inlineStr">
        <is>
          <t>0171915413010</t>
        </is>
      </c>
      <c r="AD676" t="inlineStr">
        <is>
          <t>2022000000789</t>
        </is>
      </c>
      <c r="AE676" t="inlineStr">
        <is>
          <t>ARMSTRONG HIGHPOINTE LLC</t>
        </is>
      </c>
      <c r="AF676" t="inlineStr">
        <is>
          <t>9760 GRANT ST LLC</t>
        </is>
      </c>
      <c r="AI676" s="59">
        <f>IF(AND($E676=Subj_OccCode,Subj_BldgSF&gt;0,ABS($L676-Subj_BldgSF)&lt;=Subj_BldgSF*Subj_SizeTol),ABS($L676-Subj_BldgSF),NA())</f>
        <v/>
      </c>
      <c r="AJ676">
        <f>IF(ISNA(AI676),NA(),AI676+ROW()/10000000)</f>
        <v/>
      </c>
      <c r="AK676">
        <f>IF(AND(ISNUMBER($N676),$N676&gt;0,ISNUMBER($Y676)),$Y676/$N676,"")</f>
        <v/>
      </c>
    </row>
    <row r="677" ht="15" customHeight="1" s="518">
      <c r="A677" s="123" t="n">
        <v>8</v>
      </c>
      <c r="B677" s="59" t="n">
        <v>673</v>
      </c>
      <c r="C677" t="inlineStr">
        <is>
          <t>R0201361</t>
        </is>
      </c>
      <c r="D677" t="inlineStr">
        <is>
          <t>4820 FOREST ST</t>
        </is>
      </c>
      <c r="E677" t="n">
        <v>406</v>
      </c>
      <c r="F677" t="inlineStr">
        <is>
          <t>COMMERCE CITY</t>
        </is>
      </c>
      <c r="G677" t="inlineStr">
        <is>
          <t>5</t>
        </is>
      </c>
      <c r="H677" s="703">
        <f>Y677/J677</f>
        <v/>
      </c>
      <c r="I677" s="704" t="n">
        <v>43781</v>
      </c>
      <c r="J677" t="n">
        <v>16423</v>
      </c>
      <c r="L677" t="n">
        <v>16423</v>
      </c>
      <c r="M677" t="n">
        <v>1999</v>
      </c>
      <c r="R677" t="inlineStr">
        <is>
          <t>Average</t>
        </is>
      </c>
      <c r="S677" t="n">
        <v>80507</v>
      </c>
      <c r="T677" s="119">
        <f>S677/J677</f>
        <v/>
      </c>
      <c r="U677" t="inlineStr">
        <is>
          <t>Average</t>
        </is>
      </c>
      <c r="Y677" t="n">
        <v>2761464</v>
      </c>
      <c r="AA677" t="n">
        <v>2761464</v>
      </c>
      <c r="AC677" t="inlineStr">
        <is>
          <t>0182318401008</t>
        </is>
      </c>
      <c r="AD677" t="inlineStr">
        <is>
          <t>2019000098339</t>
        </is>
      </c>
      <c r="AE677" t="inlineStr">
        <is>
          <t>MAALCORT LLC</t>
        </is>
      </c>
      <c r="AF677" t="inlineStr">
        <is>
          <t>CK FOREST LLC</t>
        </is>
      </c>
      <c r="AI677" s="59">
        <f>IF(AND($E677=Subj_OccCode,Subj_BldgSF&gt;0,ABS($L677-Subj_BldgSF)&lt;=Subj_BldgSF*Subj_SizeTol),ABS($L677-Subj_BldgSF),NA())</f>
        <v/>
      </c>
      <c r="AJ677">
        <f>IF(ISNA(AI677),NA(),AI677+ROW()/10000000)</f>
        <v/>
      </c>
      <c r="AK677">
        <f>IF(AND(ISNUMBER($N677),$N677&gt;0,ISNUMBER($Y677)),$Y677/$N677,"")</f>
        <v/>
      </c>
    </row>
    <row r="678" ht="15" customHeight="1" s="518">
      <c r="A678" s="123" t="n">
        <v>8</v>
      </c>
      <c r="B678" s="59" t="n">
        <v>674</v>
      </c>
      <c r="C678" t="inlineStr">
        <is>
          <t>R0194699</t>
        </is>
      </c>
      <c r="D678" t="inlineStr">
        <is>
          <t>12170  TEJON ST</t>
        </is>
      </c>
      <c r="E678" t="n">
        <v>425</v>
      </c>
      <c r="F678" t="inlineStr">
        <is>
          <t>WESTMINSTER</t>
        </is>
      </c>
      <c r="G678" t="inlineStr">
        <is>
          <t>3</t>
        </is>
      </c>
      <c r="H678" s="703">
        <f>Y678/J678</f>
        <v/>
      </c>
      <c r="I678" s="704" t="n">
        <v>43444</v>
      </c>
      <c r="J678" t="n">
        <v>2508</v>
      </c>
      <c r="L678" t="n">
        <v>2508</v>
      </c>
      <c r="M678" t="n">
        <v>2018</v>
      </c>
      <c r="R678" t="inlineStr">
        <is>
          <t>Good</t>
        </is>
      </c>
      <c r="S678" t="n">
        <v>8986</v>
      </c>
      <c r="T678" s="119">
        <f>S678/J678</f>
        <v/>
      </c>
      <c r="U678" t="inlineStr">
        <is>
          <t>Average</t>
        </is>
      </c>
      <c r="Y678" t="n">
        <v>595000</v>
      </c>
      <c r="AA678" t="n">
        <v>595000</v>
      </c>
      <c r="AC678" t="inlineStr">
        <is>
          <t>0157333302019</t>
        </is>
      </c>
      <c r="AD678" t="inlineStr">
        <is>
          <t>2018000099123</t>
        </is>
      </c>
      <c r="AE678" t="inlineStr">
        <is>
          <t>FLUID LLLP THE</t>
        </is>
      </c>
      <c r="AF678" t="inlineStr">
        <is>
          <t>JRC COLORADO PROPERTIES LLC</t>
        </is>
      </c>
      <c r="AI678" s="59">
        <f>IF(AND($E678=Subj_OccCode,Subj_BldgSF&gt;0,ABS($L678-Subj_BldgSF)&lt;=Subj_BldgSF*Subj_SizeTol),ABS($L678-Subj_BldgSF),NA())</f>
        <v/>
      </c>
      <c r="AJ678">
        <f>IF(ISNA(AI678),NA(),AI678+ROW()/10000000)</f>
        <v/>
      </c>
      <c r="AK678">
        <f>IF(AND(ISNUMBER($N678),$N678&gt;0,ISNUMBER($Y678)),$Y678/$N678,"")</f>
        <v/>
      </c>
    </row>
    <row r="679" ht="15" customHeight="1" s="518">
      <c r="A679" s="123" t="n">
        <v>8</v>
      </c>
      <c r="B679" s="59" t="n">
        <v>675</v>
      </c>
      <c r="C679" t="inlineStr">
        <is>
          <t>R0190763</t>
        </is>
      </c>
      <c r="D679" t="inlineStr">
        <is>
          <t>11901 HOLLY ST</t>
        </is>
      </c>
      <c r="E679" t="n">
        <v>426</v>
      </c>
      <c r="F679" t="inlineStr">
        <is>
          <t>THORNTON</t>
        </is>
      </c>
      <c r="G679" t="inlineStr">
        <is>
          <t>4</t>
        </is>
      </c>
      <c r="H679" s="703">
        <f>Y679/J679</f>
        <v/>
      </c>
      <c r="I679" s="704" t="n">
        <v>44712</v>
      </c>
      <c r="J679" t="n">
        <v>10000</v>
      </c>
      <c r="L679" t="n">
        <v>10000</v>
      </c>
      <c r="M679" t="n">
        <v>2018</v>
      </c>
      <c r="P679" t="inlineStr">
        <is>
          <t>Community Retail</t>
        </is>
      </c>
      <c r="R679" t="inlineStr">
        <is>
          <t>Average</t>
        </is>
      </c>
      <c r="S679" t="n">
        <v>50841</v>
      </c>
      <c r="T679" s="119">
        <f>S679/J679</f>
        <v/>
      </c>
      <c r="U679" t="inlineStr">
        <is>
          <t>Average</t>
        </is>
      </c>
      <c r="Y679" t="n">
        <v>3700000</v>
      </c>
      <c r="AA679" t="n">
        <v>3700000</v>
      </c>
      <c r="AC679" t="inlineStr">
        <is>
          <t>0172106117007</t>
        </is>
      </c>
      <c r="AD679" t="inlineStr">
        <is>
          <t>2022000048784</t>
        </is>
      </c>
      <c r="AE679" t="inlineStr">
        <is>
          <t>PRENTICE AVE APARTMENTS LLC</t>
        </is>
      </c>
      <c r="AF679" t="inlineStr">
        <is>
          <t>SALUS PETER &amp; KORAH LLC</t>
        </is>
      </c>
      <c r="AI679" s="59">
        <f>IF(AND($E679=Subj_OccCode,Subj_BldgSF&gt;0,ABS($L679-Subj_BldgSF)&lt;=Subj_BldgSF*Subj_SizeTol),ABS($L679-Subj_BldgSF),NA())</f>
        <v/>
      </c>
      <c r="AJ679">
        <f>IF(ISNA(AI679),NA(),AI679+ROW()/10000000)</f>
        <v/>
      </c>
      <c r="AK679">
        <f>IF(AND(ISNUMBER($N679),$N679&gt;0,ISNUMBER($Y679)),$Y679/$N679,"")</f>
        <v/>
      </c>
    </row>
    <row r="680" ht="15" customHeight="1" s="518">
      <c r="A680" s="123" t="n">
        <v>8</v>
      </c>
      <c r="B680" s="59" t="n">
        <v>676</v>
      </c>
      <c r="C680" t="inlineStr">
        <is>
          <t>R0190763</t>
        </is>
      </c>
      <c r="D680" t="inlineStr">
        <is>
          <t>11901 HOLLY ST</t>
        </is>
      </c>
      <c r="E680" t="n">
        <v>426</v>
      </c>
      <c r="F680" t="inlineStr">
        <is>
          <t>THORNTON</t>
        </is>
      </c>
      <c r="G680" t="inlineStr">
        <is>
          <t>4</t>
        </is>
      </c>
      <c r="H680" s="703">
        <f>Y680/J680</f>
        <v/>
      </c>
      <c r="I680" s="704" t="n">
        <v>43301</v>
      </c>
      <c r="J680" t="n">
        <v>10080</v>
      </c>
      <c r="L680" t="n">
        <v>10080</v>
      </c>
      <c r="M680" t="n">
        <v>2018</v>
      </c>
      <c r="P680" t="inlineStr">
        <is>
          <t>Community Retail</t>
        </is>
      </c>
      <c r="R680" t="inlineStr">
        <is>
          <t>Average</t>
        </is>
      </c>
      <c r="S680" t="n">
        <v>50841</v>
      </c>
      <c r="T680" s="119">
        <f>S680/J680</f>
        <v/>
      </c>
      <c r="U680" t="inlineStr">
        <is>
          <t>Average</t>
        </is>
      </c>
      <c r="Y680" t="n">
        <v>3642800</v>
      </c>
      <c r="AA680" t="n">
        <v>3642800</v>
      </c>
      <c r="AC680" t="inlineStr">
        <is>
          <t>0172106117007</t>
        </is>
      </c>
      <c r="AD680" t="inlineStr">
        <is>
          <t>2018000058580</t>
        </is>
      </c>
      <c r="AE680" t="inlineStr">
        <is>
          <t>DND PROPERTIES LLC</t>
        </is>
      </c>
      <c r="AF680" t="inlineStr">
        <is>
          <t>PRENTICE AVE APARTMENTS LLC</t>
        </is>
      </c>
      <c r="AI680" s="59">
        <f>IF(AND($E680=Subj_OccCode,Subj_BldgSF&gt;0,ABS($L680-Subj_BldgSF)&lt;=Subj_BldgSF*Subj_SizeTol),ABS($L680-Subj_BldgSF),NA())</f>
        <v/>
      </c>
      <c r="AJ680">
        <f>IF(ISNA(AI680),NA(),AI680+ROW()/10000000)</f>
        <v/>
      </c>
      <c r="AK680">
        <f>IF(AND(ISNUMBER($N680),$N680&gt;0,ISNUMBER($Y680)),$Y680/$N680,"")</f>
        <v/>
      </c>
    </row>
    <row r="681" ht="15" customHeight="1" s="518">
      <c r="A681" s="123" t="n">
        <v>8</v>
      </c>
      <c r="B681" s="59" t="n">
        <v>677</v>
      </c>
      <c r="C681" t="inlineStr">
        <is>
          <t>R0198007</t>
        </is>
      </c>
      <c r="D681" t="inlineStr">
        <is>
          <t>15521 E 104TH AVE</t>
        </is>
      </c>
      <c r="E681" t="n">
        <v>325</v>
      </c>
      <c r="F681" t="inlineStr">
        <is>
          <t>COMMERCE CITY</t>
        </is>
      </c>
      <c r="G681" t="inlineStr">
        <is>
          <t>2</t>
        </is>
      </c>
      <c r="H681" s="703">
        <f>Y681/J681</f>
        <v/>
      </c>
      <c r="I681" s="704" t="n">
        <v>44420</v>
      </c>
      <c r="J681" t="n">
        <v>4948</v>
      </c>
      <c r="L681" t="n">
        <v>4948</v>
      </c>
      <c r="M681" t="n">
        <v>2020</v>
      </c>
      <c r="R681" t="inlineStr">
        <is>
          <t>Average</t>
        </is>
      </c>
      <c r="S681" t="n">
        <v>40754</v>
      </c>
      <c r="T681" s="119">
        <f>S681/J681</f>
        <v/>
      </c>
      <c r="U681" t="inlineStr">
        <is>
          <t>Average</t>
        </is>
      </c>
      <c r="Y681" t="n">
        <v>3300000</v>
      </c>
      <c r="AA681" t="n">
        <v>3300000</v>
      </c>
      <c r="AC681" t="inlineStr">
        <is>
          <t>0172308306075</t>
        </is>
      </c>
      <c r="AD681" t="inlineStr">
        <is>
          <t>2021000096914</t>
        </is>
      </c>
      <c r="AE681" t="inlineStr">
        <is>
          <t>BPCO PROPERTIES LLC</t>
        </is>
      </c>
      <c r="AF681" t="inlineStr">
        <is>
          <t>RUSTIC PARTNERS LLC</t>
        </is>
      </c>
      <c r="AI681" s="59">
        <f>IF(AND($E681=Subj_OccCode,Subj_BldgSF&gt;0,ABS($L681-Subj_BldgSF)&lt;=Subj_BldgSF*Subj_SizeTol),ABS($L681-Subj_BldgSF),NA())</f>
        <v/>
      </c>
      <c r="AJ681">
        <f>IF(ISNA(AI681),NA(),AI681+ROW()/10000000)</f>
        <v/>
      </c>
      <c r="AK681">
        <f>IF(AND(ISNUMBER($N681),$N681&gt;0,ISNUMBER($Y681)),$Y681/$N681,"")</f>
        <v/>
      </c>
    </row>
    <row r="682" ht="15" customHeight="1" s="518">
      <c r="A682" s="123" t="n">
        <v>8</v>
      </c>
      <c r="B682" s="59" t="n">
        <v>678</v>
      </c>
      <c r="C682" t="inlineStr">
        <is>
          <t>R0204670</t>
        </is>
      </c>
      <c r="D682" t="inlineStr">
        <is>
          <t>12235 N PECOS ST</t>
        </is>
      </c>
      <c r="E682" t="n">
        <v>1344</v>
      </c>
      <c r="F682" t="inlineStr">
        <is>
          <t>WESTMINSTER</t>
        </is>
      </c>
      <c r="G682" t="inlineStr">
        <is>
          <t>3</t>
        </is>
      </c>
      <c r="H682" s="703">
        <f>Y682/J682</f>
        <v/>
      </c>
      <c r="I682" s="704" t="n">
        <v>44027</v>
      </c>
      <c r="J682" t="n">
        <v>2353</v>
      </c>
      <c r="L682" t="n">
        <v>2353</v>
      </c>
      <c r="M682" t="n">
        <v>2020</v>
      </c>
      <c r="R682" t="inlineStr">
        <is>
          <t>Average</t>
        </is>
      </c>
      <c r="S682" t="n">
        <v>2051</v>
      </c>
      <c r="T682" s="119">
        <f>S682/J682</f>
        <v/>
      </c>
      <c r="U682" t="inlineStr">
        <is>
          <t>Average</t>
        </is>
      </c>
      <c r="Y682" t="n">
        <v>824850</v>
      </c>
      <c r="AA682" t="n">
        <v>824850</v>
      </c>
      <c r="AC682" t="inlineStr">
        <is>
          <t>0157333301013</t>
        </is>
      </c>
      <c r="AD682" t="inlineStr">
        <is>
          <t>2020000066953</t>
        </is>
      </c>
      <c r="AE682" t="inlineStr">
        <is>
          <t>TAIVA 2-3 LLLP</t>
        </is>
      </c>
      <c r="AF682" t="inlineStr">
        <is>
          <t>12235 PECOS LLC</t>
        </is>
      </c>
      <c r="AI682" s="59">
        <f>IF(AND($E682=Subj_OccCode,Subj_BldgSF&gt;0,ABS($L682-Subj_BldgSF)&lt;=Subj_BldgSF*Subj_SizeTol),ABS($L682-Subj_BldgSF),NA())</f>
        <v/>
      </c>
      <c r="AJ682">
        <f>IF(ISNA(AI682),NA(),AI682+ROW()/10000000)</f>
        <v/>
      </c>
      <c r="AK682">
        <f>IF(AND(ISNUMBER($N682),$N682&gt;0,ISNUMBER($Y682)),$Y682/$N682,"")</f>
        <v/>
      </c>
    </row>
    <row r="683" ht="15" customHeight="1" s="518">
      <c r="A683" s="123" t="n">
        <v>8</v>
      </c>
      <c r="B683" s="59" t="n">
        <v>679</v>
      </c>
      <c r="C683" t="inlineStr">
        <is>
          <t>R0193009</t>
        </is>
      </c>
      <c r="D683" t="inlineStr">
        <is>
          <t>134 S 50TH AVE</t>
        </is>
      </c>
      <c r="E683" t="n">
        <v>386</v>
      </c>
      <c r="F683" t="inlineStr">
        <is>
          <t>BRIGHTON</t>
        </is>
      </c>
      <c r="G683" t="inlineStr">
        <is>
          <t>2</t>
        </is>
      </c>
      <c r="H683" s="703">
        <f>Y683/J683</f>
        <v/>
      </c>
      <c r="I683" s="704" t="n">
        <v>44718</v>
      </c>
      <c r="J683" t="n">
        <v>107135</v>
      </c>
      <c r="L683" t="n">
        <v>107135</v>
      </c>
      <c r="M683" t="n">
        <v>2019</v>
      </c>
      <c r="P683" t="inlineStr">
        <is>
          <t>PUD-Bri</t>
        </is>
      </c>
      <c r="R683" t="inlineStr">
        <is>
          <t>Good</t>
        </is>
      </c>
      <c r="S683" t="n">
        <v>161944</v>
      </c>
      <c r="T683" s="119">
        <f>S683/J683</f>
        <v/>
      </c>
      <c r="U683" t="inlineStr">
        <is>
          <t>Good</t>
        </is>
      </c>
      <c r="Y683" t="n">
        <v>18000000</v>
      </c>
      <c r="AA683" t="n">
        <v>18000000</v>
      </c>
      <c r="AC683" t="inlineStr">
        <is>
          <t>0156911213026</t>
        </is>
      </c>
      <c r="AD683" t="inlineStr">
        <is>
          <t>2022000051534</t>
        </is>
      </c>
      <c r="AE683" t="inlineStr">
        <is>
          <t>BRIGHTON SELF STORAGE LLC</t>
        </is>
      </c>
      <c r="AF683" t="inlineStr">
        <is>
          <t>PS MOUNTAIN WEST LLC</t>
        </is>
      </c>
      <c r="AI683" s="59">
        <f>IF(AND($E683=Subj_OccCode,Subj_BldgSF&gt;0,ABS($L683-Subj_BldgSF)&lt;=Subj_BldgSF*Subj_SizeTol),ABS($L683-Subj_BldgSF),NA())</f>
        <v/>
      </c>
      <c r="AJ683">
        <f>IF(ISNA(AI683),NA(),AI683+ROW()/10000000)</f>
        <v/>
      </c>
      <c r="AK683">
        <f>IF(AND(ISNUMBER($N683),$N683&gt;0,ISNUMBER($Y683)),$Y683/$N683,"")</f>
        <v/>
      </c>
    </row>
    <row r="684" ht="15" customHeight="1" s="518">
      <c r="A684" s="123" t="n">
        <v>8</v>
      </c>
      <c r="B684" s="59" t="n">
        <v>680</v>
      </c>
      <c r="C684" t="inlineStr">
        <is>
          <t>R0190582</t>
        </is>
      </c>
      <c r="D684" t="inlineStr">
        <is>
          <t>9740  GRANT ST</t>
        </is>
      </c>
      <c r="E684" t="n">
        <v>353</v>
      </c>
      <c r="F684" t="inlineStr">
        <is>
          <t>THORNTON</t>
        </is>
      </c>
      <c r="G684" t="inlineStr">
        <is>
          <t>4</t>
        </is>
      </c>
      <c r="H684" s="703">
        <f>Y684/J684</f>
        <v/>
      </c>
      <c r="I684" s="704" t="n">
        <v>44559</v>
      </c>
      <c r="J684" t="n">
        <v>9851</v>
      </c>
      <c r="L684" t="n">
        <v>9851</v>
      </c>
      <c r="M684" t="n">
        <v>2008</v>
      </c>
      <c r="P684" t="inlineStr">
        <is>
          <t>Planned Development</t>
        </is>
      </c>
      <c r="R684" t="inlineStr">
        <is>
          <t>Average</t>
        </is>
      </c>
      <c r="S684" t="n">
        <v>91611</v>
      </c>
      <c r="T684" s="119">
        <f>S684/J684</f>
        <v/>
      </c>
      <c r="U684" t="inlineStr">
        <is>
          <t>Average</t>
        </is>
      </c>
      <c r="Y684" t="n">
        <v>1902500</v>
      </c>
      <c r="AA684" t="n">
        <v>1902500</v>
      </c>
      <c r="AC684" t="inlineStr">
        <is>
          <t>0171915413011</t>
        </is>
      </c>
      <c r="AD684" t="inlineStr">
        <is>
          <t>2022000000788</t>
        </is>
      </c>
      <c r="AE684" t="inlineStr">
        <is>
          <t>ARMSTRONG HIGHPOINTE LLC</t>
        </is>
      </c>
      <c r="AF684" t="inlineStr">
        <is>
          <t>9740 GRANT STREET LLC</t>
        </is>
      </c>
      <c r="AI684" s="59">
        <f>IF(AND($E684=Subj_OccCode,Subj_BldgSF&gt;0,ABS($L684-Subj_BldgSF)&lt;=Subj_BldgSF*Subj_SizeTol),ABS($L684-Subj_BldgSF),NA())</f>
        <v/>
      </c>
      <c r="AJ684">
        <f>IF(ISNA(AI684),NA(),AI684+ROW()/10000000)</f>
        <v/>
      </c>
      <c r="AK684">
        <f>IF(AND(ISNUMBER($N684),$N684&gt;0,ISNUMBER($Y684)),$Y684/$N684,"")</f>
        <v/>
      </c>
    </row>
    <row r="685" ht="15" customHeight="1" s="518">
      <c r="A685" s="123" t="n">
        <v>8</v>
      </c>
      <c r="B685" s="59" t="n">
        <v>681</v>
      </c>
      <c r="C685" t="inlineStr">
        <is>
          <t>R0204669</t>
        </is>
      </c>
      <c r="D685" t="inlineStr">
        <is>
          <t>12235 N PECOS ST</t>
        </is>
      </c>
      <c r="E685" t="n">
        <v>1344</v>
      </c>
      <c r="F685" t="inlineStr">
        <is>
          <t>WESTMINSTER</t>
        </is>
      </c>
      <c r="G685" t="inlineStr">
        <is>
          <t>3</t>
        </is>
      </c>
      <c r="H685" s="703">
        <f>Y685/J685</f>
        <v/>
      </c>
      <c r="I685" s="704" t="n">
        <v>44160</v>
      </c>
      <c r="J685" t="n">
        <v>2281</v>
      </c>
      <c r="L685" t="n">
        <v>2281</v>
      </c>
      <c r="M685" t="n">
        <v>2020</v>
      </c>
      <c r="R685" t="inlineStr">
        <is>
          <t>Average</t>
        </is>
      </c>
      <c r="S685" t="n">
        <v>2051</v>
      </c>
      <c r="T685" s="119">
        <f>S685/J685</f>
        <v/>
      </c>
      <c r="U685" t="inlineStr">
        <is>
          <t>Average</t>
        </is>
      </c>
      <c r="Y685" t="n">
        <v>773600</v>
      </c>
      <c r="AA685" t="n">
        <v>773600</v>
      </c>
      <c r="AC685" t="inlineStr">
        <is>
          <t>0157333301012</t>
        </is>
      </c>
      <c r="AD685" t="inlineStr">
        <is>
          <t>2020000124877</t>
        </is>
      </c>
      <c r="AE685" t="inlineStr">
        <is>
          <t>TAIVA 2-3 LLLP</t>
        </is>
      </c>
      <c r="AF685" t="inlineStr">
        <is>
          <t>MOUNTAIN CAPITAL PARTNERS TAIVA LLC</t>
        </is>
      </c>
      <c r="AI685" s="59">
        <f>IF(AND($E685=Subj_OccCode,Subj_BldgSF&gt;0,ABS($L685-Subj_BldgSF)&lt;=Subj_BldgSF*Subj_SizeTol),ABS($L685-Subj_BldgSF),NA())</f>
        <v/>
      </c>
      <c r="AJ685">
        <f>IF(ISNA(AI685),NA(),AI685+ROW()/10000000)</f>
        <v/>
      </c>
      <c r="AK685">
        <f>IF(AND(ISNUMBER($N685),$N685&gt;0,ISNUMBER($Y685)),$Y685/$N685,"")</f>
        <v/>
      </c>
    </row>
    <row r="686" ht="15" customHeight="1" s="518">
      <c r="A686" s="123" t="n">
        <v>8</v>
      </c>
      <c r="B686" s="59" t="n">
        <v>682</v>
      </c>
      <c r="C686" t="inlineStr">
        <is>
          <t>R0194701</t>
        </is>
      </c>
      <c r="D686" t="inlineStr">
        <is>
          <t>12170  TEJON ST</t>
        </is>
      </c>
      <c r="E686" t="n">
        <v>425</v>
      </c>
      <c r="F686" t="inlineStr">
        <is>
          <t>WESTMINSTER</t>
        </is>
      </c>
      <c r="G686" t="inlineStr">
        <is>
          <t>3</t>
        </is>
      </c>
      <c r="H686" s="703">
        <f>Y686/J686</f>
        <v/>
      </c>
      <c r="I686" s="704" t="n">
        <v>43544</v>
      </c>
      <c r="J686" t="n">
        <v>2538</v>
      </c>
      <c r="L686" t="n">
        <v>2538</v>
      </c>
      <c r="M686" t="n">
        <v>2018</v>
      </c>
      <c r="R686" t="inlineStr">
        <is>
          <t>Good</t>
        </is>
      </c>
      <c r="S686" t="n">
        <v>8986</v>
      </c>
      <c r="T686" s="119">
        <f>S686/J686</f>
        <v/>
      </c>
      <c r="U686" t="inlineStr">
        <is>
          <t>Average</t>
        </is>
      </c>
      <c r="Y686" t="n">
        <v>650000</v>
      </c>
      <c r="AA686" t="n">
        <v>650000</v>
      </c>
      <c r="AC686" t="inlineStr">
        <is>
          <t>0157333302021</t>
        </is>
      </c>
      <c r="AD686" t="inlineStr">
        <is>
          <t>2019000020439</t>
        </is>
      </c>
      <c r="AE686" t="inlineStr">
        <is>
          <t>FLUID LLLP THE</t>
        </is>
      </c>
      <c r="AF686" t="inlineStr">
        <is>
          <t>SIERRA MADRE INVESTMENTS LLC</t>
        </is>
      </c>
      <c r="AI686" s="59">
        <f>IF(AND($E686=Subj_OccCode,Subj_BldgSF&gt;0,ABS($L686-Subj_BldgSF)&lt;=Subj_BldgSF*Subj_SizeTol),ABS($L686-Subj_BldgSF),NA())</f>
        <v/>
      </c>
      <c r="AJ686">
        <f>IF(ISNA(AI686),NA(),AI686+ROW()/10000000)</f>
        <v/>
      </c>
      <c r="AK686">
        <f>IF(AND(ISNUMBER($N686),$N686&gt;0,ISNUMBER($Y686)),$Y686/$N686,"")</f>
        <v/>
      </c>
    </row>
    <row r="687" ht="15" customHeight="1" s="518">
      <c r="A687" s="123" t="n">
        <v>8</v>
      </c>
      <c r="B687" s="59" t="n">
        <v>683</v>
      </c>
      <c r="C687" t="inlineStr">
        <is>
          <t>R0198832</t>
        </is>
      </c>
      <c r="D687" t="inlineStr">
        <is>
          <t>11150  HURON ST #2</t>
        </is>
      </c>
      <c r="E687" t="n">
        <v>1344</v>
      </c>
      <c r="F687" t="inlineStr">
        <is>
          <t>NORTHGLENN</t>
        </is>
      </c>
      <c r="G687" t="inlineStr">
        <is>
          <t>4</t>
        </is>
      </c>
      <c r="H687" s="703">
        <f>Y687/J687</f>
        <v/>
      </c>
      <c r="I687" s="704" t="n">
        <v>43543</v>
      </c>
      <c r="J687" t="n">
        <v>981</v>
      </c>
      <c r="L687" t="n">
        <v>981</v>
      </c>
      <c r="M687" t="n">
        <v>1999</v>
      </c>
      <c r="R687" t="inlineStr">
        <is>
          <t>Good</t>
        </is>
      </c>
      <c r="S687" t="n">
        <v>0</v>
      </c>
      <c r="T687" s="119">
        <f>S687/J687</f>
        <v/>
      </c>
      <c r="U687" t="inlineStr">
        <is>
          <t>Good</t>
        </is>
      </c>
      <c r="Y687" t="n">
        <v>253000</v>
      </c>
      <c r="AA687" t="n">
        <v>253000</v>
      </c>
      <c r="AC687" t="inlineStr">
        <is>
          <t>0171910205055</t>
        </is>
      </c>
      <c r="AD687" t="inlineStr">
        <is>
          <t>2019000022345</t>
        </is>
      </c>
      <c r="AE687" t="inlineStr">
        <is>
          <t>HURON PARK LLC</t>
        </is>
      </c>
      <c r="AF687" t="inlineStr">
        <is>
          <t>JACOBS HOLDINGS LLC</t>
        </is>
      </c>
      <c r="AI687" s="59">
        <f>IF(AND($E687=Subj_OccCode,Subj_BldgSF&gt;0,ABS($L687-Subj_BldgSF)&lt;=Subj_BldgSF*Subj_SizeTol),ABS($L687-Subj_BldgSF),NA())</f>
        <v/>
      </c>
      <c r="AJ687">
        <f>IF(ISNA(AI687),NA(),AI687+ROW()/10000000)</f>
        <v/>
      </c>
      <c r="AK687">
        <f>IF(AND(ISNUMBER($N687),$N687&gt;0,ISNUMBER($Y687)),$Y687/$N687,"")</f>
        <v/>
      </c>
    </row>
    <row r="688" ht="15" customHeight="1" s="518">
      <c r="A688" s="123" t="n">
        <v>8</v>
      </c>
      <c r="B688" s="59" t="n">
        <v>684</v>
      </c>
      <c r="C688" t="inlineStr">
        <is>
          <t>R0208784</t>
        </is>
      </c>
      <c r="D688" t="inlineStr">
        <is>
          <t>5160  VIOLET HILL ST #S7</t>
        </is>
      </c>
      <c r="E688" t="n">
        <v>328</v>
      </c>
      <c r="G688" t="inlineStr">
        <is>
          <t>1</t>
        </is>
      </c>
      <c r="H688" s="703">
        <f>Y688/J688</f>
        <v/>
      </c>
      <c r="I688" s="704" t="n">
        <v>44091</v>
      </c>
      <c r="J688" t="n">
        <v>1103</v>
      </c>
      <c r="L688" t="n">
        <v>1103</v>
      </c>
      <c r="R688" t="inlineStr">
        <is>
          <t>Average</t>
        </is>
      </c>
      <c r="S688" t="n">
        <v>0</v>
      </c>
      <c r="T688" s="119">
        <f>S688/J688</f>
        <v/>
      </c>
      <c r="U688" t="inlineStr">
        <is>
          <t>Average</t>
        </is>
      </c>
      <c r="Y688" t="n">
        <v>80800</v>
      </c>
      <c r="AA688" t="n">
        <v>80800</v>
      </c>
      <c r="AC688" t="inlineStr">
        <is>
          <t>0181716411014</t>
        </is>
      </c>
      <c r="AD688" t="inlineStr">
        <is>
          <t>2022000081304</t>
        </is>
      </c>
      <c r="AE688" t="inlineStr">
        <is>
          <t>HG HANAGR ONE LLC</t>
        </is>
      </c>
      <c r="AF688" t="inlineStr">
        <is>
          <t>GEISERT CARL</t>
        </is>
      </c>
      <c r="AI688" s="59">
        <f>IF(AND($E688=Subj_OccCode,Subj_BldgSF&gt;0,ABS($L688-Subj_BldgSF)&lt;=Subj_BldgSF*Subj_SizeTol),ABS($L688-Subj_BldgSF),NA())</f>
        <v/>
      </c>
      <c r="AJ688">
        <f>IF(ISNA(AI688),NA(),AI688+ROW()/10000000)</f>
        <v/>
      </c>
      <c r="AK688">
        <f>IF(AND(ISNUMBER($N688),$N688&gt;0,ISNUMBER($Y688)),$Y688/$N688,"")</f>
        <v/>
      </c>
    </row>
    <row r="689" ht="15" customHeight="1" s="518">
      <c r="A689" s="123" t="n">
        <v>8</v>
      </c>
      <c r="B689" s="59" t="n">
        <v>685</v>
      </c>
      <c r="C689" t="inlineStr">
        <is>
          <t>R0208781</t>
        </is>
      </c>
      <c r="D689" t="inlineStr">
        <is>
          <t>5160  VIOLET HILL ST #S1</t>
        </is>
      </c>
      <c r="E689" t="n">
        <v>328</v>
      </c>
      <c r="G689" t="inlineStr">
        <is>
          <t>1</t>
        </is>
      </c>
      <c r="H689" s="703">
        <f>Y689/J689</f>
        <v/>
      </c>
      <c r="I689" s="704" t="n">
        <v>44091</v>
      </c>
      <c r="J689" t="n">
        <v>1166</v>
      </c>
      <c r="L689" t="n">
        <v>1166</v>
      </c>
      <c r="R689" t="inlineStr">
        <is>
          <t>Average</t>
        </is>
      </c>
      <c r="S689" t="n">
        <v>0</v>
      </c>
      <c r="T689" s="119">
        <f>S689/J689</f>
        <v/>
      </c>
      <c r="U689" t="inlineStr">
        <is>
          <t>Average</t>
        </is>
      </c>
      <c r="Y689" t="n">
        <v>81000</v>
      </c>
      <c r="AA689" t="n">
        <v>81000</v>
      </c>
      <c r="AC689" t="inlineStr">
        <is>
          <t>0181716411011</t>
        </is>
      </c>
      <c r="AD689" t="inlineStr">
        <is>
          <t>2022000081297</t>
        </is>
      </c>
      <c r="AE689" t="inlineStr">
        <is>
          <t>HG HANAGR ONE LLC</t>
        </is>
      </c>
      <c r="AF689" t="inlineStr">
        <is>
          <t>AV CONSULTING SERVICES LLC</t>
        </is>
      </c>
      <c r="AI689" s="59">
        <f>IF(AND($E689=Subj_OccCode,Subj_BldgSF&gt;0,ABS($L689-Subj_BldgSF)&lt;=Subj_BldgSF*Subj_SizeTol),ABS($L689-Subj_BldgSF),NA())</f>
        <v/>
      </c>
      <c r="AJ689">
        <f>IF(ISNA(AI689),NA(),AI689+ROW()/10000000)</f>
        <v/>
      </c>
      <c r="AK689">
        <f>IF(AND(ISNUMBER($N689),$N689&gt;0,ISNUMBER($Y689)),$Y689/$N689,"")</f>
        <v/>
      </c>
    </row>
    <row r="690" ht="15" customHeight="1" s="518">
      <c r="A690" s="123" t="n">
        <v>8</v>
      </c>
      <c r="B690" s="59" t="n">
        <v>686</v>
      </c>
      <c r="C690" t="inlineStr">
        <is>
          <t>R0208781</t>
        </is>
      </c>
      <c r="D690" t="inlineStr">
        <is>
          <t>5160  VIOLET HILL ST #S1</t>
        </is>
      </c>
      <c r="E690" t="n">
        <v>328</v>
      </c>
      <c r="G690" t="inlineStr">
        <is>
          <t>1</t>
        </is>
      </c>
      <c r="H690" s="703">
        <f>Y690/J690</f>
        <v/>
      </c>
      <c r="I690" s="704" t="n">
        <v>44651</v>
      </c>
      <c r="J690" t="n">
        <v>1166</v>
      </c>
      <c r="L690" t="n">
        <v>1166</v>
      </c>
      <c r="R690" t="inlineStr">
        <is>
          <t>Average</t>
        </is>
      </c>
      <c r="S690" t="n">
        <v>0</v>
      </c>
      <c r="T690" s="119">
        <f>S690/J690</f>
        <v/>
      </c>
      <c r="U690" t="inlineStr">
        <is>
          <t>Average</t>
        </is>
      </c>
      <c r="Y690" t="n">
        <v>125000</v>
      </c>
      <c r="AA690" t="n">
        <v>125000</v>
      </c>
      <c r="AC690" t="inlineStr">
        <is>
          <t>0181716411011</t>
        </is>
      </c>
      <c r="AD690" t="inlineStr">
        <is>
          <t>2022000081298</t>
        </is>
      </c>
      <c r="AE690" t="inlineStr">
        <is>
          <t>AV CONSULTING SERVICES LLC</t>
        </is>
      </c>
      <c r="AF690" t="inlineStr">
        <is>
          <t>BURNEY DEREK</t>
        </is>
      </c>
      <c r="AI690" s="59">
        <f>IF(AND($E690=Subj_OccCode,Subj_BldgSF&gt;0,ABS($L690-Subj_BldgSF)&lt;=Subj_BldgSF*Subj_SizeTol),ABS($L690-Subj_BldgSF),NA())</f>
        <v/>
      </c>
      <c r="AJ690">
        <f>IF(ISNA(AI690),NA(),AI690+ROW()/10000000)</f>
        <v/>
      </c>
      <c r="AK690">
        <f>IF(AND(ISNUMBER($N690),$N690&gt;0,ISNUMBER($Y690)),$Y690/$N690,"")</f>
        <v/>
      </c>
    </row>
    <row r="691" ht="15" customHeight="1" s="518">
      <c r="A691" s="123" t="n">
        <v>8</v>
      </c>
      <c r="B691" s="59" t="n">
        <v>687</v>
      </c>
      <c r="C691" t="inlineStr">
        <is>
          <t>R0205074</t>
        </is>
      </c>
      <c r="D691" t="inlineStr">
        <is>
          <t>189  BROMLEY BUSINESS PKWY</t>
        </is>
      </c>
      <c r="E691" t="n">
        <v>447</v>
      </c>
      <c r="F691" t="inlineStr">
        <is>
          <t>BRIGHTON</t>
        </is>
      </c>
      <c r="G691" t="inlineStr">
        <is>
          <t>2</t>
        </is>
      </c>
      <c r="H691" s="703">
        <f>Y691/J691</f>
        <v/>
      </c>
      <c r="I691" s="704" t="n">
        <v>44512</v>
      </c>
      <c r="J691" t="n">
        <v>243589</v>
      </c>
      <c r="L691" t="n">
        <v>243589</v>
      </c>
      <c r="M691" t="n">
        <v>2021</v>
      </c>
      <c r="R691" t="inlineStr">
        <is>
          <t>Good</t>
        </is>
      </c>
      <c r="S691" t="n">
        <v>727821</v>
      </c>
      <c r="T691" s="119">
        <f>S691/J691</f>
        <v/>
      </c>
      <c r="U691" t="inlineStr">
        <is>
          <t>Average</t>
        </is>
      </c>
      <c r="Y691" t="n">
        <v>53635200</v>
      </c>
      <c r="AA691" t="n">
        <v>53635200</v>
      </c>
      <c r="AC691" t="inlineStr">
        <is>
          <t>0156911106020</t>
        </is>
      </c>
      <c r="AD691" t="inlineStr">
        <is>
          <t>2021000133557</t>
        </is>
      </c>
      <c r="AE691" t="inlineStr">
        <is>
          <t>DRE KCS BRIGHTON LLC</t>
        </is>
      </c>
      <c r="AF691" t="inlineStr">
        <is>
          <t>AMERICOLD REAL ESTATE LP</t>
        </is>
      </c>
      <c r="AI691" s="59">
        <f>IF(AND($E691=Subj_OccCode,Subj_BldgSF&gt;0,ABS($L691-Subj_BldgSF)&lt;=Subj_BldgSF*Subj_SizeTol),ABS($L691-Subj_BldgSF),NA())</f>
        <v/>
      </c>
      <c r="AJ691">
        <f>IF(ISNA(AI691),NA(),AI691+ROW()/10000000)</f>
        <v/>
      </c>
      <c r="AK691">
        <f>IF(AND(ISNUMBER($N691),$N691&gt;0,ISNUMBER($Y691)),$Y691/$N691,"")</f>
        <v/>
      </c>
    </row>
    <row r="692" ht="15" customHeight="1" s="518">
      <c r="A692" s="123" t="n">
        <v>8</v>
      </c>
      <c r="B692" s="59" t="n">
        <v>688</v>
      </c>
      <c r="C692" t="inlineStr">
        <is>
          <t>R0213045</t>
        </is>
      </c>
      <c r="D692" t="inlineStr">
        <is>
          <t>9658  HAVANA ST</t>
        </is>
      </c>
      <c r="E692" t="n">
        <v>425</v>
      </c>
      <c r="F692" t="inlineStr">
        <is>
          <t>COMMERCE CITY</t>
        </is>
      </c>
      <c r="G692" t="inlineStr">
        <is>
          <t>5</t>
        </is>
      </c>
      <c r="H692" s="703">
        <f>Y692/J692</f>
        <v/>
      </c>
      <c r="I692" s="704" t="n">
        <v>44735</v>
      </c>
      <c r="J692" t="n">
        <v>1350</v>
      </c>
      <c r="L692" t="n">
        <v>1350</v>
      </c>
      <c r="M692" t="n">
        <v>2022</v>
      </c>
      <c r="R692" t="inlineStr">
        <is>
          <t>Average</t>
        </is>
      </c>
      <c r="S692" t="n">
        <v>0</v>
      </c>
      <c r="T692" s="119">
        <f>S692/J692</f>
        <v/>
      </c>
      <c r="U692" t="inlineStr">
        <is>
          <t>Average</t>
        </is>
      </c>
      <c r="Y692" t="n">
        <v>263200</v>
      </c>
      <c r="AA692" t="n">
        <v>263200</v>
      </c>
      <c r="AC692" t="inlineStr">
        <is>
          <t>0172115405003</t>
        </is>
      </c>
      <c r="AD692" t="inlineStr">
        <is>
          <t>2022000060304</t>
        </is>
      </c>
      <c r="AE692" t="inlineStr">
        <is>
          <t>THE GARAGE SOCIETY HOLDINGS LLC</t>
        </is>
      </c>
      <c r="AF692" t="inlineStr">
        <is>
          <t xml:space="preserve">MITCHELL MAURICE D AND , MITCHELL CALLIE-BEN S </t>
        </is>
      </c>
      <c r="AI692" s="59">
        <f>IF(AND($E692=Subj_OccCode,Subj_BldgSF&gt;0,ABS($L692-Subj_BldgSF)&lt;=Subj_BldgSF*Subj_SizeTol),ABS($L692-Subj_BldgSF),NA())</f>
        <v/>
      </c>
      <c r="AJ692">
        <f>IF(ISNA(AI692),NA(),AI692+ROW()/10000000)</f>
        <v/>
      </c>
      <c r="AK692">
        <f>IF(AND(ISNUMBER($N692),$N692&gt;0,ISNUMBER($Y692)),$Y692/$N692,"")</f>
        <v/>
      </c>
    </row>
    <row r="693" ht="15" customHeight="1" s="518">
      <c r="A693" s="123" t="n">
        <v>8</v>
      </c>
      <c r="B693" s="59" t="n">
        <v>689</v>
      </c>
      <c r="C693" t="inlineStr">
        <is>
          <t>R0201311</t>
        </is>
      </c>
      <c r="D693" t="inlineStr">
        <is>
          <t>17776-18146 E 84TH AVE</t>
        </is>
      </c>
      <c r="E693" t="n">
        <v>584</v>
      </c>
      <c r="F693" t="inlineStr">
        <is>
          <t>COMMERCE CITY</t>
        </is>
      </c>
      <c r="G693" t="inlineStr">
        <is>
          <t>2</t>
        </is>
      </c>
      <c r="H693" s="703">
        <f>Y693/J693</f>
        <v/>
      </c>
      <c r="I693" s="704" t="n">
        <v>44301</v>
      </c>
      <c r="J693" t="n">
        <v>594400</v>
      </c>
      <c r="L693" t="n">
        <v>594400</v>
      </c>
      <c r="M693" t="n">
        <v>2020</v>
      </c>
      <c r="R693" t="inlineStr">
        <is>
          <t>Average</t>
        </is>
      </c>
      <c r="S693" t="n">
        <v>1442973</v>
      </c>
      <c r="T693" s="119">
        <f>S693/J693</f>
        <v/>
      </c>
      <c r="U693" t="inlineStr">
        <is>
          <t>Average</t>
        </is>
      </c>
      <c r="Y693" t="n">
        <v>63750000</v>
      </c>
      <c r="AA693" t="n">
        <v>63750000</v>
      </c>
      <c r="AC693" t="inlineStr">
        <is>
          <t>0172328402005</t>
        </is>
      </c>
      <c r="AD693" t="inlineStr">
        <is>
          <t>2021000046919</t>
        </is>
      </c>
      <c r="AE693" t="inlineStr">
        <is>
          <t>CH REALTY VIII-LPC I DENVER 84TH TELLURIDE LLC</t>
        </is>
      </c>
      <c r="AF693" t="inlineStr">
        <is>
          <t>PR ASCENT COMMERCE CENTER LLC, C/O PGIM REAL ESTATE</t>
        </is>
      </c>
      <c r="AI693" s="59">
        <f>IF(AND($E693=Subj_OccCode,Subj_BldgSF&gt;0,ABS($L693-Subj_BldgSF)&lt;=Subj_BldgSF*Subj_SizeTol),ABS($L693-Subj_BldgSF),NA())</f>
        <v/>
      </c>
      <c r="AJ693">
        <f>IF(ISNA(AI693),NA(),AI693+ROW()/10000000)</f>
        <v/>
      </c>
      <c r="AK693">
        <f>IF(AND(ISNUMBER($N693),$N693&gt;0,ISNUMBER($Y693)),$Y693/$N693,"")</f>
        <v/>
      </c>
    </row>
    <row r="694" ht="15" customHeight="1" s="518">
      <c r="A694" s="123" t="n">
        <v>8</v>
      </c>
      <c r="B694" s="59" t="n">
        <v>690</v>
      </c>
      <c r="C694" t="inlineStr">
        <is>
          <t>R0204250</t>
        </is>
      </c>
      <c r="D694" t="inlineStr">
        <is>
          <t>2205  104TH AVE</t>
        </is>
      </c>
      <c r="E694" t="n">
        <v>353</v>
      </c>
      <c r="F694" t="inlineStr">
        <is>
          <t>NORTHGLENN</t>
        </is>
      </c>
      <c r="G694" t="inlineStr">
        <is>
          <t>4</t>
        </is>
      </c>
      <c r="H694" s="703">
        <f>Y694/J694</f>
        <v/>
      </c>
      <c r="I694" s="704" t="n">
        <v>44091</v>
      </c>
      <c r="J694" t="n">
        <v>1500</v>
      </c>
      <c r="L694" t="n">
        <v>1500</v>
      </c>
      <c r="M694" t="n">
        <v>1986</v>
      </c>
      <c r="R694" t="inlineStr">
        <is>
          <t>Low</t>
        </is>
      </c>
      <c r="S694" t="n">
        <v>42879</v>
      </c>
      <c r="T694" s="119">
        <f>S694/J694</f>
        <v/>
      </c>
      <c r="U694" t="inlineStr">
        <is>
          <t>Fair</t>
        </is>
      </c>
      <c r="Y694" t="n">
        <v>1675000</v>
      </c>
      <c r="AA694" t="n">
        <v>1675000</v>
      </c>
      <c r="AC694" t="inlineStr">
        <is>
          <t>0171911405022</t>
        </is>
      </c>
      <c r="AD694" t="inlineStr">
        <is>
          <t>2020000093880</t>
        </is>
      </c>
      <c r="AE694" t="inlineStr">
        <is>
          <t>EHMKA CHARLIE DBA, CHARLIES AUTO AND TRUCK SALES</t>
        </is>
      </c>
      <c r="AF694" t="inlineStr">
        <is>
          <t>41581 NORTHGLENN CO LLC</t>
        </is>
      </c>
      <c r="AI694" s="59">
        <f>IF(AND($E694=Subj_OccCode,Subj_BldgSF&gt;0,ABS($L694-Subj_BldgSF)&lt;=Subj_BldgSF*Subj_SizeTol),ABS($L694-Subj_BldgSF),NA())</f>
        <v/>
      </c>
      <c r="AJ694">
        <f>IF(ISNA(AI694),NA(),AI694+ROW()/10000000)</f>
        <v/>
      </c>
      <c r="AK694">
        <f>IF(AND(ISNUMBER($N694),$N694&gt;0,ISNUMBER($Y694)),$Y694/$N694,"")</f>
        <v/>
      </c>
    </row>
    <row r="695" ht="15" customHeight="1" s="518">
      <c r="A695" s="123" t="n">
        <v>8</v>
      </c>
      <c r="B695" s="59" t="n">
        <v>691</v>
      </c>
      <c r="C695" t="inlineStr">
        <is>
          <t>R0199655</t>
        </is>
      </c>
      <c r="D695" t="inlineStr">
        <is>
          <t xml:space="preserve">  LIBSON ST</t>
        </is>
      </c>
      <c r="E695" t="n">
        <v>334</v>
      </c>
      <c r="F695" t="inlineStr">
        <is>
          <t>AURORA</t>
        </is>
      </c>
      <c r="G695" t="inlineStr">
        <is>
          <t>6</t>
        </is>
      </c>
      <c r="H695" s="703">
        <f>Y695/J695</f>
        <v/>
      </c>
      <c r="I695" s="704" t="n">
        <v>43858</v>
      </c>
      <c r="J695" t="n">
        <v>30030</v>
      </c>
      <c r="L695" t="n">
        <v>30030</v>
      </c>
      <c r="M695" t="n">
        <v>2019</v>
      </c>
      <c r="R695" t="inlineStr">
        <is>
          <t>Good</t>
        </is>
      </c>
      <c r="S695" t="n">
        <v>96173</v>
      </c>
      <c r="T695" s="119">
        <f>S695/J695</f>
        <v/>
      </c>
      <c r="U695" t="inlineStr">
        <is>
          <t>Good</t>
        </is>
      </c>
      <c r="Y695" t="n">
        <v>4600000</v>
      </c>
      <c r="AA695" t="n">
        <v>4600000</v>
      </c>
      <c r="AC695" t="inlineStr">
        <is>
          <t>0182126302003</t>
        </is>
      </c>
      <c r="AD695" t="inlineStr">
        <is>
          <t>2020000009566</t>
        </is>
      </c>
      <c r="AE695" t="inlineStr">
        <is>
          <t>MAJESTIC LISBON BUILDING LLC</t>
        </is>
      </c>
      <c r="AF695" t="inlineStr">
        <is>
          <t>REFRIGERATION SUPPLIES DISTRIBUTOR</t>
        </is>
      </c>
      <c r="AI695" s="59">
        <f>IF(AND($E695=Subj_OccCode,Subj_BldgSF&gt;0,ABS($L695-Subj_BldgSF)&lt;=Subj_BldgSF*Subj_SizeTol),ABS($L695-Subj_BldgSF),NA())</f>
        <v/>
      </c>
      <c r="AJ695">
        <f>IF(ISNA(AI695),NA(),AI695+ROW()/10000000)</f>
        <v/>
      </c>
      <c r="AK695">
        <f>IF(AND(ISNUMBER($N695),$N695&gt;0,ISNUMBER($Y695)),$Y695/$N695,"")</f>
        <v/>
      </c>
    </row>
    <row r="696" ht="15" customHeight="1" s="518">
      <c r="A696" s="123" t="n">
        <v>8</v>
      </c>
      <c r="B696" s="59" t="n">
        <v>692</v>
      </c>
      <c r="C696" t="inlineStr">
        <is>
          <t>R0194697</t>
        </is>
      </c>
      <c r="D696" t="inlineStr">
        <is>
          <t>12170  TEJON ST</t>
        </is>
      </c>
      <c r="E696" t="n">
        <v>425</v>
      </c>
      <c r="F696" t="inlineStr">
        <is>
          <t>WESTMINSTER</t>
        </is>
      </c>
      <c r="G696" t="inlineStr">
        <is>
          <t>3</t>
        </is>
      </c>
      <c r="H696" s="703">
        <f>Y696/J696</f>
        <v/>
      </c>
      <c r="I696" s="704" t="n">
        <v>44200</v>
      </c>
      <c r="J696" t="n">
        <v>2498</v>
      </c>
      <c r="L696" t="n">
        <v>2498</v>
      </c>
      <c r="M696" t="n">
        <v>2018</v>
      </c>
      <c r="P696" t="inlineStr">
        <is>
          <t>PUD-Wes</t>
        </is>
      </c>
      <c r="R696" t="inlineStr">
        <is>
          <t>Good</t>
        </is>
      </c>
      <c r="S696" t="n">
        <v>8986</v>
      </c>
      <c r="T696" s="119">
        <f>S696/J696</f>
        <v/>
      </c>
      <c r="U696" t="inlineStr">
        <is>
          <t>Good</t>
        </is>
      </c>
      <c r="Y696" t="n">
        <v>665000</v>
      </c>
      <c r="AA696" t="n">
        <v>665000</v>
      </c>
      <c r="AC696" t="inlineStr">
        <is>
          <t>0157333302017</t>
        </is>
      </c>
      <c r="AD696" t="inlineStr">
        <is>
          <t>2021000000719</t>
        </is>
      </c>
      <c r="AE696" t="inlineStr">
        <is>
          <t>12170 TEJON STREET UNIT 500, LLC</t>
        </is>
      </c>
      <c r="AF696" t="inlineStr">
        <is>
          <t>BUTLER PROPERTIES LLC</t>
        </is>
      </c>
      <c r="AI696" s="59">
        <f>IF(AND($E696=Subj_OccCode,Subj_BldgSF&gt;0,ABS($L696-Subj_BldgSF)&lt;=Subj_BldgSF*Subj_SizeTol),ABS($L696-Subj_BldgSF),NA())</f>
        <v/>
      </c>
      <c r="AJ696">
        <f>IF(ISNA(AI696),NA(),AI696+ROW()/10000000)</f>
        <v/>
      </c>
      <c r="AK696">
        <f>IF(AND(ISNUMBER($N696),$N696&gt;0,ISNUMBER($Y696)),$Y696/$N696,"")</f>
        <v/>
      </c>
    </row>
    <row r="697" ht="15" customHeight="1" s="518">
      <c r="A697" s="123" t="n">
        <v>8</v>
      </c>
      <c r="B697" s="59" t="n">
        <v>693</v>
      </c>
      <c r="C697" t="inlineStr">
        <is>
          <t>R0194698</t>
        </is>
      </c>
      <c r="D697" t="inlineStr">
        <is>
          <t>12170  TEJON ST</t>
        </is>
      </c>
      <c r="E697" t="n">
        <v>425</v>
      </c>
      <c r="F697" t="inlineStr">
        <is>
          <t>WESTMINSTER</t>
        </is>
      </c>
      <c r="G697" t="inlineStr">
        <is>
          <t>3</t>
        </is>
      </c>
      <c r="H697" s="703">
        <f>Y697/J697</f>
        <v/>
      </c>
      <c r="I697" s="704" t="n">
        <v>44494</v>
      </c>
      <c r="J697" t="n">
        <v>2508</v>
      </c>
      <c r="L697" t="n">
        <v>2508</v>
      </c>
      <c r="M697" t="n">
        <v>2018</v>
      </c>
      <c r="P697" t="inlineStr">
        <is>
          <t>PUD-Wes</t>
        </is>
      </c>
      <c r="R697" t="inlineStr">
        <is>
          <t>Good</t>
        </is>
      </c>
      <c r="S697" t="n">
        <v>8986</v>
      </c>
      <c r="T697" s="119">
        <f>S697/J697</f>
        <v/>
      </c>
      <c r="U697" t="inlineStr">
        <is>
          <t>Good</t>
        </is>
      </c>
      <c r="Y697" t="n">
        <v>710000</v>
      </c>
      <c r="AA697" t="n">
        <v>710000</v>
      </c>
      <c r="AC697" t="inlineStr">
        <is>
          <t>0157333302018</t>
        </is>
      </c>
      <c r="AD697" t="inlineStr">
        <is>
          <t>2021000126028</t>
        </is>
      </c>
      <c r="AE697" t="inlineStr">
        <is>
          <t>FLUID 4 LLC</t>
        </is>
      </c>
      <c r="AF697" t="inlineStr">
        <is>
          <t>SPHARK PROPERTIES LLC</t>
        </is>
      </c>
      <c r="AI697" s="59">
        <f>IF(AND($E697=Subj_OccCode,Subj_BldgSF&gt;0,ABS($L697-Subj_BldgSF)&lt;=Subj_BldgSF*Subj_SizeTol),ABS($L697-Subj_BldgSF),NA())</f>
        <v/>
      </c>
      <c r="AJ697">
        <f>IF(ISNA(AI697),NA(),AI697+ROW()/10000000)</f>
        <v/>
      </c>
      <c r="AK697">
        <f>IF(AND(ISNUMBER($N697),$N697&gt;0,ISNUMBER($Y697)),$Y697/$N697,"")</f>
        <v/>
      </c>
    </row>
    <row r="698" ht="15" customHeight="1" s="518">
      <c r="A698" s="123" t="n">
        <v>8</v>
      </c>
      <c r="B698" s="59" t="n">
        <v>694</v>
      </c>
      <c r="C698" t="inlineStr">
        <is>
          <t>R0201166</t>
        </is>
      </c>
      <c r="D698" t="inlineStr">
        <is>
          <t>6130  JACKSON GAP WAY</t>
        </is>
      </c>
      <c r="E698" t="n">
        <v>325</v>
      </c>
      <c r="F698" t="inlineStr">
        <is>
          <t>AURORA</t>
        </is>
      </c>
      <c r="G698" t="inlineStr">
        <is>
          <t>1</t>
        </is>
      </c>
      <c r="H698" s="703">
        <f>Y698/J698</f>
        <v/>
      </c>
      <c r="I698" s="704" t="n">
        <v>44510</v>
      </c>
      <c r="J698" t="n">
        <v>6777</v>
      </c>
      <c r="L698" t="n">
        <v>6777</v>
      </c>
      <c r="M698" t="n">
        <v>2018</v>
      </c>
      <c r="R698" t="inlineStr">
        <is>
          <t>Good</t>
        </is>
      </c>
      <c r="S698" t="n">
        <v>175110</v>
      </c>
      <c r="T698" s="119">
        <f>S698/J698</f>
        <v/>
      </c>
      <c r="U698" t="inlineStr">
        <is>
          <t>Good</t>
        </is>
      </c>
      <c r="Y698" t="n">
        <v>6200000</v>
      </c>
      <c r="AA698" t="n">
        <v>6200000</v>
      </c>
      <c r="AC698" t="inlineStr">
        <is>
          <t>0181908201001</t>
        </is>
      </c>
      <c r="AD698" t="inlineStr">
        <is>
          <t>2021000132689</t>
        </is>
      </c>
      <c r="AE698" t="inlineStr">
        <is>
          <t>DGH JACKSON GAP LLC</t>
        </is>
      </c>
      <c r="AF698" t="inlineStr">
        <is>
          <t>PACIFIC ENT LLC</t>
        </is>
      </c>
      <c r="AI698" s="59">
        <f>IF(AND($E698=Subj_OccCode,Subj_BldgSF&gt;0,ABS($L698-Subj_BldgSF)&lt;=Subj_BldgSF*Subj_SizeTol),ABS($L698-Subj_BldgSF),NA())</f>
        <v/>
      </c>
      <c r="AJ698">
        <f>IF(ISNA(AI698),NA(),AI698+ROW()/10000000)</f>
        <v/>
      </c>
      <c r="AK698">
        <f>IF(AND(ISNUMBER($N698),$N698&gt;0,ISNUMBER($Y698)),$Y698/$N698,"")</f>
        <v/>
      </c>
    </row>
    <row r="699" ht="15" customHeight="1" s="518">
      <c r="A699" s="123" t="n">
        <v>8</v>
      </c>
      <c r="B699" s="59" t="n">
        <v>695</v>
      </c>
      <c r="C699" t="inlineStr">
        <is>
          <t>R0194696</t>
        </is>
      </c>
      <c r="D699" t="inlineStr">
        <is>
          <t>12170  TEJON ST</t>
        </is>
      </c>
      <c r="E699" t="n">
        <v>425</v>
      </c>
      <c r="F699" t="inlineStr">
        <is>
          <t>WESTMINSTER</t>
        </is>
      </c>
      <c r="G699" t="inlineStr">
        <is>
          <t>3</t>
        </is>
      </c>
      <c r="H699" s="703">
        <f>Y699/J699</f>
        <v/>
      </c>
      <c r="I699" s="704" t="n">
        <v>43907</v>
      </c>
      <c r="J699" t="n">
        <v>2815</v>
      </c>
      <c r="L699" t="n">
        <v>2815</v>
      </c>
      <c r="M699" t="n">
        <v>2018</v>
      </c>
      <c r="P699" t="inlineStr">
        <is>
          <t>PUD-Wes</t>
        </is>
      </c>
      <c r="R699" t="inlineStr">
        <is>
          <t>Good</t>
        </is>
      </c>
      <c r="S699" t="n">
        <v>8986</v>
      </c>
      <c r="T699" s="119">
        <f>S699/J699</f>
        <v/>
      </c>
      <c r="U699" t="inlineStr">
        <is>
          <t>Good</t>
        </is>
      </c>
      <c r="Y699" t="n">
        <v>750000</v>
      </c>
      <c r="AA699" t="n">
        <v>750000</v>
      </c>
      <c r="AC699" t="inlineStr">
        <is>
          <t>0157333302016</t>
        </is>
      </c>
      <c r="AD699" t="inlineStr">
        <is>
          <t>2020000025600</t>
        </is>
      </c>
      <c r="AE699" t="inlineStr">
        <is>
          <t>12170 TEJON STREET UNIT 600, LLC</t>
        </is>
      </c>
      <c r="AF699" t="inlineStr">
        <is>
          <t>BROTHERS HOLDINGS LLC</t>
        </is>
      </c>
      <c r="AI699" s="59">
        <f>IF(AND($E699=Subj_OccCode,Subj_BldgSF&gt;0,ABS($L699-Subj_BldgSF)&lt;=Subj_BldgSF*Subj_SizeTol),ABS($L699-Subj_BldgSF),NA())</f>
        <v/>
      </c>
      <c r="AJ699">
        <f>IF(ISNA(AI699),NA(),AI699+ROW()/10000000)</f>
        <v/>
      </c>
      <c r="AK699">
        <f>IF(AND(ISNUMBER($N699),$N699&gt;0,ISNUMBER($Y699)),$Y699/$N699,"")</f>
        <v/>
      </c>
    </row>
    <row r="700" ht="15" customHeight="1" s="518">
      <c r="A700" s="123" t="n">
        <v>8</v>
      </c>
      <c r="B700" s="59" t="n">
        <v>696</v>
      </c>
      <c r="C700" t="inlineStr">
        <is>
          <t>R0201382</t>
        </is>
      </c>
      <c r="D700" t="inlineStr">
        <is>
          <t>13575 E 37TH AVE</t>
        </is>
      </c>
      <c r="E700" t="n">
        <v>406</v>
      </c>
      <c r="F700" t="inlineStr">
        <is>
          <t>AURORA</t>
        </is>
      </c>
      <c r="G700" t="inlineStr">
        <is>
          <t>6</t>
        </is>
      </c>
      <c r="H700" s="703">
        <f>Y700/J700</f>
        <v/>
      </c>
      <c r="I700" s="704" t="n">
        <v>44553</v>
      </c>
      <c r="J700" t="n">
        <v>142708</v>
      </c>
      <c r="L700" t="n">
        <v>142708</v>
      </c>
      <c r="M700" t="n">
        <v>2020</v>
      </c>
      <c r="R700" t="inlineStr">
        <is>
          <t>Average</t>
        </is>
      </c>
      <c r="S700" t="n">
        <v>636236</v>
      </c>
      <c r="T700" s="119">
        <f>S700/J700</f>
        <v/>
      </c>
      <c r="U700" t="inlineStr">
        <is>
          <t>Average</t>
        </is>
      </c>
      <c r="Y700" t="n">
        <v>33000000</v>
      </c>
      <c r="AA700" t="n">
        <v>33000000</v>
      </c>
      <c r="AC700" t="inlineStr">
        <is>
          <t>0182325114010</t>
        </is>
      </c>
      <c r="AD700" t="inlineStr">
        <is>
          <t>2021000149371</t>
        </is>
      </c>
      <c r="AE700" t="inlineStr">
        <is>
          <t>P8 D-C INDUSTRIAL SITE 225 LLC</t>
        </is>
      </c>
      <c r="AF700" t="inlineStr">
        <is>
          <t>WESTCORE CG II PARK 225 LLC</t>
        </is>
      </c>
      <c r="AI700" s="59">
        <f>IF(AND($E700=Subj_OccCode,Subj_BldgSF&gt;0,ABS($L700-Subj_BldgSF)&lt;=Subj_BldgSF*Subj_SizeTol),ABS($L700-Subj_BldgSF),NA())</f>
        <v/>
      </c>
      <c r="AJ700">
        <f>IF(ISNA(AI700),NA(),AI700+ROW()/10000000)</f>
        <v/>
      </c>
      <c r="AK700">
        <f>IF(AND(ISNUMBER($N700),$N700&gt;0,ISNUMBER($Y700)),$Y700/$N700,"")</f>
        <v/>
      </c>
    </row>
    <row r="701" ht="15" customHeight="1" s="518">
      <c r="A701" s="123" t="n">
        <v>8</v>
      </c>
      <c r="B701" s="59" t="n">
        <v>697</v>
      </c>
      <c r="C701" t="inlineStr">
        <is>
          <t>R0209679</t>
        </is>
      </c>
      <c r="D701" t="inlineStr">
        <is>
          <t>17501 E 84TH AVE</t>
        </is>
      </c>
      <c r="E701" t="n">
        <v>584</v>
      </c>
      <c r="F701" t="inlineStr">
        <is>
          <t>COMMERCE CITY</t>
        </is>
      </c>
      <c r="G701" t="inlineStr">
        <is>
          <t>2</t>
        </is>
      </c>
      <c r="H701" s="703">
        <f>Y701/J701</f>
        <v/>
      </c>
      <c r="I701" s="704" t="n">
        <v>44547</v>
      </c>
      <c r="J701" t="n">
        <v>999780</v>
      </c>
      <c r="L701" t="n">
        <v>999780</v>
      </c>
      <c r="M701" t="n">
        <v>2021</v>
      </c>
      <c r="R701" t="inlineStr">
        <is>
          <t>Average</t>
        </is>
      </c>
      <c r="S701" t="n">
        <v>3152070</v>
      </c>
      <c r="T701" s="119">
        <f>S701/J701</f>
        <v/>
      </c>
      <c r="U701" t="inlineStr">
        <is>
          <t>Average</t>
        </is>
      </c>
      <c r="Y701" t="n">
        <v>97558700</v>
      </c>
      <c r="AA701" t="n">
        <v>97558700</v>
      </c>
      <c r="AC701" t="inlineStr">
        <is>
          <t>0172328201001</t>
        </is>
      </c>
      <c r="AD701" t="inlineStr">
        <is>
          <t>2021000148257</t>
        </is>
      </c>
      <c r="AE701" t="inlineStr">
        <is>
          <t>NEXUS NORTH OWNER LLC</t>
        </is>
      </c>
      <c r="AF701" t="inlineStr">
        <is>
          <t>QUINTERO OWNER LLC, C/O KHLBERG KRAVIS ROBERTS</t>
        </is>
      </c>
      <c r="AI701" s="59">
        <f>IF(AND($E701=Subj_OccCode,Subj_BldgSF&gt;0,ABS($L701-Subj_BldgSF)&lt;=Subj_BldgSF*Subj_SizeTol),ABS($L701-Subj_BldgSF),NA())</f>
        <v/>
      </c>
      <c r="AJ701">
        <f>IF(ISNA(AI701),NA(),AI701+ROW()/10000000)</f>
        <v/>
      </c>
      <c r="AK701">
        <f>IF(AND(ISNUMBER($N701),$N701&gt;0,ISNUMBER($Y701)),$Y701/$N701,"")</f>
        <v/>
      </c>
    </row>
    <row r="702" ht="15" customHeight="1" s="518">
      <c r="A702" s="123" t="n">
        <v>8</v>
      </c>
      <c r="B702" s="59" t="n">
        <v>698</v>
      </c>
      <c r="C702" t="inlineStr">
        <is>
          <t>R0210404</t>
        </is>
      </c>
      <c r="D702" t="inlineStr">
        <is>
          <t>2000 W 104TH AVE</t>
        </is>
      </c>
      <c r="E702" t="n">
        <v>227</v>
      </c>
      <c r="F702" t="inlineStr">
        <is>
          <t>THORNTON</t>
        </is>
      </c>
      <c r="G702" t="inlineStr">
        <is>
          <t>4</t>
        </is>
      </c>
      <c r="H702" s="703">
        <f>Y702/J702</f>
        <v/>
      </c>
      <c r="I702" s="704" t="n">
        <v>44553</v>
      </c>
      <c r="J702" t="n">
        <v>23064</v>
      </c>
      <c r="L702" t="n">
        <v>23064</v>
      </c>
      <c r="M702" t="n">
        <v>1980</v>
      </c>
      <c r="R702" t="inlineStr">
        <is>
          <t>Average</t>
        </is>
      </c>
      <c r="S702" t="n">
        <v>1750390</v>
      </c>
      <c r="T702" s="119">
        <f>S702/J702</f>
        <v/>
      </c>
      <c r="U702" t="inlineStr">
        <is>
          <t>Average</t>
        </is>
      </c>
      <c r="Y702" t="n">
        <v>6500000</v>
      </c>
      <c r="AA702" t="n">
        <v>6500000</v>
      </c>
      <c r="AC702" t="inlineStr">
        <is>
          <t>0171916215007</t>
        </is>
      </c>
      <c r="AD702" t="inlineStr">
        <is>
          <t>2021000149152</t>
        </is>
      </c>
      <c r="AE702" t="inlineStr">
        <is>
          <t>MORELAND COLORADO PROPERTIES LLC</t>
        </is>
      </c>
      <c r="AF702" t="inlineStr">
        <is>
          <t>ROCKS OF ROCK CITY LLC</t>
        </is>
      </c>
      <c r="AI702" s="59">
        <f>IF(AND($E702=Subj_OccCode,Subj_BldgSF&gt;0,ABS($L702-Subj_BldgSF)&lt;=Subj_BldgSF*Subj_SizeTol),ABS($L702-Subj_BldgSF),NA())</f>
        <v/>
      </c>
      <c r="AJ702">
        <f>IF(ISNA(AI702),NA(),AI702+ROW()/10000000)</f>
        <v/>
      </c>
      <c r="AK702">
        <f>IF(AND(ISNUMBER($N702),$N702&gt;0,ISNUMBER($Y702)),$Y702/$N702,"")</f>
        <v/>
      </c>
    </row>
    <row r="703" ht="15" customHeight="1" s="518">
      <c r="A703" s="123" t="n">
        <v>8</v>
      </c>
      <c r="B703" s="59" t="n">
        <v>699</v>
      </c>
      <c r="C703" t="inlineStr">
        <is>
          <t>R0208787</t>
        </is>
      </c>
      <c r="D703" t="inlineStr">
        <is>
          <t>5140  VIOLET HILL ST #S3</t>
        </is>
      </c>
      <c r="E703" t="n">
        <v>328</v>
      </c>
      <c r="G703" t="inlineStr">
        <is>
          <t>1</t>
        </is>
      </c>
      <c r="H703" s="703">
        <f>Y703/J703</f>
        <v/>
      </c>
      <c r="I703" s="704" t="n">
        <v>44621</v>
      </c>
      <c r="J703" t="n">
        <v>2465</v>
      </c>
      <c r="L703" t="n">
        <v>2465</v>
      </c>
      <c r="R703" t="inlineStr">
        <is>
          <t>Average</t>
        </is>
      </c>
      <c r="S703" t="n">
        <v>0</v>
      </c>
      <c r="T703" s="119">
        <f>S703/J703</f>
        <v/>
      </c>
      <c r="U703" t="inlineStr">
        <is>
          <t>Average</t>
        </is>
      </c>
      <c r="Y703" t="n">
        <v>225000</v>
      </c>
      <c r="AA703" t="n">
        <v>225000</v>
      </c>
      <c r="AC703" t="inlineStr">
        <is>
          <t>0181716411017</t>
        </is>
      </c>
      <c r="AD703" t="inlineStr">
        <is>
          <t>2022000021178</t>
        </is>
      </c>
      <c r="AE703" t="inlineStr">
        <is>
          <t>HUGHBANKS MATTHEW</t>
        </is>
      </c>
      <c r="AF703" t="inlineStr">
        <is>
          <t>CARVERCO LLLP</t>
        </is>
      </c>
      <c r="AI703" s="59">
        <f>IF(AND($E703=Subj_OccCode,Subj_BldgSF&gt;0,ABS($L703-Subj_BldgSF)&lt;=Subj_BldgSF*Subj_SizeTol),ABS($L703-Subj_BldgSF),NA())</f>
        <v/>
      </c>
      <c r="AJ703">
        <f>IF(ISNA(AI703),NA(),AI703+ROW()/10000000)</f>
        <v/>
      </c>
      <c r="AK703">
        <f>IF(AND(ISNUMBER($N703),$N703&gt;0,ISNUMBER($Y703)),$Y703/$N703,"")</f>
        <v/>
      </c>
    </row>
    <row r="704" ht="15" customHeight="1" s="518">
      <c r="A704" s="123" t="n">
        <v>8</v>
      </c>
      <c r="B704" s="59" t="n">
        <v>700</v>
      </c>
      <c r="C704" t="inlineStr">
        <is>
          <t>R0208785</t>
        </is>
      </c>
      <c r="D704" t="inlineStr">
        <is>
          <t>5160  VIOLET HILL ST #S9</t>
        </is>
      </c>
      <c r="E704" t="n">
        <v>328</v>
      </c>
      <c r="G704" t="inlineStr">
        <is>
          <t>1</t>
        </is>
      </c>
      <c r="H704" s="703">
        <f>Y704/J704</f>
        <v/>
      </c>
      <c r="I704" s="704" t="n">
        <v>44178</v>
      </c>
      <c r="J704" t="n">
        <v>1229</v>
      </c>
      <c r="L704" t="n">
        <v>1229</v>
      </c>
      <c r="R704" t="inlineStr">
        <is>
          <t>Average</t>
        </is>
      </c>
      <c r="S704" t="n">
        <v>0</v>
      </c>
      <c r="T704" s="119">
        <f>S704/J704</f>
        <v/>
      </c>
      <c r="U704" t="inlineStr">
        <is>
          <t>Average</t>
        </is>
      </c>
      <c r="Y704" t="n">
        <v>103000</v>
      </c>
      <c r="AA704" t="n">
        <v>103000</v>
      </c>
      <c r="AC704" t="inlineStr">
        <is>
          <t>0181716411015</t>
        </is>
      </c>
      <c r="AD704" t="inlineStr">
        <is>
          <t>2022000083055</t>
        </is>
      </c>
      <c r="AE704" t="inlineStr">
        <is>
          <t>DILLON DOUG</t>
        </is>
      </c>
      <c r="AF704" t="inlineStr">
        <is>
          <t>MARTENS LIVING TRUST</t>
        </is>
      </c>
      <c r="AI704" s="59">
        <f>IF(AND($E704=Subj_OccCode,Subj_BldgSF&gt;0,ABS($L704-Subj_BldgSF)&lt;=Subj_BldgSF*Subj_SizeTol),ABS($L704-Subj_BldgSF),NA())</f>
        <v/>
      </c>
      <c r="AJ704">
        <f>IF(ISNA(AI704),NA(),AI704+ROW()/10000000)</f>
        <v/>
      </c>
      <c r="AK704">
        <f>IF(AND(ISNUMBER($N704),$N704&gt;0,ISNUMBER($Y704)),$Y704/$N704,"")</f>
        <v/>
      </c>
    </row>
    <row r="705" ht="15" customHeight="1" s="518">
      <c r="A705" s="123" t="n">
        <v>8</v>
      </c>
      <c r="B705" s="59" t="n">
        <v>701</v>
      </c>
      <c r="C705" t="inlineStr">
        <is>
          <t>R0208777</t>
        </is>
      </c>
      <c r="D705" t="inlineStr">
        <is>
          <t>5160  VIOLET HILL ST #N8</t>
        </is>
      </c>
      <c r="E705" t="n">
        <v>328</v>
      </c>
      <c r="G705" t="inlineStr">
        <is>
          <t>1</t>
        </is>
      </c>
      <c r="H705" s="703">
        <f>Y705/J705</f>
        <v/>
      </c>
      <c r="I705" s="704" t="n">
        <v>43832</v>
      </c>
      <c r="J705" t="n">
        <v>1530</v>
      </c>
      <c r="L705" t="n">
        <v>1530</v>
      </c>
      <c r="R705" t="inlineStr">
        <is>
          <t>Average</t>
        </is>
      </c>
      <c r="S705" t="n">
        <v>0</v>
      </c>
      <c r="T705" s="119">
        <f>S705/J705</f>
        <v/>
      </c>
      <c r="U705" t="inlineStr">
        <is>
          <t>Average</t>
        </is>
      </c>
      <c r="Y705" t="n">
        <v>115000</v>
      </c>
      <c r="AA705" t="n">
        <v>115000</v>
      </c>
      <c r="AC705" t="inlineStr">
        <is>
          <t>0181716411007</t>
        </is>
      </c>
      <c r="AD705" t="inlineStr">
        <is>
          <t>2022000042693</t>
        </is>
      </c>
      <c r="AE705" t="inlineStr">
        <is>
          <t>HG HANAGR ONE LLC, C/O HUGH COOK</t>
        </is>
      </c>
      <c r="AF705" t="inlineStr">
        <is>
          <t>COOK HUGH</t>
        </is>
      </c>
      <c r="AI705" s="59">
        <f>IF(AND($E705=Subj_OccCode,Subj_BldgSF&gt;0,ABS($L705-Subj_BldgSF)&lt;=Subj_BldgSF*Subj_SizeTol),ABS($L705-Subj_BldgSF),NA())</f>
        <v/>
      </c>
      <c r="AJ705">
        <f>IF(ISNA(AI705),NA(),AI705+ROW()/10000000)</f>
        <v/>
      </c>
      <c r="AK705">
        <f>IF(AND(ISNUMBER($N705),$N705&gt;0,ISNUMBER($Y705)),$Y705/$N705,"")</f>
        <v/>
      </c>
    </row>
    <row r="706" ht="15" customHeight="1" s="518">
      <c r="A706" s="123" t="n">
        <v>8</v>
      </c>
      <c r="B706" s="59" t="n">
        <v>702</v>
      </c>
      <c r="C706" t="inlineStr">
        <is>
          <t>R0208780</t>
        </is>
      </c>
      <c r="D706" t="inlineStr">
        <is>
          <t>5160  VIOLET HILL ST #N2</t>
        </is>
      </c>
      <c r="E706" t="n">
        <v>328</v>
      </c>
      <c r="G706" t="inlineStr">
        <is>
          <t>1</t>
        </is>
      </c>
      <c r="H706" s="703">
        <f>Y706/J706</f>
        <v/>
      </c>
      <c r="I706" s="704" t="n">
        <v>44091</v>
      </c>
      <c r="J706" t="n">
        <v>1530</v>
      </c>
      <c r="L706" t="n">
        <v>1530</v>
      </c>
      <c r="R706" t="inlineStr">
        <is>
          <t>Average</t>
        </is>
      </c>
      <c r="S706" t="n">
        <v>0</v>
      </c>
      <c r="T706" s="119">
        <f>S706/J706</f>
        <v/>
      </c>
      <c r="U706" t="inlineStr">
        <is>
          <t>Average</t>
        </is>
      </c>
      <c r="Y706" t="n">
        <v>117670</v>
      </c>
      <c r="AA706" t="n">
        <v>117670</v>
      </c>
      <c r="AC706" t="inlineStr">
        <is>
          <t>0181716411010</t>
        </is>
      </c>
      <c r="AD706" t="inlineStr">
        <is>
          <t>2022000081299</t>
        </is>
      </c>
      <c r="AE706" t="inlineStr">
        <is>
          <t>HG HANAGR ONE LLC</t>
        </is>
      </c>
      <c r="AF706" t="inlineStr">
        <is>
          <t>VOLIN DAN</t>
        </is>
      </c>
      <c r="AI706" s="59">
        <f>IF(AND($E706=Subj_OccCode,Subj_BldgSF&gt;0,ABS($L706-Subj_BldgSF)&lt;=Subj_BldgSF*Subj_SizeTol),ABS($L706-Subj_BldgSF),NA())</f>
        <v/>
      </c>
      <c r="AJ706">
        <f>IF(ISNA(AI706),NA(),AI706+ROW()/10000000)</f>
        <v/>
      </c>
      <c r="AK706">
        <f>IF(AND(ISNUMBER($N706),$N706&gt;0,ISNUMBER($Y706)),$Y706/$N706,"")</f>
        <v/>
      </c>
    </row>
    <row r="707" ht="15" customHeight="1" s="518">
      <c r="A707" s="123" t="n">
        <v>8</v>
      </c>
      <c r="B707" s="59" t="n">
        <v>703</v>
      </c>
      <c r="C707" t="inlineStr">
        <is>
          <t>R0211079</t>
        </is>
      </c>
      <c r="D707" t="inlineStr">
        <is>
          <t>12245 N PECOS ST</t>
        </is>
      </c>
      <c r="E707" t="n">
        <v>1344</v>
      </c>
      <c r="F707" t="inlineStr">
        <is>
          <t>WESTMINSTER</t>
        </is>
      </c>
      <c r="G707" t="inlineStr">
        <is>
          <t>3</t>
        </is>
      </c>
      <c r="H707" s="703">
        <f>Y707/J707</f>
        <v/>
      </c>
      <c r="I707" s="704" t="n">
        <v>44426</v>
      </c>
      <c r="J707" t="n">
        <v>4726</v>
      </c>
      <c r="L707" t="n">
        <v>4726</v>
      </c>
      <c r="M707" t="n">
        <v>2020</v>
      </c>
      <c r="R707" t="inlineStr">
        <is>
          <t>Average</t>
        </is>
      </c>
      <c r="S707" t="n">
        <v>0</v>
      </c>
      <c r="T707" s="119">
        <f>S707/J707</f>
        <v/>
      </c>
      <c r="U707" t="inlineStr">
        <is>
          <t>Average</t>
        </is>
      </c>
      <c r="Y707" t="n">
        <v>820000</v>
      </c>
      <c r="AA707" t="n">
        <v>820000</v>
      </c>
      <c r="AC707" t="inlineStr">
        <is>
          <t>0157333301017</t>
        </is>
      </c>
      <c r="AD707" t="inlineStr">
        <is>
          <t>2021000099394</t>
        </is>
      </c>
      <c r="AE707" t="inlineStr">
        <is>
          <t>TAIVA 2-3 LLLP</t>
        </is>
      </c>
      <c r="AF707" t="inlineStr">
        <is>
          <t>12245 N PECOS STREET LLC</t>
        </is>
      </c>
      <c r="AI707" s="59">
        <f>IF(AND($E707=Subj_OccCode,Subj_BldgSF&gt;0,ABS($L707-Subj_BldgSF)&lt;=Subj_BldgSF*Subj_SizeTol),ABS($L707-Subj_BldgSF),NA())</f>
        <v/>
      </c>
      <c r="AJ707">
        <f>IF(ISNA(AI707),NA(),AI707+ROW()/10000000)</f>
        <v/>
      </c>
      <c r="AK707">
        <f>IF(AND(ISNUMBER($N707),$N707&gt;0,ISNUMBER($Y707)),$Y707/$N707,"")</f>
        <v/>
      </c>
    </row>
    <row r="708" ht="15" customHeight="1" s="518">
      <c r="A708" s="123" t="n">
        <v>8</v>
      </c>
      <c r="B708" s="59" t="n">
        <v>704</v>
      </c>
      <c r="C708" t="inlineStr">
        <is>
          <t>R0204668</t>
        </is>
      </c>
      <c r="D708" t="inlineStr">
        <is>
          <t>12235 N PECOS ST</t>
        </is>
      </c>
      <c r="E708" t="n">
        <v>1344</v>
      </c>
      <c r="F708" t="inlineStr">
        <is>
          <t>WESTMINSTER</t>
        </is>
      </c>
      <c r="G708" t="inlineStr">
        <is>
          <t>3</t>
        </is>
      </c>
      <c r="H708" s="703">
        <f>Y708/J708</f>
        <v/>
      </c>
      <c r="I708" s="704" t="n">
        <v>44131</v>
      </c>
      <c r="J708" t="n">
        <v>2337</v>
      </c>
      <c r="L708" t="n">
        <v>2337</v>
      </c>
      <c r="M708" t="n">
        <v>2020</v>
      </c>
      <c r="R708" t="inlineStr">
        <is>
          <t>Average</t>
        </is>
      </c>
      <c r="S708" t="n">
        <v>2051</v>
      </c>
      <c r="T708" s="119">
        <f>S708/J708</f>
        <v/>
      </c>
      <c r="U708" t="inlineStr">
        <is>
          <t>Average</t>
        </is>
      </c>
      <c r="Y708" t="n">
        <v>794300</v>
      </c>
      <c r="AA708" t="n">
        <v>794300</v>
      </c>
      <c r="AC708" t="inlineStr">
        <is>
          <t>0157333301011</t>
        </is>
      </c>
      <c r="AD708" t="inlineStr">
        <is>
          <t>2020000111811</t>
        </is>
      </c>
      <c r="AE708" t="inlineStr">
        <is>
          <t>TAIVA 2-3 LLLP</t>
        </is>
      </c>
      <c r="AF708" t="inlineStr">
        <is>
          <t>ADDNAS LLC</t>
        </is>
      </c>
      <c r="AI708" s="59">
        <f>IF(AND($E708=Subj_OccCode,Subj_BldgSF&gt;0,ABS($L708-Subj_BldgSF)&lt;=Subj_BldgSF*Subj_SizeTol),ABS($L708-Subj_BldgSF),NA())</f>
        <v/>
      </c>
      <c r="AJ708">
        <f>IF(ISNA(AI708),NA(),AI708+ROW()/10000000)</f>
        <v/>
      </c>
      <c r="AK708">
        <f>IF(AND(ISNUMBER($N708),$N708&gt;0,ISNUMBER($Y708)),$Y708/$N708,"")</f>
        <v/>
      </c>
    </row>
    <row r="709" ht="15" customHeight="1" s="518">
      <c r="A709" s="123" t="n">
        <v>8</v>
      </c>
      <c r="B709" s="59" t="n">
        <v>705</v>
      </c>
      <c r="C709" t="inlineStr">
        <is>
          <t>R0208786</t>
        </is>
      </c>
      <c r="D709" t="inlineStr">
        <is>
          <t>5140  VIOLET HILL ST #S4</t>
        </is>
      </c>
      <c r="E709" t="n">
        <v>328</v>
      </c>
      <c r="G709" t="inlineStr">
        <is>
          <t>1</t>
        </is>
      </c>
      <c r="H709" s="703">
        <f>Y709/J709</f>
        <v/>
      </c>
      <c r="I709" s="704" t="n">
        <v>43971</v>
      </c>
      <c r="J709" t="n">
        <v>2968</v>
      </c>
      <c r="L709" t="n">
        <v>2968</v>
      </c>
      <c r="R709" t="inlineStr">
        <is>
          <t>Average</t>
        </is>
      </c>
      <c r="S709" t="n">
        <v>0</v>
      </c>
      <c r="T709" s="119">
        <f>S709/J709</f>
        <v/>
      </c>
      <c r="U709" t="inlineStr">
        <is>
          <t>Average</t>
        </is>
      </c>
      <c r="Y709" t="n">
        <v>230000</v>
      </c>
      <c r="AA709" t="n">
        <v>230000</v>
      </c>
      <c r="AC709" t="inlineStr">
        <is>
          <t>0181716411016</t>
        </is>
      </c>
      <c r="AD709" t="inlineStr">
        <is>
          <t>2020000046689</t>
        </is>
      </c>
      <c r="AE709" t="inlineStr">
        <is>
          <t>HG HANGAR ONE LLC</t>
        </is>
      </c>
      <c r="AF709" t="inlineStr">
        <is>
          <t>BIELANSKI ROBERT ALLAN</t>
        </is>
      </c>
      <c r="AI709" s="59">
        <f>IF(AND($E709=Subj_OccCode,Subj_BldgSF&gt;0,ABS($L709-Subj_BldgSF)&lt;=Subj_BldgSF*Subj_SizeTol),ABS($L709-Subj_BldgSF),NA())</f>
        <v/>
      </c>
      <c r="AJ709">
        <f>IF(ISNA(AI709),NA(),AI709+ROW()/10000000)</f>
        <v/>
      </c>
      <c r="AK709">
        <f>IF(AND(ISNUMBER($N709),$N709&gt;0,ISNUMBER($Y709)),$Y709/$N709,"")</f>
        <v/>
      </c>
    </row>
    <row r="710" ht="15" customHeight="1" s="518">
      <c r="A710" s="123" t="n">
        <v>8</v>
      </c>
      <c r="B710" s="59" t="n">
        <v>706</v>
      </c>
      <c r="C710" t="inlineStr">
        <is>
          <t>R0208782</t>
        </is>
      </c>
      <c r="D710" t="inlineStr">
        <is>
          <t>5160  VIOLET HILL ST #S3</t>
        </is>
      </c>
      <c r="E710" t="n">
        <v>328</v>
      </c>
      <c r="G710" t="inlineStr">
        <is>
          <t>1</t>
        </is>
      </c>
      <c r="H710" s="703">
        <f>Y710/J710</f>
        <v/>
      </c>
      <c r="I710" s="704" t="n">
        <v>43868</v>
      </c>
      <c r="J710" t="n">
        <v>1103</v>
      </c>
      <c r="L710" t="n">
        <v>1103</v>
      </c>
      <c r="R710" t="inlineStr">
        <is>
          <t>Average</t>
        </is>
      </c>
      <c r="S710" t="n">
        <v>0</v>
      </c>
      <c r="T710" s="119">
        <f>S710/J710</f>
        <v/>
      </c>
      <c r="U710" t="inlineStr">
        <is>
          <t>Average</t>
        </is>
      </c>
      <c r="Y710" t="n">
        <v>56500</v>
      </c>
      <c r="AA710" t="n">
        <v>56500</v>
      </c>
      <c r="AC710" t="inlineStr">
        <is>
          <t>0181716411012</t>
        </is>
      </c>
      <c r="AD710" t="inlineStr">
        <is>
          <t>2020000013096</t>
        </is>
      </c>
      <c r="AE710" t="inlineStr">
        <is>
          <t>HG HANAGR ONE LLC</t>
        </is>
      </c>
      <c r="AF710" t="inlineStr">
        <is>
          <t>SUNBURST AVIATION LLC</t>
        </is>
      </c>
      <c r="AI710" s="59">
        <f>IF(AND($E710=Subj_OccCode,Subj_BldgSF&gt;0,ABS($L710-Subj_BldgSF)&lt;=Subj_BldgSF*Subj_SizeTol),ABS($L710-Subj_BldgSF),NA())</f>
        <v/>
      </c>
      <c r="AJ710">
        <f>IF(ISNA(AI710),NA(),AI710+ROW()/10000000)</f>
        <v/>
      </c>
      <c r="AK710">
        <f>IF(AND(ISNUMBER($N710),$N710&gt;0,ISNUMBER($Y710)),$Y710/$N710,"")</f>
        <v/>
      </c>
    </row>
    <row r="711" ht="15" customHeight="1" s="518">
      <c r="A711" s="123" t="n">
        <v>8</v>
      </c>
      <c r="B711" s="59" t="n">
        <v>707</v>
      </c>
      <c r="C711" t="inlineStr">
        <is>
          <t>R0208782</t>
        </is>
      </c>
      <c r="D711" t="inlineStr">
        <is>
          <t>5160  VIOLET HILL ST #S3</t>
        </is>
      </c>
      <c r="E711" t="n">
        <v>328</v>
      </c>
      <c r="G711" t="inlineStr">
        <is>
          <t>1</t>
        </is>
      </c>
      <c r="H711" s="703">
        <f>Y711/J711</f>
        <v/>
      </c>
      <c r="I711" s="704" t="n">
        <v>44091</v>
      </c>
      <c r="J711" t="n">
        <v>1103</v>
      </c>
      <c r="L711" t="n">
        <v>1103</v>
      </c>
      <c r="R711" t="inlineStr">
        <is>
          <t>Average</t>
        </is>
      </c>
      <c r="S711" t="n">
        <v>0</v>
      </c>
      <c r="T711" s="119">
        <f>S711/J711</f>
        <v/>
      </c>
      <c r="U711" t="inlineStr">
        <is>
          <t>Average</t>
        </is>
      </c>
      <c r="Y711" t="n">
        <v>87000</v>
      </c>
      <c r="AA711" t="n">
        <v>87000</v>
      </c>
      <c r="AC711" t="inlineStr">
        <is>
          <t>0181716411012</t>
        </is>
      </c>
      <c r="AD711" t="inlineStr">
        <is>
          <t>2022000081300</t>
        </is>
      </c>
      <c r="AE711" t="inlineStr">
        <is>
          <t>SUNBURST AVIATION LLC</t>
        </is>
      </c>
      <c r="AF711" t="inlineStr">
        <is>
          <t>SANDERS JEFF</t>
        </is>
      </c>
      <c r="AI711" s="59">
        <f>IF(AND($E711=Subj_OccCode,Subj_BldgSF&gt;0,ABS($L711-Subj_BldgSF)&lt;=Subj_BldgSF*Subj_SizeTol),ABS($L711-Subj_BldgSF),NA())</f>
        <v/>
      </c>
      <c r="AJ711">
        <f>IF(ISNA(AI711),NA(),AI711+ROW()/10000000)</f>
        <v/>
      </c>
      <c r="AK711">
        <f>IF(AND(ISNUMBER($N711),$N711&gt;0,ISNUMBER($Y711)),$Y711/$N711,"")</f>
        <v/>
      </c>
    </row>
    <row r="712" ht="15" customHeight="1" s="518">
      <c r="A712" s="123" t="n">
        <v>8</v>
      </c>
      <c r="B712" s="59" t="n">
        <v>708</v>
      </c>
      <c r="C712" t="inlineStr">
        <is>
          <t>R0198519</t>
        </is>
      </c>
      <c r="D712" t="inlineStr">
        <is>
          <t>2160  PRAIRIE CENTER PKWY</t>
        </is>
      </c>
      <c r="E712" t="n">
        <v>436</v>
      </c>
      <c r="F712" t="inlineStr">
        <is>
          <t>BRIGHTON</t>
        </is>
      </c>
      <c r="G712" t="inlineStr">
        <is>
          <t>2</t>
        </is>
      </c>
      <c r="H712" s="703">
        <f>Y712/J712</f>
        <v/>
      </c>
      <c r="I712" s="704" t="n">
        <v>43523</v>
      </c>
      <c r="J712" t="n">
        <v>4272</v>
      </c>
      <c r="L712" t="n">
        <v>4272</v>
      </c>
      <c r="M712" t="n">
        <v>2019</v>
      </c>
      <c r="R712" t="inlineStr">
        <is>
          <t>Good</t>
        </is>
      </c>
      <c r="S712" t="n">
        <v>54605</v>
      </c>
      <c r="T712" s="119">
        <f>S712/J712</f>
        <v/>
      </c>
      <c r="U712" t="inlineStr">
        <is>
          <t>Good</t>
        </is>
      </c>
      <c r="Y712" t="n">
        <v>900000</v>
      </c>
      <c r="AA712" t="n">
        <v>900000</v>
      </c>
      <c r="AC712" t="inlineStr">
        <is>
          <t>0156921103003</t>
        </is>
      </c>
      <c r="AD712" t="inlineStr">
        <is>
          <t>2019000015302</t>
        </is>
      </c>
      <c r="AE712" t="inlineStr">
        <is>
          <t>THF PRARIE CENTER RETAIL THREE LLC</t>
        </is>
      </c>
      <c r="AF712" t="inlineStr">
        <is>
          <t>IMO US WEST LLC</t>
        </is>
      </c>
      <c r="AI712" s="59">
        <f>IF(AND($E712=Subj_OccCode,Subj_BldgSF&gt;0,ABS($L712-Subj_BldgSF)&lt;=Subj_BldgSF*Subj_SizeTol),ABS($L712-Subj_BldgSF),NA())</f>
        <v/>
      </c>
      <c r="AJ712">
        <f>IF(ISNA(AI712),NA(),AI712+ROW()/10000000)</f>
        <v/>
      </c>
      <c r="AK712">
        <f>IF(AND(ISNUMBER($N712),$N712&gt;0,ISNUMBER($Y712)),$Y712/$N712,"")</f>
        <v/>
      </c>
    </row>
    <row r="713" ht="15" customHeight="1" s="518">
      <c r="A713" s="123" t="n">
        <v>8</v>
      </c>
      <c r="B713" s="59" t="n">
        <v>709</v>
      </c>
      <c r="C713" t="inlineStr">
        <is>
          <t>R0115415</t>
        </is>
      </c>
      <c r="D713" t="inlineStr">
        <is>
          <t>9640  HAVANA ST</t>
        </is>
      </c>
      <c r="E713" t="n">
        <v>407</v>
      </c>
      <c r="F713" t="inlineStr">
        <is>
          <t>COMMERCE CITY</t>
        </is>
      </c>
      <c r="G713" t="inlineStr">
        <is>
          <t>5</t>
        </is>
      </c>
      <c r="H713" s="703">
        <f>Y713/J713</f>
        <v/>
      </c>
      <c r="I713" s="704" t="n">
        <v>44327</v>
      </c>
      <c r="J713" t="n">
        <v>19499</v>
      </c>
      <c r="L713" t="n">
        <v>19499</v>
      </c>
      <c r="M713" t="n">
        <v>2020</v>
      </c>
      <c r="P713" t="inlineStr">
        <is>
          <t>PUD-Com</t>
        </is>
      </c>
      <c r="R713" t="inlineStr">
        <is>
          <t>Average</t>
        </is>
      </c>
      <c r="S713" t="n">
        <v>64459</v>
      </c>
      <c r="T713" s="119">
        <f>S713/J713</f>
        <v/>
      </c>
      <c r="U713" t="inlineStr">
        <is>
          <t>Average</t>
        </is>
      </c>
      <c r="Y713" t="n">
        <v>2877500</v>
      </c>
      <c r="AA713" t="n">
        <v>2877500</v>
      </c>
      <c r="AC713" t="inlineStr">
        <is>
          <t>0172115012001</t>
        </is>
      </c>
      <c r="AD713" t="inlineStr">
        <is>
          <t>2021000058561</t>
        </is>
      </c>
      <c r="AE713" t="inlineStr">
        <is>
          <t>WHITING BRIAN AND , WHITING FRAN</t>
        </is>
      </c>
      <c r="AF713" t="inlineStr">
        <is>
          <t>HAVANA CREST LLC</t>
        </is>
      </c>
      <c r="AI713" s="59">
        <f>IF(AND($E713=Subj_OccCode,Subj_BldgSF&gt;0,ABS($L713-Subj_BldgSF)&lt;=Subj_BldgSF*Subj_SizeTol),ABS($L713-Subj_BldgSF),NA())</f>
        <v/>
      </c>
      <c r="AJ713">
        <f>IF(ISNA(AI713),NA(),AI713+ROW()/10000000)</f>
        <v/>
      </c>
      <c r="AK713">
        <f>IF(AND(ISNUMBER($N713),$N713&gt;0,ISNUMBER($Y713)),$Y713/$N713,"")</f>
        <v/>
      </c>
    </row>
    <row r="714" ht="15" customHeight="1" s="518">
      <c r="A714" s="123" t="n">
        <v>8</v>
      </c>
      <c r="B714" s="59" t="n">
        <v>710</v>
      </c>
      <c r="C714" t="inlineStr">
        <is>
          <t>R0208789</t>
        </is>
      </c>
      <c r="D714" t="inlineStr">
        <is>
          <t>5140  VIOLET HILL ST</t>
        </is>
      </c>
      <c r="E714" t="n">
        <v>328</v>
      </c>
      <c r="G714" t="inlineStr">
        <is>
          <t>1</t>
        </is>
      </c>
      <c r="H714" s="703">
        <f>Y714/J714</f>
        <v/>
      </c>
      <c r="I714" s="704" t="n">
        <v>43951</v>
      </c>
      <c r="J714" t="n">
        <v>2470</v>
      </c>
      <c r="L714" t="n">
        <v>2470</v>
      </c>
      <c r="R714" t="inlineStr">
        <is>
          <t>Average</t>
        </is>
      </c>
      <c r="T714" s="119">
        <f>S714/J714</f>
        <v/>
      </c>
      <c r="U714" t="inlineStr">
        <is>
          <t>Average</t>
        </is>
      </c>
      <c r="Y714" t="n">
        <v>198500</v>
      </c>
      <c r="AA714" t="n">
        <v>198500</v>
      </c>
      <c r="AC714" t="inlineStr">
        <is>
          <t>0181716411019</t>
        </is>
      </c>
      <c r="AD714" t="inlineStr">
        <is>
          <t>2022000083056</t>
        </is>
      </c>
      <c r="AE714" t="inlineStr">
        <is>
          <t>HG HANGAR ONE LLC</t>
        </is>
      </c>
      <c r="AF714" t="inlineStr">
        <is>
          <t>BEIM GLORIA</t>
        </is>
      </c>
      <c r="AI714" s="59">
        <f>IF(AND($E714=Subj_OccCode,Subj_BldgSF&gt;0,ABS($L714-Subj_BldgSF)&lt;=Subj_BldgSF*Subj_SizeTol),ABS($L714-Subj_BldgSF),NA())</f>
        <v/>
      </c>
      <c r="AJ714">
        <f>IF(ISNA(AI714),NA(),AI714+ROW()/10000000)</f>
        <v/>
      </c>
      <c r="AK714">
        <f>IF(AND(ISNUMBER($N714),$N714&gt;0,ISNUMBER($Y714)),$Y714/$N714,"")</f>
        <v/>
      </c>
    </row>
    <row r="715" ht="15" customHeight="1" s="518">
      <c r="A715" s="62" t="n">
        <v>8</v>
      </c>
      <c r="B715" s="59" t="n">
        <v>711</v>
      </c>
      <c r="D715" t="inlineStr">
        <is>
          <t>3841 W 88TH AVE</t>
        </is>
      </c>
      <c r="E715" t="n">
        <v>325</v>
      </c>
      <c r="F715" t="inlineStr">
        <is>
          <t>WESTMINSTER</t>
        </is>
      </c>
      <c r="H715">
        <f>Y715/J715</f>
        <v/>
      </c>
      <c r="I715" s="704" t="n">
        <v>43873</v>
      </c>
      <c r="J715" t="n">
        <v>1412</v>
      </c>
      <c r="L715" t="n">
        <v>1412</v>
      </c>
      <c r="M715" t="n">
        <v>1965</v>
      </c>
      <c r="S715" t="n">
        <v>16988</v>
      </c>
      <c r="T715">
        <f>S715/J715</f>
        <v/>
      </c>
      <c r="Y715" t="n">
        <v>600000</v>
      </c>
      <c r="AA715" t="n">
        <v>600000</v>
      </c>
      <c r="AB715" t="inlineStr">
        <is>
          <t>Andy's Automotive — Auto Service; src: Retail_Sales_Cleaned</t>
        </is>
      </c>
      <c r="AC715" t="inlineStr">
        <is>
          <t>1719-19-4-13-004</t>
        </is>
      </c>
      <c r="AI715">
        <f>IF(AND($E715=Subj_OccCode,Subj_BldgSF&gt;0,ABS($L715-Subj_BldgSF)&lt;=Subj_BldgSF*Subj_SizeTol),ABS($L715-Subj_BldgSF),NA())</f>
        <v/>
      </c>
      <c r="AJ715">
        <f>IF(ISNA(AI715),NA(),AI715+ROW()/10000000)</f>
        <v/>
      </c>
      <c r="AK715">
        <f>IF(AND(ISNUMBER($N715),$N715&gt;0,ISNUMBER($Y715)),$Y715/$N715,"")</f>
        <v/>
      </c>
    </row>
    <row r="716" ht="15" customHeight="1" s="518">
      <c r="A716" s="62" t="n">
        <v>8</v>
      </c>
      <c r="B716" s="59" t="n">
        <v>712</v>
      </c>
      <c r="D716" t="inlineStr">
        <is>
          <t>850 W 104TH AVE</t>
        </is>
      </c>
      <c r="E716" t="n">
        <v>349</v>
      </c>
      <c r="F716" t="inlineStr">
        <is>
          <t>NORTHGLENN</t>
        </is>
      </c>
      <c r="H716">
        <f>Y716/J716</f>
        <v/>
      </c>
      <c r="I716" s="704" t="n">
        <v>43277</v>
      </c>
      <c r="J716" t="n">
        <v>2400</v>
      </c>
      <c r="L716" t="n">
        <v>2400</v>
      </c>
      <c r="S716" t="n">
        <v>24829</v>
      </c>
      <c r="T716">
        <f>S716/J716</f>
        <v/>
      </c>
      <c r="Y716" t="n">
        <v>1890000</v>
      </c>
      <c r="AA716" t="n">
        <v>1890000</v>
      </c>
      <c r="AB716" t="inlineStr">
        <is>
          <t>Arby's — Fast Food [Old Sale]; src: Retail_Sales_Cleaned</t>
        </is>
      </c>
      <c r="AC716" t="inlineStr">
        <is>
          <t>1719-16-1-01-037</t>
        </is>
      </c>
      <c r="AI716">
        <f>IF(AND($E716=Subj_OccCode,Subj_BldgSF&gt;0,ABS($L716-Subj_BldgSF)&lt;=Subj_BldgSF*Subj_SizeTol),ABS($L716-Subj_BldgSF),NA())</f>
        <v/>
      </c>
      <c r="AJ716">
        <f>IF(ISNA(AI716),NA(),AI716+ROW()/10000000)</f>
        <v/>
      </c>
      <c r="AK716">
        <f>IF(AND(ISNUMBER($N716),$N716&gt;0,ISNUMBER($Y716)),$Y716/$N716,"")</f>
        <v/>
      </c>
    </row>
    <row r="717" ht="15" customHeight="1" s="518">
      <c r="A717" s="62" t="n">
        <v>8</v>
      </c>
      <c r="B717" s="59" t="n">
        <v>713</v>
      </c>
      <c r="D717" t="inlineStr">
        <is>
          <t>5995 DEXTER ST</t>
        </is>
      </c>
      <c r="E717" t="n">
        <v>349</v>
      </c>
      <c r="F717" t="inlineStr">
        <is>
          <t>COMMERCE CITY</t>
        </is>
      </c>
      <c r="H717">
        <f>Y717/J717</f>
        <v/>
      </c>
      <c r="I717" s="704" t="n">
        <v>43826</v>
      </c>
      <c r="J717" t="n">
        <v>4050</v>
      </c>
      <c r="L717" t="n">
        <v>4050</v>
      </c>
      <c r="M717" t="n">
        <v>1998</v>
      </c>
      <c r="S717" t="n">
        <v>114563</v>
      </c>
      <c r="T717">
        <f>S717/J717</f>
        <v/>
      </c>
      <c r="Y717" t="n">
        <v>1541200</v>
      </c>
      <c r="AA717" t="n">
        <v>1541200</v>
      </c>
      <c r="AB717" t="inlineStr">
        <is>
          <t>Arby's — Fast Food; src: Retail_Sales_Cleaned</t>
        </is>
      </c>
      <c r="AC717" t="inlineStr">
        <is>
          <t>1823-07-3-03-003</t>
        </is>
      </c>
      <c r="AI717">
        <f>IF(AND($E717=Subj_OccCode,Subj_BldgSF&gt;0,ABS($L717-Subj_BldgSF)&lt;=Subj_BldgSF*Subj_SizeTol),ABS($L717-Subj_BldgSF),NA())</f>
        <v/>
      </c>
      <c r="AJ717">
        <f>IF(ISNA(AI717),NA(),AI717+ROW()/10000000)</f>
        <v/>
      </c>
      <c r="AK717">
        <f>IF(AND(ISNUMBER($N717),$N717&gt;0,ISNUMBER($Y717)),$Y717/$N717,"")</f>
        <v/>
      </c>
    </row>
    <row r="718" ht="15" customHeight="1" s="518">
      <c r="A718" s="62" t="n">
        <v>8</v>
      </c>
      <c r="B718" s="59" t="n">
        <v>714</v>
      </c>
      <c r="D718" t="inlineStr">
        <is>
          <t>200 E 144TH AVE</t>
        </is>
      </c>
      <c r="E718" t="n">
        <v>349</v>
      </c>
      <c r="F718" t="inlineStr">
        <is>
          <t>THORNTON</t>
        </is>
      </c>
      <c r="H718">
        <f>Y718/J718</f>
        <v/>
      </c>
      <c r="I718" s="704" t="n">
        <v>43902</v>
      </c>
      <c r="J718" t="n">
        <v>3003</v>
      </c>
      <c r="L718" t="n">
        <v>3003</v>
      </c>
      <c r="M718" t="n">
        <v>2016</v>
      </c>
      <c r="S718" t="n">
        <v>46609</v>
      </c>
      <c r="T718">
        <f>S718/J718</f>
        <v/>
      </c>
      <c r="Y718" t="n">
        <v>1666666</v>
      </c>
      <c r="AA718" t="n">
        <v>1666666</v>
      </c>
      <c r="AB718" t="inlineStr">
        <is>
          <t>Arby's — Fast Food; Ground Lease (Leased Fee); src: Retail_Sales_Cleaned</t>
        </is>
      </c>
      <c r="AC718" t="inlineStr">
        <is>
          <t>1573-22-1-01-079</t>
        </is>
      </c>
      <c r="AI718">
        <f>IF(AND($E718=Subj_OccCode,Subj_BldgSF&gt;0,ABS($L718-Subj_BldgSF)&lt;=Subj_BldgSF*Subj_SizeTol),ABS($L718-Subj_BldgSF),NA())</f>
        <v/>
      </c>
      <c r="AJ718">
        <f>IF(ISNA(AI718),NA(),AI718+ROW()/10000000)</f>
        <v/>
      </c>
      <c r="AK718">
        <f>IF(AND(ISNUMBER($N718),$N718&gt;0,ISNUMBER($Y718)),$Y718/$N718,"")</f>
        <v/>
      </c>
    </row>
    <row r="719" ht="15" customHeight="1" s="518">
      <c r="A719" s="62" t="n">
        <v>8</v>
      </c>
      <c r="B719" s="59" t="n">
        <v>715</v>
      </c>
      <c r="D719" t="inlineStr">
        <is>
          <t>11953 HOLLY ST</t>
        </is>
      </c>
      <c r="E719" t="n">
        <v>349</v>
      </c>
      <c r="F719" t="inlineStr">
        <is>
          <t>THORNTON</t>
        </is>
      </c>
      <c r="H719">
        <f>Y719/J719</f>
        <v/>
      </c>
      <c r="I719" s="704" t="n">
        <v>43304</v>
      </c>
      <c r="J719" t="n">
        <v>4000</v>
      </c>
      <c r="L719" t="n">
        <v>4000</v>
      </c>
      <c r="M719" t="n">
        <v>2018</v>
      </c>
      <c r="S719" t="n">
        <v>40946</v>
      </c>
      <c r="T719">
        <f>S719/J719</f>
        <v/>
      </c>
      <c r="Y719" t="n">
        <v>2900000</v>
      </c>
      <c r="AA719" t="n">
        <v>2900000</v>
      </c>
      <c r="AB719" t="inlineStr">
        <is>
          <t>Burger King — Fast Food [Old Sale]; 1031 Exchange,Build to Suit,Investment Triple Net; src: Retail_Sales_Cleaned</t>
        </is>
      </c>
      <c r="AC719" t="inlineStr">
        <is>
          <t>1721-06-1-17-009</t>
        </is>
      </c>
      <c r="AI719">
        <f>IF(AND($E719=Subj_OccCode,Subj_BldgSF&gt;0,ABS($L719-Subj_BldgSF)&lt;=Subj_BldgSF*Subj_SizeTol),ABS($L719-Subj_BldgSF),NA())</f>
        <v/>
      </c>
      <c r="AJ719">
        <f>IF(ISNA(AI719),NA(),AI719+ROW()/10000000)</f>
        <v/>
      </c>
      <c r="AK719">
        <f>IF(AND(ISNUMBER($N719),$N719&gt;0,ISNUMBER($Y719)),$Y719/$N719,"")</f>
        <v/>
      </c>
    </row>
    <row r="720" ht="15" customHeight="1" s="518">
      <c r="A720" s="62" t="n">
        <v>8</v>
      </c>
      <c r="B720" s="59" t="n">
        <v>716</v>
      </c>
      <c r="D720" t="inlineStr">
        <is>
          <t>5156 E BROMLEY LN</t>
        </is>
      </c>
      <c r="E720" t="n">
        <v>410</v>
      </c>
      <c r="F720" t="inlineStr">
        <is>
          <t>BRIGHTON</t>
        </is>
      </c>
      <c r="H720">
        <f>Y720/J720</f>
        <v/>
      </c>
      <c r="I720" s="704" t="n">
        <v>43678</v>
      </c>
      <c r="J720" t="n">
        <v>18027</v>
      </c>
      <c r="L720" t="n">
        <v>18027</v>
      </c>
      <c r="M720" t="n">
        <v>2019</v>
      </c>
      <c r="S720" t="n">
        <v>124146</v>
      </c>
      <c r="T720">
        <f>S720/J720</f>
        <v/>
      </c>
      <c r="Y720" t="n">
        <v>5028000</v>
      </c>
      <c r="AA720" t="n">
        <v>5028000</v>
      </c>
      <c r="AB720" t="inlineStr">
        <is>
          <t>Caliber Collision — Auto Service [Paired Sale]; src: Retail_Sales_Cleaned</t>
        </is>
      </c>
      <c r="AC720" t="inlineStr">
        <is>
          <t>1569-14-2-02-002</t>
        </is>
      </c>
      <c r="AI720">
        <f>IF(AND($E720=Subj_OccCode,Subj_BldgSF&gt;0,ABS($L720-Subj_BldgSF)&lt;=Subj_BldgSF*Subj_SizeTol),ABS($L720-Subj_BldgSF),NA())</f>
        <v/>
      </c>
      <c r="AJ720">
        <f>IF(ISNA(AI720),NA(),AI720+ROW()/10000000)</f>
        <v/>
      </c>
      <c r="AK720">
        <f>IF(AND(ISNUMBER($N720),$N720&gt;0,ISNUMBER($Y720)),$Y720/$N720,"")</f>
        <v/>
      </c>
    </row>
    <row r="721" ht="15" customHeight="1" s="518">
      <c r="A721" s="62" t="n">
        <v>8</v>
      </c>
      <c r="B721" s="59" t="n">
        <v>717</v>
      </c>
      <c r="D721" t="inlineStr">
        <is>
          <t>5156 E BROMLEY LN</t>
        </is>
      </c>
      <c r="E721" t="n">
        <v>410</v>
      </c>
      <c r="F721" t="inlineStr">
        <is>
          <t>BRIGHTON</t>
        </is>
      </c>
      <c r="H721">
        <f>Y721/J721</f>
        <v/>
      </c>
      <c r="I721" s="704" t="n">
        <v>44953</v>
      </c>
      <c r="J721" t="n">
        <v>18027</v>
      </c>
      <c r="L721" t="n">
        <v>18027</v>
      </c>
      <c r="M721" t="n">
        <v>2019</v>
      </c>
      <c r="S721" t="n">
        <v>124146</v>
      </c>
      <c r="T721">
        <f>S721/J721</f>
        <v/>
      </c>
      <c r="Y721" t="n">
        <v>6050000</v>
      </c>
      <c r="AA721" t="n">
        <v>6050000</v>
      </c>
      <c r="AB721" t="inlineStr">
        <is>
          <t>Caliber Collision — Auto Service; Investment Triple Net; src: Retail_Sales_Cleaned</t>
        </is>
      </c>
      <c r="AC721" t="inlineStr">
        <is>
          <t>1569-14-2-02-002</t>
        </is>
      </c>
      <c r="AI721">
        <f>IF(AND($E721=Subj_OccCode,Subj_BldgSF&gt;0,ABS($L721-Subj_BldgSF)&lt;=Subj_BldgSF*Subj_SizeTol),ABS($L721-Subj_BldgSF),NA())</f>
        <v/>
      </c>
      <c r="AJ721">
        <f>IF(ISNA(AI721),NA(),AI721+ROW()/10000000)</f>
        <v/>
      </c>
      <c r="AK721">
        <f>IF(AND(ISNUMBER($N721),$N721&gt;0,ISNUMBER($Y721)),$Y721/$N721,"")</f>
        <v/>
      </c>
    </row>
    <row r="722" ht="15" customHeight="1" s="518">
      <c r="A722" s="62" t="n">
        <v>8</v>
      </c>
      <c r="B722" s="59" t="n">
        <v>718</v>
      </c>
      <c r="D722" t="inlineStr">
        <is>
          <t>5703 E 136TH AVE</t>
        </is>
      </c>
      <c r="E722" t="n">
        <v>410</v>
      </c>
      <c r="F722" t="inlineStr">
        <is>
          <t>THORNTON</t>
        </is>
      </c>
      <c r="H722">
        <f>Y722/J722</f>
        <v/>
      </c>
      <c r="I722" s="704" t="n">
        <v>43523</v>
      </c>
      <c r="J722" t="n">
        <v>4921</v>
      </c>
      <c r="L722" t="n">
        <v>4921</v>
      </c>
      <c r="M722" t="n">
        <v>2017</v>
      </c>
      <c r="S722" t="n">
        <v>46174</v>
      </c>
      <c r="T722">
        <f>S722/J722</f>
        <v/>
      </c>
      <c r="Y722" t="n">
        <v>3160000</v>
      </c>
      <c r="AA722" t="n">
        <v>3160000</v>
      </c>
      <c r="AB722" t="inlineStr">
        <is>
          <t>Christian Brothers Automotive — Auto Service [Old Sale]; src: Retail_Sales_Cleaned</t>
        </is>
      </c>
      <c r="AC722" t="inlineStr">
        <is>
          <t>1571-20-3-06-065</t>
        </is>
      </c>
      <c r="AI722">
        <f>IF(AND($E722=Subj_OccCode,Subj_BldgSF&gt;0,ABS($L722-Subj_BldgSF)&lt;=Subj_BldgSF*Subj_SizeTol),ABS($L722-Subj_BldgSF),NA())</f>
        <v/>
      </c>
      <c r="AJ722">
        <f>IF(ISNA(AI722),NA(),AI722+ROW()/10000000)</f>
        <v/>
      </c>
      <c r="AK722">
        <f>IF(AND(ISNUMBER($N722),$N722&gt;0,ISNUMBER($Y722)),$Y722/$N722,"")</f>
        <v/>
      </c>
    </row>
    <row r="723" ht="15" customHeight="1" s="518">
      <c r="A723" s="62" t="n">
        <v>8</v>
      </c>
      <c r="B723" s="59" t="n">
        <v>719</v>
      </c>
      <c r="D723" t="inlineStr">
        <is>
          <t>15690 E 104TH AVE</t>
        </is>
      </c>
      <c r="E723" t="n">
        <v>410</v>
      </c>
      <c r="F723" t="inlineStr">
        <is>
          <t>COMMERCE CITY</t>
        </is>
      </c>
      <c r="H723">
        <f>Y723/J723</f>
        <v/>
      </c>
      <c r="I723" s="704" t="n">
        <v>43584</v>
      </c>
      <c r="J723" t="n">
        <v>4896</v>
      </c>
      <c r="L723" t="n">
        <v>4896</v>
      </c>
      <c r="M723" t="n">
        <v>2018</v>
      </c>
      <c r="S723" t="n">
        <v>43996</v>
      </c>
      <c r="T723">
        <f>S723/J723</f>
        <v/>
      </c>
      <c r="Y723" t="n">
        <v>3068000</v>
      </c>
      <c r="AA723" t="n">
        <v>3068000</v>
      </c>
      <c r="AB723" t="inlineStr">
        <is>
          <t>Christian Brothers Automotive — Auto Service [Old Sale]; Sale Leaseback; src: Retail_Sales_Cleaned</t>
        </is>
      </c>
      <c r="AC723" t="inlineStr">
        <is>
          <t>1723-17-2-15-007</t>
        </is>
      </c>
      <c r="AI723">
        <f>IF(AND($E723=Subj_OccCode,Subj_BldgSF&gt;0,ABS($L723-Subj_BldgSF)&lt;=Subj_BldgSF*Subj_SizeTol),ABS($L723-Subj_BldgSF),NA())</f>
        <v/>
      </c>
      <c r="AJ723">
        <f>IF(ISNA(AI723),NA(),AI723+ROW()/10000000)</f>
        <v/>
      </c>
      <c r="AK723">
        <f>IF(AND(ISNUMBER($N723),$N723&gt;0,ISNUMBER($Y723)),$Y723/$N723,"")</f>
        <v/>
      </c>
    </row>
    <row r="724" ht="15" customHeight="1" s="518">
      <c r="A724" s="62" t="n">
        <v>8</v>
      </c>
      <c r="B724" s="59" t="n">
        <v>720</v>
      </c>
      <c r="D724" t="inlineStr">
        <is>
          <t>15690 E 104TH AVE</t>
        </is>
      </c>
      <c r="E724" t="n">
        <v>410</v>
      </c>
      <c r="F724" t="inlineStr">
        <is>
          <t>COMMERCE CITY</t>
        </is>
      </c>
      <c r="H724">
        <f>Y724/J724</f>
        <v/>
      </c>
      <c r="I724" s="704" t="n">
        <v>43915</v>
      </c>
      <c r="J724" t="n">
        <v>4896</v>
      </c>
      <c r="L724" t="n">
        <v>4896</v>
      </c>
      <c r="M724" t="n">
        <v>2018</v>
      </c>
      <c r="S724" t="n">
        <v>43996</v>
      </c>
      <c r="T724">
        <f>S724/J724</f>
        <v/>
      </c>
      <c r="Y724" t="n">
        <v>3335000</v>
      </c>
      <c r="AA724" t="n">
        <v>3335000</v>
      </c>
      <c r="AB724" t="inlineStr">
        <is>
          <t>Christian Brothers Automotive — Auto Service; src: Retail_Sales_Cleaned</t>
        </is>
      </c>
      <c r="AC724" t="inlineStr">
        <is>
          <t>1723-17-2-15-007</t>
        </is>
      </c>
      <c r="AI724">
        <f>IF(AND($E724=Subj_OccCode,Subj_BldgSF&gt;0,ABS($L724-Subj_BldgSF)&lt;=Subj_BldgSF*Subj_SizeTol),ABS($L724-Subj_BldgSF),NA())</f>
        <v/>
      </c>
      <c r="AJ724">
        <f>IF(ISNA(AI724),NA(),AI724+ROW()/10000000)</f>
        <v/>
      </c>
      <c r="AK724">
        <f>IF(AND(ISNUMBER($N724),$N724&gt;0,ISNUMBER($Y724)),$Y724/$N724,"")</f>
        <v/>
      </c>
    </row>
    <row r="725" ht="15" customHeight="1" s="518">
      <c r="A725" s="62" t="n">
        <v>8</v>
      </c>
      <c r="B725" s="59" t="n">
        <v>721</v>
      </c>
      <c r="D725" t="inlineStr">
        <is>
          <t>14901 E COLFAX AVE</t>
        </is>
      </c>
      <c r="E725" t="n">
        <v>349</v>
      </c>
      <c r="F725" t="inlineStr">
        <is>
          <t>AURORA</t>
        </is>
      </c>
      <c r="H725">
        <f>Y725/J725</f>
        <v/>
      </c>
      <c r="I725" s="704" t="n">
        <v>42999</v>
      </c>
      <c r="J725" t="n">
        <v>1295</v>
      </c>
      <c r="L725" t="n">
        <v>1295</v>
      </c>
      <c r="M725" t="n">
        <v>1973</v>
      </c>
      <c r="S725" t="n">
        <v>21436</v>
      </c>
      <c r="T725">
        <f>S725/J725</f>
        <v/>
      </c>
      <c r="Y725" t="n">
        <v>1550000</v>
      </c>
      <c r="AA725" t="n">
        <v>1550000</v>
      </c>
      <c r="AB725" t="inlineStr">
        <is>
          <t>Dairy Queen — Fast Food [Old Sale]; src: Retail_Sales_Cleaned</t>
        </is>
      </c>
      <c r="AC725" t="inlineStr">
        <is>
          <t>1821-31-4-05-014</t>
        </is>
      </c>
      <c r="AI725">
        <f>IF(AND($E725=Subj_OccCode,Subj_BldgSF&gt;0,ABS($L725-Subj_BldgSF)&lt;=Subj_BldgSF*Subj_SizeTol),ABS($L725-Subj_BldgSF),NA())</f>
        <v/>
      </c>
      <c r="AJ725">
        <f>IF(ISNA(AI725),NA(),AI725+ROW()/10000000)</f>
        <v/>
      </c>
      <c r="AK725">
        <f>IF(AND(ISNUMBER($N725),$N725&gt;0,ISNUMBER($Y725)),$Y725/$N725,"")</f>
        <v/>
      </c>
    </row>
    <row r="726" ht="15" customHeight="1" s="518">
      <c r="A726" s="62" t="n">
        <v>8</v>
      </c>
      <c r="B726" s="59" t="n">
        <v>722</v>
      </c>
      <c r="D726" t="inlineStr">
        <is>
          <t>3701 TOWER RD</t>
        </is>
      </c>
      <c r="E726" t="n">
        <v>349</v>
      </c>
      <c r="F726" t="inlineStr">
        <is>
          <t>AURORA</t>
        </is>
      </c>
      <c r="H726">
        <f>Y726/J726</f>
        <v/>
      </c>
      <c r="I726" s="704" t="n">
        <v>43293</v>
      </c>
      <c r="J726" t="n">
        <v>1886</v>
      </c>
      <c r="L726" t="n">
        <v>1886</v>
      </c>
      <c r="M726" t="n">
        <v>2013</v>
      </c>
      <c r="S726" t="n">
        <v>56963</v>
      </c>
      <c r="T726">
        <f>S726/J726</f>
        <v/>
      </c>
      <c r="Y726" t="n">
        <v>1900000</v>
      </c>
      <c r="AA726" t="n">
        <v>1900000</v>
      </c>
      <c r="AB726" t="inlineStr">
        <is>
          <t>Dairy Queen — Fast Food [Old Sale]; Business Value Included; src: Retail_Sales_Cleaned</t>
        </is>
      </c>
      <c r="AC726" t="inlineStr">
        <is>
          <t>1821-28-1-02-010</t>
        </is>
      </c>
      <c r="AI726">
        <f>IF(AND($E726=Subj_OccCode,Subj_BldgSF&gt;0,ABS($L726-Subj_BldgSF)&lt;=Subj_BldgSF*Subj_SizeTol),ABS($L726-Subj_BldgSF),NA())</f>
        <v/>
      </c>
      <c r="AJ726">
        <f>IF(ISNA(AI726),NA(),AI726+ROW()/10000000)</f>
        <v/>
      </c>
      <c r="AK726">
        <f>IF(AND(ISNUMBER($N726),$N726&gt;0,ISNUMBER($Y726)),$Y726/$N726,"")</f>
        <v/>
      </c>
    </row>
    <row r="727" ht="15" customHeight="1" s="518">
      <c r="A727" s="62" t="n">
        <v>8</v>
      </c>
      <c r="B727" s="59" t="n">
        <v>723</v>
      </c>
      <c r="D727" t="inlineStr">
        <is>
          <t>14950 E 104TH AVE</t>
        </is>
      </c>
      <c r="E727" t="n">
        <v>349</v>
      </c>
      <c r="F727" t="inlineStr">
        <is>
          <t>COMMERCE CITY</t>
        </is>
      </c>
      <c r="H727">
        <f>Y727/J727</f>
        <v/>
      </c>
      <c r="I727" s="704" t="n">
        <v>43899</v>
      </c>
      <c r="J727" t="n">
        <v>3286</v>
      </c>
      <c r="L727" t="n">
        <v>3286</v>
      </c>
      <c r="M727" t="n">
        <v>2020</v>
      </c>
      <c r="S727" t="n">
        <v>35284</v>
      </c>
      <c r="T727">
        <f>S727/J727</f>
        <v/>
      </c>
      <c r="Y727" t="n">
        <v>2530000</v>
      </c>
      <c r="AA727" t="n">
        <v>2530000</v>
      </c>
      <c r="AB727" t="inlineStr">
        <is>
          <t>Dairy Queen — Fast Food; Investment Triple Net; src: Retail_Sales_Cleaned</t>
        </is>
      </c>
      <c r="AC727" t="inlineStr">
        <is>
          <t>1723-18-1-02-019</t>
        </is>
      </c>
      <c r="AI727">
        <f>IF(AND($E727=Subj_OccCode,Subj_BldgSF&gt;0,ABS($L727-Subj_BldgSF)&lt;=Subj_BldgSF*Subj_SizeTol),ABS($L727-Subj_BldgSF),NA())</f>
        <v/>
      </c>
      <c r="AJ727">
        <f>IF(ISNA(AI727),NA(),AI727+ROW()/10000000)</f>
        <v/>
      </c>
      <c r="AK727">
        <f>IF(AND(ISNUMBER($N727),$N727&gt;0,ISNUMBER($Y727)),$Y727/$N727,"")</f>
        <v/>
      </c>
    </row>
    <row r="728" ht="15" customHeight="1" s="518">
      <c r="A728" s="62" t="n">
        <v>8</v>
      </c>
      <c r="B728" s="59" t="n">
        <v>724</v>
      </c>
      <c r="D728" t="inlineStr">
        <is>
          <t>18260 E 104TH AVE</t>
        </is>
      </c>
      <c r="E728" t="n">
        <v>349</v>
      </c>
      <c r="F728" t="inlineStr">
        <is>
          <t>COMMERCE CITY</t>
        </is>
      </c>
      <c r="H728">
        <f>Y728/J728</f>
        <v/>
      </c>
      <c r="I728" s="704" t="n">
        <v>43293</v>
      </c>
      <c r="J728" t="n">
        <v>2234</v>
      </c>
      <c r="L728" t="n">
        <v>2234</v>
      </c>
      <c r="M728" t="n">
        <v>2007</v>
      </c>
      <c r="S728" t="n">
        <v>19166</v>
      </c>
      <c r="T728">
        <f>S728/J728</f>
        <v/>
      </c>
      <c r="Y728" t="n">
        <v>1715000</v>
      </c>
      <c r="AA728" t="n">
        <v>1715000</v>
      </c>
      <c r="AB728" t="inlineStr">
        <is>
          <t>Del Taco — Fast Food [Old Sale]; Investment Triple Net,Sale Leaseback; src: Retail_Sales_Cleaned</t>
        </is>
      </c>
      <c r="AC728" t="inlineStr">
        <is>
          <t>1723-16-1-21-013</t>
        </is>
      </c>
      <c r="AI728">
        <f>IF(AND($E728=Subj_OccCode,Subj_BldgSF&gt;0,ABS($L728-Subj_BldgSF)&lt;=Subj_BldgSF*Subj_SizeTol),ABS($L728-Subj_BldgSF),NA())</f>
        <v/>
      </c>
      <c r="AJ728">
        <f>IF(ISNA(AI728),NA(),AI728+ROW()/10000000)</f>
        <v/>
      </c>
      <c r="AK728">
        <f>IF(AND(ISNUMBER($N728),$N728&gt;0,ISNUMBER($Y728)),$Y728/$N728,"")</f>
        <v/>
      </c>
    </row>
    <row r="729" ht="15" customHeight="1" s="518">
      <c r="A729" s="62" t="n">
        <v>8</v>
      </c>
      <c r="B729" s="59" t="n">
        <v>725</v>
      </c>
      <c r="D729" t="inlineStr">
        <is>
          <t>350 E 104TH AVE</t>
        </is>
      </c>
      <c r="E729" t="n">
        <v>353</v>
      </c>
      <c r="F729" t="inlineStr">
        <is>
          <t>THORNTON</t>
        </is>
      </c>
      <c r="H729">
        <f>Y729/J729</f>
        <v/>
      </c>
      <c r="I729" s="704" t="n">
        <v>44320</v>
      </c>
      <c r="J729" t="n">
        <v>4095</v>
      </c>
      <c r="L729" t="n">
        <v>4095</v>
      </c>
      <c r="M729" t="n">
        <v>1977</v>
      </c>
      <c r="S729" t="n">
        <v>26572</v>
      </c>
      <c r="T729">
        <f>S729/J729</f>
        <v/>
      </c>
      <c r="Y729" t="n">
        <v>3650000</v>
      </c>
      <c r="AA729" t="n">
        <v>3650000</v>
      </c>
      <c r="AB729" t="inlineStr">
        <is>
          <t>Denny's — Retail Center; Bulk/Portfolio Sale; src: Retail_Sales_Cleaned</t>
        </is>
      </c>
      <c r="AC729" t="inlineStr">
        <is>
          <t>1719-15-1-03-001</t>
        </is>
      </c>
      <c r="AI729">
        <f>IF(AND($E729=Subj_OccCode,Subj_BldgSF&gt;0,ABS($L729-Subj_BldgSF)&lt;=Subj_BldgSF*Subj_SizeTol),ABS($L729-Subj_BldgSF),NA())</f>
        <v/>
      </c>
      <c r="AJ729">
        <f>IF(ISNA(AI729),NA(),AI729+ROW()/10000000)</f>
        <v/>
      </c>
      <c r="AK729">
        <f>IF(AND(ISNUMBER($N729),$N729&gt;0,ISNUMBER($Y729)),$Y729/$N729,"")</f>
        <v/>
      </c>
    </row>
    <row r="730" ht="15" customHeight="1" s="518">
      <c r="A730" s="62" t="n">
        <v>8</v>
      </c>
      <c r="B730" s="59" t="n">
        <v>726</v>
      </c>
      <c r="D730" t="inlineStr">
        <is>
          <t>350 E 104TH AVE</t>
        </is>
      </c>
      <c r="E730" t="n">
        <v>353</v>
      </c>
      <c r="F730" t="inlineStr">
        <is>
          <t>THORNTON</t>
        </is>
      </c>
      <c r="H730">
        <f>Y730/J730</f>
        <v/>
      </c>
      <c r="I730" s="704" t="n">
        <v>45093</v>
      </c>
      <c r="J730" t="n">
        <v>4095</v>
      </c>
      <c r="L730" t="n">
        <v>4095</v>
      </c>
      <c r="M730" t="n">
        <v>1977</v>
      </c>
      <c r="S730" t="n">
        <v>26572</v>
      </c>
      <c r="T730">
        <f>S730/J730</f>
        <v/>
      </c>
      <c r="Y730" t="n">
        <v>3935000</v>
      </c>
      <c r="AA730" t="n">
        <v>3935000</v>
      </c>
      <c r="AB730" t="inlineStr">
        <is>
          <t>Denny's — Retail Center; src: Retail_Sales_Cleaned</t>
        </is>
      </c>
      <c r="AC730" t="inlineStr">
        <is>
          <t>1719-15-1-03-001</t>
        </is>
      </c>
      <c r="AI730">
        <f>IF(AND($E730=Subj_OccCode,Subj_BldgSF&gt;0,ABS($L730-Subj_BldgSF)&lt;=Subj_BldgSF*Subj_SizeTol),ABS($L730-Subj_BldgSF),NA())</f>
        <v/>
      </c>
      <c r="AJ730">
        <f>IF(ISNA(AI730),NA(),AI730+ROW()/10000000)</f>
        <v/>
      </c>
      <c r="AK730">
        <f>IF(AND(ISNUMBER($N730),$N730&gt;0,ISNUMBER($Y730)),$Y730/$N730,"")</f>
        <v/>
      </c>
    </row>
    <row r="731" ht="15" customHeight="1" s="518">
      <c r="A731" s="62" t="n">
        <v>8</v>
      </c>
      <c r="B731" s="59" t="n">
        <v>727</v>
      </c>
      <c r="D731" t="inlineStr">
        <is>
          <t>6011 DEXTER ST</t>
        </is>
      </c>
      <c r="E731" t="n">
        <v>319</v>
      </c>
      <c r="F731" t="inlineStr">
        <is>
          <t>COMMERCE CITY</t>
        </is>
      </c>
      <c r="H731">
        <f>Y731/J731</f>
        <v/>
      </c>
      <c r="I731" s="704" t="n">
        <v>43173</v>
      </c>
      <c r="J731" t="n">
        <v>14490</v>
      </c>
      <c r="L731" t="n">
        <v>14490</v>
      </c>
      <c r="M731" t="n">
        <v>2005</v>
      </c>
      <c r="S731" t="n">
        <v>112820</v>
      </c>
      <c r="T731">
        <f>S731/J731</f>
        <v/>
      </c>
      <c r="Y731" t="n">
        <v>5250000</v>
      </c>
      <c r="AA731" t="n">
        <v>5250000</v>
      </c>
      <c r="AB731" t="inlineStr">
        <is>
          <t>Dollar Tree — Dollar Store; Investment Triple Net; src: Retail_Sales_Cleaned</t>
        </is>
      </c>
      <c r="AC731" t="inlineStr">
        <is>
          <t>1823-07-2-03-001</t>
        </is>
      </c>
      <c r="AI731">
        <f>IF(AND($E731=Subj_OccCode,Subj_BldgSF&gt;0,ABS($L731-Subj_BldgSF)&lt;=Subj_BldgSF*Subj_SizeTol),ABS($L731-Subj_BldgSF),NA())</f>
        <v/>
      </c>
      <c r="AJ731">
        <f>IF(ISNA(AI731),NA(),AI731+ROW()/10000000)</f>
        <v/>
      </c>
      <c r="AK731">
        <f>IF(AND(ISNUMBER($N731),$N731&gt;0,ISNUMBER($Y731)),$Y731/$N731,"")</f>
        <v/>
      </c>
    </row>
    <row r="732" ht="15" customHeight="1" s="518">
      <c r="A732" s="62" t="n">
        <v>8</v>
      </c>
      <c r="B732" s="59" t="n">
        <v>728</v>
      </c>
      <c r="D732" t="inlineStr">
        <is>
          <t>270 W 136TH AVE</t>
        </is>
      </c>
      <c r="E732" t="n">
        <v>349</v>
      </c>
      <c r="F732" t="inlineStr">
        <is>
          <t>WESTMINSTER</t>
        </is>
      </c>
      <c r="H732">
        <f>Y732/J732</f>
        <v/>
      </c>
      <c r="I732" s="704" t="n">
        <v>43868</v>
      </c>
      <c r="J732" t="n">
        <v>833</v>
      </c>
      <c r="L732" t="n">
        <v>833</v>
      </c>
      <c r="M732" t="n">
        <v>2019</v>
      </c>
      <c r="S732" t="n">
        <v>32714</v>
      </c>
      <c r="T732">
        <f>S732/J732</f>
        <v/>
      </c>
      <c r="Y732" t="n">
        <v>2220000</v>
      </c>
      <c r="AA732" t="n">
        <v>2220000</v>
      </c>
      <c r="AB732" t="inlineStr">
        <is>
          <t>Dutch Bros — Coffee; 1031 Exchange,Investment Triple Net; src: Retail_Sales_Cleaned</t>
        </is>
      </c>
      <c r="AC732" t="inlineStr">
        <is>
          <t>1573-27-2-01-004</t>
        </is>
      </c>
      <c r="AI732">
        <f>IF(AND($E732=Subj_OccCode,Subj_BldgSF&gt;0,ABS($L732-Subj_BldgSF)&lt;=Subj_BldgSF*Subj_SizeTol),ABS($L732-Subj_BldgSF),NA())</f>
        <v/>
      </c>
      <c r="AJ732">
        <f>IF(ISNA(AI732),NA(),AI732+ROW()/10000000)</f>
        <v/>
      </c>
      <c r="AK732">
        <f>IF(AND(ISNUMBER($N732),$N732&gt;0,ISNUMBER($Y732)),$Y732/$N732,"")</f>
        <v/>
      </c>
    </row>
    <row r="733" ht="15" customHeight="1" s="518">
      <c r="A733" s="62" t="n">
        <v>8</v>
      </c>
      <c r="B733" s="59" t="n">
        <v>729</v>
      </c>
      <c r="D733" t="inlineStr">
        <is>
          <t>15431 E 104TH AVE</t>
        </is>
      </c>
      <c r="E733" t="n">
        <v>349</v>
      </c>
      <c r="F733" t="inlineStr">
        <is>
          <t>COMMERCE CITY</t>
        </is>
      </c>
      <c r="H733">
        <f>Y733/J733</f>
        <v/>
      </c>
      <c r="I733" s="704" t="n">
        <v>44001</v>
      </c>
      <c r="J733" t="n">
        <v>860</v>
      </c>
      <c r="L733" t="n">
        <v>860</v>
      </c>
      <c r="M733" t="n">
        <v>2020</v>
      </c>
      <c r="S733" t="n">
        <v>35719</v>
      </c>
      <c r="T733">
        <f>S733/J733</f>
        <v/>
      </c>
      <c r="Y733" t="n">
        <v>2070000</v>
      </c>
      <c r="AA733" t="n">
        <v>2070000</v>
      </c>
      <c r="AB733" t="inlineStr">
        <is>
          <t>Dutch Bros — Coffee; src: Retail_Sales_Cleaned</t>
        </is>
      </c>
      <c r="AC733" t="inlineStr">
        <is>
          <t>1723-08-3-06-073</t>
        </is>
      </c>
      <c r="AI733">
        <f>IF(AND($E733=Subj_OccCode,Subj_BldgSF&gt;0,ABS($L733-Subj_BldgSF)&lt;=Subj_BldgSF*Subj_SizeTol),ABS($L733-Subj_BldgSF),NA())</f>
        <v/>
      </c>
      <c r="AJ733">
        <f>IF(ISNA(AI733),NA(),AI733+ROW()/10000000)</f>
        <v/>
      </c>
      <c r="AK733">
        <f>IF(AND(ISNUMBER($N733),$N733&gt;0,ISNUMBER($Y733)),$Y733/$N733,"")</f>
        <v/>
      </c>
    </row>
    <row r="734" ht="15" customHeight="1" s="518">
      <c r="A734" s="62" t="n">
        <v>8</v>
      </c>
      <c r="B734" s="59" t="n">
        <v>730</v>
      </c>
      <c r="D734" t="inlineStr">
        <is>
          <t>41 W 84TH AVE</t>
        </is>
      </c>
      <c r="E734" t="n">
        <v>349</v>
      </c>
      <c r="F734" t="inlineStr">
        <is>
          <t>THORNTON</t>
        </is>
      </c>
      <c r="H734">
        <f>Y734/J734</f>
        <v/>
      </c>
      <c r="I734" s="704" t="n">
        <v>44110</v>
      </c>
      <c r="J734" t="n">
        <v>824</v>
      </c>
      <c r="L734" t="n">
        <v>824</v>
      </c>
      <c r="M734" t="n">
        <v>2019</v>
      </c>
      <c r="S734" t="n">
        <v>23522</v>
      </c>
      <c r="T734">
        <f>S734/J734</f>
        <v/>
      </c>
      <c r="Y734" t="n">
        <v>2430000</v>
      </c>
      <c r="AA734" t="n">
        <v>2430000</v>
      </c>
      <c r="AB734" t="inlineStr">
        <is>
          <t>Dutch Bros — Coffee; src: Retail_Sales_Cleaned</t>
        </is>
      </c>
      <c r="AC734" t="inlineStr">
        <is>
          <t>1719-27-2-18-004</t>
        </is>
      </c>
      <c r="AI734">
        <f>IF(AND($E734=Subj_OccCode,Subj_BldgSF&gt;0,ABS($L734-Subj_BldgSF)&lt;=Subj_BldgSF*Subj_SizeTol),ABS($L734-Subj_BldgSF),NA())</f>
        <v/>
      </c>
      <c r="AJ734">
        <f>IF(ISNA(AI734),NA(),AI734+ROW()/10000000)</f>
        <v/>
      </c>
      <c r="AK734">
        <f>IF(AND(ISNUMBER($N734),$N734&gt;0,ISNUMBER($Y734)),$Y734/$N734,"")</f>
        <v/>
      </c>
    </row>
    <row r="735" ht="15" customHeight="1" s="518">
      <c r="A735" s="62" t="n">
        <v>8</v>
      </c>
      <c r="B735" s="59" t="n">
        <v>731</v>
      </c>
      <c r="D735" t="inlineStr">
        <is>
          <t>1571 E 120TH</t>
        </is>
      </c>
      <c r="E735" t="n">
        <v>349</v>
      </c>
      <c r="F735" t="inlineStr">
        <is>
          <t>NORTHGLENN</t>
        </is>
      </c>
      <c r="H735">
        <f>Y735/J735</f>
        <v/>
      </c>
      <c r="I735" s="704" t="n">
        <v>45093</v>
      </c>
      <c r="J735" t="n">
        <v>950</v>
      </c>
      <c r="L735" t="n">
        <v>950</v>
      </c>
      <c r="M735" t="n">
        <v>2023</v>
      </c>
      <c r="S735" t="n">
        <v>43829</v>
      </c>
      <c r="T735">
        <f>S735/J735</f>
        <v/>
      </c>
      <c r="Y735" t="n">
        <v>1789400</v>
      </c>
      <c r="AA735" t="n">
        <v>1789400</v>
      </c>
      <c r="AB735" t="inlineStr">
        <is>
          <t>Dutch Bros — Coffee; Investment Triple Net; src: Retail_Sales_Cleaned</t>
        </is>
      </c>
      <c r="AI735">
        <f>IF(AND($E735=Subj_OccCode,Subj_BldgSF&gt;0,ABS($L735-Subj_BldgSF)&lt;=Subj_BldgSF*Subj_SizeTol),ABS($L735-Subj_BldgSF),NA())</f>
        <v/>
      </c>
      <c r="AJ735">
        <f>IF(ISNA(AI735),NA(),AI735+ROW()/10000000)</f>
        <v/>
      </c>
      <c r="AK735">
        <f>IF(AND(ISNUMBER($N735),$N735&gt;0,ISNUMBER($Y735)),$Y735/$N735,"")</f>
        <v/>
      </c>
    </row>
    <row r="736" ht="15" customHeight="1" s="518">
      <c r="A736" s="62" t="n">
        <v>8</v>
      </c>
      <c r="B736" s="59" t="n">
        <v>732</v>
      </c>
      <c r="D736" t="inlineStr">
        <is>
          <t>16743 WASHINGTON ST</t>
        </is>
      </c>
      <c r="E736" t="n">
        <v>349</v>
      </c>
      <c r="F736" t="inlineStr">
        <is>
          <t>THORNTON</t>
        </is>
      </c>
      <c r="H736">
        <f>Y736/J736</f>
        <v/>
      </c>
      <c r="I736" s="704" t="n">
        <v>45345</v>
      </c>
      <c r="J736" t="n">
        <v>950</v>
      </c>
      <c r="L736" t="n">
        <v>950</v>
      </c>
      <c r="M736" t="n">
        <v>2023</v>
      </c>
      <c r="S736" t="n">
        <v>30056</v>
      </c>
      <c r="T736">
        <f>S736/J736</f>
        <v/>
      </c>
      <c r="Y736" t="n">
        <v>2254000</v>
      </c>
      <c r="AA736" t="n">
        <v>2254000</v>
      </c>
      <c r="AB736" t="inlineStr">
        <is>
          <t>Dutch Bros — Coffee; Investment Triple Net; src: Retail_Sales_Cleaned</t>
        </is>
      </c>
      <c r="AC736" t="inlineStr">
        <is>
          <t>1573-02-2-08-002</t>
        </is>
      </c>
      <c r="AI736">
        <f>IF(AND($E736=Subj_OccCode,Subj_BldgSF&gt;0,ABS($L736-Subj_BldgSF)&lt;=Subj_BldgSF*Subj_SizeTol),ABS($L736-Subj_BldgSF),NA())</f>
        <v/>
      </c>
      <c r="AJ736">
        <f>IF(ISNA(AI736),NA(),AI736+ROW()/10000000)</f>
        <v/>
      </c>
      <c r="AK736">
        <f>IF(AND(ISNUMBER($N736),$N736&gt;0,ISNUMBER($Y736)),$Y736/$N736,"")</f>
        <v/>
      </c>
    </row>
    <row r="737" ht="15" customHeight="1" s="518">
      <c r="A737" s="62" t="n">
        <v>8</v>
      </c>
      <c r="B737" s="59" t="n">
        <v>733</v>
      </c>
      <c r="D737" t="inlineStr">
        <is>
          <t>10360 COLORADO BLVD</t>
        </is>
      </c>
      <c r="E737" t="n">
        <v>319</v>
      </c>
      <c r="F737" t="inlineStr">
        <is>
          <t>THORNTON</t>
        </is>
      </c>
      <c r="H737">
        <f>Y737/J737</f>
        <v/>
      </c>
      <c r="I737" s="704" t="n">
        <v>43823</v>
      </c>
      <c r="J737" t="n">
        <v>8320</v>
      </c>
      <c r="L737" t="n">
        <v>8320</v>
      </c>
      <c r="M737" t="n">
        <v>2016</v>
      </c>
      <c r="S737" t="n">
        <v>38247</v>
      </c>
      <c r="T737">
        <f>S737/J737</f>
        <v/>
      </c>
      <c r="Y737" t="n">
        <v>949857</v>
      </c>
      <c r="AA737" t="n">
        <v>949857</v>
      </c>
      <c r="AB737" t="inlineStr">
        <is>
          <t>Family Dollar — Dollar Store; src: Retail_Sales_Cleaned</t>
        </is>
      </c>
      <c r="AC737" t="inlineStr">
        <is>
          <t>1721-18-2-01-004</t>
        </is>
      </c>
      <c r="AI737">
        <f>IF(AND($E737=Subj_OccCode,Subj_BldgSF&gt;0,ABS($L737-Subj_BldgSF)&lt;=Subj_BldgSF*Subj_SizeTol),ABS($L737-Subj_BldgSF),NA())</f>
        <v/>
      </c>
      <c r="AJ737">
        <f>IF(ISNA(AI737),NA(),AI737+ROW()/10000000)</f>
        <v/>
      </c>
      <c r="AK737">
        <f>IF(AND(ISNUMBER($N737),$N737&gt;0,ISNUMBER($Y737)),$Y737/$N737,"")</f>
        <v/>
      </c>
    </row>
    <row r="738" ht="15" customHeight="1" s="518">
      <c r="A738" s="62" t="n">
        <v>8</v>
      </c>
      <c r="B738" s="59" t="n">
        <v>734</v>
      </c>
      <c r="D738" t="inlineStr">
        <is>
          <t>208 N 50TH AVE</t>
        </is>
      </c>
      <c r="E738" t="n">
        <v>410</v>
      </c>
      <c r="F738" t="inlineStr">
        <is>
          <t>BRIGHTON</t>
        </is>
      </c>
      <c r="H738">
        <f>Y738/J738</f>
        <v/>
      </c>
      <c r="I738" s="704" t="n">
        <v>44173</v>
      </c>
      <c r="J738" t="n">
        <v>6116</v>
      </c>
      <c r="L738" t="n">
        <v>6116</v>
      </c>
      <c r="M738" t="n">
        <v>2020</v>
      </c>
      <c r="S738" t="n">
        <v>131686</v>
      </c>
      <c r="T738">
        <f>S738/J738</f>
        <v/>
      </c>
      <c r="Y738" t="n">
        <v>3964000</v>
      </c>
      <c r="AA738" t="n">
        <v>3964000</v>
      </c>
      <c r="AB738" t="inlineStr">
        <is>
          <t>Firestone — Auto Service; Investment Triple Net; src: Retail_Sales_Cleaned</t>
        </is>
      </c>
      <c r="AC738" t="inlineStr">
        <is>
          <t>1569-02-3-22-057</t>
        </is>
      </c>
      <c r="AI738">
        <f>IF(AND($E738=Subj_OccCode,Subj_BldgSF&gt;0,ABS($L738-Subj_BldgSF)&lt;=Subj_BldgSF*Subj_SizeTol),ABS($L738-Subj_BldgSF),NA())</f>
        <v/>
      </c>
      <c r="AJ738">
        <f>IF(ISNA(AI738),NA(),AI738+ROW()/10000000)</f>
        <v/>
      </c>
      <c r="AK738">
        <f>IF(AND(ISNUMBER($N738),$N738&gt;0,ISNUMBER($Y738)),$Y738/$N738,"")</f>
        <v/>
      </c>
    </row>
    <row r="739" ht="15" customHeight="1" s="518">
      <c r="A739" s="62" t="n">
        <v>8</v>
      </c>
      <c r="B739" s="59" t="n">
        <v>735</v>
      </c>
      <c r="D739" t="inlineStr">
        <is>
          <t>14255 LINCOLN ST</t>
        </is>
      </c>
      <c r="E739" t="n">
        <v>349</v>
      </c>
      <c r="F739" t="inlineStr">
        <is>
          <t>THORNTON</t>
        </is>
      </c>
      <c r="H739">
        <f>Y739/J739</f>
        <v/>
      </c>
      <c r="I739" s="704" t="n">
        <v>43840</v>
      </c>
      <c r="J739" t="n">
        <v>3612</v>
      </c>
      <c r="L739" t="n">
        <v>3612</v>
      </c>
      <c r="M739" t="n">
        <v>2015</v>
      </c>
      <c r="S739" t="n">
        <v>55757</v>
      </c>
      <c r="T739">
        <f>S739/J739</f>
        <v/>
      </c>
      <c r="Y739" t="n">
        <v>1821428</v>
      </c>
      <c r="AA739" t="n">
        <v>1821428</v>
      </c>
      <c r="AB739" t="inlineStr">
        <is>
          <t>Freddy's Steakburgers — Fast Food; Ground Lease (Leased Fee); src: Retail_Sales_Cleaned</t>
        </is>
      </c>
      <c r="AC739" t="inlineStr">
        <is>
          <t>1573-22-1-01-073</t>
        </is>
      </c>
      <c r="AI739">
        <f>IF(AND($E739=Subj_OccCode,Subj_BldgSF&gt;0,ABS($L739-Subj_BldgSF)&lt;=Subj_BldgSF*Subj_SizeTol),ABS($L739-Subj_BldgSF),NA())</f>
        <v/>
      </c>
      <c r="AJ739">
        <f>IF(ISNA(AI739),NA(),AI739+ROW()/10000000)</f>
        <v/>
      </c>
      <c r="AK739">
        <f>IF(AND(ISNUMBER($N739),$N739&gt;0,ISNUMBER($Y739)),$Y739/$N739,"")</f>
        <v/>
      </c>
    </row>
    <row r="740" ht="15" customHeight="1" s="518">
      <c r="A740" s="62" t="n">
        <v>8</v>
      </c>
      <c r="B740" s="59" t="n">
        <v>736</v>
      </c>
      <c r="D740" t="inlineStr">
        <is>
          <t>550 E BROMLEY LN</t>
        </is>
      </c>
      <c r="E740" t="n">
        <v>349</v>
      </c>
      <c r="F740" t="inlineStr">
        <is>
          <t>BRIGHTON</t>
        </is>
      </c>
      <c r="H740">
        <f>Y740/J740</f>
        <v/>
      </c>
      <c r="I740" s="704" t="n">
        <v>43045</v>
      </c>
      <c r="J740" t="n">
        <v>1797</v>
      </c>
      <c r="L740" t="n">
        <v>1797</v>
      </c>
      <c r="M740" t="n">
        <v>2000</v>
      </c>
      <c r="S740" t="n">
        <v>30492</v>
      </c>
      <c r="T740">
        <f>S740/J740</f>
        <v/>
      </c>
      <c r="Y740" t="n">
        <v>1450000</v>
      </c>
      <c r="AA740" t="n">
        <v>1450000</v>
      </c>
      <c r="AB740" t="inlineStr">
        <is>
          <t>Good Times Burgers &amp; Frozen Custard — Fast Food [Old Sale]; 1031 Exchange,Investment Triple Net,Sale Leaseback; src: Retail_Sales_Cleaned</t>
        </is>
      </c>
      <c r="AC740" t="inlineStr">
        <is>
          <t>1569-18-1-01-002</t>
        </is>
      </c>
      <c r="AI740">
        <f>IF(AND($E740=Subj_OccCode,Subj_BldgSF&gt;0,ABS($L740-Subj_BldgSF)&lt;=Subj_BldgSF*Subj_SizeTol),ABS($L740-Subj_BldgSF),NA())</f>
        <v/>
      </c>
      <c r="AJ740">
        <f>IF(ISNA(AI740),NA(),AI740+ROW()/10000000)</f>
        <v/>
      </c>
      <c r="AK740">
        <f>IF(AND(ISNUMBER($N740),$N740&gt;0,ISNUMBER($Y740)),$Y740/$N740,"")</f>
        <v/>
      </c>
    </row>
    <row r="741" ht="15" customHeight="1" s="518">
      <c r="A741" s="62" t="n">
        <v>8</v>
      </c>
      <c r="B741" s="59" t="n">
        <v>737</v>
      </c>
      <c r="D741" t="inlineStr">
        <is>
          <t>595 E 88TH AVE</t>
        </is>
      </c>
      <c r="E741" t="n">
        <v>349</v>
      </c>
      <c r="F741" t="inlineStr">
        <is>
          <t>THORNTON</t>
        </is>
      </c>
      <c r="H741">
        <f>Y741/J741</f>
        <v/>
      </c>
      <c r="I741" s="704" t="n">
        <v>44369</v>
      </c>
      <c r="J741" t="n">
        <v>1584</v>
      </c>
      <c r="L741" t="n">
        <v>1584</v>
      </c>
      <c r="M741" t="n">
        <v>1974</v>
      </c>
      <c r="S741" t="n">
        <v>44688</v>
      </c>
      <c r="T741">
        <f>S741/J741</f>
        <v/>
      </c>
      <c r="Y741" t="n">
        <v>1000000</v>
      </c>
      <c r="AA741" t="n">
        <v>1000000</v>
      </c>
      <c r="AB741" t="inlineStr">
        <is>
          <t>Jim's Burger Haven — Fast Food; src: Retail_Sales_Cleaned</t>
        </is>
      </c>
      <c r="AC741" t="inlineStr">
        <is>
          <t>1719-22-4-08-003</t>
        </is>
      </c>
      <c r="AI741">
        <f>IF(AND($E741=Subj_OccCode,Subj_BldgSF&gt;0,ABS($L741-Subj_BldgSF)&lt;=Subj_BldgSF*Subj_SizeTol),ABS($L741-Subj_BldgSF),NA())</f>
        <v/>
      </c>
      <c r="AJ741">
        <f>IF(ISNA(AI741),NA(),AI741+ROW()/10000000)</f>
        <v/>
      </c>
      <c r="AK741">
        <f>IF(AND(ISNUMBER($N741),$N741&gt;0,ISNUMBER($Y741)),$Y741/$N741,"")</f>
        <v/>
      </c>
    </row>
    <row r="742" ht="15" customHeight="1" s="518">
      <c r="A742" s="62" t="n">
        <v>8</v>
      </c>
      <c r="B742" s="59" t="n">
        <v>738</v>
      </c>
      <c r="D742" t="inlineStr">
        <is>
          <t>7231 BRADBURN BLVD</t>
        </is>
      </c>
      <c r="E742" t="n">
        <v>325</v>
      </c>
      <c r="F742" t="inlineStr">
        <is>
          <t>WESTMINSTER</t>
        </is>
      </c>
      <c r="H742">
        <f>Y742/J742</f>
        <v/>
      </c>
      <c r="I742" s="704" t="n">
        <v>43892</v>
      </c>
      <c r="J742" t="n">
        <v>4000</v>
      </c>
      <c r="L742" t="n">
        <v>4000</v>
      </c>
      <c r="M742" t="n">
        <v>1973</v>
      </c>
      <c r="S742" t="n">
        <v>10890</v>
      </c>
      <c r="T742">
        <f>S742/J742</f>
        <v/>
      </c>
      <c r="Y742" t="n">
        <v>700000</v>
      </c>
      <c r="AA742" t="n">
        <v>700000</v>
      </c>
      <c r="AB742" t="inlineStr">
        <is>
          <t>Larry's Automotive — Auto Service; src: Retail_Sales_Cleaned</t>
        </is>
      </c>
      <c r="AC742" t="inlineStr">
        <is>
          <t>1719-31-4-23-004</t>
        </is>
      </c>
      <c r="AI742">
        <f>IF(AND($E742=Subj_OccCode,Subj_BldgSF&gt;0,ABS($L742-Subj_BldgSF)&lt;=Subj_BldgSF*Subj_SizeTol),ABS($L742-Subj_BldgSF),NA())</f>
        <v/>
      </c>
      <c r="AJ742">
        <f>IF(ISNA(AI742),NA(),AI742+ROW()/10000000)</f>
        <v/>
      </c>
      <c r="AK742">
        <f>IF(AND(ISNUMBER($N742),$N742&gt;0,ISNUMBER($Y742)),$Y742/$N742,"")</f>
        <v/>
      </c>
    </row>
    <row r="743" ht="15" customHeight="1" s="518">
      <c r="A743" s="62" t="n">
        <v>8</v>
      </c>
      <c r="B743" s="59" t="n">
        <v>739</v>
      </c>
      <c r="D743" t="inlineStr">
        <is>
          <t>1517 BEELER ST</t>
        </is>
      </c>
      <c r="E743" t="n">
        <v>325</v>
      </c>
      <c r="F743" t="inlineStr">
        <is>
          <t>AURORA</t>
        </is>
      </c>
      <c r="H743">
        <f>Y743/J743</f>
        <v/>
      </c>
      <c r="I743" s="704" t="n">
        <v>44496</v>
      </c>
      <c r="J743" t="n">
        <v>3378</v>
      </c>
      <c r="L743" t="n">
        <v>3378</v>
      </c>
      <c r="M743" t="n">
        <v>1970</v>
      </c>
      <c r="S743" t="n">
        <v>13939</v>
      </c>
      <c r="T743">
        <f>S743/J743</f>
        <v/>
      </c>
      <c r="Y743" t="n">
        <v>900000</v>
      </c>
      <c r="AA743" t="n">
        <v>900000</v>
      </c>
      <c r="AB743" t="inlineStr">
        <is>
          <t>Mountain States Transmission — Auto Service; src: Retail_Sales_Cleaned</t>
        </is>
      </c>
      <c r="AC743" t="inlineStr">
        <is>
          <t>1823-34-3-26-009</t>
        </is>
      </c>
      <c r="AI743">
        <f>IF(AND($E743=Subj_OccCode,Subj_BldgSF&gt;0,ABS($L743-Subj_BldgSF)&lt;=Subj_BldgSF*Subj_SizeTol),ABS($L743-Subj_BldgSF),NA())</f>
        <v/>
      </c>
      <c r="AJ743">
        <f>IF(ISNA(AI743),NA(),AI743+ROW()/10000000)</f>
        <v/>
      </c>
      <c r="AK743">
        <f>IF(AND(ISNUMBER($N743),$N743&gt;0,ISNUMBER($Y743)),$Y743/$N743,"")</f>
        <v/>
      </c>
    </row>
    <row r="744" ht="15" customHeight="1" s="518">
      <c r="A744" s="62" t="n">
        <v>8</v>
      </c>
      <c r="B744" s="59" t="n">
        <v>740</v>
      </c>
      <c r="D744" t="inlineStr">
        <is>
          <t>6500 N FEDERAL BLVD</t>
        </is>
      </c>
      <c r="E744" t="n">
        <v>325</v>
      </c>
      <c r="F744" t="inlineStr">
        <is>
          <t>DENVER</t>
        </is>
      </c>
      <c r="H744">
        <f>Y744/J744</f>
        <v/>
      </c>
      <c r="I744" s="704" t="n">
        <v>44655</v>
      </c>
      <c r="J744" t="n">
        <v>17458</v>
      </c>
      <c r="L744" t="n">
        <v>17458</v>
      </c>
      <c r="M744" t="n">
        <v>1964</v>
      </c>
      <c r="S744" t="n">
        <v>54014</v>
      </c>
      <c r="T744">
        <f>S744/J744</f>
        <v/>
      </c>
      <c r="Y744" t="n">
        <v>2100000</v>
      </c>
      <c r="AA744" t="n">
        <v>2100000</v>
      </c>
      <c r="AB744" t="inlineStr">
        <is>
          <t>Northlawn Auto Center — Auto Service; src: Retail_Sales_Cleaned</t>
        </is>
      </c>
      <c r="AC744" t="inlineStr">
        <is>
          <t>1825-05-4-05-029</t>
        </is>
      </c>
      <c r="AI744">
        <f>IF(AND($E744=Subj_OccCode,Subj_BldgSF&gt;0,ABS($L744-Subj_BldgSF)&lt;=Subj_BldgSF*Subj_SizeTol),ABS($L744-Subj_BldgSF),NA())</f>
        <v/>
      </c>
      <c r="AJ744">
        <f>IF(ISNA(AI744),NA(),AI744+ROW()/10000000)</f>
        <v/>
      </c>
      <c r="AK744">
        <f>IF(AND(ISNUMBER($N744),$N744&gt;0,ISNUMBER($Y744)),$Y744/$N744,"")</f>
        <v/>
      </c>
    </row>
    <row r="745" ht="15" customHeight="1" s="518">
      <c r="A745" s="62" t="n">
        <v>8</v>
      </c>
      <c r="B745" s="59" t="n">
        <v>741</v>
      </c>
      <c r="D745" t="inlineStr">
        <is>
          <t>1121 E BRIDGE ST</t>
        </is>
      </c>
      <c r="E745" t="n">
        <v>353</v>
      </c>
      <c r="F745" t="inlineStr">
        <is>
          <t>BRIGHTON</t>
        </is>
      </c>
      <c r="H745">
        <f>Y745/J745</f>
        <v/>
      </c>
      <c r="I745" s="704" t="n">
        <v>43068</v>
      </c>
      <c r="J745" t="n">
        <v>6000</v>
      </c>
      <c r="L745" t="n">
        <v>6000</v>
      </c>
      <c r="M745" t="n">
        <v>1999</v>
      </c>
      <c r="S745" t="n">
        <v>32670</v>
      </c>
      <c r="T745">
        <f>S745/J745</f>
        <v/>
      </c>
      <c r="Y745" t="n">
        <v>1698113</v>
      </c>
      <c r="AA745" t="n">
        <v>1698113</v>
      </c>
      <c r="AB745" t="inlineStr">
        <is>
          <t>O'Reilly Auto Parts — Auto Parts [Old Sale]; 1031 Exchange,Investment Triple Net; src: Retail_Sales_Cleaned</t>
        </is>
      </c>
      <c r="AC745" t="inlineStr">
        <is>
          <t>1569-05-3-00-007</t>
        </is>
      </c>
      <c r="AI745">
        <f>IF(AND($E745=Subj_OccCode,Subj_BldgSF&gt;0,ABS($L745-Subj_BldgSF)&lt;=Subj_BldgSF*Subj_SizeTol),ABS($L745-Subj_BldgSF),NA())</f>
        <v/>
      </c>
      <c r="AJ745">
        <f>IF(ISNA(AI745),NA(),AI745+ROW()/10000000)</f>
        <v/>
      </c>
      <c r="AK745">
        <f>IF(AND(ISNUMBER($N745),$N745&gt;0,ISNUMBER($Y745)),$Y745/$N745,"")</f>
        <v/>
      </c>
    </row>
    <row r="746" ht="15" customHeight="1" s="518">
      <c r="A746" s="62" t="n">
        <v>8</v>
      </c>
      <c r="B746" s="59" t="n">
        <v>742</v>
      </c>
      <c r="D746" t="inlineStr">
        <is>
          <t>9280 FEDERAL BLVD</t>
        </is>
      </c>
      <c r="E746" t="n">
        <v>353</v>
      </c>
      <c r="F746" t="inlineStr">
        <is>
          <t>FEDERAL HEIGHTS</t>
        </is>
      </c>
      <c r="H746">
        <f>Y746/J746</f>
        <v/>
      </c>
      <c r="I746" s="704" t="n">
        <v>43397</v>
      </c>
      <c r="J746" t="n">
        <v>11012</v>
      </c>
      <c r="L746" t="n">
        <v>11012</v>
      </c>
      <c r="M746" t="n">
        <v>1995</v>
      </c>
      <c r="S746" t="n">
        <v>28314</v>
      </c>
      <c r="T746">
        <f>S746/J746</f>
        <v/>
      </c>
      <c r="Y746" t="n">
        <v>1832217</v>
      </c>
      <c r="AA746" t="n">
        <v>1832217</v>
      </c>
      <c r="AB746" t="inlineStr">
        <is>
          <t>O'Reilly Auto Parts — Auto Parts [Old Sale]; 1031 Exchange,Investment Triple Net; src: Retail_Sales_Cleaned</t>
        </is>
      </c>
      <c r="AC746" t="inlineStr">
        <is>
          <t>1719-20-1-02-041</t>
        </is>
      </c>
      <c r="AI746">
        <f>IF(AND($E746=Subj_OccCode,Subj_BldgSF&gt;0,ABS($L746-Subj_BldgSF)&lt;=Subj_BldgSF*Subj_SizeTol),ABS($L746-Subj_BldgSF),NA())</f>
        <v/>
      </c>
      <c r="AJ746">
        <f>IF(ISNA(AI746),NA(),AI746+ROW()/10000000)</f>
        <v/>
      </c>
      <c r="AK746">
        <f>IF(AND(ISNUMBER($N746),$N746&gt;0,ISNUMBER($Y746)),$Y746/$N746,"")</f>
        <v/>
      </c>
    </row>
    <row r="747" ht="15" customHeight="1" s="518">
      <c r="A747" s="62" t="n">
        <v>8</v>
      </c>
      <c r="B747" s="59" t="n">
        <v>743</v>
      </c>
      <c r="D747" t="inlineStr">
        <is>
          <t>13587 N HURON ST</t>
        </is>
      </c>
      <c r="E747" t="n">
        <v>353</v>
      </c>
      <c r="F747" t="inlineStr">
        <is>
          <t>WESTMINSTER</t>
        </is>
      </c>
      <c r="H747">
        <f>Y747/J747</f>
        <v/>
      </c>
      <c r="I747" s="704" t="n">
        <v>44673</v>
      </c>
      <c r="J747" t="n">
        <v>7000</v>
      </c>
      <c r="L747" t="n">
        <v>7000</v>
      </c>
      <c r="M747" t="n">
        <v>2021</v>
      </c>
      <c r="T747">
        <f>S747/J747</f>
        <v/>
      </c>
      <c r="Y747" t="n">
        <v>3875000</v>
      </c>
      <c r="AA747" t="n">
        <v>3875000</v>
      </c>
      <c r="AB747" t="inlineStr">
        <is>
          <t>O'Reilly Auto Parts — Auto Parts; Investment Triple Net; src: Retail_Sales_Cleaned</t>
        </is>
      </c>
      <c r="AC747" t="inlineStr">
        <is>
          <t>1573-28-1-25-014</t>
        </is>
      </c>
      <c r="AI747">
        <f>IF(AND($E747=Subj_OccCode,Subj_BldgSF&gt;0,ABS($L747-Subj_BldgSF)&lt;=Subj_BldgSF*Subj_SizeTol),ABS($L747-Subj_BldgSF),NA())</f>
        <v/>
      </c>
      <c r="AJ747">
        <f>IF(ISNA(AI747),NA(),AI747+ROW()/10000000)</f>
        <v/>
      </c>
      <c r="AK747">
        <f>IF(AND(ISNUMBER($N747),$N747&gt;0,ISNUMBER($Y747)),$Y747/$N747,"")</f>
        <v/>
      </c>
    </row>
    <row r="748" ht="15" customHeight="1" s="518">
      <c r="A748" s="62" t="n">
        <v>8</v>
      </c>
      <c r="B748" s="59" t="n">
        <v>744</v>
      </c>
      <c r="D748" t="inlineStr">
        <is>
          <t>1611 E 120TH AVE</t>
        </is>
      </c>
      <c r="E748" t="n">
        <v>349</v>
      </c>
      <c r="F748" t="inlineStr">
        <is>
          <t>NORTHGLENN</t>
        </is>
      </c>
      <c r="H748">
        <f>Y748/J748</f>
        <v/>
      </c>
      <c r="I748" s="704" t="n">
        <v>45224</v>
      </c>
      <c r="J748" t="n">
        <v>4018</v>
      </c>
      <c r="L748" t="n">
        <v>4018</v>
      </c>
      <c r="M748" t="n">
        <v>2023</v>
      </c>
      <c r="S748" t="n">
        <v>349908</v>
      </c>
      <c r="T748">
        <f>S748/J748</f>
        <v/>
      </c>
      <c r="Y748" t="n">
        <v>3450000</v>
      </c>
      <c r="AA748" t="n">
        <v>3450000</v>
      </c>
      <c r="AB748" t="inlineStr">
        <is>
          <t>Raising Cane's — Fast Food; Investment Triple Net; src: Retail_Sales_Cleaned</t>
        </is>
      </c>
      <c r="AC748" t="inlineStr">
        <is>
          <t>1573-35-4-12-002</t>
        </is>
      </c>
      <c r="AI748">
        <f>IF(AND($E748=Subj_OccCode,Subj_BldgSF&gt;0,ABS($L748-Subj_BldgSF)&lt;=Subj_BldgSF*Subj_SizeTol),ABS($L748-Subj_BldgSF),NA())</f>
        <v/>
      </c>
      <c r="AJ748">
        <f>IF(ISNA(AI748),NA(),AI748+ROW()/10000000)</f>
        <v/>
      </c>
      <c r="AK748">
        <f>IF(AND(ISNUMBER($N748),$N748&gt;0,ISNUMBER($Y748)),$Y748/$N748,"")</f>
        <v/>
      </c>
    </row>
    <row r="749" ht="15" customHeight="1" s="518">
      <c r="A749" s="62" t="n">
        <v>8</v>
      </c>
      <c r="B749" s="59" t="n">
        <v>745</v>
      </c>
      <c r="D749" t="inlineStr">
        <is>
          <t>3900 TOWER RD</t>
        </is>
      </c>
      <c r="E749" t="n">
        <v>349</v>
      </c>
      <c r="F749" t="inlineStr">
        <is>
          <t>AURORA</t>
        </is>
      </c>
      <c r="H749">
        <f>Y749/J749</f>
        <v/>
      </c>
      <c r="I749" s="704" t="n">
        <v>45520</v>
      </c>
      <c r="J749" t="n">
        <v>3337</v>
      </c>
      <c r="L749" t="n">
        <v>3337</v>
      </c>
      <c r="M749" t="n">
        <v>2019</v>
      </c>
      <c r="S749" t="n">
        <v>44431</v>
      </c>
      <c r="T749">
        <f>S749/J749</f>
        <v/>
      </c>
      <c r="Y749" t="n">
        <v>3146000</v>
      </c>
      <c r="AA749" t="n">
        <v>3146000</v>
      </c>
      <c r="AB749" t="inlineStr">
        <is>
          <t>Slim Chickens — Fast Food; Investment Triple Net; src: Retail_Sales_Cleaned</t>
        </is>
      </c>
      <c r="AC749" t="inlineStr">
        <is>
          <t>1821-22-3-01-001</t>
        </is>
      </c>
      <c r="AI749">
        <f>IF(AND($E749=Subj_OccCode,Subj_BldgSF&gt;0,ABS($L749-Subj_BldgSF)&lt;=Subj_BldgSF*Subj_SizeTol),ABS($L749-Subj_BldgSF),NA())</f>
        <v/>
      </c>
      <c r="AJ749">
        <f>IF(ISNA(AI749),NA(),AI749+ROW()/10000000)</f>
        <v/>
      </c>
      <c r="AK749">
        <f>IF(AND(ISNUMBER($N749),$N749&gt;0,ISNUMBER($Y749)),$Y749/$N749,"")</f>
        <v/>
      </c>
    </row>
    <row r="750" ht="15" customHeight="1" s="518">
      <c r="A750" s="62" t="n">
        <v>8</v>
      </c>
      <c r="B750" s="59" t="n">
        <v>746</v>
      </c>
      <c r="D750" t="inlineStr">
        <is>
          <t>4850 E 60TH AVE</t>
        </is>
      </c>
      <c r="E750" t="n">
        <v>349</v>
      </c>
      <c r="F750" t="inlineStr">
        <is>
          <t>COMMERCE CITY</t>
        </is>
      </c>
      <c r="H750">
        <f>Y750/J750</f>
        <v/>
      </c>
      <c r="I750" s="704" t="n">
        <v>44669</v>
      </c>
      <c r="J750" t="n">
        <v>2738</v>
      </c>
      <c r="L750" t="n">
        <v>2738</v>
      </c>
      <c r="M750" t="n">
        <v>1998</v>
      </c>
      <c r="S750" t="n">
        <v>27007</v>
      </c>
      <c r="T750">
        <f>S750/J750</f>
        <v/>
      </c>
      <c r="Y750" t="n">
        <v>3425000</v>
      </c>
      <c r="AA750" t="n">
        <v>3425000</v>
      </c>
      <c r="AB750" t="inlineStr">
        <is>
          <t>Starbuck's - Remo'd — Coffee; src: Retail_Sales_Cleaned</t>
        </is>
      </c>
      <c r="AC750" t="inlineStr">
        <is>
          <t>1823-07-2-01-002</t>
        </is>
      </c>
      <c r="AI750">
        <f>IF(AND($E750=Subj_OccCode,Subj_BldgSF&gt;0,ABS($L750-Subj_BldgSF)&lt;=Subj_BldgSF*Subj_SizeTol),ABS($L750-Subj_BldgSF),NA())</f>
        <v/>
      </c>
      <c r="AJ750">
        <f>IF(ISNA(AI750),NA(),AI750+ROW()/10000000)</f>
        <v/>
      </c>
      <c r="AK750">
        <f>IF(AND(ISNUMBER($N750),$N750&gt;0,ISNUMBER($Y750)),$Y750/$N750,"")</f>
        <v/>
      </c>
    </row>
    <row r="751" ht="15" customHeight="1" s="518">
      <c r="A751" s="62" t="n">
        <v>8</v>
      </c>
      <c r="B751" s="59" t="n">
        <v>747</v>
      </c>
      <c r="D751" t="inlineStr">
        <is>
          <t>7358 FEDERAL BLVD</t>
        </is>
      </c>
      <c r="E751" t="n">
        <v>349</v>
      </c>
      <c r="F751" t="inlineStr">
        <is>
          <t>WESTMINSTER</t>
        </is>
      </c>
      <c r="H751">
        <f>Y751/J751</f>
        <v/>
      </c>
      <c r="I751" s="704" t="n">
        <v>43138</v>
      </c>
      <c r="J751" t="n">
        <v>2000</v>
      </c>
      <c r="L751" t="n">
        <v>2000</v>
      </c>
      <c r="M751" t="n">
        <v>2018</v>
      </c>
      <c r="S751" t="n">
        <v>17224</v>
      </c>
      <c r="T751">
        <f>S751/J751</f>
        <v/>
      </c>
      <c r="Y751" t="n">
        <v>2500000</v>
      </c>
      <c r="AA751" t="n">
        <v>2500000</v>
      </c>
      <c r="AB751" t="inlineStr">
        <is>
          <t>Starbucks — Coffee [Out of Time Frame]; 1031 Exchange; src: Retail_Sales_Cleaned</t>
        </is>
      </c>
      <c r="AC751" t="inlineStr">
        <is>
          <t>1719-32-4-21-003</t>
        </is>
      </c>
      <c r="AI751">
        <f>IF(AND($E751=Subj_OccCode,Subj_BldgSF&gt;0,ABS($L751-Subj_BldgSF)&lt;=Subj_BldgSF*Subj_SizeTol),ABS($L751-Subj_BldgSF),NA())</f>
        <v/>
      </c>
      <c r="AJ751">
        <f>IF(ISNA(AI751),NA(),AI751+ROW()/10000000)</f>
        <v/>
      </c>
      <c r="AK751">
        <f>IF(AND(ISNUMBER($N751),$N751&gt;0,ISNUMBER($Y751)),$Y751/$N751,"")</f>
        <v/>
      </c>
    </row>
    <row r="752" ht="15" customHeight="1" s="518">
      <c r="A752" s="62" t="n">
        <v>8</v>
      </c>
      <c r="B752" s="59" t="n">
        <v>748</v>
      </c>
      <c r="D752" t="inlineStr">
        <is>
          <t>550 W 104TH AVE</t>
        </is>
      </c>
      <c r="E752" t="n">
        <v>349</v>
      </c>
      <c r="F752" t="inlineStr">
        <is>
          <t>NORTHGLENN</t>
        </is>
      </c>
      <c r="H752">
        <f>Y752/J752</f>
        <v/>
      </c>
      <c r="I752" s="704" t="n">
        <v>43278</v>
      </c>
      <c r="J752" t="n">
        <v>2400</v>
      </c>
      <c r="L752" t="n">
        <v>2400</v>
      </c>
      <c r="M752" t="n">
        <v>2017</v>
      </c>
      <c r="S752" t="n">
        <v>30492</v>
      </c>
      <c r="T752">
        <f>S752/J752</f>
        <v/>
      </c>
      <c r="Y752" t="n">
        <v>3045000</v>
      </c>
      <c r="AA752" t="n">
        <v>3045000</v>
      </c>
      <c r="AB752" t="inlineStr">
        <is>
          <t>Starbucks — Coffee [Out of Time Frame]; src: Retail_Sales_Cleaned</t>
        </is>
      </c>
      <c r="AC752" t="inlineStr">
        <is>
          <t>1719-15-2-04-029</t>
        </is>
      </c>
      <c r="AI752">
        <f>IF(AND($E752=Subj_OccCode,Subj_BldgSF&gt;0,ABS($L752-Subj_BldgSF)&lt;=Subj_BldgSF*Subj_SizeTol),ABS($L752-Subj_BldgSF),NA())</f>
        <v/>
      </c>
      <c r="AJ752">
        <f>IF(ISNA(AI752),NA(),AI752+ROW()/10000000)</f>
        <v/>
      </c>
      <c r="AK752">
        <f>IF(AND(ISNUMBER($N752),$N752&gt;0,ISNUMBER($Y752)),$Y752/$N752,"")</f>
        <v/>
      </c>
    </row>
    <row r="753" ht="15" customHeight="1" s="518">
      <c r="A753" s="62" t="n">
        <v>8</v>
      </c>
      <c r="B753" s="59" t="n">
        <v>749</v>
      </c>
      <c r="D753" t="inlineStr">
        <is>
          <t>5043 E BRIDGE ST</t>
        </is>
      </c>
      <c r="E753" t="n">
        <v>349</v>
      </c>
      <c r="F753" t="inlineStr">
        <is>
          <t>BRIGHTON</t>
        </is>
      </c>
      <c r="H753">
        <f>Y753/J753</f>
        <v/>
      </c>
      <c r="I753" s="704" t="n">
        <v>43753</v>
      </c>
      <c r="J753" t="n">
        <v>2200</v>
      </c>
      <c r="L753" t="n">
        <v>2200</v>
      </c>
      <c r="M753" t="n">
        <v>2019</v>
      </c>
      <c r="S753" t="n">
        <v>51401</v>
      </c>
      <c r="T753">
        <f>S753/J753</f>
        <v/>
      </c>
      <c r="Y753" t="n">
        <v>2614000</v>
      </c>
      <c r="AA753" t="n">
        <v>2614000</v>
      </c>
      <c r="AB753" t="inlineStr">
        <is>
          <t>Starbucks — Coffee; 1031 Exchange; src: Retail_Sales_Cleaned</t>
        </is>
      </c>
      <c r="AC753" t="inlineStr">
        <is>
          <t>1569-02-3-22-051</t>
        </is>
      </c>
      <c r="AI753">
        <f>IF(AND($E753=Subj_OccCode,Subj_BldgSF&gt;0,ABS($L753-Subj_BldgSF)&lt;=Subj_BldgSF*Subj_SizeTol),ABS($L753-Subj_BldgSF),NA())</f>
        <v/>
      </c>
      <c r="AJ753">
        <f>IF(ISNA(AI753),NA(),AI753+ROW()/10000000)</f>
        <v/>
      </c>
      <c r="AK753">
        <f>IF(AND(ISNUMBER($N753),$N753&gt;0,ISNUMBER($Y753)),$Y753/$N753,"")</f>
        <v/>
      </c>
    </row>
    <row r="754" ht="15" customHeight="1" s="518">
      <c r="A754" s="62" t="n">
        <v>8</v>
      </c>
      <c r="B754" s="59" t="n">
        <v>750</v>
      </c>
      <c r="D754" t="inlineStr">
        <is>
          <t>12311 E 104TH AVE</t>
        </is>
      </c>
      <c r="E754" t="n">
        <v>349</v>
      </c>
      <c r="F754" t="inlineStr">
        <is>
          <t>COMMERCE CITY</t>
        </is>
      </c>
      <c r="H754">
        <f>Y754/J754</f>
        <v/>
      </c>
      <c r="I754" s="704" t="n">
        <v>43823</v>
      </c>
      <c r="J754" t="n">
        <v>2200</v>
      </c>
      <c r="L754" t="n">
        <v>2200</v>
      </c>
      <c r="M754" t="n">
        <v>2019</v>
      </c>
      <c r="S754" t="n">
        <v>40502</v>
      </c>
      <c r="T754">
        <f>S754/J754</f>
        <v/>
      </c>
      <c r="Y754" t="n">
        <v>2571000</v>
      </c>
      <c r="AA754" t="n">
        <v>2571000</v>
      </c>
      <c r="AB754" t="inlineStr">
        <is>
          <t>Starbucks — Coffee; src: Retail_Sales_Cleaned</t>
        </is>
      </c>
      <c r="AC754" t="inlineStr">
        <is>
          <t>1721-12-3-03-072</t>
        </is>
      </c>
      <c r="AI754">
        <f>IF(AND($E754=Subj_OccCode,Subj_BldgSF&gt;0,ABS($L754-Subj_BldgSF)&lt;=Subj_BldgSF*Subj_SizeTol),ABS($L754-Subj_BldgSF),NA())</f>
        <v/>
      </c>
      <c r="AJ754">
        <f>IF(ISNA(AI754),NA(),AI754+ROW()/10000000)</f>
        <v/>
      </c>
      <c r="AK754">
        <f>IF(AND(ISNUMBER($N754),$N754&gt;0,ISNUMBER($Y754)),$Y754/$N754,"")</f>
        <v/>
      </c>
    </row>
    <row r="755" ht="15" customHeight="1" s="518">
      <c r="A755" s="62" t="n">
        <v>8</v>
      </c>
      <c r="B755" s="59" t="n">
        <v>751</v>
      </c>
      <c r="D755" t="inlineStr">
        <is>
          <t>189 S 50TH AVE</t>
        </is>
      </c>
      <c r="E755" t="n">
        <v>426</v>
      </c>
      <c r="F755" t="inlineStr">
        <is>
          <t>BRIGHTON</t>
        </is>
      </c>
      <c r="H755">
        <f>Y755/J755</f>
        <v/>
      </c>
      <c r="I755" s="704" t="n">
        <v>44791</v>
      </c>
      <c r="J755" t="n">
        <v>10000</v>
      </c>
      <c r="L755" t="n">
        <v>10000</v>
      </c>
      <c r="M755" t="n">
        <v>2017</v>
      </c>
      <c r="S755" t="n">
        <v>60113</v>
      </c>
      <c r="T755">
        <f>S755/J755</f>
        <v/>
      </c>
      <c r="Y755" t="n">
        <v>4488000</v>
      </c>
      <c r="AA755" t="n">
        <v>4488000</v>
      </c>
      <c r="AB755" t="inlineStr">
        <is>
          <t>The Learning Experience — Daycare; src: Retail_Sales_Cleaned</t>
        </is>
      </c>
      <c r="AC755" t="inlineStr">
        <is>
          <t>1569-10-1-22-006</t>
        </is>
      </c>
      <c r="AI755">
        <f>IF(AND($E755=Subj_OccCode,Subj_BldgSF&gt;0,ABS($L755-Subj_BldgSF)&lt;=Subj_BldgSF*Subj_SizeTol),ABS($L755-Subj_BldgSF),NA())</f>
        <v/>
      </c>
      <c r="AJ755">
        <f>IF(ISNA(AI755),NA(),AI755+ROW()/10000000)</f>
        <v/>
      </c>
      <c r="AK755">
        <f>IF(AND(ISNUMBER($N755),$N755&gt;0,ISNUMBER($Y755)),$Y755/$N755,"")</f>
        <v/>
      </c>
    </row>
    <row r="756" ht="15" customHeight="1" s="518">
      <c r="A756" s="62" t="n">
        <v>8</v>
      </c>
      <c r="B756" s="59" t="n">
        <v>752</v>
      </c>
      <c r="D756" t="inlineStr">
        <is>
          <t>5170 W 120TH AVE</t>
        </is>
      </c>
      <c r="E756" t="n">
        <v>410</v>
      </c>
      <c r="F756" t="inlineStr">
        <is>
          <t>WESTMINSTER</t>
        </is>
      </c>
      <c r="H756">
        <f>Y756/J756</f>
        <v/>
      </c>
      <c r="I756" s="704" t="n">
        <v>44376</v>
      </c>
      <c r="J756" t="n">
        <v>6600</v>
      </c>
      <c r="L756" t="n">
        <v>6600</v>
      </c>
      <c r="M756" t="n">
        <v>2000</v>
      </c>
      <c r="S756" t="n">
        <v>38333</v>
      </c>
      <c r="T756">
        <f>S756/J756</f>
        <v/>
      </c>
      <c r="Y756" t="n">
        <v>1575000</v>
      </c>
      <c r="AA756" t="n">
        <v>1575000</v>
      </c>
      <c r="AB756" t="inlineStr">
        <is>
          <t>Tires Plus — Auto Service; src: Retail_Sales_Cleaned</t>
        </is>
      </c>
      <c r="AC756" t="inlineStr">
        <is>
          <t>1719-06-2-02-009</t>
        </is>
      </c>
      <c r="AI756">
        <f>IF(AND($E756=Subj_OccCode,Subj_BldgSF&gt;0,ABS($L756-Subj_BldgSF)&lt;=Subj_BldgSF*Subj_SizeTol),ABS($L756-Subj_BldgSF),NA())</f>
        <v/>
      </c>
      <c r="AJ756">
        <f>IF(ISNA(AI756),NA(),AI756+ROW()/10000000)</f>
        <v/>
      </c>
      <c r="AK756">
        <f>IF(AND(ISNUMBER($N756),$N756&gt;0,ISNUMBER($Y756)),$Y756/$N756,"")</f>
        <v/>
      </c>
    </row>
    <row r="757" ht="15" customHeight="1" s="518">
      <c r="A757" s="62" t="n">
        <v>8</v>
      </c>
      <c r="B757" s="59" t="n">
        <v>753</v>
      </c>
      <c r="D757" t="inlineStr">
        <is>
          <t>4351 E 104TH AVE</t>
        </is>
      </c>
      <c r="E757" t="n">
        <v>353</v>
      </c>
      <c r="F757" t="inlineStr">
        <is>
          <t>THORNTON</t>
        </is>
      </c>
      <c r="H757">
        <f>Y757/J757</f>
        <v/>
      </c>
      <c r="I757" s="704" t="n">
        <v>43404</v>
      </c>
      <c r="J757" t="n">
        <v>14749</v>
      </c>
      <c r="L757" t="n">
        <v>14749</v>
      </c>
      <c r="M757" t="n">
        <v>2007</v>
      </c>
      <c r="S757" t="n">
        <v>84071</v>
      </c>
      <c r="T757">
        <f>S757/J757</f>
        <v/>
      </c>
      <c r="Y757" t="n">
        <v>4897596</v>
      </c>
      <c r="AA757" t="n">
        <v>4897596</v>
      </c>
      <c r="AB757" t="inlineStr">
        <is>
          <t>Walgreen's — Drugstore [Old Sale]; src: Retail_Sales_Cleaned</t>
        </is>
      </c>
      <c r="AC757" t="inlineStr">
        <is>
          <t>1721-07-3-14-025</t>
        </is>
      </c>
      <c r="AI757">
        <f>IF(AND($E757=Subj_OccCode,Subj_BldgSF&gt;0,ABS($L757-Subj_BldgSF)&lt;=Subj_BldgSF*Subj_SizeTol),ABS($L757-Subj_BldgSF),NA())</f>
        <v/>
      </c>
      <c r="AJ757">
        <f>IF(ISNA(AI757),NA(),AI757+ROW()/10000000)</f>
        <v/>
      </c>
      <c r="AK757">
        <f>IF(AND(ISNUMBER($N757),$N757&gt;0,ISNUMBER($Y757)),$Y757/$N757,"")</f>
        <v/>
      </c>
    </row>
    <row r="758" ht="15" customHeight="1" s="518">
      <c r="A758" s="62" t="n">
        <v>8</v>
      </c>
      <c r="B758" s="59" t="n">
        <v>754</v>
      </c>
      <c r="D758" t="inlineStr">
        <is>
          <t>8799 WASHINGTON ST</t>
        </is>
      </c>
      <c r="E758" t="n">
        <v>353</v>
      </c>
      <c r="F758" t="inlineStr">
        <is>
          <t>THORNTON</t>
        </is>
      </c>
      <c r="H758">
        <f>Y758/J758</f>
        <v/>
      </c>
      <c r="I758" s="704" t="n">
        <v>43998</v>
      </c>
      <c r="J758" t="n">
        <v>14490</v>
      </c>
      <c r="L758" t="n">
        <v>14490</v>
      </c>
      <c r="M758" t="n">
        <v>2003</v>
      </c>
      <c r="S758" t="n">
        <v>71438</v>
      </c>
      <c r="T758">
        <f>S758/J758</f>
        <v/>
      </c>
      <c r="Y758" t="n">
        <v>6130000</v>
      </c>
      <c r="AA758" t="n">
        <v>6130000</v>
      </c>
      <c r="AB758" t="inlineStr">
        <is>
          <t>Walgreen's — Drugstore [Duplicate]; Investment Triple Net; src: Retail_Sales_Cleaned</t>
        </is>
      </c>
      <c r="AC758" t="inlineStr">
        <is>
          <t>1719-27-1-01-006</t>
        </is>
      </c>
      <c r="AI758">
        <f>IF(AND($E758=Subj_OccCode,Subj_BldgSF&gt;0,ABS($L758-Subj_BldgSF)&lt;=Subj_BldgSF*Subj_SizeTol),ABS($L758-Subj_BldgSF),NA())</f>
        <v/>
      </c>
      <c r="AJ758">
        <f>IF(ISNA(AI758),NA(),AI758+ROW()/10000000)</f>
        <v/>
      </c>
      <c r="AK758">
        <f>IF(AND(ISNUMBER($N758),$N758&gt;0,ISNUMBER($Y758)),$Y758/$N758,"")</f>
        <v/>
      </c>
    </row>
    <row r="759" ht="15" customHeight="1" s="518">
      <c r="A759" s="62" t="n">
        <v>8</v>
      </c>
      <c r="B759" s="59" t="n">
        <v>755</v>
      </c>
      <c r="D759" t="inlineStr">
        <is>
          <t>8799 WASHINGTON ST</t>
        </is>
      </c>
      <c r="E759" t="n">
        <v>353</v>
      </c>
      <c r="F759" t="inlineStr">
        <is>
          <t>THORNTON</t>
        </is>
      </c>
      <c r="H759">
        <f>Y759/J759</f>
        <v/>
      </c>
      <c r="I759" s="704" t="n">
        <v>45017</v>
      </c>
      <c r="J759" t="n">
        <v>14490</v>
      </c>
      <c r="L759" t="n">
        <v>14490</v>
      </c>
      <c r="M759" t="n">
        <v>2003</v>
      </c>
      <c r="S759" t="n">
        <v>71438</v>
      </c>
      <c r="T759">
        <f>S759/J759</f>
        <v/>
      </c>
      <c r="Y759" t="n">
        <v>5900000</v>
      </c>
      <c r="AA759" t="n">
        <v>5900000</v>
      </c>
      <c r="AB759" t="inlineStr">
        <is>
          <t>Walgreen's — Drugstore; 1031 Exchange,Investment Triple Net; src: Retail_Sales_Cleaned</t>
        </is>
      </c>
      <c r="AC759" t="inlineStr">
        <is>
          <t>1719-27-1-01-006</t>
        </is>
      </c>
      <c r="AI759">
        <f>IF(AND($E759=Subj_OccCode,Subj_BldgSF&gt;0,ABS($L759-Subj_BldgSF)&lt;=Subj_BldgSF*Subj_SizeTol),ABS($L759-Subj_BldgSF),NA())</f>
        <v/>
      </c>
      <c r="AJ759">
        <f>IF(ISNA(AI759),NA(),AI759+ROW()/10000000)</f>
        <v/>
      </c>
      <c r="AK759">
        <f>IF(AND(ISNUMBER($N759),$N759&gt;0,ISNUMBER($Y759)),$Y759/$N759,"")</f>
        <v/>
      </c>
    </row>
    <row r="760" ht="15" customHeight="1" s="518">
      <c r="A760" s="62" t="n">
        <v>8</v>
      </c>
      <c r="B760" s="59" t="n">
        <v>756</v>
      </c>
      <c r="D760" t="inlineStr">
        <is>
          <t>10390 FEDERAL BLVD</t>
        </is>
      </c>
      <c r="E760" t="n">
        <v>353</v>
      </c>
      <c r="F760" t="inlineStr">
        <is>
          <t>FEDERAL HEIGHTS</t>
        </is>
      </c>
      <c r="H760">
        <f>Y760/J760</f>
        <v/>
      </c>
      <c r="I760" s="704" t="n">
        <v>43901</v>
      </c>
      <c r="J760" t="n">
        <v>12694</v>
      </c>
      <c r="L760" t="n">
        <v>12694</v>
      </c>
      <c r="M760" t="n">
        <v>2000</v>
      </c>
      <c r="S760" t="n">
        <v>42689</v>
      </c>
      <c r="T760">
        <f>S760/J760</f>
        <v/>
      </c>
      <c r="Y760" t="n">
        <v>4278670</v>
      </c>
      <c r="AA760" t="n">
        <v>4278670</v>
      </c>
      <c r="AB760" t="inlineStr">
        <is>
          <t>Walgreens — Drugstore [Paired Sale]; Purchase By Tenant; src: Retail_Sales_Cleaned</t>
        </is>
      </c>
      <c r="AC760" t="inlineStr">
        <is>
          <t>1719-17-1-13-004</t>
        </is>
      </c>
      <c r="AI760">
        <f>IF(AND($E760=Subj_OccCode,Subj_BldgSF&gt;0,ABS($L760-Subj_BldgSF)&lt;=Subj_BldgSF*Subj_SizeTol),ABS($L760-Subj_BldgSF),NA())</f>
        <v/>
      </c>
      <c r="AJ760">
        <f>IF(ISNA(AI760),NA(),AI760+ROW()/10000000)</f>
        <v/>
      </c>
      <c r="AK760">
        <f>IF(AND(ISNUMBER($N760),$N760&gt;0,ISNUMBER($Y760)),$Y760/$N760,"")</f>
        <v/>
      </c>
    </row>
    <row r="761" ht="15" customHeight="1" s="518">
      <c r="A761" s="62" t="n">
        <v>8</v>
      </c>
      <c r="B761" s="59" t="n">
        <v>757</v>
      </c>
      <c r="D761" t="inlineStr">
        <is>
          <t>10390 FEDERAL BLVD</t>
        </is>
      </c>
      <c r="E761" t="n">
        <v>353</v>
      </c>
      <c r="F761" t="inlineStr">
        <is>
          <t>FEDERAL HEIGHTS</t>
        </is>
      </c>
      <c r="H761">
        <f>Y761/J761</f>
        <v/>
      </c>
      <c r="I761" s="704" t="n">
        <v>44012</v>
      </c>
      <c r="J761" t="n">
        <v>12694</v>
      </c>
      <c r="L761" t="n">
        <v>12694</v>
      </c>
      <c r="M761" t="n">
        <v>2000</v>
      </c>
      <c r="S761" t="n">
        <v>42689</v>
      </c>
      <c r="T761">
        <f>S761/J761</f>
        <v/>
      </c>
      <c r="Y761" t="n">
        <v>7143000</v>
      </c>
      <c r="AA761" t="n">
        <v>7143000</v>
      </c>
      <c r="AB761" t="inlineStr">
        <is>
          <t>Walgreens — Drugstore [Duplicate]; Investment Triple Net; src: Retail_Sales_Cleaned</t>
        </is>
      </c>
      <c r="AC761" t="inlineStr">
        <is>
          <t>1719-17-1-13-004</t>
        </is>
      </c>
      <c r="AI761">
        <f>IF(AND($E761=Subj_OccCode,Subj_BldgSF&gt;0,ABS($L761-Subj_BldgSF)&lt;=Subj_BldgSF*Subj_SizeTol),ABS($L761-Subj_BldgSF),NA())</f>
        <v/>
      </c>
      <c r="AJ761">
        <f>IF(ISNA(AI761),NA(),AI761+ROW()/10000000)</f>
        <v/>
      </c>
      <c r="AK761">
        <f>IF(AND(ISNUMBER($N761),$N761&gt;0,ISNUMBER($Y761)),$Y761/$N761,"")</f>
        <v/>
      </c>
    </row>
    <row r="762" ht="15" customHeight="1" s="518">
      <c r="A762" s="62" t="n">
        <v>8</v>
      </c>
      <c r="B762" s="59" t="n">
        <v>758</v>
      </c>
      <c r="D762" t="inlineStr">
        <is>
          <t>7211 FEDERAL BLVD</t>
        </is>
      </c>
      <c r="E762" t="n">
        <v>353</v>
      </c>
      <c r="F762" t="inlineStr">
        <is>
          <t>WESTMINSTER</t>
        </is>
      </c>
      <c r="H762">
        <f>Y762/J762</f>
        <v/>
      </c>
      <c r="I762" s="704" t="n">
        <v>44013</v>
      </c>
      <c r="J762" t="n">
        <v>13714</v>
      </c>
      <c r="L762" t="n">
        <v>13714</v>
      </c>
      <c r="M762" t="n">
        <v>1999</v>
      </c>
      <c r="S762" t="n">
        <v>46827</v>
      </c>
      <c r="T762">
        <f>S762/J762</f>
        <v/>
      </c>
      <c r="Y762" t="n">
        <v>4200000</v>
      </c>
      <c r="AA762" t="n">
        <v>4200000</v>
      </c>
      <c r="AB762" t="inlineStr">
        <is>
          <t>Walgreens — Drugstore; src: Retail_Sales_Cleaned</t>
        </is>
      </c>
      <c r="AC762" t="inlineStr">
        <is>
          <t>1719-32-3-17-006</t>
        </is>
      </c>
      <c r="AI762">
        <f>IF(AND($E762=Subj_OccCode,Subj_BldgSF&gt;0,ABS($L762-Subj_BldgSF)&lt;=Subj_BldgSF*Subj_SizeTol),ABS($L762-Subj_BldgSF),NA())</f>
        <v/>
      </c>
      <c r="AJ762">
        <f>IF(ISNA(AI762),NA(),AI762+ROW()/10000000)</f>
        <v/>
      </c>
      <c r="AK762">
        <f>IF(AND(ISNUMBER($N762),$N762&gt;0,ISNUMBER($Y762)),$Y762/$N762,"")</f>
        <v/>
      </c>
    </row>
    <row r="763" ht="15" customHeight="1" s="518">
      <c r="A763" s="62" t="n">
        <v>8</v>
      </c>
      <c r="B763" s="59" t="n">
        <v>759</v>
      </c>
      <c r="D763" t="inlineStr">
        <is>
          <t>1601 W 84TH AVE</t>
        </is>
      </c>
      <c r="E763" t="n">
        <v>353</v>
      </c>
      <c r="F763" t="inlineStr">
        <is>
          <t>FEDERAL HEIGHTS</t>
        </is>
      </c>
      <c r="H763">
        <f>Y763/J763</f>
        <v/>
      </c>
      <c r="I763" s="704" t="n">
        <v>44440</v>
      </c>
      <c r="J763" t="n">
        <v>13905</v>
      </c>
      <c r="L763" t="n">
        <v>13905</v>
      </c>
      <c r="M763" t="n">
        <v>1999</v>
      </c>
      <c r="S763" t="n">
        <v>69130</v>
      </c>
      <c r="T763">
        <f>S763/J763</f>
        <v/>
      </c>
      <c r="Y763" t="n">
        <v>4966071</v>
      </c>
      <c r="AA763" t="n">
        <v>4966071</v>
      </c>
      <c r="AB763" t="inlineStr">
        <is>
          <t>Walgreens — Drugstore; Bulk/Portfolio Sale,Sale Leaseback; src: Retail_Sales_Cleaned</t>
        </is>
      </c>
      <c r="AC763" t="inlineStr">
        <is>
          <t>1719-28-2-05-024</t>
        </is>
      </c>
      <c r="AI763">
        <f>IF(AND($E763=Subj_OccCode,Subj_BldgSF&gt;0,ABS($L763-Subj_BldgSF)&lt;=Subj_BldgSF*Subj_SizeTol),ABS($L763-Subj_BldgSF),NA())</f>
        <v/>
      </c>
      <c r="AJ763">
        <f>IF(ISNA(AI763),NA(),AI763+ROW()/10000000)</f>
        <v/>
      </c>
      <c r="AK763">
        <f>IF(AND(ISNUMBER($N763),$N763&gt;0,ISNUMBER($Y763)),$Y763/$N763,"")</f>
        <v/>
      </c>
    </row>
    <row r="764" ht="15" customHeight="1" s="518">
      <c r="A764" s="62" t="n">
        <v>8</v>
      </c>
      <c r="B764" s="59" t="n">
        <v>760</v>
      </c>
      <c r="D764" t="inlineStr">
        <is>
          <t>13611 COLORADO BLVD</t>
        </is>
      </c>
      <c r="E764" t="n">
        <v>353</v>
      </c>
      <c r="F764" t="inlineStr">
        <is>
          <t>THORNTON</t>
        </is>
      </c>
      <c r="H764">
        <f>Y764/J764</f>
        <v/>
      </c>
      <c r="I764" s="704" t="n">
        <v>44776</v>
      </c>
      <c r="J764" t="n">
        <v>14820</v>
      </c>
      <c r="L764" t="n">
        <v>14820</v>
      </c>
      <c r="M764" t="n">
        <v>2007</v>
      </c>
      <c r="S764" t="n">
        <v>67853</v>
      </c>
      <c r="T764">
        <f>S764/J764</f>
        <v/>
      </c>
      <c r="Y764" t="n">
        <v>5837398</v>
      </c>
      <c r="AA764" t="n">
        <v>5837398</v>
      </c>
      <c r="AB764" t="inlineStr">
        <is>
          <t>Walgreens — Drugstore; Bulk/Portfolio Sale,Investment Triple Net; src: Retail_Sales_Cleaned</t>
        </is>
      </c>
      <c r="AC764" t="inlineStr">
        <is>
          <t>1573-24-4-18-007</t>
        </is>
      </c>
      <c r="AI764">
        <f>IF(AND($E764=Subj_OccCode,Subj_BldgSF&gt;0,ABS($L764-Subj_BldgSF)&lt;=Subj_BldgSF*Subj_SizeTol),ABS($L764-Subj_BldgSF),NA())</f>
        <v/>
      </c>
      <c r="AJ764">
        <f>IF(ISNA(AI764),NA(),AI764+ROW()/10000000)</f>
        <v/>
      </c>
      <c r="AK764">
        <f>IF(AND(ISNUMBER($N764),$N764&gt;0,ISNUMBER($Y764)),$Y764/$N764,"")</f>
        <v/>
      </c>
    </row>
    <row r="765" ht="15" customHeight="1" s="518">
      <c r="A765" s="62" t="n">
        <v>8</v>
      </c>
      <c r="B765" s="59" t="n">
        <v>761</v>
      </c>
      <c r="D765" t="inlineStr">
        <is>
          <t>1821 E BRIDGE ST</t>
        </is>
      </c>
      <c r="E765" t="n">
        <v>353</v>
      </c>
      <c r="F765" t="inlineStr">
        <is>
          <t>BRIGHTON</t>
        </is>
      </c>
      <c r="H765">
        <f>Y765/J765</f>
        <v/>
      </c>
      <c r="I765" s="704" t="n">
        <v>44811</v>
      </c>
      <c r="J765" t="n">
        <v>14490</v>
      </c>
      <c r="L765" t="n">
        <v>14490</v>
      </c>
      <c r="M765" t="n">
        <v>2001</v>
      </c>
      <c r="S765" t="n">
        <v>94525</v>
      </c>
      <c r="T765">
        <f>S765/J765</f>
        <v/>
      </c>
      <c r="Y765" t="n">
        <v>6316200</v>
      </c>
      <c r="AA765" t="n">
        <v>6316200</v>
      </c>
      <c r="AB765" t="inlineStr">
        <is>
          <t>Walgreens — Drugstore; Bulk/Portfolio Sale,Sale Leaseback; src: Retail_Sales_Cleaned</t>
        </is>
      </c>
      <c r="AC765" t="inlineStr">
        <is>
          <t>1569-05-3-35-003</t>
        </is>
      </c>
      <c r="AI765">
        <f>IF(AND($E765=Subj_OccCode,Subj_BldgSF&gt;0,ABS($L765-Subj_BldgSF)&lt;=Subj_BldgSF*Subj_SizeTol),ABS($L765-Subj_BldgSF),NA())</f>
        <v/>
      </c>
      <c r="AJ765">
        <f>IF(ISNA(AI765),NA(),AI765+ROW()/10000000)</f>
        <v/>
      </c>
      <c r="AK765">
        <f>IF(AND(ISNUMBER($N765),$N765&gt;0,ISNUMBER($Y765)),$Y765/$N765,"")</f>
        <v/>
      </c>
    </row>
    <row r="766" ht="15" customHeight="1" s="518">
      <c r="A766" s="62" t="n">
        <v>8</v>
      </c>
      <c r="B766" s="59" t="n">
        <v>762</v>
      </c>
      <c r="D766" t="inlineStr">
        <is>
          <t>10501 E COLFAX AVE</t>
        </is>
      </c>
      <c r="E766" t="n">
        <v>353</v>
      </c>
      <c r="F766" t="inlineStr">
        <is>
          <t>AURORA</t>
        </is>
      </c>
      <c r="H766">
        <f>Y766/J766</f>
        <v/>
      </c>
      <c r="I766" s="704" t="n">
        <v>44811</v>
      </c>
      <c r="J766" t="n">
        <v>13450</v>
      </c>
      <c r="L766" t="n">
        <v>13450</v>
      </c>
      <c r="M766" t="n">
        <v>1996</v>
      </c>
      <c r="T766">
        <f>S766/J766</f>
        <v/>
      </c>
      <c r="Y766" t="n">
        <v>5862895</v>
      </c>
      <c r="AA766" t="n">
        <v>5862895</v>
      </c>
      <c r="AB766" t="inlineStr">
        <is>
          <t>Walgreens — Drugstore [Duplicate]; Bulk/Portfolio Sale,Sale Leaseback; src: Retail_Sales_Cleaned</t>
        </is>
      </c>
      <c r="AC766" t="inlineStr">
        <is>
          <t>1823-35-3-24-012</t>
        </is>
      </c>
      <c r="AI766">
        <f>IF(AND($E766=Subj_OccCode,Subj_BldgSF&gt;0,ABS($L766-Subj_BldgSF)&lt;=Subj_BldgSF*Subj_SizeTol),ABS($L766-Subj_BldgSF),NA())</f>
        <v/>
      </c>
      <c r="AJ766">
        <f>IF(ISNA(AI766),NA(),AI766+ROW()/10000000)</f>
        <v/>
      </c>
      <c r="AK766">
        <f>IF(AND(ISNUMBER($N766),$N766&gt;0,ISNUMBER($Y766)),$Y766/$N766,"")</f>
        <v/>
      </c>
    </row>
    <row r="767" ht="15" customHeight="1" s="518">
      <c r="A767" s="62" t="n">
        <v>8</v>
      </c>
      <c r="B767" s="59" t="n">
        <v>763</v>
      </c>
      <c r="D767" t="inlineStr">
        <is>
          <t>10390 FEDERAL BLVD</t>
        </is>
      </c>
      <c r="E767" t="n">
        <v>353</v>
      </c>
      <c r="F767" t="inlineStr">
        <is>
          <t>FEDERAL HEIGHTS</t>
        </is>
      </c>
      <c r="H767">
        <f>Y767/J767</f>
        <v/>
      </c>
      <c r="I767" s="704" t="n">
        <v>44812</v>
      </c>
      <c r="J767" t="n">
        <v>12694</v>
      </c>
      <c r="L767" t="n">
        <v>12694</v>
      </c>
      <c r="M767" t="n">
        <v>2000</v>
      </c>
      <c r="S767" t="n">
        <v>42689</v>
      </c>
      <c r="T767">
        <f>S767/J767</f>
        <v/>
      </c>
      <c r="Y767" t="n">
        <v>8241758</v>
      </c>
      <c r="AA767" t="n">
        <v>8241758</v>
      </c>
      <c r="AB767" t="inlineStr">
        <is>
          <t>Walgreens — Drugstore; src: Retail_Sales_Cleaned</t>
        </is>
      </c>
      <c r="AC767" t="inlineStr">
        <is>
          <t>1719-17-1-13-004</t>
        </is>
      </c>
      <c r="AI767">
        <f>IF(AND($E767=Subj_OccCode,Subj_BldgSF&gt;0,ABS($L767-Subj_BldgSF)&lt;=Subj_BldgSF*Subj_SizeTol),ABS($L767-Subj_BldgSF),NA())</f>
        <v/>
      </c>
      <c r="AJ767">
        <f>IF(ISNA(AI767),NA(),AI767+ROW()/10000000)</f>
        <v/>
      </c>
      <c r="AK767">
        <f>IF(AND(ISNUMBER($N767),$N767&gt;0,ISNUMBER($Y767)),$Y767/$N767,"")</f>
        <v/>
      </c>
    </row>
    <row r="768" ht="15" customHeight="1" s="518">
      <c r="A768" s="62" t="n">
        <v>8</v>
      </c>
      <c r="B768" s="59" t="n">
        <v>764</v>
      </c>
      <c r="D768" t="inlineStr">
        <is>
          <t>4001 E 120TH AVE</t>
        </is>
      </c>
      <c r="E768" t="n">
        <v>353</v>
      </c>
      <c r="F768" t="inlineStr">
        <is>
          <t>THORNTON</t>
        </is>
      </c>
      <c r="H768">
        <f>Y768/J768</f>
        <v/>
      </c>
      <c r="I768" s="704" t="n">
        <v>44904</v>
      </c>
      <c r="J768" t="n">
        <v>13450</v>
      </c>
      <c r="L768" t="n">
        <v>13450</v>
      </c>
      <c r="M768" t="n">
        <v>1994</v>
      </c>
      <c r="S768" t="n">
        <v>62940</v>
      </c>
      <c r="T768">
        <f>S768/J768</f>
        <v/>
      </c>
      <c r="Y768" t="n">
        <v>4582900</v>
      </c>
      <c r="AA768" t="n">
        <v>4582900</v>
      </c>
      <c r="AB768" t="inlineStr">
        <is>
          <t>Walgreens — Drugstore; Investment Triple Net; src: Retail_Sales_Cleaned</t>
        </is>
      </c>
      <c r="AC768" t="inlineStr">
        <is>
          <t>1571-31-3-26-005</t>
        </is>
      </c>
      <c r="AI768">
        <f>IF(AND($E768=Subj_OccCode,Subj_BldgSF&gt;0,ABS($L768-Subj_BldgSF)&lt;=Subj_BldgSF*Subj_SizeTol),ABS($L768-Subj_BldgSF),NA())</f>
        <v/>
      </c>
      <c r="AJ768">
        <f>IF(ISNA(AI768),NA(),AI768+ROW()/10000000)</f>
        <v/>
      </c>
      <c r="AK768">
        <f>IF(AND(ISNUMBER($N768),$N768&gt;0,ISNUMBER($Y768)),$Y768/$N768,"")</f>
        <v/>
      </c>
    </row>
    <row r="769" ht="15" customHeight="1" s="518">
      <c r="A769" s="62" t="n">
        <v>8</v>
      </c>
      <c r="B769" s="59" t="n">
        <v>765</v>
      </c>
      <c r="D769" t="inlineStr">
        <is>
          <t>15310 E 104TH AVE</t>
        </is>
      </c>
      <c r="E769" t="n">
        <v>353</v>
      </c>
      <c r="F769" t="inlineStr">
        <is>
          <t>COMMERCE CITY</t>
        </is>
      </c>
      <c r="H769">
        <f>Y769/J769</f>
        <v/>
      </c>
      <c r="I769" s="704" t="n">
        <v>44980</v>
      </c>
      <c r="J769" t="n">
        <v>14820</v>
      </c>
      <c r="L769" t="n">
        <v>14820</v>
      </c>
      <c r="M769" t="n">
        <v>2014</v>
      </c>
      <c r="S769" t="n">
        <v>68991</v>
      </c>
      <c r="T769">
        <f>S769/J769</f>
        <v/>
      </c>
      <c r="Y769" t="n">
        <v>5049700</v>
      </c>
      <c r="AA769" t="n">
        <v>5049700</v>
      </c>
      <c r="AB769" t="inlineStr">
        <is>
          <t>Walgreens — Drugstore; Bulk/Portfolio Sale,Sale Leaseback; src: Retail_Sales_Cleaned</t>
        </is>
      </c>
      <c r="AC769" t="inlineStr">
        <is>
          <t>1723-17-2-14-012</t>
        </is>
      </c>
      <c r="AI769">
        <f>IF(AND($E769=Subj_OccCode,Subj_BldgSF&gt;0,ABS($L769-Subj_BldgSF)&lt;=Subj_BldgSF*Subj_SizeTol),ABS($L769-Subj_BldgSF),NA())</f>
        <v/>
      </c>
      <c r="AJ769">
        <f>IF(ISNA(AI769),NA(),AI769+ROW()/10000000)</f>
        <v/>
      </c>
      <c r="AK769">
        <f>IF(AND(ISNUMBER($N769),$N769&gt;0,ISNUMBER($Y769)),$Y769/$N769,"")</f>
        <v/>
      </c>
    </row>
    <row r="770" ht="15" customHeight="1" s="518">
      <c r="A770" s="62" t="n">
        <v>8</v>
      </c>
      <c r="B770" s="59" t="n">
        <v>766</v>
      </c>
      <c r="D770" t="inlineStr">
        <is>
          <t>10501 E COLFAX AVE</t>
        </is>
      </c>
      <c r="E770" t="n">
        <v>353</v>
      </c>
      <c r="F770" t="inlineStr">
        <is>
          <t>AURORA</t>
        </is>
      </c>
      <c r="H770">
        <f>Y770/J770</f>
        <v/>
      </c>
      <c r="I770" s="704" t="n">
        <v>45161</v>
      </c>
      <c r="J770" t="n">
        <v>13450</v>
      </c>
      <c r="L770" t="n">
        <v>13450</v>
      </c>
      <c r="M770" t="n">
        <v>1996</v>
      </c>
      <c r="T770">
        <f>S770/J770</f>
        <v/>
      </c>
      <c r="Y770" t="n">
        <v>6227000</v>
      </c>
      <c r="AA770" t="n">
        <v>6227000</v>
      </c>
      <c r="AB770" t="inlineStr">
        <is>
          <t>Walgreens — Drugstore; Investment Triple Net; src: Retail_Sales_Cleaned</t>
        </is>
      </c>
      <c r="AC770" t="inlineStr">
        <is>
          <t>1823-35-3-24-012</t>
        </is>
      </c>
      <c r="AI770">
        <f>IF(AND($E770=Subj_OccCode,Subj_BldgSF&gt;0,ABS($L770-Subj_BldgSF)&lt;=Subj_BldgSF*Subj_SizeTol),ABS($L770-Subj_BldgSF),NA())</f>
        <v/>
      </c>
      <c r="AJ770">
        <f>IF(ISNA(AI770),NA(),AI770+ROW()/10000000)</f>
        <v/>
      </c>
      <c r="AK770">
        <f>IF(AND(ISNUMBER($N770),$N770&gt;0,ISNUMBER($Y770)),$Y770/$N770,"")</f>
        <v/>
      </c>
    </row>
    <row r="771" ht="15" customHeight="1" s="518">
      <c r="A771" s="62" t="n">
        <v>8</v>
      </c>
      <c r="B771" s="59" t="n">
        <v>767</v>
      </c>
      <c r="D771" t="inlineStr">
        <is>
          <t>150 E 144TH AVE</t>
        </is>
      </c>
      <c r="E771" t="n">
        <v>349</v>
      </c>
      <c r="F771" t="inlineStr">
        <is>
          <t>THORNTON</t>
        </is>
      </c>
      <c r="H771">
        <f>Y771/J771</f>
        <v/>
      </c>
      <c r="I771" s="704" t="n">
        <v>43902</v>
      </c>
      <c r="J771" t="n">
        <v>3500</v>
      </c>
      <c r="L771" t="n">
        <v>3500</v>
      </c>
      <c r="M771" t="n">
        <v>2017</v>
      </c>
      <c r="S771" t="n">
        <v>18731</v>
      </c>
      <c r="T771">
        <f>S771/J771</f>
        <v/>
      </c>
      <c r="Y771" t="n">
        <v>2200000</v>
      </c>
      <c r="AA771" t="n">
        <v>2200000</v>
      </c>
      <c r="AB771" t="inlineStr">
        <is>
          <t>Wendy's — Fast Food; Ground Lease (Leased Fee); src: Retail_Sales_Cleaned</t>
        </is>
      </c>
      <c r="AC771" t="inlineStr">
        <is>
          <t>1573-22-1-01-078</t>
        </is>
      </c>
      <c r="AI771">
        <f>IF(AND($E771=Subj_OccCode,Subj_BldgSF&gt;0,ABS($L771-Subj_BldgSF)&lt;=Subj_BldgSF*Subj_SizeTol),ABS($L771-Subj_BldgSF),NA())</f>
        <v/>
      </c>
      <c r="AJ771">
        <f>IF(ISNA(AI771),NA(),AI771+ROW()/10000000)</f>
        <v/>
      </c>
      <c r="AK771">
        <f>IF(AND(ISNUMBER($N771),$N771&gt;0,ISNUMBER($Y771)),$Y771/$N771,"")</f>
        <v/>
      </c>
    </row>
    <row r="772" ht="15" customHeight="1" s="518">
      <c r="A772" s="62" t="n">
        <v>8</v>
      </c>
      <c r="B772" s="59" t="n">
        <v>768</v>
      </c>
      <c r="D772" t="inlineStr">
        <is>
          <t>8970 WASHINGTON ST</t>
        </is>
      </c>
      <c r="E772" t="n">
        <v>349</v>
      </c>
      <c r="F772" t="inlineStr">
        <is>
          <t>THORNTON</t>
        </is>
      </c>
      <c r="H772">
        <f>Y772/J772</f>
        <v/>
      </c>
      <c r="I772" s="704" t="n">
        <v>44217</v>
      </c>
      <c r="J772" t="n">
        <v>2730</v>
      </c>
      <c r="L772" t="n">
        <v>2730</v>
      </c>
      <c r="M772" t="n">
        <v>1979</v>
      </c>
      <c r="S772" t="n">
        <v>32234</v>
      </c>
      <c r="T772">
        <f>S772/J772</f>
        <v/>
      </c>
      <c r="Y772" t="n">
        <v>1637000</v>
      </c>
      <c r="AA772" t="n">
        <v>1637000</v>
      </c>
      <c r="AB772" t="inlineStr">
        <is>
          <t>Wendy's — Fast Food [Paired Sale]; src: Retail_Sales_Cleaned</t>
        </is>
      </c>
      <c r="AC772" t="inlineStr">
        <is>
          <t>1719-23-3-18-042</t>
        </is>
      </c>
      <c r="AI772">
        <f>IF(AND($E772=Subj_OccCode,Subj_BldgSF&gt;0,ABS($L772-Subj_BldgSF)&lt;=Subj_BldgSF*Subj_SizeTol),ABS($L772-Subj_BldgSF),NA())</f>
        <v/>
      </c>
      <c r="AJ772">
        <f>IF(ISNA(AI772),NA(),AI772+ROW()/10000000)</f>
        <v/>
      </c>
      <c r="AK772">
        <f>IF(AND(ISNUMBER($N772),$N772&gt;0,ISNUMBER($Y772)),$Y772/$N772,"")</f>
        <v/>
      </c>
    </row>
    <row r="773" ht="15" customHeight="1" s="518">
      <c r="A773" s="62" t="n">
        <v>8</v>
      </c>
      <c r="B773" s="59" t="n">
        <v>769</v>
      </c>
      <c r="D773" t="inlineStr">
        <is>
          <t>8970 WASHINGTON ST</t>
        </is>
      </c>
      <c r="E773" t="n">
        <v>349</v>
      </c>
      <c r="F773" t="inlineStr">
        <is>
          <t>THORNTON</t>
        </is>
      </c>
      <c r="H773">
        <f>Y773/J773</f>
        <v/>
      </c>
      <c r="I773" s="704" t="n">
        <v>44400</v>
      </c>
      <c r="J773" t="n">
        <v>2730</v>
      </c>
      <c r="L773" t="n">
        <v>2730</v>
      </c>
      <c r="M773" t="n">
        <v>1979</v>
      </c>
      <c r="S773" t="n">
        <v>32234</v>
      </c>
      <c r="T773">
        <f>S773/J773</f>
        <v/>
      </c>
      <c r="Y773" t="n">
        <v>2192000</v>
      </c>
      <c r="AA773" t="n">
        <v>2192000</v>
      </c>
      <c r="AB773" t="inlineStr">
        <is>
          <t>Wendy's — Fast Food; 1031 Exchange,Investment Triple Net; src: Retail_Sales_Cleaned</t>
        </is>
      </c>
      <c r="AC773" t="inlineStr">
        <is>
          <t>1719-23-3-18-042</t>
        </is>
      </c>
      <c r="AI773">
        <f>IF(AND($E773=Subj_OccCode,Subj_BldgSF&gt;0,ABS($L773-Subj_BldgSF)&lt;=Subj_BldgSF*Subj_SizeTol),ABS($L773-Subj_BldgSF),NA())</f>
        <v/>
      </c>
      <c r="AJ773">
        <f>IF(ISNA(AI773),NA(),AI773+ROW()/10000000)</f>
        <v/>
      </c>
      <c r="AK773">
        <f>IF(AND(ISNUMBER($N773),$N773&gt;0,ISNUMBER($Y773)),$Y773/$N773,"")</f>
        <v/>
      </c>
    </row>
    <row r="774" ht="15" customHeight="1" s="518">
      <c r="A774" s="62" t="n">
        <v>8</v>
      </c>
      <c r="B774" s="59" t="n">
        <v>770</v>
      </c>
      <c r="D774" t="inlineStr">
        <is>
          <t>958 S HAVANA ST</t>
        </is>
      </c>
      <c r="E774" t="n">
        <v>353</v>
      </c>
      <c r="F774" t="inlineStr">
        <is>
          <t>AURORA</t>
        </is>
      </c>
      <c r="H774">
        <f>Y774/J774</f>
        <v/>
      </c>
      <c r="I774" s="704" t="n">
        <v>44470</v>
      </c>
      <c r="J774" t="n">
        <v>8000</v>
      </c>
      <c r="L774" t="n">
        <v>8000</v>
      </c>
      <c r="M774" t="n">
        <v>2005</v>
      </c>
      <c r="S774" t="n">
        <v>39152</v>
      </c>
      <c r="T774">
        <f>S774/J774</f>
        <v/>
      </c>
      <c r="Y774" t="n">
        <v>2204358</v>
      </c>
      <c r="AA774" t="n">
        <v>2204358</v>
      </c>
      <c r="AB774" t="inlineStr">
        <is>
          <t>Advance Auto Parts — Auto Parts [Duplicate]; Bulk/Portfolio Sale; src: Retail_Sales_Cleaned</t>
        </is>
      </c>
      <c r="AC774" t="inlineStr">
        <is>
          <t>1973-14-3-35-001</t>
        </is>
      </c>
      <c r="AI774">
        <f>IF(AND($E774=Subj_OccCode,Subj_BldgSF&gt;0,ABS($L774-Subj_BldgSF)&lt;=Subj_BldgSF*Subj_SizeTol),ABS($L774-Subj_BldgSF),NA())</f>
        <v/>
      </c>
      <c r="AJ774">
        <f>IF(ISNA(AI774),NA(),AI774+ROW()/10000000)</f>
        <v/>
      </c>
      <c r="AK774">
        <f>IF(AND(ISNUMBER($N774),$N774&gt;0,ISNUMBER($Y774)),$Y774/$N774,"")</f>
        <v/>
      </c>
    </row>
    <row r="775" ht="15" customHeight="1" s="518">
      <c r="A775" s="62" t="n">
        <v>8</v>
      </c>
      <c r="B775" s="59" t="n">
        <v>771</v>
      </c>
      <c r="D775" t="inlineStr">
        <is>
          <t>958 S HAVANA ST</t>
        </is>
      </c>
      <c r="E775" t="n">
        <v>353</v>
      </c>
      <c r="F775" t="inlineStr">
        <is>
          <t>AURORA</t>
        </is>
      </c>
      <c r="H775">
        <f>Y775/J775</f>
        <v/>
      </c>
      <c r="I775" s="704" t="n">
        <v>44510</v>
      </c>
      <c r="J775" t="n">
        <v>8000</v>
      </c>
      <c r="L775" t="n">
        <v>8000</v>
      </c>
      <c r="M775" t="n">
        <v>2005</v>
      </c>
      <c r="S775" t="n">
        <v>39152</v>
      </c>
      <c r="T775">
        <f>S775/J775</f>
        <v/>
      </c>
      <c r="Y775" t="n">
        <v>2480000</v>
      </c>
      <c r="AA775" t="n">
        <v>2480000</v>
      </c>
      <c r="AB775" t="inlineStr">
        <is>
          <t>Advance Auto Parts — Auto Parts; src: Retail_Sales_Cleaned</t>
        </is>
      </c>
      <c r="AC775" t="inlineStr">
        <is>
          <t>1973-14-3-35-001</t>
        </is>
      </c>
      <c r="AI775">
        <f>IF(AND($E775=Subj_OccCode,Subj_BldgSF&gt;0,ABS($L775-Subj_BldgSF)&lt;=Subj_BldgSF*Subj_SizeTol),ABS($L775-Subj_BldgSF),NA())</f>
        <v/>
      </c>
      <c r="AJ775">
        <f>IF(ISNA(AI775),NA(),AI775+ROW()/10000000)</f>
        <v/>
      </c>
      <c r="AK775">
        <f>IF(AND(ISNUMBER($N775),$N775&gt;0,ISNUMBER($Y775)),$Y775/$N775,"")</f>
        <v/>
      </c>
    </row>
    <row r="776" ht="15" customHeight="1" s="518">
      <c r="A776" s="62" t="n">
        <v>8</v>
      </c>
      <c r="B776" s="59" t="n">
        <v>772</v>
      </c>
      <c r="D776" t="inlineStr">
        <is>
          <t>6985 S BROADWAY</t>
        </is>
      </c>
      <c r="E776" t="n">
        <v>349</v>
      </c>
      <c r="F776" t="inlineStr">
        <is>
          <t>LITTLETON</t>
        </is>
      </c>
      <c r="H776">
        <f>Y776/J776</f>
        <v/>
      </c>
      <c r="I776" s="704" t="n">
        <v>44141</v>
      </c>
      <c r="J776" t="n">
        <v>1590</v>
      </c>
      <c r="L776" t="n">
        <v>1590</v>
      </c>
      <c r="M776" t="n">
        <v>1971</v>
      </c>
      <c r="S776" t="n">
        <v>27443</v>
      </c>
      <c r="T776">
        <f>S776/J776</f>
        <v/>
      </c>
      <c r="Y776" t="n">
        <v>1669000</v>
      </c>
      <c r="AA776" t="n">
        <v>1669000</v>
      </c>
      <c r="AB776" t="inlineStr">
        <is>
          <t>Andy's Frozen Custard — Fast Food; 1031 Exchange,Ground Lease (Leased Fee); src: Retail_Sales_Cleaned</t>
        </is>
      </c>
      <c r="AC776" t="inlineStr">
        <is>
          <t>2077-27-2-11-007</t>
        </is>
      </c>
      <c r="AI776">
        <f>IF(AND($E776=Subj_OccCode,Subj_BldgSF&gt;0,ABS($L776-Subj_BldgSF)&lt;=Subj_BldgSF*Subj_SizeTol),ABS($L776-Subj_BldgSF),NA())</f>
        <v/>
      </c>
      <c r="AJ776">
        <f>IF(ISNA(AI776),NA(),AI776+ROW()/10000000)</f>
        <v/>
      </c>
      <c r="AK776">
        <f>IF(AND(ISNUMBER($N776),$N776&gt;0,ISNUMBER($Y776)),$Y776/$N776,"")</f>
        <v/>
      </c>
    </row>
    <row r="777" ht="15" customHeight="1" s="518">
      <c r="A777" s="62" t="n">
        <v>8</v>
      </c>
      <c r="B777" s="59" t="n">
        <v>773</v>
      </c>
      <c r="D777" t="inlineStr">
        <is>
          <t>161 W MINERAL AVE</t>
        </is>
      </c>
      <c r="E777" t="n">
        <v>349</v>
      </c>
      <c r="F777" t="inlineStr">
        <is>
          <t>LITTLETON</t>
        </is>
      </c>
      <c r="H777">
        <f>Y777/J777</f>
        <v/>
      </c>
      <c r="I777" s="704" t="n">
        <v>42934</v>
      </c>
      <c r="J777" t="n">
        <v>3140</v>
      </c>
      <c r="L777" t="n">
        <v>3140</v>
      </c>
      <c r="M777" t="n">
        <v>2000</v>
      </c>
      <c r="S777" t="n">
        <v>43124</v>
      </c>
      <c r="T777">
        <f>S777/J777</f>
        <v/>
      </c>
      <c r="Y777" t="n">
        <v>1808583</v>
      </c>
      <c r="AA777" t="n">
        <v>1808583</v>
      </c>
      <c r="AB777" t="inlineStr">
        <is>
          <t>Arby's — Fast Food [Old Sale]; src: Retail_Sales_Cleaned</t>
        </is>
      </c>
      <c r="AC777" t="inlineStr">
        <is>
          <t>2077-34-2-17-002</t>
        </is>
      </c>
      <c r="AI777">
        <f>IF(AND($E777=Subj_OccCode,Subj_BldgSF&gt;0,ABS($L777-Subj_BldgSF)&lt;=Subj_BldgSF*Subj_SizeTol),ABS($L777-Subj_BldgSF),NA())</f>
        <v/>
      </c>
      <c r="AJ777">
        <f>IF(ISNA(AI777),NA(),AI777+ROW()/10000000)</f>
        <v/>
      </c>
      <c r="AK777">
        <f>IF(AND(ISNUMBER($N777),$N777&gt;0,ISNUMBER($Y777)),$Y777/$N777,"")</f>
        <v/>
      </c>
    </row>
    <row r="778" ht="15" customHeight="1" s="518">
      <c r="A778" s="62" t="n">
        <v>8</v>
      </c>
      <c r="B778" s="59" t="n">
        <v>774</v>
      </c>
      <c r="D778" t="inlineStr">
        <is>
          <t>14442 E CEDAR AVE</t>
        </is>
      </c>
      <c r="E778" t="n">
        <v>414</v>
      </c>
      <c r="F778" t="inlineStr">
        <is>
          <t>AURORA</t>
        </is>
      </c>
      <c r="H778">
        <f>Y778/J778</f>
        <v/>
      </c>
      <c r="I778" s="704" t="n">
        <v>44936</v>
      </c>
      <c r="J778" t="n">
        <v>8374</v>
      </c>
      <c r="L778" t="n">
        <v>8374</v>
      </c>
      <c r="M778" t="n">
        <v>2005</v>
      </c>
      <c r="S778" t="n">
        <v>49223</v>
      </c>
      <c r="T778">
        <f>S778/J778</f>
        <v/>
      </c>
      <c r="Y778" t="n">
        <v>3500000</v>
      </c>
      <c r="AA778" t="n">
        <v>3500000</v>
      </c>
      <c r="AB778" t="inlineStr">
        <is>
          <t>BJ's Restaurant Brewhouse — Retail Center; Investment Triple Net; src: Retail_Sales_Cleaned</t>
        </is>
      </c>
      <c r="AC778" t="inlineStr">
        <is>
          <t>1975-07-3-34-003</t>
        </is>
      </c>
      <c r="AI778">
        <f>IF(AND($E778=Subj_OccCode,Subj_BldgSF&gt;0,ABS($L778-Subj_BldgSF)&lt;=Subj_BldgSF*Subj_SizeTol),ABS($L778-Subj_BldgSF),NA())</f>
        <v/>
      </c>
      <c r="AJ778">
        <f>IF(ISNA(AI778),NA(),AI778+ROW()/10000000)</f>
        <v/>
      </c>
      <c r="AK778">
        <f>IF(AND(ISNUMBER($N778),$N778&gt;0,ISNUMBER($Y778)),$Y778/$N778,"")</f>
        <v/>
      </c>
    </row>
    <row r="779" ht="15" customHeight="1" s="518">
      <c r="A779" s="62" t="n">
        <v>8</v>
      </c>
      <c r="B779" s="59" t="n">
        <v>775</v>
      </c>
      <c r="D779" t="inlineStr">
        <is>
          <t>5574 S GIBRALTAR WAY</t>
        </is>
      </c>
      <c r="E779" t="n">
        <v>325</v>
      </c>
      <c r="F779" t="inlineStr">
        <is>
          <t>CENTENNIAL</t>
        </is>
      </c>
      <c r="H779">
        <f>Y779/J779</f>
        <v/>
      </c>
      <c r="I779" s="704" t="n">
        <v>44742</v>
      </c>
      <c r="J779" t="n">
        <v>2144</v>
      </c>
      <c r="L779" t="n">
        <v>2144</v>
      </c>
      <c r="M779" t="n">
        <v>1999</v>
      </c>
      <c r="S779" t="n">
        <v>36670</v>
      </c>
      <c r="T779">
        <f>S779/J779</f>
        <v/>
      </c>
      <c r="Y779" t="n">
        <v>1000000</v>
      </c>
      <c r="AA779" t="n">
        <v>1000000</v>
      </c>
      <c r="AB779" t="inlineStr">
        <is>
          <t>Big Nick'S Auto — Auto Service; src: Retail_Sales_Cleaned</t>
        </is>
      </c>
      <c r="AC779" t="inlineStr">
        <is>
          <t>2073-15-4-29-003</t>
        </is>
      </c>
      <c r="AI779">
        <f>IF(AND($E779=Subj_OccCode,Subj_BldgSF&gt;0,ABS($L779-Subj_BldgSF)&lt;=Subj_BldgSF*Subj_SizeTol),ABS($L779-Subj_BldgSF),NA())</f>
        <v/>
      </c>
      <c r="AJ779">
        <f>IF(ISNA(AI779),NA(),AI779+ROW()/10000000)</f>
        <v/>
      </c>
      <c r="AK779">
        <f>IF(AND(ISNUMBER($N779),$N779&gt;0,ISNUMBER($Y779)),$Y779/$N779,"")</f>
        <v/>
      </c>
    </row>
    <row r="780" ht="15" customHeight="1" s="518">
      <c r="A780" s="62" t="n">
        <v>8</v>
      </c>
      <c r="B780" s="59" t="n">
        <v>776</v>
      </c>
      <c r="D780" t="inlineStr">
        <is>
          <t>15405 E 6TH AVE</t>
        </is>
      </c>
      <c r="E780" t="n">
        <v>410</v>
      </c>
      <c r="F780" t="inlineStr">
        <is>
          <t>AURORA</t>
        </is>
      </c>
      <c r="H780">
        <f>Y780/J780</f>
        <v/>
      </c>
      <c r="I780" s="704" t="n">
        <v>44056</v>
      </c>
      <c r="J780" t="n">
        <v>5778</v>
      </c>
      <c r="L780" t="n">
        <v>5778</v>
      </c>
      <c r="M780" t="n">
        <v>2001</v>
      </c>
      <c r="S780" t="n">
        <v>28066</v>
      </c>
      <c r="T780">
        <f>S780/J780</f>
        <v/>
      </c>
      <c r="Y780" t="n">
        <v>1500000</v>
      </c>
      <c r="AA780" t="n">
        <v>1500000</v>
      </c>
      <c r="AB780" t="inlineStr">
        <is>
          <t>Big O Tires — Auto Service; 1031 Exchange,Purchase By Tenant; src: Retail_Sales_Cleaned</t>
        </is>
      </c>
      <c r="AC780" t="inlineStr">
        <is>
          <t>1975-05-3-20-002</t>
        </is>
      </c>
      <c r="AI780">
        <f>IF(AND($E780=Subj_OccCode,Subj_BldgSF&gt;0,ABS($L780-Subj_BldgSF)&lt;=Subj_BldgSF*Subj_SizeTol),ABS($L780-Subj_BldgSF),NA())</f>
        <v/>
      </c>
      <c r="AJ780">
        <f>IF(ISNA(AI780),NA(),AI780+ROW()/10000000)</f>
        <v/>
      </c>
      <c r="AK780">
        <f>IF(AND(ISNUMBER($N780),$N780&gt;0,ISNUMBER($Y780)),$Y780/$N780,"")</f>
        <v/>
      </c>
    </row>
    <row r="781" ht="15" customHeight="1" s="518">
      <c r="A781" s="62" t="n">
        <v>8</v>
      </c>
      <c r="B781" s="59" t="n">
        <v>777</v>
      </c>
      <c r="D781" t="inlineStr">
        <is>
          <t>6711 S POTOMAC ST</t>
        </is>
      </c>
      <c r="E781" t="n">
        <v>410</v>
      </c>
      <c r="F781" t="inlineStr">
        <is>
          <t>CENTENNIAL</t>
        </is>
      </c>
      <c r="H781">
        <f>Y781/J781</f>
        <v/>
      </c>
      <c r="I781" s="704" t="n">
        <v>44512</v>
      </c>
      <c r="J781" t="n">
        <v>9660</v>
      </c>
      <c r="L781" t="n">
        <v>9660</v>
      </c>
      <c r="M781" t="n">
        <v>2003</v>
      </c>
      <c r="S781" t="n">
        <v>53098</v>
      </c>
      <c r="T781">
        <f>S781/J781</f>
        <v/>
      </c>
      <c r="Y781" t="n">
        <v>2850000</v>
      </c>
      <c r="AA781" t="n">
        <v>2850000</v>
      </c>
      <c r="AB781" t="inlineStr">
        <is>
          <t>Big O Tires — Auto Service; src: Retail_Sales_Cleaned</t>
        </is>
      </c>
      <c r="AC781" t="inlineStr">
        <is>
          <t>2075-25-1-19-003</t>
        </is>
      </c>
      <c r="AI781">
        <f>IF(AND($E781=Subj_OccCode,Subj_BldgSF&gt;0,ABS($L781-Subj_BldgSF)&lt;=Subj_BldgSF*Subj_SizeTol),ABS($L781-Subj_BldgSF),NA())</f>
        <v/>
      </c>
      <c r="AJ781">
        <f>IF(ISNA(AI781),NA(),AI781+ROW()/10000000)</f>
        <v/>
      </c>
      <c r="AK781">
        <f>IF(AND(ISNUMBER($N781),$N781&gt;0,ISNUMBER($Y781)),$Y781/$N781,"")</f>
        <v/>
      </c>
    </row>
    <row r="782" ht="15" customHeight="1" s="518">
      <c r="A782" s="62" t="n">
        <v>8</v>
      </c>
      <c r="B782" s="59" t="n">
        <v>778</v>
      </c>
      <c r="D782" t="inlineStr">
        <is>
          <t>22994 E SMOKY HILL RD</t>
        </is>
      </c>
      <c r="E782" t="n">
        <v>410</v>
      </c>
      <c r="F782" t="inlineStr">
        <is>
          <t>AURORA</t>
        </is>
      </c>
      <c r="H782">
        <f>Y782/J782</f>
        <v/>
      </c>
      <c r="I782" s="704" t="n">
        <v>44748</v>
      </c>
      <c r="J782" t="n">
        <v>8500</v>
      </c>
      <c r="L782" t="n">
        <v>8500</v>
      </c>
      <c r="M782" t="n">
        <v>2000</v>
      </c>
      <c r="S782" t="n">
        <v>102845</v>
      </c>
      <c r="T782">
        <f>S782/J782</f>
        <v/>
      </c>
      <c r="Y782" t="n">
        <v>9393100</v>
      </c>
      <c r="AA782" t="n">
        <v>9393100</v>
      </c>
      <c r="AB782" t="inlineStr">
        <is>
          <t>Big O Tires — Auto Service; Bulk/Portfolio Sale,Investment Triple Net; src: Retail_Sales_Cleaned</t>
        </is>
      </c>
      <c r="AC782" t="inlineStr">
        <is>
          <t>2073-24-4-35-003</t>
        </is>
      </c>
      <c r="AI782">
        <f>IF(AND($E782=Subj_OccCode,Subj_BldgSF&gt;0,ABS($L782-Subj_BldgSF)&lt;=Subj_BldgSF*Subj_SizeTol),ABS($L782-Subj_BldgSF),NA())</f>
        <v/>
      </c>
      <c r="AJ782">
        <f>IF(ISNA(AI782),NA(),AI782+ROW()/10000000)</f>
        <v/>
      </c>
      <c r="AK782">
        <f>IF(AND(ISNUMBER($N782),$N782&gt;0,ISNUMBER($Y782)),$Y782/$N782,"")</f>
        <v/>
      </c>
    </row>
    <row r="783" ht="15" customHeight="1" s="518">
      <c r="A783" s="62" t="n">
        <v>8</v>
      </c>
      <c r="B783" s="59" t="n">
        <v>779</v>
      </c>
      <c r="D783" t="inlineStr">
        <is>
          <t>8507 E ARAPAHOE RD</t>
        </is>
      </c>
      <c r="E783" t="n">
        <v>349</v>
      </c>
      <c r="F783" t="inlineStr">
        <is>
          <t>GREENWOOD VILLAGE</t>
        </is>
      </c>
      <c r="H783">
        <f>Y783/J783</f>
        <v/>
      </c>
      <c r="I783" s="704" t="n">
        <v>44491</v>
      </c>
      <c r="J783" t="n">
        <v>3170</v>
      </c>
      <c r="L783" t="n">
        <v>3170</v>
      </c>
      <c r="M783" t="n">
        <v>1985</v>
      </c>
      <c r="S783" t="n">
        <v>17860</v>
      </c>
      <c r="T783">
        <f>S783/J783</f>
        <v/>
      </c>
      <c r="Y783" t="n">
        <v>3165984</v>
      </c>
      <c r="AA783" t="n">
        <v>3165984</v>
      </c>
      <c r="AB783" t="inlineStr">
        <is>
          <t>Boston Market — Fast Food; src: Retail_Sales_Cleaned</t>
        </is>
      </c>
      <c r="AC783" t="inlineStr">
        <is>
          <t>2075-21-4-08-001</t>
        </is>
      </c>
      <c r="AI783">
        <f>IF(AND($E783=Subj_OccCode,Subj_BldgSF&gt;0,ABS($L783-Subj_BldgSF)&lt;=Subj_BldgSF*Subj_SizeTol),ABS($L783-Subj_BldgSF),NA())</f>
        <v/>
      </c>
      <c r="AJ783">
        <f>IF(ISNA(AI783),NA(),AI783+ROW()/10000000)</f>
        <v/>
      </c>
      <c r="AK783">
        <f>IF(AND(ISNUMBER($N783),$N783&gt;0,ISNUMBER($Y783)),$Y783/$N783,"")</f>
        <v/>
      </c>
    </row>
    <row r="784" ht="15" customHeight="1" s="518">
      <c r="A784" s="62" t="n">
        <v>8</v>
      </c>
      <c r="B784" s="59" t="n">
        <v>780</v>
      </c>
      <c r="D784" t="inlineStr">
        <is>
          <t>16770 E ILIFF AVE</t>
        </is>
      </c>
      <c r="E784" t="n">
        <v>410</v>
      </c>
      <c r="F784" t="inlineStr">
        <is>
          <t>AURORA</t>
        </is>
      </c>
      <c r="H784">
        <f>Y784/J784</f>
        <v/>
      </c>
      <c r="I784" s="704" t="n">
        <v>44007</v>
      </c>
      <c r="J784" t="n">
        <v>5197</v>
      </c>
      <c r="L784" t="n">
        <v>5197</v>
      </c>
      <c r="M784" t="n">
        <v>1979</v>
      </c>
      <c r="S784" t="n">
        <v>37374</v>
      </c>
      <c r="T784">
        <f>S784/J784</f>
        <v/>
      </c>
      <c r="Y784" t="n">
        <v>2333900</v>
      </c>
      <c r="AA784" t="n">
        <v>2333900</v>
      </c>
      <c r="AB784" t="inlineStr">
        <is>
          <t>Brakes Plus — Auto Service; 1031 Exchange,Bulk/Portfolio Sale,Investment Triple Net; src: Retail_Sales_Cleaned</t>
        </is>
      </c>
      <c r="AC784" t="inlineStr">
        <is>
          <t>1975-29-4-24-026</t>
        </is>
      </c>
      <c r="AI784">
        <f>IF(AND($E784=Subj_OccCode,Subj_BldgSF&gt;0,ABS($L784-Subj_BldgSF)&lt;=Subj_BldgSF*Subj_SizeTol),ABS($L784-Subj_BldgSF),NA())</f>
        <v/>
      </c>
      <c r="AJ784">
        <f>IF(ISNA(AI784),NA(),AI784+ROW()/10000000)</f>
        <v/>
      </c>
      <c r="AK784">
        <f>IF(AND(ISNUMBER($N784),$N784&gt;0,ISNUMBER($Y784)),$Y784/$N784,"")</f>
        <v/>
      </c>
    </row>
    <row r="785" ht="15" customHeight="1" s="518">
      <c r="A785" s="62" t="n">
        <v>8</v>
      </c>
      <c r="B785" s="59" t="n">
        <v>781</v>
      </c>
      <c r="D785" t="inlineStr">
        <is>
          <t>4901 S BROADWAY</t>
        </is>
      </c>
      <c r="E785" t="n">
        <v>349</v>
      </c>
      <c r="F785" t="inlineStr">
        <is>
          <t>ENGLEWOOD</t>
        </is>
      </c>
      <c r="H785">
        <f>Y785/J785</f>
        <v/>
      </c>
      <c r="I785" s="704" t="n">
        <v>44312</v>
      </c>
      <c r="J785" t="n">
        <v>2917</v>
      </c>
      <c r="L785" t="n">
        <v>2917</v>
      </c>
      <c r="M785" t="n">
        <v>1998</v>
      </c>
      <c r="S785" t="n">
        <v>33541</v>
      </c>
      <c r="T785">
        <f>S785/J785</f>
        <v/>
      </c>
      <c r="Y785" t="n">
        <v>1650000</v>
      </c>
      <c r="AA785" t="n">
        <v>1650000</v>
      </c>
      <c r="AB785" t="inlineStr">
        <is>
          <t>Burger King — Fast Food; src: Retail_Sales_Cleaned</t>
        </is>
      </c>
      <c r="AC785" t="inlineStr">
        <is>
          <t>2077-10-3-15-001</t>
        </is>
      </c>
      <c r="AI785">
        <f>IF(AND($E785=Subj_OccCode,Subj_BldgSF&gt;0,ABS($L785-Subj_BldgSF)&lt;=Subj_BldgSF*Subj_SizeTol),ABS($L785-Subj_BldgSF),NA())</f>
        <v/>
      </c>
      <c r="AJ785">
        <f>IF(ISNA(AI785),NA(),AI785+ROW()/10000000)</f>
        <v/>
      </c>
      <c r="AK785">
        <f>IF(AND(ISNUMBER($N785),$N785&gt;0,ISNUMBER($Y785)),$Y785/$N785,"")</f>
        <v/>
      </c>
    </row>
    <row r="786" ht="15" customHeight="1" s="518">
      <c r="A786" s="62" t="n">
        <v>8</v>
      </c>
      <c r="B786" s="59" t="n">
        <v>782</v>
      </c>
      <c r="D786" t="inlineStr">
        <is>
          <t>161 W MINERAL AVE</t>
        </is>
      </c>
      <c r="E786" t="n">
        <v>349</v>
      </c>
      <c r="F786" t="inlineStr">
        <is>
          <t>LITTLETON</t>
        </is>
      </c>
      <c r="H786">
        <f>Y786/J786</f>
        <v/>
      </c>
      <c r="I786" s="704" t="n">
        <v>44560</v>
      </c>
      <c r="J786" t="n">
        <v>3140</v>
      </c>
      <c r="L786" t="n">
        <v>3140</v>
      </c>
      <c r="M786" t="n">
        <v>2000</v>
      </c>
      <c r="S786" t="n">
        <v>36590</v>
      </c>
      <c r="T786">
        <f>S786/J786</f>
        <v/>
      </c>
      <c r="Y786" t="n">
        <v>2005484</v>
      </c>
      <c r="AA786" t="n">
        <v>2005484</v>
      </c>
      <c r="AB786" t="inlineStr">
        <is>
          <t>Carl's Jr — Fast Food; src: Retail_Sales_Cleaned</t>
        </is>
      </c>
      <c r="AC786" t="inlineStr">
        <is>
          <t>2077-34-2-17-005</t>
        </is>
      </c>
      <c r="AI786">
        <f>IF(AND($E786=Subj_OccCode,Subj_BldgSF&gt;0,ABS($L786-Subj_BldgSF)&lt;=Subj_BldgSF*Subj_SizeTol),ABS($L786-Subj_BldgSF),NA())</f>
        <v/>
      </c>
      <c r="AJ786">
        <f>IF(ISNA(AI786),NA(),AI786+ROW()/10000000)</f>
        <v/>
      </c>
      <c r="AK786">
        <f>IF(AND(ISNUMBER($N786),$N786&gt;0,ISNUMBER($Y786)),$Y786/$N786,"")</f>
        <v/>
      </c>
    </row>
    <row r="787" ht="15" customHeight="1" s="518">
      <c r="A787" s="62" t="n">
        <v>8</v>
      </c>
      <c r="B787" s="59" t="n">
        <v>783</v>
      </c>
      <c r="D787" t="inlineStr">
        <is>
          <t>1683 W SHERI LN</t>
        </is>
      </c>
      <c r="E787" t="n">
        <v>410</v>
      </c>
      <c r="F787" t="inlineStr">
        <is>
          <t>LITTLETON</t>
        </is>
      </c>
      <c r="H787">
        <f>Y787/J787</f>
        <v/>
      </c>
      <c r="I787" s="704" t="n">
        <v>44123</v>
      </c>
      <c r="J787" t="n">
        <v>8736</v>
      </c>
      <c r="L787" t="n">
        <v>8736</v>
      </c>
      <c r="M787" t="n">
        <v>1973</v>
      </c>
      <c r="S787" t="n">
        <v>36155</v>
      </c>
      <c r="T787">
        <f>S787/J787</f>
        <v/>
      </c>
      <c r="Y787" t="n">
        <v>2400000</v>
      </c>
      <c r="AA787" t="n">
        <v>2400000</v>
      </c>
      <c r="AB787" t="inlineStr">
        <is>
          <t>Carstar — Auto Service; src: Retail_Sales_Cleaned</t>
        </is>
      </c>
      <c r="AC787" t="inlineStr">
        <is>
          <t>2077-16-2-01-008</t>
        </is>
      </c>
      <c r="AI787">
        <f>IF(AND($E787=Subj_OccCode,Subj_BldgSF&gt;0,ABS($L787-Subj_BldgSF)&lt;=Subj_BldgSF*Subj_SizeTol),ABS($L787-Subj_BldgSF),NA())</f>
        <v/>
      </c>
      <c r="AJ787">
        <f>IF(ISNA(AI787),NA(),AI787+ROW()/10000000)</f>
        <v/>
      </c>
      <c r="AK787">
        <f>IF(AND(ISNUMBER($N787),$N787&gt;0,ISNUMBER($Y787)),$Y787/$N787,"")</f>
        <v/>
      </c>
    </row>
    <row r="788" ht="15" customHeight="1" s="518">
      <c r="A788" s="62" t="n">
        <v>8</v>
      </c>
      <c r="B788" s="59" t="n">
        <v>784</v>
      </c>
      <c r="D788" t="inlineStr">
        <is>
          <t>5600 S PARKER RD</t>
        </is>
      </c>
      <c r="E788" t="n">
        <v>349</v>
      </c>
      <c r="F788" t="inlineStr">
        <is>
          <t>AURORA</t>
        </is>
      </c>
      <c r="H788">
        <f>Y788/J788</f>
        <v/>
      </c>
      <c r="I788" s="704" t="n">
        <v>43704</v>
      </c>
      <c r="J788" t="n">
        <v>4304</v>
      </c>
      <c r="L788" t="n">
        <v>4304</v>
      </c>
      <c r="M788" t="n">
        <v>2002</v>
      </c>
      <c r="S788" t="n">
        <v>1</v>
      </c>
      <c r="T788">
        <f>S788/J788</f>
        <v/>
      </c>
      <c r="Y788" t="n">
        <v>2195000</v>
      </c>
      <c r="AA788" t="n">
        <v>2195000</v>
      </c>
      <c r="AB788" t="inlineStr">
        <is>
          <t>Chick-fil-A — Fast Food [Paired Sale]; Confirmed; src: Retail_Sales_Cleaned</t>
        </is>
      </c>
      <c r="AC788" t="inlineStr">
        <is>
          <t>2073-18-1-27-001</t>
        </is>
      </c>
      <c r="AI788">
        <f>IF(AND($E788=Subj_OccCode,Subj_BldgSF&gt;0,ABS($L788-Subj_BldgSF)&lt;=Subj_BldgSF*Subj_SizeTol),ABS($L788-Subj_BldgSF),NA())</f>
        <v/>
      </c>
      <c r="AJ788">
        <f>IF(ISNA(AI788),NA(),AI788+ROW()/10000000)</f>
        <v/>
      </c>
      <c r="AK788">
        <f>IF(AND(ISNUMBER($N788),$N788&gt;0,ISNUMBER($Y788)),$Y788/$N788,"")</f>
        <v/>
      </c>
    </row>
    <row r="789" ht="15" customHeight="1" s="518">
      <c r="A789" s="62" t="n">
        <v>8</v>
      </c>
      <c r="B789" s="59" t="n">
        <v>785</v>
      </c>
      <c r="D789" t="inlineStr">
        <is>
          <t>6997 S UNIVERSITY BLVD</t>
        </is>
      </c>
      <c r="E789" t="n">
        <v>349</v>
      </c>
      <c r="F789" t="inlineStr">
        <is>
          <t>CENTENNIAL</t>
        </is>
      </c>
      <c r="H789">
        <f>Y789/J789</f>
        <v/>
      </c>
      <c r="I789" s="704" t="n">
        <v>44663</v>
      </c>
      <c r="J789" t="n">
        <v>7350</v>
      </c>
      <c r="L789" t="n">
        <v>7350</v>
      </c>
      <c r="M789" t="n">
        <v>2013</v>
      </c>
      <c r="S789" t="n">
        <v>0.449</v>
      </c>
      <c r="T789">
        <f>S789/J789</f>
        <v/>
      </c>
      <c r="Y789" t="n">
        <v>6539000</v>
      </c>
      <c r="AA789" t="n">
        <v>6539000</v>
      </c>
      <c r="AB789" t="inlineStr">
        <is>
          <t>Chick-fil-A — Fast Food; Confirmed; src: Retail_Sales_Cleaned</t>
        </is>
      </c>
      <c r="AC789" t="inlineStr">
        <is>
          <t>2077-25-2-13-005</t>
        </is>
      </c>
      <c r="AI789">
        <f>IF(AND($E789=Subj_OccCode,Subj_BldgSF&gt;0,ABS($L789-Subj_BldgSF)&lt;=Subj_BldgSF*Subj_SizeTol),ABS($L789-Subj_BldgSF),NA())</f>
        <v/>
      </c>
      <c r="AJ789">
        <f>IF(ISNA(AI789),NA(),AI789+ROW()/10000000)</f>
        <v/>
      </c>
      <c r="AK789">
        <f>IF(AND(ISNUMBER($N789),$N789&gt;0,ISNUMBER($Y789)),$Y789/$N789,"")</f>
        <v/>
      </c>
    </row>
    <row r="790" ht="15" customHeight="1" s="518">
      <c r="A790" s="62" t="n">
        <v>8</v>
      </c>
      <c r="B790" s="59" t="n">
        <v>786</v>
      </c>
      <c r="D790" t="inlineStr">
        <is>
          <t>5600 S PARKER RD</t>
        </is>
      </c>
      <c r="E790" t="n">
        <v>349</v>
      </c>
      <c r="F790" t="inlineStr">
        <is>
          <t>AURORA</t>
        </is>
      </c>
      <c r="H790">
        <f>Y790/J790</f>
        <v/>
      </c>
      <c r="I790" s="704" t="n">
        <v>45450</v>
      </c>
      <c r="J790" t="n">
        <v>4304</v>
      </c>
      <c r="L790" t="n">
        <v>4304</v>
      </c>
      <c r="M790" t="n">
        <v>2002</v>
      </c>
      <c r="S790" t="n">
        <v>43560</v>
      </c>
      <c r="T790">
        <f>S790/J790</f>
        <v/>
      </c>
      <c r="Y790" t="n">
        <v>1750000</v>
      </c>
      <c r="AA790" t="n">
        <v>1750000</v>
      </c>
      <c r="AB790" t="inlineStr">
        <is>
          <t>Chick-fil-A — Fast Food; Investment Triple Net; src: Retail_Sales_Cleaned</t>
        </is>
      </c>
      <c r="AC790" t="inlineStr">
        <is>
          <t>2073-18-1-27-001</t>
        </is>
      </c>
      <c r="AI790">
        <f>IF(AND($E790=Subj_OccCode,Subj_BldgSF&gt;0,ABS($L790-Subj_BldgSF)&lt;=Subj_BldgSF*Subj_SizeTol),ABS($L790-Subj_BldgSF),NA())</f>
        <v/>
      </c>
      <c r="AJ790">
        <f>IF(ISNA(AI790),NA(),AI790+ROW()/10000000)</f>
        <v/>
      </c>
      <c r="AK790">
        <f>IF(AND(ISNUMBER($N790),$N790&gt;0,ISNUMBER($Y790)),$Y790/$N790,"")</f>
        <v/>
      </c>
    </row>
    <row r="791" ht="15" customHeight="1" s="518">
      <c r="A791" s="62" t="n">
        <v>8</v>
      </c>
      <c r="B791" s="59" t="n">
        <v>787</v>
      </c>
      <c r="D791" t="inlineStr">
        <is>
          <t>11900 E COLFAX AVE</t>
        </is>
      </c>
      <c r="E791" t="n">
        <v>349</v>
      </c>
      <c r="F791" t="inlineStr">
        <is>
          <t>AURORA</t>
        </is>
      </c>
      <c r="H791">
        <f>Y791/J791</f>
        <v/>
      </c>
      <c r="I791" s="704" t="n">
        <v>43915</v>
      </c>
      <c r="J791" t="n">
        <v>1228</v>
      </c>
      <c r="L791" t="n">
        <v>1228</v>
      </c>
      <c r="M791" t="n">
        <v>1963</v>
      </c>
      <c r="S791" t="n">
        <v>9583</v>
      </c>
      <c r="T791">
        <f>S791/J791</f>
        <v/>
      </c>
      <c r="Y791" t="n">
        <v>1200000</v>
      </c>
      <c r="AA791" t="n">
        <v>1200000</v>
      </c>
      <c r="AB791" t="inlineStr">
        <is>
          <t>Church's Texas Chicken — Fast Food; Investment Triple Net; src: Retail_Sales_Cleaned</t>
        </is>
      </c>
      <c r="AC791" t="inlineStr">
        <is>
          <t>1973-02-1-01-001</t>
        </is>
      </c>
      <c r="AI791">
        <f>IF(AND($E791=Subj_OccCode,Subj_BldgSF&gt;0,ABS($L791-Subj_BldgSF)&lt;=Subj_BldgSF*Subj_SizeTol),ABS($L791-Subj_BldgSF),NA())</f>
        <v/>
      </c>
      <c r="AJ791">
        <f>IF(ISNA(AI791),NA(),AI791+ROW()/10000000)</f>
        <v/>
      </c>
      <c r="AK791">
        <f>IF(AND(ISNUMBER($N791),$N791&gt;0,ISNUMBER($Y791)),$Y791/$N791,"")</f>
        <v/>
      </c>
    </row>
    <row r="792" ht="15" customHeight="1" s="518">
      <c r="A792" s="62" t="n">
        <v>8</v>
      </c>
      <c r="B792" s="59" t="n">
        <v>788</v>
      </c>
      <c r="D792" t="inlineStr">
        <is>
          <t>5311 S BROADWAY CIR</t>
        </is>
      </c>
      <c r="E792" t="n">
        <v>325</v>
      </c>
      <c r="F792" t="inlineStr">
        <is>
          <t>ENGLEWOOD</t>
        </is>
      </c>
      <c r="H792">
        <f>Y792/J792</f>
        <v/>
      </c>
      <c r="I792" s="704" t="n">
        <v>44673</v>
      </c>
      <c r="J792" t="n">
        <v>6916</v>
      </c>
      <c r="L792" t="n">
        <v>6916</v>
      </c>
      <c r="M792" t="n">
        <v>1966</v>
      </c>
      <c r="S792" t="n">
        <v>19563</v>
      </c>
      <c r="T792">
        <f>S792/J792</f>
        <v/>
      </c>
      <c r="Y792" t="n">
        <v>1150000</v>
      </c>
      <c r="AA792" t="n">
        <v>1150000</v>
      </c>
      <c r="AB792" t="inlineStr">
        <is>
          <t>Colorado Car Clinic — Auto Service; Purchase By Tenant; src: Retail_Sales_Cleaned</t>
        </is>
      </c>
      <c r="AC792" t="inlineStr">
        <is>
          <t>2077-15-2-00-003</t>
        </is>
      </c>
      <c r="AI792">
        <f>IF(AND($E792=Subj_OccCode,Subj_BldgSF&gt;0,ABS($L792-Subj_BldgSF)&lt;=Subj_BldgSF*Subj_SizeTol),ABS($L792-Subj_BldgSF),NA())</f>
        <v/>
      </c>
      <c r="AJ792">
        <f>IF(ISNA(AI792),NA(),AI792+ROW()/10000000)</f>
        <v/>
      </c>
      <c r="AK792">
        <f>IF(AND(ISNUMBER($N792),$N792&gt;0,ISNUMBER($Y792)),$Y792/$N792,"")</f>
        <v/>
      </c>
    </row>
    <row r="793" ht="15" customHeight="1" s="518">
      <c r="A793" s="62" t="n">
        <v>8</v>
      </c>
      <c r="B793" s="59" t="n">
        <v>789</v>
      </c>
      <c r="D793" t="inlineStr">
        <is>
          <t>22675 E AURORA PKY</t>
        </is>
      </c>
      <c r="E793" t="n">
        <v>446</v>
      </c>
      <c r="F793" t="inlineStr">
        <is>
          <t>AURORA</t>
        </is>
      </c>
      <c r="H793">
        <f>Y793/J793</f>
        <v/>
      </c>
      <c r="I793" s="704" t="n">
        <v>44469</v>
      </c>
      <c r="J793" t="n">
        <v>58409</v>
      </c>
      <c r="L793" t="n">
        <v>58409</v>
      </c>
      <c r="M793" t="n">
        <v>2002</v>
      </c>
      <c r="S793" t="n">
        <v>256133</v>
      </c>
      <c r="T793">
        <f>S793/J793</f>
        <v/>
      </c>
      <c r="Y793" t="n">
        <v>6100000</v>
      </c>
      <c r="AA793" t="n">
        <v>6100000</v>
      </c>
      <c r="AB793" t="inlineStr">
        <is>
          <t>Dark - Safeway — Supermarket [Dark]; High Vacancy Property; src: Retail_Sales_Cleaned</t>
        </is>
      </c>
      <c r="AC793" t="inlineStr">
        <is>
          <t>2073-36-1-06-003</t>
        </is>
      </c>
      <c r="AI793">
        <f>IF(AND($E793=Subj_OccCode,Subj_BldgSF&gt;0,ABS($L793-Subj_BldgSF)&lt;=Subj_BldgSF*Subj_SizeTol),ABS($L793-Subj_BldgSF),NA())</f>
        <v/>
      </c>
      <c r="AJ793">
        <f>IF(ISNA(AI793),NA(),AI793+ROW()/10000000)</f>
        <v/>
      </c>
      <c r="AK793">
        <f>IF(AND(ISNUMBER($N793),$N793&gt;0,ISNUMBER($Y793)),$Y793/$N793,"")</f>
        <v/>
      </c>
    </row>
    <row r="794" ht="15" customHeight="1" s="518">
      <c r="A794" s="62" t="n">
        <v>8</v>
      </c>
      <c r="B794" s="59" t="n">
        <v>790</v>
      </c>
      <c r="D794" t="inlineStr">
        <is>
          <t>3705 RIVER POINT PKY</t>
        </is>
      </c>
      <c r="E794" t="n">
        <v>349</v>
      </c>
      <c r="F794" t="inlineStr">
        <is>
          <t>SHERIDAN</t>
        </is>
      </c>
      <c r="H794">
        <f>Y794/J794</f>
        <v/>
      </c>
      <c r="I794" s="704" t="n">
        <v>44824</v>
      </c>
      <c r="J794" t="n">
        <v>542</v>
      </c>
      <c r="L794" t="n">
        <v>542</v>
      </c>
      <c r="M794" t="n">
        <v>2022</v>
      </c>
      <c r="S794" t="n">
        <v>44867</v>
      </c>
      <c r="T794">
        <f>S794/J794</f>
        <v/>
      </c>
      <c r="Y794" t="n">
        <v>2772151</v>
      </c>
      <c r="AA794" t="n">
        <v>2772151</v>
      </c>
      <c r="AB794" t="inlineStr">
        <is>
          <t>Dutch Bros — Coffee; 1031 Exchange,Investment Triple Net; src: Retail_Sales_Cleaned</t>
        </is>
      </c>
      <c r="AC794" t="inlineStr">
        <is>
          <t>2077-04-1-30-002</t>
        </is>
      </c>
      <c r="AI794">
        <f>IF(AND($E794=Subj_OccCode,Subj_BldgSF&gt;0,ABS($L794-Subj_BldgSF)&lt;=Subj_BldgSF*Subj_SizeTol),ABS($L794-Subj_BldgSF),NA())</f>
        <v/>
      </c>
      <c r="AJ794">
        <f>IF(ISNA(AI794),NA(),AI794+ROW()/10000000)</f>
        <v/>
      </c>
      <c r="AK794">
        <f>IF(AND(ISNUMBER($N794),$N794&gt;0,ISNUMBER($Y794)),$Y794/$N794,"")</f>
        <v/>
      </c>
    </row>
    <row r="795" ht="15" customHeight="1" s="518">
      <c r="A795" s="62" t="n">
        <v>8</v>
      </c>
      <c r="B795" s="59" t="n">
        <v>791</v>
      </c>
      <c r="D795" t="inlineStr">
        <is>
          <t>1400 HAVANA ST</t>
        </is>
      </c>
      <c r="E795" t="n">
        <v>325</v>
      </c>
      <c r="F795" t="inlineStr">
        <is>
          <t>AURORA</t>
        </is>
      </c>
      <c r="H795">
        <f>Y795/J795</f>
        <v/>
      </c>
      <c r="I795" s="704" t="n">
        <v>45359</v>
      </c>
      <c r="J795" t="n">
        <v>1305</v>
      </c>
      <c r="L795" t="n">
        <v>1305</v>
      </c>
      <c r="M795" t="n">
        <v>1953</v>
      </c>
      <c r="S795" t="n">
        <v>12632</v>
      </c>
      <c r="T795">
        <f>S795/J795</f>
        <v/>
      </c>
      <c r="Y795" t="n">
        <v>995000</v>
      </c>
      <c r="AA795" t="n">
        <v>995000</v>
      </c>
      <c r="AB795" t="inlineStr">
        <is>
          <t>Ebenezer Auto Repair — Auto Service; src: Retail_Sales_Cleaned</t>
        </is>
      </c>
      <c r="AC795" t="inlineStr">
        <is>
          <t>1973-02-2-08-008</t>
        </is>
      </c>
      <c r="AI795">
        <f>IF(AND($E795=Subj_OccCode,Subj_BldgSF&gt;0,ABS($L795-Subj_BldgSF)&lt;=Subj_BldgSF*Subj_SizeTol),ABS($L795-Subj_BldgSF),NA())</f>
        <v/>
      </c>
      <c r="AJ795">
        <f>IF(ISNA(AI795),NA(),AI795+ROW()/10000000)</f>
        <v/>
      </c>
      <c r="AK795">
        <f>IF(AND(ISNUMBER($N795),$N795&gt;0,ISNUMBER($Y795)),$Y795/$N795,"")</f>
        <v/>
      </c>
    </row>
    <row r="796" ht="15" customHeight="1" s="518">
      <c r="A796" s="62" t="n">
        <v>8</v>
      </c>
      <c r="B796" s="59" t="n">
        <v>792</v>
      </c>
      <c r="D796" t="inlineStr">
        <is>
          <t>25850 E ARAPHOE RD</t>
        </is>
      </c>
      <c r="E796" t="n">
        <v>426</v>
      </c>
      <c r="F796" t="inlineStr">
        <is>
          <t>AURORA</t>
        </is>
      </c>
      <c r="H796">
        <f>Y796/J796</f>
        <v/>
      </c>
      <c r="I796" s="704" t="n">
        <v>44552</v>
      </c>
      <c r="J796" t="n">
        <v>10600</v>
      </c>
      <c r="L796" t="n">
        <v>10600</v>
      </c>
      <c r="M796" t="n">
        <v>2015</v>
      </c>
      <c r="S796" t="n">
        <v>87120</v>
      </c>
      <c r="T796">
        <f>S796/J796</f>
        <v/>
      </c>
      <c r="Y796" t="n">
        <v>6678380</v>
      </c>
      <c r="AA796" t="n">
        <v>6678380</v>
      </c>
      <c r="AB796" t="inlineStr">
        <is>
          <t>Everbrook Academy Aurora — Daycare; 1031 Exchange,Investment Triple Net; src: Retail_Sales_Cleaned</t>
        </is>
      </c>
      <c r="AC796" t="inlineStr">
        <is>
          <t>2071-29-1-06-004</t>
        </is>
      </c>
      <c r="AI796">
        <f>IF(AND($E796=Subj_OccCode,Subj_BldgSF&gt;0,ABS($L796-Subj_BldgSF)&lt;=Subj_BldgSF*Subj_SizeTol),ABS($L796-Subj_BldgSF),NA())</f>
        <v/>
      </c>
      <c r="AJ796">
        <f>IF(ISNA(AI796),NA(),AI796+ROW()/10000000)</f>
        <v/>
      </c>
      <c r="AK796">
        <f>IF(AND(ISNUMBER($N796),$N796&gt;0,ISNUMBER($Y796)),$Y796/$N796,"")</f>
        <v/>
      </c>
    </row>
    <row r="797" ht="15" customHeight="1" s="518">
      <c r="A797" s="62" t="n">
        <v>8</v>
      </c>
      <c r="B797" s="59" t="n">
        <v>793</v>
      </c>
      <c r="D797" t="inlineStr">
        <is>
          <t>1395 PEORIA ST</t>
        </is>
      </c>
      <c r="E797" t="n">
        <v>319</v>
      </c>
      <c r="F797" t="inlineStr">
        <is>
          <t>AURORA</t>
        </is>
      </c>
      <c r="H797">
        <f>Y797/J797</f>
        <v/>
      </c>
      <c r="I797" s="704" t="n">
        <v>43097</v>
      </c>
      <c r="J797" t="n">
        <v>8248</v>
      </c>
      <c r="L797" t="n">
        <v>8248</v>
      </c>
      <c r="M797" t="n">
        <v>2017</v>
      </c>
      <c r="S797" t="n">
        <v>29382</v>
      </c>
      <c r="T797">
        <f>S797/J797</f>
        <v/>
      </c>
      <c r="Y797" t="n">
        <v>1962717</v>
      </c>
      <c r="AA797" t="n">
        <v>1962717</v>
      </c>
      <c r="AB797" t="inlineStr">
        <is>
          <t>Family Dollar — Dollar Store [Out of Time Frame]; Bulk/Portfolio Sale,Investment Triple Net; src: Retail_Sales_Cleaned</t>
        </is>
      </c>
      <c r="AC797" t="inlineStr">
        <is>
          <t>1973-02-1-27-001</t>
        </is>
      </c>
      <c r="AI797">
        <f>IF(AND($E797=Subj_OccCode,Subj_BldgSF&gt;0,ABS($L797-Subj_BldgSF)&lt;=Subj_BldgSF*Subj_SizeTol),ABS($L797-Subj_BldgSF),NA())</f>
        <v/>
      </c>
      <c r="AJ797">
        <f>IF(ISNA(AI797),NA(),AI797+ROW()/10000000)</f>
        <v/>
      </c>
      <c r="AK797">
        <f>IF(AND(ISNUMBER($N797),$N797&gt;0,ISNUMBER($Y797)),$Y797/$N797,"")</f>
        <v/>
      </c>
    </row>
    <row r="798" ht="15" customHeight="1" s="518">
      <c r="A798" s="62" t="n">
        <v>8</v>
      </c>
      <c r="B798" s="59" t="n">
        <v>794</v>
      </c>
      <c r="D798" t="inlineStr">
        <is>
          <t>10204 E COLFAX AVE</t>
        </is>
      </c>
      <c r="E798" t="n">
        <v>319</v>
      </c>
      <c r="F798" t="inlineStr">
        <is>
          <t>AURORA</t>
        </is>
      </c>
      <c r="H798">
        <f>Y798/J798</f>
        <v/>
      </c>
      <c r="I798" s="704" t="n">
        <v>44881</v>
      </c>
      <c r="J798" t="n">
        <v>7738</v>
      </c>
      <c r="L798" t="n">
        <v>7738</v>
      </c>
      <c r="M798" t="n">
        <v>1952</v>
      </c>
      <c r="S798" t="n">
        <v>0.4279</v>
      </c>
      <c r="T798">
        <f>S798/J798</f>
        <v/>
      </c>
      <c r="Y798" t="n">
        <v>1362000</v>
      </c>
      <c r="AA798" t="n">
        <v>1362000</v>
      </c>
      <c r="AB798" t="inlineStr">
        <is>
          <t>Family Dollar — Dollar Store; src: Retail_Sales_Cleaned</t>
        </is>
      </c>
      <c r="AC798" t="inlineStr">
        <is>
          <t>1973-03-1-03-014</t>
        </is>
      </c>
      <c r="AI798">
        <f>IF(AND($E798=Subj_OccCode,Subj_BldgSF&gt;0,ABS($L798-Subj_BldgSF)&lt;=Subj_BldgSF*Subj_SizeTol),ABS($L798-Subj_BldgSF),NA())</f>
        <v/>
      </c>
      <c r="AJ798">
        <f>IF(ISNA(AI798),NA(),AI798+ROW()/10000000)</f>
        <v/>
      </c>
      <c r="AK798">
        <f>IF(AND(ISNUMBER($N798),$N798&gt;0,ISNUMBER($Y798)),$Y798/$N798,"")</f>
        <v/>
      </c>
    </row>
    <row r="799" ht="15" customHeight="1" s="518">
      <c r="A799" s="62" t="n">
        <v>8</v>
      </c>
      <c r="B799" s="59" t="n">
        <v>795</v>
      </c>
      <c r="D799" t="inlineStr">
        <is>
          <t>16380 E ARAPAHOE RD</t>
        </is>
      </c>
      <c r="E799" t="n">
        <v>410</v>
      </c>
      <c r="F799" t="inlineStr">
        <is>
          <t>FOXFIELD</t>
        </is>
      </c>
      <c r="H799">
        <f>Y799/J799</f>
        <v/>
      </c>
      <c r="I799" s="704" t="n">
        <v>44749</v>
      </c>
      <c r="J799" t="n">
        <v>8143</v>
      </c>
      <c r="L799" t="n">
        <v>8143</v>
      </c>
      <c r="M799" t="n">
        <v>2007</v>
      </c>
      <c r="S799" t="n">
        <v>27007</v>
      </c>
      <c r="T799">
        <f>S799/J799</f>
        <v/>
      </c>
      <c r="Y799" t="n">
        <v>4809000</v>
      </c>
      <c r="AA799" t="n">
        <v>4809000</v>
      </c>
      <c r="AB799" t="inlineStr">
        <is>
          <t>Firestone — Auto Service; Investment Triple Net; src: Retail_Sales_Cleaned</t>
        </is>
      </c>
      <c r="AC799" t="inlineStr">
        <is>
          <t>2073-29-1-08-003</t>
        </is>
      </c>
      <c r="AI799">
        <f>IF(AND($E799=Subj_OccCode,Subj_BldgSF&gt;0,ABS($L799-Subj_BldgSF)&lt;=Subj_BldgSF*Subj_SizeTol),ABS($L799-Subj_BldgSF),NA())</f>
        <v/>
      </c>
      <c r="AJ799">
        <f>IF(ISNA(AI799),NA(),AI799+ROW()/10000000)</f>
        <v/>
      </c>
      <c r="AK799">
        <f>IF(AND(ISNUMBER($N799),$N799&gt;0,ISNUMBER($Y799)),$Y799/$N799,"")</f>
        <v/>
      </c>
    </row>
    <row r="800" ht="15" customHeight="1" s="518">
      <c r="A800" s="62" t="n">
        <v>8</v>
      </c>
      <c r="B800" s="59" t="n">
        <v>796</v>
      </c>
      <c r="D800" t="inlineStr">
        <is>
          <t>8273 S QUEBEC ST</t>
        </is>
      </c>
      <c r="E800" t="n">
        <v>410</v>
      </c>
      <c r="F800" t="inlineStr">
        <is>
          <t>CENTENNIAL</t>
        </is>
      </c>
      <c r="H800">
        <f>Y800/J800</f>
        <v/>
      </c>
      <c r="I800" s="704" t="n">
        <v>44684</v>
      </c>
      <c r="J800" t="n">
        <v>4900</v>
      </c>
      <c r="L800" t="n">
        <v>4900</v>
      </c>
      <c r="M800" t="n">
        <v>1996</v>
      </c>
      <c r="S800" t="n">
        <v>50050</v>
      </c>
      <c r="T800">
        <f>S800/J800</f>
        <v/>
      </c>
      <c r="Y800" t="n">
        <v>2000000</v>
      </c>
      <c r="AA800" t="n">
        <v>2000000</v>
      </c>
      <c r="AB800" t="inlineStr">
        <is>
          <t>Former Goodyear — Auto Service; 1031 Exchange; src: Retail_Sales_Cleaned</t>
        </is>
      </c>
      <c r="AC800" t="inlineStr">
        <is>
          <t>2075-32-4-23-004</t>
        </is>
      </c>
      <c r="AI800">
        <f>IF(AND($E800=Subj_OccCode,Subj_BldgSF&gt;0,ABS($L800-Subj_BldgSF)&lt;=Subj_BldgSF*Subj_SizeTol),ABS($L800-Subj_BldgSF),NA())</f>
        <v/>
      </c>
      <c r="AJ800">
        <f>IF(ISNA(AI800),NA(),AI800+ROW()/10000000)</f>
        <v/>
      </c>
      <c r="AK800">
        <f>IF(AND(ISNUMBER($N800),$N800&gt;0,ISNUMBER($Y800)),$Y800/$N800,"")</f>
        <v/>
      </c>
    </row>
    <row r="801" ht="15" customHeight="1" s="518">
      <c r="A801" s="62" t="n">
        <v>8</v>
      </c>
      <c r="B801" s="59" t="n">
        <v>797</v>
      </c>
      <c r="D801" t="inlineStr">
        <is>
          <t>6667 S YOSEMITE CT</t>
        </is>
      </c>
      <c r="E801" t="n">
        <v>349</v>
      </c>
      <c r="F801" t="inlineStr">
        <is>
          <t>ENGLEWOOD</t>
        </is>
      </c>
      <c r="H801">
        <f>Y801/J801</f>
        <v/>
      </c>
      <c r="I801" s="704" t="n">
        <v>45153</v>
      </c>
      <c r="J801" t="n">
        <v>884</v>
      </c>
      <c r="L801" t="n">
        <v>884</v>
      </c>
      <c r="M801" t="n">
        <v>1992</v>
      </c>
      <c r="S801" t="n">
        <v>28750</v>
      </c>
      <c r="T801">
        <f>S801/J801</f>
        <v/>
      </c>
      <c r="Y801" t="n">
        <v>1150000</v>
      </c>
      <c r="AA801" t="n">
        <v>1150000</v>
      </c>
      <c r="AB801" t="inlineStr">
        <is>
          <t>Good Times — Fast Food; src: Retail_Sales_Cleaned</t>
        </is>
      </c>
      <c r="AC801" t="inlineStr">
        <is>
          <t>2075-21-4-10-003</t>
        </is>
      </c>
      <c r="AI801">
        <f>IF(AND($E801=Subj_OccCode,Subj_BldgSF&gt;0,ABS($L801-Subj_BldgSF)&lt;=Subj_BldgSF*Subj_SizeTol),ABS($L801-Subj_BldgSF),NA())</f>
        <v/>
      </c>
      <c r="AJ801">
        <f>IF(ISNA(AI801),NA(),AI801+ROW()/10000000)</f>
        <v/>
      </c>
      <c r="AK801">
        <f>IF(AND(ISNUMBER($N801),$N801&gt;0,ISNUMBER($Y801)),$Y801/$N801,"")</f>
        <v/>
      </c>
    </row>
    <row r="802" ht="15" customHeight="1" s="518">
      <c r="A802" s="62" t="n">
        <v>8</v>
      </c>
      <c r="B802" s="59" t="n">
        <v>798</v>
      </c>
      <c r="D802" t="inlineStr">
        <is>
          <t>6150 S TOWER RD</t>
        </is>
      </c>
      <c r="E802" t="n">
        <v>426</v>
      </c>
      <c r="F802" t="inlineStr">
        <is>
          <t>AURORA</t>
        </is>
      </c>
      <c r="H802">
        <f>Y802/J802</f>
        <v/>
      </c>
      <c r="I802" s="704" t="n">
        <v>44062</v>
      </c>
      <c r="J802" t="n">
        <v>12900</v>
      </c>
      <c r="L802" t="n">
        <v>12900</v>
      </c>
      <c r="M802" t="n">
        <v>2002</v>
      </c>
      <c r="S802" t="n">
        <v>94862</v>
      </c>
      <c r="T802">
        <f>S802/J802</f>
        <v/>
      </c>
      <c r="Y802" t="n">
        <v>3300000</v>
      </c>
      <c r="AA802" t="n">
        <v>3300000</v>
      </c>
      <c r="AB802" t="inlineStr">
        <is>
          <t>Guidepost Montessori — Daycare; 1031 Exchange; src: Retail_Sales_Cleaned</t>
        </is>
      </c>
      <c r="AC802" t="inlineStr">
        <is>
          <t>2073-21-1-39-001</t>
        </is>
      </c>
      <c r="AI802">
        <f>IF(AND($E802=Subj_OccCode,Subj_BldgSF&gt;0,ABS($L802-Subj_BldgSF)&lt;=Subj_BldgSF*Subj_SizeTol),ABS($L802-Subj_BldgSF),NA())</f>
        <v/>
      </c>
      <c r="AJ802">
        <f>IF(ISNA(AI802),NA(),AI802+ROW()/10000000)</f>
        <v/>
      </c>
      <c r="AK802">
        <f>IF(AND(ISNUMBER($N802),$N802&gt;0,ISNUMBER($Y802)),$Y802/$N802,"")</f>
        <v/>
      </c>
    </row>
    <row r="803" ht="15" customHeight="1" s="518">
      <c r="A803" s="62" t="n">
        <v>8</v>
      </c>
      <c r="B803" s="59" t="n">
        <v>799</v>
      </c>
      <c r="D803" t="inlineStr">
        <is>
          <t>5325 S VALENTIA WAY</t>
        </is>
      </c>
      <c r="E803" t="n">
        <v>426</v>
      </c>
      <c r="F803" t="inlineStr">
        <is>
          <t>GREENWOOD VILLAGE</t>
        </is>
      </c>
      <c r="H803">
        <f>Y803/J803</f>
        <v/>
      </c>
      <c r="I803" s="704" t="n">
        <v>45048</v>
      </c>
      <c r="J803" t="n">
        <v>13728</v>
      </c>
      <c r="L803" t="n">
        <v>13728</v>
      </c>
      <c r="M803" t="n">
        <v>1980</v>
      </c>
      <c r="S803" t="n">
        <v>33977</v>
      </c>
      <c r="T803">
        <f>S803/J803</f>
        <v/>
      </c>
      <c r="Y803" t="n">
        <v>3160000</v>
      </c>
      <c r="AA803" t="n">
        <v>3160000</v>
      </c>
      <c r="AB803" t="inlineStr">
        <is>
          <t>Guidepost Montessori — Daycare; src: Retail_Sales_Cleaned</t>
        </is>
      </c>
      <c r="AC803" t="inlineStr">
        <is>
          <t>2075-16-1-06-003</t>
        </is>
      </c>
      <c r="AI803">
        <f>IF(AND($E803=Subj_OccCode,Subj_BldgSF&gt;0,ABS($L803-Subj_BldgSF)&lt;=Subj_BldgSF*Subj_SizeTol),ABS($L803-Subj_BldgSF),NA())</f>
        <v/>
      </c>
      <c r="AJ803">
        <f>IF(ISNA(AI803),NA(),AI803+ROW()/10000000)</f>
        <v/>
      </c>
      <c r="AK803">
        <f>IF(AND(ISNUMBER($N803),$N803&gt;0,ISNUMBER($Y803)),$Y803/$N803,"")</f>
        <v/>
      </c>
    </row>
    <row r="804" ht="15" customHeight="1" s="518">
      <c r="A804" s="62" t="n">
        <v>8</v>
      </c>
      <c r="B804" s="59" t="n">
        <v>800</v>
      </c>
      <c r="D804" t="inlineStr">
        <is>
          <t>5700 S BROADWAY</t>
        </is>
      </c>
      <c r="E804" t="n">
        <v>325</v>
      </c>
      <c r="F804" t="inlineStr">
        <is>
          <t>LITTLETON</t>
        </is>
      </c>
      <c r="H804">
        <f>Y804/J804</f>
        <v/>
      </c>
      <c r="I804" s="704" t="n">
        <v>44168</v>
      </c>
      <c r="J804" t="n">
        <v>66777</v>
      </c>
      <c r="L804" t="n">
        <v>66777</v>
      </c>
      <c r="M804" t="n">
        <v>1984</v>
      </c>
      <c r="S804" t="n">
        <v>94961</v>
      </c>
      <c r="T804">
        <f>S804/J804</f>
        <v/>
      </c>
      <c r="Y804" t="n">
        <v>8000000</v>
      </c>
      <c r="AA804" t="n">
        <v>8000000</v>
      </c>
      <c r="AB804" t="inlineStr">
        <is>
          <t>Honda Service Center — Auto Service; src: Retail_Sales_Cleaned</t>
        </is>
      </c>
      <c r="AC804" t="inlineStr">
        <is>
          <t>2077-15-4-15-001</t>
        </is>
      </c>
      <c r="AI804">
        <f>IF(AND($E804=Subj_OccCode,Subj_BldgSF&gt;0,ABS($L804-Subj_BldgSF)&lt;=Subj_BldgSF*Subj_SizeTol),ABS($L804-Subj_BldgSF),NA())</f>
        <v/>
      </c>
      <c r="AJ804">
        <f>IF(ISNA(AI804),NA(),AI804+ROW()/10000000)</f>
        <v/>
      </c>
      <c r="AK804">
        <f>IF(AND(ISNUMBER($N804),$N804&gt;0,ISNUMBER($Y804)),$Y804/$N804,"")</f>
        <v/>
      </c>
    </row>
    <row r="805" ht="15" customHeight="1" s="518">
      <c r="A805" s="62" t="n">
        <v>8</v>
      </c>
      <c r="B805" s="59" t="n">
        <v>801</v>
      </c>
      <c r="D805" t="inlineStr">
        <is>
          <t>24223 E PROSPECT AVE</t>
        </is>
      </c>
      <c r="E805" t="n">
        <v>349</v>
      </c>
      <c r="F805" t="inlineStr">
        <is>
          <t>AURORA</t>
        </is>
      </c>
      <c r="H805">
        <f>Y805/J805</f>
        <v/>
      </c>
      <c r="I805" s="704" t="n">
        <v>45012</v>
      </c>
      <c r="J805" t="n">
        <v>3022</v>
      </c>
      <c r="L805" t="n">
        <v>3022</v>
      </c>
      <c r="M805" t="n">
        <v>2010</v>
      </c>
      <c r="S805" t="n">
        <v>51836</v>
      </c>
      <c r="T805">
        <f>S805/J805</f>
        <v/>
      </c>
      <c r="Y805" t="n">
        <v>980000</v>
      </c>
      <c r="AA805" t="n">
        <v>980000</v>
      </c>
      <c r="AB805" t="inlineStr">
        <is>
          <t>KFC / Long John Silvers — Fast Food; src: Retail_Sales_Cleaned</t>
        </is>
      </c>
      <c r="AC805" t="inlineStr">
        <is>
          <t>2071-19-4-13-002</t>
        </is>
      </c>
      <c r="AI805">
        <f>IF(AND($E805=Subj_OccCode,Subj_BldgSF&gt;0,ABS($L805-Subj_BldgSF)&lt;=Subj_BldgSF*Subj_SizeTol),ABS($L805-Subj_BldgSF),NA())</f>
        <v/>
      </c>
      <c r="AJ805">
        <f>IF(ISNA(AI805),NA(),AI805+ROW()/10000000)</f>
        <v/>
      </c>
      <c r="AK805">
        <f>IF(AND(ISNUMBER($N805),$N805&gt;0,ISNUMBER($Y805)),$Y805/$N805,"")</f>
        <v/>
      </c>
    </row>
    <row r="806" ht="15" customHeight="1" s="518">
      <c r="A806" s="62" t="n">
        <v>8</v>
      </c>
      <c r="B806" s="59" t="n">
        <v>802</v>
      </c>
      <c r="D806" t="inlineStr">
        <is>
          <t>5600 S WINDERMERE ST</t>
        </is>
      </c>
      <c r="E806" t="n">
        <v>325</v>
      </c>
      <c r="F806" t="inlineStr">
        <is>
          <t>LITTLETON</t>
        </is>
      </c>
      <c r="H806">
        <f>Y806/J806</f>
        <v/>
      </c>
      <c r="I806" s="704" t="n">
        <v>44531</v>
      </c>
      <c r="J806" t="n">
        <v>1305</v>
      </c>
      <c r="L806" t="n">
        <v>1305</v>
      </c>
      <c r="M806" t="n">
        <v>1957</v>
      </c>
      <c r="S806" t="n">
        <v>16988</v>
      </c>
      <c r="T806">
        <f>S806/J806</f>
        <v/>
      </c>
      <c r="Y806" t="n">
        <v>760000</v>
      </c>
      <c r="AA806" t="n">
        <v>760000</v>
      </c>
      <c r="AB806" t="inlineStr">
        <is>
          <t>Lube &amp; Latte — Auto Service; src: Retail_Sales_Cleaned</t>
        </is>
      </c>
      <c r="AC806" t="inlineStr">
        <is>
          <t>2077-16-4-09-001</t>
        </is>
      </c>
      <c r="AI806">
        <f>IF(AND($E806=Subj_OccCode,Subj_BldgSF&gt;0,ABS($L806-Subj_BldgSF)&lt;=Subj_BldgSF*Subj_SizeTol),ABS($L806-Subj_BldgSF),NA())</f>
        <v/>
      </c>
      <c r="AJ806">
        <f>IF(ISNA(AI806),NA(),AI806+ROW()/10000000)</f>
        <v/>
      </c>
      <c r="AK806">
        <f>IF(AND(ISNUMBER($N806),$N806&gt;0,ISNUMBER($Y806)),$Y806/$N806,"")</f>
        <v/>
      </c>
    </row>
    <row r="807" ht="15" customHeight="1" s="518">
      <c r="A807" s="62" t="n">
        <v>8</v>
      </c>
      <c r="B807" s="59" t="n">
        <v>803</v>
      </c>
      <c r="D807" t="inlineStr">
        <is>
          <t>3930 S FEDERAL BLVD</t>
        </is>
      </c>
      <c r="E807" t="n">
        <v>325</v>
      </c>
      <c r="F807" t="inlineStr">
        <is>
          <t>ENGLEWOOD</t>
        </is>
      </c>
      <c r="H807">
        <f>Y807/J807</f>
        <v/>
      </c>
      <c r="I807" s="704" t="n">
        <v>44742</v>
      </c>
      <c r="J807" t="n">
        <v>3920</v>
      </c>
      <c r="L807" t="n">
        <v>3920</v>
      </c>
      <c r="M807" t="n">
        <v>1982</v>
      </c>
      <c r="S807" t="n">
        <v>6098</v>
      </c>
      <c r="T807">
        <f>S807/J807</f>
        <v/>
      </c>
      <c r="Y807" t="n">
        <v>1375000</v>
      </c>
      <c r="AA807" t="n">
        <v>1375000</v>
      </c>
      <c r="AB807" t="inlineStr">
        <is>
          <t>Max Auto — Auto Service; src: Retail_Sales_Cleaned</t>
        </is>
      </c>
      <c r="AC807" t="inlineStr">
        <is>
          <t>2077-05-4-01-004</t>
        </is>
      </c>
      <c r="AI807">
        <f>IF(AND($E807=Subj_OccCode,Subj_BldgSF&gt;0,ABS($L807-Subj_BldgSF)&lt;=Subj_BldgSF*Subj_SizeTol),ABS($L807-Subj_BldgSF),NA())</f>
        <v/>
      </c>
      <c r="AJ807">
        <f>IF(ISNA(AI807),NA(),AI807+ROW()/10000000)</f>
        <v/>
      </c>
      <c r="AK807">
        <f>IF(AND(ISNUMBER($N807),$N807&gt;0,ISNUMBER($Y807)),$Y807/$N807,"")</f>
        <v/>
      </c>
    </row>
    <row r="808" ht="15" customHeight="1" s="518">
      <c r="A808" s="62" t="n">
        <v>8</v>
      </c>
      <c r="B808" s="59" t="n">
        <v>804</v>
      </c>
      <c r="D808" t="inlineStr">
        <is>
          <t>6751 S POTOMAC ST</t>
        </is>
      </c>
      <c r="E808" t="n">
        <v>353</v>
      </c>
      <c r="F808" t="inlineStr">
        <is>
          <t>CENTENNIAL</t>
        </is>
      </c>
      <c r="H808">
        <f>Y808/J808</f>
        <v/>
      </c>
      <c r="I808" s="704" t="n">
        <v>44925</v>
      </c>
      <c r="J808" t="n">
        <v>8486</v>
      </c>
      <c r="L808" t="n">
        <v>8486</v>
      </c>
      <c r="M808" t="n">
        <v>2019</v>
      </c>
      <c r="S808" t="n">
        <v>43996</v>
      </c>
      <c r="T808">
        <f>S808/J808</f>
        <v/>
      </c>
      <c r="Y808" t="n">
        <v>2678000</v>
      </c>
      <c r="AA808" t="n">
        <v>2678000</v>
      </c>
      <c r="AB808" t="inlineStr">
        <is>
          <t>O'Reilly Auto Parts — Auto Parts; Confirmed; src: Retail_Sales_Cleaned</t>
        </is>
      </c>
      <c r="AC808" t="inlineStr">
        <is>
          <t>2075-25-1-19-005</t>
        </is>
      </c>
      <c r="AI808">
        <f>IF(AND($E808=Subj_OccCode,Subj_BldgSF&gt;0,ABS($L808-Subj_BldgSF)&lt;=Subj_BldgSF*Subj_SizeTol),ABS($L808-Subj_BldgSF),NA())</f>
        <v/>
      </c>
      <c r="AJ808">
        <f>IF(ISNA(AI808),NA(),AI808+ROW()/10000000)</f>
        <v/>
      </c>
      <c r="AK808">
        <f>IF(AND(ISNUMBER($N808),$N808&gt;0,ISNUMBER($Y808)),$Y808/$N808,"")</f>
        <v/>
      </c>
    </row>
    <row r="809" ht="15" customHeight="1" s="518">
      <c r="A809" s="62" t="n">
        <v>8</v>
      </c>
      <c r="B809" s="59" t="n">
        <v>805</v>
      </c>
      <c r="D809" t="inlineStr">
        <is>
          <t>4301 S SANTA FE DR</t>
        </is>
      </c>
      <c r="E809" t="n">
        <v>410</v>
      </c>
      <c r="F809" t="inlineStr">
        <is>
          <t>ENGLEWOOD</t>
        </is>
      </c>
      <c r="H809">
        <f>Y809/J809</f>
        <v/>
      </c>
      <c r="I809" s="704" t="n">
        <v>45315</v>
      </c>
      <c r="J809" t="n">
        <v>2480</v>
      </c>
      <c r="L809" t="n">
        <v>2480</v>
      </c>
      <c r="M809" t="n">
        <v>1957</v>
      </c>
      <c r="S809" t="n">
        <v>7223</v>
      </c>
      <c r="T809">
        <f>S809/J809</f>
        <v/>
      </c>
      <c r="Y809" t="n">
        <v>975000</v>
      </c>
      <c r="AA809" t="n">
        <v>975000</v>
      </c>
      <c r="AB809" t="inlineStr">
        <is>
          <t>Peerless Tires — Auto Service; src: Retail_Sales_Cleaned</t>
        </is>
      </c>
      <c r="AC809" t="inlineStr">
        <is>
          <t>2077-09-2-00-124</t>
        </is>
      </c>
      <c r="AI809">
        <f>IF(AND($E809=Subj_OccCode,Subj_BldgSF&gt;0,ABS($L809-Subj_BldgSF)&lt;=Subj_BldgSF*Subj_SizeTol),ABS($L809-Subj_BldgSF),NA())</f>
        <v/>
      </c>
      <c r="AJ809">
        <f>IF(ISNA(AI809),NA(),AI809+ROW()/10000000)</f>
        <v/>
      </c>
      <c r="AK809">
        <f>IF(AND(ISNUMBER($N809),$N809&gt;0,ISNUMBER($Y809)),$Y809/$N809,"")</f>
        <v/>
      </c>
    </row>
    <row r="810" ht="15" customHeight="1" s="518">
      <c r="A810" s="62" t="n">
        <v>8</v>
      </c>
      <c r="B810" s="59" t="n">
        <v>806</v>
      </c>
      <c r="D810" t="inlineStr">
        <is>
          <t>23250 E E SMOKY HILL RD RD</t>
        </is>
      </c>
      <c r="E810" t="n">
        <v>349</v>
      </c>
      <c r="F810" t="inlineStr">
        <is>
          <t>AURORA</t>
        </is>
      </c>
      <c r="H810">
        <f>Y810/J810</f>
        <v/>
      </c>
      <c r="I810" s="704" t="n">
        <v>44537</v>
      </c>
      <c r="J810" t="n">
        <v>4200</v>
      </c>
      <c r="L810" t="n">
        <v>4200</v>
      </c>
      <c r="M810" t="n">
        <v>2022</v>
      </c>
      <c r="S810" t="n">
        <v>40946</v>
      </c>
      <c r="T810">
        <f>S810/J810</f>
        <v/>
      </c>
      <c r="Y810" t="n">
        <v>2215909</v>
      </c>
      <c r="AA810" t="n">
        <v>2215909</v>
      </c>
      <c r="AB810" t="inlineStr">
        <is>
          <t>Popeyes — Fast Food; Investment Triple Net; src: Retail_Sales_Cleaned</t>
        </is>
      </c>
      <c r="AC810" t="inlineStr">
        <is>
          <t>2073-24-4-39-004</t>
        </is>
      </c>
      <c r="AI810">
        <f>IF(AND($E810=Subj_OccCode,Subj_BldgSF&gt;0,ABS($L810-Subj_BldgSF)&lt;=Subj_BldgSF*Subj_SizeTol),ABS($L810-Subj_BldgSF),NA())</f>
        <v/>
      </c>
      <c r="AJ810">
        <f>IF(ISNA(AI810),NA(),AI810+ROW()/10000000)</f>
        <v/>
      </c>
      <c r="AK810">
        <f>IF(AND(ISNUMBER($N810),$N810&gt;0,ISNUMBER($Y810)),$Y810/$N810,"")</f>
        <v/>
      </c>
    </row>
    <row r="811" ht="15" customHeight="1" s="518">
      <c r="A811" s="62" t="n">
        <v>8</v>
      </c>
      <c r="B811" s="59" t="n">
        <v>807</v>
      </c>
      <c r="D811" t="inlineStr">
        <is>
          <t>5950 S GUN CLUB RD</t>
        </is>
      </c>
      <c r="E811" t="n">
        <v>426</v>
      </c>
      <c r="F811" t="inlineStr">
        <is>
          <t>AURORA</t>
        </is>
      </c>
      <c r="H811">
        <f>Y811/J811</f>
        <v/>
      </c>
      <c r="I811" s="704" t="n">
        <v>44431</v>
      </c>
      <c r="J811" t="n">
        <v>9794</v>
      </c>
      <c r="L811" t="n">
        <v>9794</v>
      </c>
      <c r="M811" t="n">
        <v>2004</v>
      </c>
      <c r="S811" t="n">
        <v>89734</v>
      </c>
      <c r="T811">
        <f>S811/J811</f>
        <v/>
      </c>
      <c r="Y811" t="n">
        <v>3430000</v>
      </c>
      <c r="AA811" t="n">
        <v>3430000</v>
      </c>
      <c r="AB811" t="inlineStr">
        <is>
          <t>Primrose School — Daycare; src: Retail_Sales_Cleaned</t>
        </is>
      </c>
      <c r="AC811" t="inlineStr">
        <is>
          <t>2071-19-2-02-001</t>
        </is>
      </c>
      <c r="AI811">
        <f>IF(AND($E811=Subj_OccCode,Subj_BldgSF&gt;0,ABS($L811-Subj_BldgSF)&lt;=Subj_BldgSF*Subj_SizeTol),ABS($L811-Subj_BldgSF),NA())</f>
        <v/>
      </c>
      <c r="AJ811">
        <f>IF(ISNA(AI811),NA(),AI811+ROW()/10000000)</f>
        <v/>
      </c>
      <c r="AK811">
        <f>IF(AND(ISNUMBER($N811),$N811&gt;0,ISNUMBER($Y811)),$Y811/$N811,"")</f>
        <v/>
      </c>
    </row>
    <row r="812" ht="15" customHeight="1" s="518">
      <c r="A812" s="62" t="n">
        <v>8</v>
      </c>
      <c r="B812" s="59" t="n">
        <v>808</v>
      </c>
      <c r="D812" t="inlineStr">
        <is>
          <t>14241 E ALAMEDA AVE</t>
        </is>
      </c>
      <c r="E812" t="n">
        <v>349</v>
      </c>
      <c r="F812" t="inlineStr">
        <is>
          <t>AURORA</t>
        </is>
      </c>
      <c r="H812">
        <f>Y812/J812</f>
        <v/>
      </c>
      <c r="I812" s="704" t="n">
        <v>44924</v>
      </c>
      <c r="J812" t="n">
        <v>3843</v>
      </c>
      <c r="L812" t="n">
        <v>3843</v>
      </c>
      <c r="M812" t="n">
        <v>2019</v>
      </c>
      <c r="S812" t="n">
        <v>67082</v>
      </c>
      <c r="T812">
        <f>S812/J812</f>
        <v/>
      </c>
      <c r="Y812" t="n">
        <v>4000000</v>
      </c>
      <c r="AA812" t="n">
        <v>4000000</v>
      </c>
      <c r="AB812" t="inlineStr">
        <is>
          <t>Raising Cane's — Fast Food; 1031 Exchange,Investment Triple Net; src: Retail_Sales_Cleaned</t>
        </is>
      </c>
      <c r="AC812" t="inlineStr">
        <is>
          <t>1975-07-3-29-007</t>
        </is>
      </c>
      <c r="AI812">
        <f>IF(AND($E812=Subj_OccCode,Subj_BldgSF&gt;0,ABS($L812-Subj_BldgSF)&lt;=Subj_BldgSF*Subj_SizeTol),ABS($L812-Subj_BldgSF),NA())</f>
        <v/>
      </c>
      <c r="AJ812">
        <f>IF(ISNA(AI812),NA(),AI812+ROW()/10000000)</f>
        <v/>
      </c>
      <c r="AK812">
        <f>IF(AND(ISNUMBER($N812),$N812&gt;0,ISNUMBER($Y812)),$Y812/$N812,"")</f>
        <v/>
      </c>
    </row>
    <row r="813" ht="15" customHeight="1" s="518">
      <c r="A813" s="62" t="n">
        <v>8</v>
      </c>
      <c r="B813" s="59" t="n">
        <v>809</v>
      </c>
      <c r="D813" t="inlineStr">
        <is>
          <t>8585 E ARAPAHOE RD</t>
        </is>
      </c>
      <c r="E813" t="n">
        <v>413</v>
      </c>
      <c r="F813" t="inlineStr">
        <is>
          <t>GREENWOOD VILLAGE</t>
        </is>
      </c>
      <c r="H813">
        <f>Y813/J813</f>
        <v/>
      </c>
      <c r="I813" s="704" t="n">
        <v>44491</v>
      </c>
      <c r="J813" t="n">
        <v>7200</v>
      </c>
      <c r="L813" t="n">
        <v>7200</v>
      </c>
      <c r="M813" t="n">
        <v>1977</v>
      </c>
      <c r="S813" t="n">
        <v>40685</v>
      </c>
      <c r="T813">
        <f>S813/J813</f>
        <v/>
      </c>
      <c r="Y813" t="n">
        <v>4042847</v>
      </c>
      <c r="AA813" t="n">
        <v>4042847</v>
      </c>
      <c r="AB813" t="inlineStr">
        <is>
          <t>Red Robin — Retail Center; src: Retail_Sales_Cleaned</t>
        </is>
      </c>
      <c r="AC813" t="inlineStr">
        <is>
          <t>2075-21-4-08-001</t>
        </is>
      </c>
      <c r="AI813">
        <f>IF(AND($E813=Subj_OccCode,Subj_BldgSF&gt;0,ABS($L813-Subj_BldgSF)&lt;=Subj_BldgSF*Subj_SizeTol),ABS($L813-Subj_BldgSF),NA())</f>
        <v/>
      </c>
      <c r="AJ813">
        <f>IF(ISNA(AI813),NA(),AI813+ROW()/10000000)</f>
        <v/>
      </c>
      <c r="AK813">
        <f>IF(AND(ISNUMBER($N813),$N813&gt;0,ISNUMBER($Y813)),$Y813/$N813,"")</f>
        <v/>
      </c>
    </row>
    <row r="814" ht="15" customHeight="1" s="518">
      <c r="A814" s="62" t="n">
        <v>8</v>
      </c>
      <c r="B814" s="59" t="n">
        <v>810</v>
      </c>
      <c r="D814" t="inlineStr">
        <is>
          <t>7979 E ARAPAHOE RD</t>
        </is>
      </c>
      <c r="E814" t="n">
        <v>349</v>
      </c>
      <c r="F814" t="inlineStr">
        <is>
          <t>CENTENNIAL</t>
        </is>
      </c>
      <c r="H814">
        <f>Y814/J814</f>
        <v/>
      </c>
      <c r="I814" s="704" t="n">
        <v>44984</v>
      </c>
      <c r="J814" t="n">
        <v>3299</v>
      </c>
      <c r="L814" t="n">
        <v>3299</v>
      </c>
      <c r="M814" t="n">
        <v>2022</v>
      </c>
      <c r="S814" t="n">
        <v>47045</v>
      </c>
      <c r="T814">
        <f>S814/J814</f>
        <v/>
      </c>
      <c r="Y814" t="n">
        <v>5943000</v>
      </c>
      <c r="AA814" t="n">
        <v>5943000</v>
      </c>
      <c r="AB814" t="inlineStr">
        <is>
          <t>Shake Shack — Fast Food; Investment Triple Net; src: Retail_Sales_Cleaned</t>
        </is>
      </c>
      <c r="AC814" t="inlineStr">
        <is>
          <t>2075-21-3-47-001</t>
        </is>
      </c>
      <c r="AI814">
        <f>IF(AND($E814=Subj_OccCode,Subj_BldgSF&gt;0,ABS($L814-Subj_BldgSF)&lt;=Subj_BldgSF*Subj_SizeTol),ABS($L814-Subj_BldgSF),NA())</f>
        <v/>
      </c>
      <c r="AJ814">
        <f>IF(ISNA(AI814),NA(),AI814+ROW()/10000000)</f>
        <v/>
      </c>
      <c r="AK814">
        <f>IF(AND(ISNUMBER($N814),$N814&gt;0,ISNUMBER($Y814)),$Y814/$N814,"")</f>
        <v/>
      </c>
    </row>
    <row r="815" ht="15" customHeight="1" s="518">
      <c r="A815" s="62" t="n">
        <v>8</v>
      </c>
      <c r="B815" s="59" t="n">
        <v>811</v>
      </c>
      <c r="D815" t="inlineStr">
        <is>
          <t>5400 S PARKER RD</t>
        </is>
      </c>
      <c r="E815" t="n">
        <v>349</v>
      </c>
      <c r="F815" t="inlineStr">
        <is>
          <t>AURORA</t>
        </is>
      </c>
      <c r="H815">
        <f>Y815/J815</f>
        <v/>
      </c>
      <c r="I815" s="704" t="n">
        <v>44060</v>
      </c>
      <c r="J815" t="n">
        <v>3065</v>
      </c>
      <c r="L815" t="n">
        <v>3065</v>
      </c>
      <c r="M815" t="n">
        <v>2002</v>
      </c>
      <c r="S815" t="n">
        <v>605048</v>
      </c>
      <c r="T815">
        <f>S815/J815</f>
        <v/>
      </c>
      <c r="Y815" t="n">
        <v>925000</v>
      </c>
      <c r="AA815" t="n">
        <v>925000</v>
      </c>
      <c r="AB815" t="inlineStr">
        <is>
          <t>Shipley Donuts — Fast Food; Investment Triple Net; src: Retail_Sales_Cleaned</t>
        </is>
      </c>
      <c r="AC815" t="inlineStr">
        <is>
          <t>2073-18-1-27-001</t>
        </is>
      </c>
      <c r="AI815">
        <f>IF(AND($E815=Subj_OccCode,Subj_BldgSF&gt;0,ABS($L815-Subj_BldgSF)&lt;=Subj_BldgSF*Subj_SizeTol),ABS($L815-Subj_BldgSF),NA())</f>
        <v/>
      </c>
      <c r="AJ815">
        <f>IF(ISNA(AI815),NA(),AI815+ROW()/10000000)</f>
        <v/>
      </c>
      <c r="AK815">
        <f>IF(AND(ISNUMBER($N815),$N815&gt;0,ISNUMBER($Y815)),$Y815/$N815,"")</f>
        <v/>
      </c>
    </row>
    <row r="816" ht="15" customHeight="1" s="518">
      <c r="A816" s="62" t="n">
        <v>8</v>
      </c>
      <c r="B816" s="59" t="n">
        <v>812</v>
      </c>
      <c r="D816" t="inlineStr">
        <is>
          <t>5697 S HIMALAYA ST</t>
        </is>
      </c>
      <c r="E816" t="n">
        <v>349</v>
      </c>
      <c r="F816" t="inlineStr">
        <is>
          <t>CENTENNIAL</t>
        </is>
      </c>
      <c r="H816">
        <f>Y816/J816</f>
        <v/>
      </c>
      <c r="I816" s="704" t="n">
        <v>43748</v>
      </c>
      <c r="J816" t="n">
        <v>4249</v>
      </c>
      <c r="L816" t="n">
        <v>4249</v>
      </c>
      <c r="M816" t="n">
        <v>1998</v>
      </c>
      <c r="S816" t="n">
        <v>48352</v>
      </c>
      <c r="T816">
        <f>S816/J816</f>
        <v/>
      </c>
      <c r="Y816" t="n">
        <v>1500000</v>
      </c>
      <c r="AA816" t="n">
        <v>1500000</v>
      </c>
      <c r="AB816" t="inlineStr">
        <is>
          <t>Slim Chickens — Fast Food; src: Retail_Sales_Cleaned</t>
        </is>
      </c>
      <c r="AC816" t="inlineStr">
        <is>
          <t>2073-15-4-28-002</t>
        </is>
      </c>
      <c r="AI816">
        <f>IF(AND($E816=Subj_OccCode,Subj_BldgSF&gt;0,ABS($L816-Subj_BldgSF)&lt;=Subj_BldgSF*Subj_SizeTol),ABS($L816-Subj_BldgSF),NA())</f>
        <v/>
      </c>
      <c r="AJ816">
        <f>IF(ISNA(AI816),NA(),AI816+ROW()/10000000)</f>
        <v/>
      </c>
      <c r="AK816">
        <f>IF(AND(ISNUMBER($N816),$N816&gt;0,ISNUMBER($Y816)),$Y816/$N816,"")</f>
        <v/>
      </c>
    </row>
    <row r="817" ht="15" customHeight="1" s="518">
      <c r="A817" s="62" t="n">
        <v>8</v>
      </c>
      <c r="B817" s="59" t="n">
        <v>813</v>
      </c>
      <c r="D817" t="inlineStr">
        <is>
          <t>5697 S HIMALAYA ST</t>
        </is>
      </c>
      <c r="E817" t="n">
        <v>349</v>
      </c>
      <c r="F817" t="inlineStr">
        <is>
          <t>CENTENNIAL</t>
        </is>
      </c>
      <c r="H817">
        <f>Y817/J817</f>
        <v/>
      </c>
      <c r="I817" s="704" t="n">
        <v>44144</v>
      </c>
      <c r="J817" t="n">
        <v>4249</v>
      </c>
      <c r="L817" t="n">
        <v>4249</v>
      </c>
      <c r="M817" t="n">
        <v>1998</v>
      </c>
      <c r="S817" t="n">
        <v>48352</v>
      </c>
      <c r="T817">
        <f>S817/J817</f>
        <v/>
      </c>
      <c r="Y817" t="n">
        <v>3545150</v>
      </c>
      <c r="AA817" t="n">
        <v>3545150</v>
      </c>
      <c r="AB817" t="inlineStr">
        <is>
          <t>Slim Chickens — Fast Food; Investment Triple Net; src: Retail_Sales_Cleaned</t>
        </is>
      </c>
      <c r="AC817" t="inlineStr">
        <is>
          <t>2073-15-4-28-002</t>
        </is>
      </c>
      <c r="AI817">
        <f>IF(AND($E817=Subj_OccCode,Subj_BldgSF&gt;0,ABS($L817-Subj_BldgSF)&lt;=Subj_BldgSF*Subj_SizeTol),ABS($L817-Subj_BldgSF),NA())</f>
        <v/>
      </c>
      <c r="AJ817">
        <f>IF(ISNA(AI817),NA(),AI817+ROW()/10000000)</f>
        <v/>
      </c>
      <c r="AK817">
        <f>IF(AND(ISNUMBER($N817),$N817&gt;0,ISNUMBER($Y817)),$Y817/$N817,"")</f>
        <v/>
      </c>
    </row>
    <row r="818" ht="15" customHeight="1" s="518">
      <c r="A818" s="62" t="n">
        <v>8</v>
      </c>
      <c r="B818" s="59" t="n">
        <v>814</v>
      </c>
      <c r="D818" t="inlineStr">
        <is>
          <t>5001 S BROADWAY</t>
        </is>
      </c>
      <c r="E818" t="n">
        <v>446</v>
      </c>
      <c r="F818" t="inlineStr">
        <is>
          <t>ENGLEWOOD</t>
        </is>
      </c>
      <c r="H818">
        <f>Y818/J818</f>
        <v/>
      </c>
      <c r="I818" s="704" t="n">
        <v>44342</v>
      </c>
      <c r="J818" t="n">
        <v>26985</v>
      </c>
      <c r="L818" t="n">
        <v>26985</v>
      </c>
      <c r="M818" t="n">
        <v>2014</v>
      </c>
      <c r="S818" t="n">
        <v>81022</v>
      </c>
      <c r="T818">
        <f>S818/J818</f>
        <v/>
      </c>
      <c r="Y818" t="n">
        <v>10528630</v>
      </c>
      <c r="AA818" t="n">
        <v>10528630</v>
      </c>
      <c r="AB818" t="inlineStr">
        <is>
          <t>Sprouts — Supermarket; src: Retail_Sales_Cleaned</t>
        </is>
      </c>
      <c r="AC818" t="inlineStr">
        <is>
          <t>2077-10-3-29-001</t>
        </is>
      </c>
      <c r="AI818">
        <f>IF(AND($E818=Subj_OccCode,Subj_BldgSF&gt;0,ABS($L818-Subj_BldgSF)&lt;=Subj_BldgSF*Subj_SizeTol),ABS($L818-Subj_BldgSF),NA())</f>
        <v/>
      </c>
      <c r="AJ818">
        <f>IF(ISNA(AI818),NA(),AI818+ROW()/10000000)</f>
        <v/>
      </c>
      <c r="AK818">
        <f>IF(AND(ISNUMBER($N818),$N818&gt;0,ISNUMBER($Y818)),$Y818/$N818,"")</f>
        <v/>
      </c>
    </row>
    <row r="819" ht="15" customHeight="1" s="518">
      <c r="A819" s="62" t="n">
        <v>8</v>
      </c>
      <c r="B819" s="59" t="n">
        <v>815</v>
      </c>
      <c r="D819" t="inlineStr">
        <is>
          <t>11703 E ARAPAHOE RD</t>
        </is>
      </c>
      <c r="E819" t="n">
        <v>349</v>
      </c>
      <c r="F819" t="inlineStr">
        <is>
          <t>CENTENNIAL</t>
        </is>
      </c>
      <c r="H819">
        <f>Y819/J819</f>
        <v/>
      </c>
      <c r="I819" s="704" t="n">
        <v>43132</v>
      </c>
      <c r="J819" t="n">
        <v>2022</v>
      </c>
      <c r="L819" t="n">
        <v>2022</v>
      </c>
      <c r="M819" t="n">
        <v>2017</v>
      </c>
      <c r="S819" t="n">
        <v>63598</v>
      </c>
      <c r="T819">
        <f>S819/J819</f>
        <v/>
      </c>
      <c r="Y819" t="n">
        <v>2740000</v>
      </c>
      <c r="AA819" t="n">
        <v>2740000</v>
      </c>
      <c r="AB819" t="inlineStr">
        <is>
          <t>Starbucks — Coffee [Out of Time Frame]; Investment Triple Net; src: Retail_Sales_Cleaned</t>
        </is>
      </c>
      <c r="AC819" t="inlineStr">
        <is>
          <t>2075-23-4-41-003</t>
        </is>
      </c>
      <c r="AI819">
        <f>IF(AND($E819=Subj_OccCode,Subj_BldgSF&gt;0,ABS($L819-Subj_BldgSF)&lt;=Subj_BldgSF*Subj_SizeTol),ABS($L819-Subj_BldgSF),NA())</f>
        <v/>
      </c>
      <c r="AJ819">
        <f>IF(ISNA(AI819),NA(),AI819+ROW()/10000000)</f>
        <v/>
      </c>
      <c r="AK819">
        <f>IF(AND(ISNUMBER($N819),$N819&gt;0,ISNUMBER($Y819)),$Y819/$N819,"")</f>
        <v/>
      </c>
    </row>
    <row r="820" ht="15" customHeight="1" s="518">
      <c r="A820" s="62" t="n">
        <v>8</v>
      </c>
      <c r="B820" s="59" t="n">
        <v>816</v>
      </c>
      <c r="D820" t="inlineStr">
        <is>
          <t>21900 E QUINCY AVE</t>
        </is>
      </c>
      <c r="E820" t="n">
        <v>349</v>
      </c>
      <c r="F820" t="inlineStr">
        <is>
          <t>AURORA</t>
        </is>
      </c>
      <c r="H820">
        <f>Y820/J820</f>
        <v/>
      </c>
      <c r="I820" s="704" t="n">
        <v>43425</v>
      </c>
      <c r="J820" t="n">
        <v>2055</v>
      </c>
      <c r="L820" t="n">
        <v>2055</v>
      </c>
      <c r="M820" t="n">
        <v>2018</v>
      </c>
      <c r="S820" t="n">
        <v>39640</v>
      </c>
      <c r="T820">
        <f>S820/J820</f>
        <v/>
      </c>
      <c r="Y820" t="n">
        <v>2485000</v>
      </c>
      <c r="AA820" t="n">
        <v>2485000</v>
      </c>
      <c r="AB820" t="inlineStr">
        <is>
          <t>Starbucks — Coffee [Out of Time Frame]; src: Retail_Sales_Cleaned</t>
        </is>
      </c>
      <c r="AC820" t="inlineStr">
        <is>
          <t>2073-12-2-22-001</t>
        </is>
      </c>
      <c r="AI820">
        <f>IF(AND($E820=Subj_OccCode,Subj_BldgSF&gt;0,ABS($L820-Subj_BldgSF)&lt;=Subj_BldgSF*Subj_SizeTol),ABS($L820-Subj_BldgSF),NA())</f>
        <v/>
      </c>
      <c r="AJ820">
        <f>IF(ISNA(AI820),NA(),AI820+ROW()/10000000)</f>
        <v/>
      </c>
      <c r="AK820">
        <f>IF(AND(ISNUMBER($N820),$N820&gt;0,ISNUMBER($Y820)),$Y820/$N820,"")</f>
        <v/>
      </c>
    </row>
    <row r="821" ht="15" customHeight="1" s="518">
      <c r="A821" s="62" t="n">
        <v>8</v>
      </c>
      <c r="B821" s="59" t="n">
        <v>817</v>
      </c>
      <c r="D821" t="inlineStr">
        <is>
          <t>410 S COLORADO BLVD</t>
        </is>
      </c>
      <c r="E821" t="n">
        <v>349</v>
      </c>
      <c r="F821" t="inlineStr">
        <is>
          <t>DENVER</t>
        </is>
      </c>
      <c r="H821">
        <f>Y821/J821</f>
        <v/>
      </c>
      <c r="I821" s="704" t="n">
        <v>43732</v>
      </c>
      <c r="J821" t="n">
        <v>2500</v>
      </c>
      <c r="L821" t="n">
        <v>2500</v>
      </c>
      <c r="M821" t="n">
        <v>2019</v>
      </c>
      <c r="S821" t="n">
        <v>66647</v>
      </c>
      <c r="T821">
        <f>S821/J821</f>
        <v/>
      </c>
      <c r="Y821" t="n">
        <v>5875000</v>
      </c>
      <c r="AA821" t="n">
        <v>5875000</v>
      </c>
      <c r="AB821" t="inlineStr">
        <is>
          <t>Starbucks — Coffee; src: Retail_Sales_Cleaned</t>
        </is>
      </c>
      <c r="AC821" t="inlineStr">
        <is>
          <t>1973-18-2-08-004</t>
        </is>
      </c>
      <c r="AI821">
        <f>IF(AND($E821=Subj_OccCode,Subj_BldgSF&gt;0,ABS($L821-Subj_BldgSF)&lt;=Subj_BldgSF*Subj_SizeTol),ABS($L821-Subj_BldgSF),NA())</f>
        <v/>
      </c>
      <c r="AJ821">
        <f>IF(ISNA(AI821),NA(),AI821+ROW()/10000000)</f>
        <v/>
      </c>
      <c r="AK821">
        <f>IF(AND(ISNUMBER($N821),$N821&gt;0,ISNUMBER($Y821)),$Y821/$N821,"")</f>
        <v/>
      </c>
    </row>
    <row r="822" ht="15" customHeight="1" s="518">
      <c r="A822" s="62" t="n">
        <v>8</v>
      </c>
      <c r="B822" s="59" t="n">
        <v>818</v>
      </c>
      <c r="D822" t="inlineStr">
        <is>
          <t>8243 S QUEBEC ST</t>
        </is>
      </c>
      <c r="E822" t="n">
        <v>349</v>
      </c>
      <c r="F822" t="inlineStr">
        <is>
          <t>CENTENNIAL</t>
        </is>
      </c>
      <c r="H822">
        <f>Y822/J822</f>
        <v/>
      </c>
      <c r="I822" s="704" t="n">
        <v>44279</v>
      </c>
      <c r="J822" t="n">
        <v>2985</v>
      </c>
      <c r="L822" t="n">
        <v>2985</v>
      </c>
      <c r="M822" t="n">
        <v>1993</v>
      </c>
      <c r="S822" t="n">
        <v>25143</v>
      </c>
      <c r="T822">
        <f>S822/J822</f>
        <v/>
      </c>
      <c r="Y822" t="n">
        <v>1819329</v>
      </c>
      <c r="AA822" t="n">
        <v>1819329</v>
      </c>
      <c r="AB822" t="inlineStr">
        <is>
          <t>Starbucks — Coffee; 1031 Exchange; src: Retail_Sales_Cleaned</t>
        </is>
      </c>
      <c r="AC822" t="inlineStr">
        <is>
          <t>2075-32-4-22-002</t>
        </is>
      </c>
      <c r="AI822">
        <f>IF(AND($E822=Subj_OccCode,Subj_BldgSF&gt;0,ABS($L822-Subj_BldgSF)&lt;=Subj_BldgSF*Subj_SizeTol),ABS($L822-Subj_BldgSF),NA())</f>
        <v/>
      </c>
      <c r="AJ822">
        <f>IF(ISNA(AI822),NA(),AI822+ROW()/10000000)</f>
        <v/>
      </c>
      <c r="AK822">
        <f>IF(AND(ISNUMBER($N822),$N822&gt;0,ISNUMBER($Y822)),$Y822/$N822,"")</f>
        <v/>
      </c>
    </row>
    <row r="823" ht="15" customHeight="1" s="518">
      <c r="A823" s="62" t="n">
        <v>8</v>
      </c>
      <c r="B823" s="59" t="n">
        <v>819</v>
      </c>
      <c r="D823" t="inlineStr">
        <is>
          <t>6712 S POTOMAC ST</t>
        </is>
      </c>
      <c r="E823" t="n">
        <v>349</v>
      </c>
      <c r="F823" t="inlineStr">
        <is>
          <t>CENTENNIAL</t>
        </is>
      </c>
      <c r="H823">
        <f>Y823/J823</f>
        <v/>
      </c>
      <c r="I823" s="704" t="n">
        <v>44851</v>
      </c>
      <c r="J823" t="n">
        <v>2885</v>
      </c>
      <c r="L823" t="n">
        <v>2885</v>
      </c>
      <c r="M823" t="n">
        <v>2001</v>
      </c>
      <c r="S823" t="n">
        <v>42253</v>
      </c>
      <c r="T823">
        <f>S823/J823</f>
        <v/>
      </c>
      <c r="Y823" t="n">
        <v>3223500</v>
      </c>
      <c r="AA823" t="n">
        <v>3223500</v>
      </c>
      <c r="AB823" t="inlineStr">
        <is>
          <t>Starbucks — Coffee; src: Retail_Sales_Cleaned</t>
        </is>
      </c>
      <c r="AC823" t="inlineStr">
        <is>
          <t>2075-25-1-20-002</t>
        </is>
      </c>
      <c r="AI823">
        <f>IF(AND($E823=Subj_OccCode,Subj_BldgSF&gt;0,ABS($L823-Subj_BldgSF)&lt;=Subj_BldgSF*Subj_SizeTol),ABS($L823-Subj_BldgSF),NA())</f>
        <v/>
      </c>
      <c r="AJ823">
        <f>IF(ISNA(AI823),NA(),AI823+ROW()/10000000)</f>
        <v/>
      </c>
      <c r="AK823">
        <f>IF(AND(ISNUMBER($N823),$N823&gt;0,ISNUMBER($Y823)),$Y823/$N823,"")</f>
        <v/>
      </c>
    </row>
    <row r="824" ht="15" customHeight="1" s="518">
      <c r="A824" s="62" t="n">
        <v>8</v>
      </c>
      <c r="B824" s="59" t="n">
        <v>820</v>
      </c>
      <c r="D824" t="inlineStr">
        <is>
          <t>7999 E ARAPAHOE RD</t>
        </is>
      </c>
      <c r="E824" t="n">
        <v>349</v>
      </c>
      <c r="F824" t="inlineStr">
        <is>
          <t>GREENWOOD VILLAGE</t>
        </is>
      </c>
      <c r="H824">
        <f>Y824/J824</f>
        <v/>
      </c>
      <c r="I824" s="704" t="n">
        <v>44972</v>
      </c>
      <c r="J824" t="n">
        <v>2175</v>
      </c>
      <c r="L824" t="n">
        <v>2175</v>
      </c>
      <c r="M824" t="n">
        <v>2022</v>
      </c>
      <c r="S824" t="n">
        <v>35284</v>
      </c>
      <c r="T824">
        <f>S824/J824</f>
        <v/>
      </c>
      <c r="Y824" t="n">
        <v>3013000</v>
      </c>
      <c r="AA824" t="n">
        <v>3013000</v>
      </c>
      <c r="AB824" t="inlineStr">
        <is>
          <t>Starbucks — Coffee; Investment Triple Net; src: Retail_Sales_Cleaned</t>
        </is>
      </c>
      <c r="AC824" t="inlineStr">
        <is>
          <t>2075-21-3-47-002</t>
        </is>
      </c>
      <c r="AI824">
        <f>IF(AND($E824=Subj_OccCode,Subj_BldgSF&gt;0,ABS($L824-Subj_BldgSF)&lt;=Subj_BldgSF*Subj_SizeTol),ABS($L824-Subj_BldgSF),NA())</f>
        <v/>
      </c>
      <c r="AJ824">
        <f>IF(ISNA(AI824),NA(),AI824+ROW()/10000000)</f>
        <v/>
      </c>
      <c r="AK824">
        <f>IF(AND(ISNUMBER($N824),$N824&gt;0,ISNUMBER($Y824)),$Y824/$N824,"")</f>
        <v/>
      </c>
    </row>
    <row r="825" ht="15" customHeight="1" s="518">
      <c r="A825" s="62" t="n">
        <v>8</v>
      </c>
      <c r="B825" s="59" t="n">
        <v>821</v>
      </c>
      <c r="D825" t="inlineStr">
        <is>
          <t>20201 E SMOKY HILL RD</t>
        </is>
      </c>
      <c r="E825" t="n">
        <v>349</v>
      </c>
      <c r="F825" t="inlineStr">
        <is>
          <t>CENTENNIAL</t>
        </is>
      </c>
      <c r="H825">
        <f>Y825/J825</f>
        <v/>
      </c>
      <c r="I825" s="704" t="n">
        <v>44988</v>
      </c>
      <c r="J825" t="n">
        <v>2200</v>
      </c>
      <c r="L825" t="n">
        <v>2200</v>
      </c>
      <c r="M825" t="n">
        <v>2022</v>
      </c>
      <c r="S825" t="n">
        <v>55321</v>
      </c>
      <c r="T825">
        <f>S825/J825</f>
        <v/>
      </c>
      <c r="Y825" t="n">
        <v>2667000</v>
      </c>
      <c r="AA825" t="n">
        <v>2667000</v>
      </c>
      <c r="AB825" t="inlineStr">
        <is>
          <t>Starbucks — Coffee; Investment Triple Net; src: Retail_Sales_Cleaned</t>
        </is>
      </c>
      <c r="AC825" t="inlineStr">
        <is>
          <t>2073-14-3-39-002</t>
        </is>
      </c>
      <c r="AI825">
        <f>IF(AND($E825=Subj_OccCode,Subj_BldgSF&gt;0,ABS($L825-Subj_BldgSF)&lt;=Subj_BldgSF*Subj_SizeTol),ABS($L825-Subj_BldgSF),NA())</f>
        <v/>
      </c>
      <c r="AJ825">
        <f>IF(ISNA(AI825),NA(),AI825+ROW()/10000000)</f>
        <v/>
      </c>
      <c r="AK825">
        <f>IF(AND(ISNUMBER($N825),$N825&gt;0,ISNUMBER($Y825)),$Y825/$N825,"")</f>
        <v/>
      </c>
    </row>
    <row r="826" ht="15" customHeight="1" s="518">
      <c r="A826" s="62" t="n">
        <v>8</v>
      </c>
      <c r="B826" s="59" t="n">
        <v>822</v>
      </c>
      <c r="D826" t="inlineStr">
        <is>
          <t>25455 E SMOKY HILL RD</t>
        </is>
      </c>
      <c r="E826" t="n">
        <v>349</v>
      </c>
      <c r="F826" t="inlineStr">
        <is>
          <t>AURORA</t>
        </is>
      </c>
      <c r="H826">
        <f>Y826/J826</f>
        <v/>
      </c>
      <c r="I826" s="704" t="n">
        <v>45314</v>
      </c>
      <c r="J826" t="n">
        <v>2155</v>
      </c>
      <c r="L826" t="n">
        <v>2155</v>
      </c>
      <c r="M826" t="n">
        <v>2023</v>
      </c>
      <c r="S826" t="n">
        <v>42689</v>
      </c>
      <c r="T826">
        <f>S826/J826</f>
        <v/>
      </c>
      <c r="Y826" t="n">
        <v>2610000</v>
      </c>
      <c r="AA826" t="n">
        <v>2610000</v>
      </c>
      <c r="AB826" t="inlineStr">
        <is>
          <t>Starbucks — Coffee; 1031 Exchange; src: Retail_Sales_Cleaned</t>
        </is>
      </c>
      <c r="AC826" t="inlineStr">
        <is>
          <t>2071-29-2-21-002</t>
        </is>
      </c>
      <c r="AI826">
        <f>IF(AND($E826=Subj_OccCode,Subj_BldgSF&gt;0,ABS($L826-Subj_BldgSF)&lt;=Subj_BldgSF*Subj_SizeTol),ABS($L826-Subj_BldgSF),NA())</f>
        <v/>
      </c>
      <c r="AJ826">
        <f>IF(ISNA(AI826),NA(),AI826+ROW()/10000000)</f>
        <v/>
      </c>
      <c r="AK826">
        <f>IF(AND(ISNUMBER($N826),$N826&gt;0,ISNUMBER($Y826)),$Y826/$N826,"")</f>
        <v/>
      </c>
    </row>
    <row r="827" ht="15" customHeight="1" s="518">
      <c r="A827" s="62" t="n">
        <v>8</v>
      </c>
      <c r="B827" s="59" t="n">
        <v>823</v>
      </c>
      <c r="D827" t="inlineStr">
        <is>
          <t>4696 S BROADWAY</t>
        </is>
      </c>
      <c r="E827" t="n">
        <v>349</v>
      </c>
      <c r="F827" t="inlineStr">
        <is>
          <t>ENGLEWOOD</t>
        </is>
      </c>
      <c r="H827">
        <f>Y827/J827</f>
        <v/>
      </c>
      <c r="I827" s="704" t="n">
        <v>43504</v>
      </c>
      <c r="J827" t="n">
        <v>1539</v>
      </c>
      <c r="L827" t="n">
        <v>1539</v>
      </c>
      <c r="M827" t="n">
        <v>1933</v>
      </c>
      <c r="S827" t="n">
        <v>6098</v>
      </c>
      <c r="T827">
        <f>S827/J827</f>
        <v/>
      </c>
      <c r="Y827" t="n">
        <v>525000</v>
      </c>
      <c r="AA827" t="n">
        <v>525000</v>
      </c>
      <c r="AB827" t="inlineStr">
        <is>
          <t>Subway — Fast Food [Old Sale]; src: Retail_Sales_Cleaned</t>
        </is>
      </c>
      <c r="AC827" t="inlineStr">
        <is>
          <t>2077-10-1-25-006</t>
        </is>
      </c>
      <c r="AI827">
        <f>IF(AND($E827=Subj_OccCode,Subj_BldgSF&gt;0,ABS($L827-Subj_BldgSF)&lt;=Subj_BldgSF*Subj_SizeTol),ABS($L827-Subj_BldgSF),NA())</f>
        <v/>
      </c>
      <c r="AJ827">
        <f>IF(ISNA(AI827),NA(),AI827+ROW()/10000000)</f>
        <v/>
      </c>
      <c r="AK827">
        <f>IF(AND(ISNUMBER($N827),$N827&gt;0,ISNUMBER($Y827)),$Y827/$N827,"")</f>
        <v/>
      </c>
    </row>
    <row r="828" ht="15" customHeight="1" s="518">
      <c r="A828" s="62" t="n">
        <v>8</v>
      </c>
      <c r="B828" s="59" t="n">
        <v>824</v>
      </c>
      <c r="D828" t="inlineStr">
        <is>
          <t>4696 S BROADWAY</t>
        </is>
      </c>
      <c r="E828" t="n">
        <v>349</v>
      </c>
      <c r="F828" t="inlineStr">
        <is>
          <t>ENGLEWOOD</t>
        </is>
      </c>
      <c r="H828">
        <f>Y828/J828</f>
        <v/>
      </c>
      <c r="I828" s="704" t="n">
        <v>43880</v>
      </c>
      <c r="J828" t="n">
        <v>1539</v>
      </c>
      <c r="L828" t="n">
        <v>1539</v>
      </c>
      <c r="M828" t="n">
        <v>1933</v>
      </c>
      <c r="S828" t="n">
        <v>6098</v>
      </c>
      <c r="T828">
        <f>S828/J828</f>
        <v/>
      </c>
      <c r="Y828" t="n">
        <v>660000</v>
      </c>
      <c r="AA828" t="n">
        <v>660000</v>
      </c>
      <c r="AB828" t="inlineStr">
        <is>
          <t>Subway — Fast Food; src: Retail_Sales_Cleaned</t>
        </is>
      </c>
      <c r="AC828" t="inlineStr">
        <is>
          <t>2077-10-1-25-006</t>
        </is>
      </c>
      <c r="AI828">
        <f>IF(AND($E828=Subj_OccCode,Subj_BldgSF&gt;0,ABS($L828-Subj_BldgSF)&lt;=Subj_BldgSF*Subj_SizeTol),ABS($L828-Subj_BldgSF),NA())</f>
        <v/>
      </c>
      <c r="AJ828">
        <f>IF(ISNA(AI828),NA(),AI828+ROW()/10000000)</f>
        <v/>
      </c>
      <c r="AK828">
        <f>IF(AND(ISNUMBER($N828),$N828&gt;0,ISNUMBER($Y828)),$Y828/$N828,"")</f>
        <v/>
      </c>
    </row>
    <row r="829" ht="15" customHeight="1" s="518">
      <c r="A829" s="62" t="n">
        <v>8</v>
      </c>
      <c r="B829" s="59" t="n">
        <v>825</v>
      </c>
      <c r="D829" t="inlineStr">
        <is>
          <t>2717 W BELLEVIEW AVE</t>
        </is>
      </c>
      <c r="E829" t="n">
        <v>349</v>
      </c>
      <c r="F829" t="inlineStr">
        <is>
          <t>LITTLETON</t>
        </is>
      </c>
      <c r="H829">
        <f>Y829/J829</f>
        <v/>
      </c>
      <c r="I829" s="704" t="n">
        <v>43019</v>
      </c>
      <c r="J829" t="n">
        <v>2324</v>
      </c>
      <c r="L829" t="n">
        <v>2324</v>
      </c>
      <c r="M829" t="n">
        <v>2005</v>
      </c>
      <c r="S829" t="n">
        <v>28575</v>
      </c>
      <c r="T829">
        <f>S829/J829</f>
        <v/>
      </c>
      <c r="Y829" t="n">
        <v>1080000</v>
      </c>
      <c r="AA829" t="n">
        <v>1080000</v>
      </c>
      <c r="AB829" t="inlineStr">
        <is>
          <t>Taco Bell — Fast Food [Old Sale]; Investment Triple Net; src: Retail_Sales_Cleaned</t>
        </is>
      </c>
      <c r="AC829" t="inlineStr">
        <is>
          <t>2077-08-4-06-004</t>
        </is>
      </c>
      <c r="AI829">
        <f>IF(AND($E829=Subj_OccCode,Subj_BldgSF&gt;0,ABS($L829-Subj_BldgSF)&lt;=Subj_BldgSF*Subj_SizeTol),ABS($L829-Subj_BldgSF),NA())</f>
        <v/>
      </c>
      <c r="AJ829">
        <f>IF(ISNA(AI829),NA(),AI829+ROW()/10000000)</f>
        <v/>
      </c>
      <c r="AK829">
        <f>IF(AND(ISNUMBER($N829),$N829&gt;0,ISNUMBER($Y829)),$Y829/$N829,"")</f>
        <v/>
      </c>
    </row>
    <row r="830" ht="15" customHeight="1" s="518">
      <c r="A830" s="62" t="n">
        <v>8</v>
      </c>
      <c r="B830" s="59" t="n">
        <v>826</v>
      </c>
      <c r="D830" t="inlineStr">
        <is>
          <t>1760 S HAVANA ST</t>
        </is>
      </c>
      <c r="E830" t="n">
        <v>349</v>
      </c>
      <c r="F830" t="inlineStr">
        <is>
          <t>AURORA</t>
        </is>
      </c>
      <c r="H830">
        <f>Y830/J830</f>
        <v/>
      </c>
      <c r="I830" s="704" t="n">
        <v>43992</v>
      </c>
      <c r="J830" t="n">
        <v>3300</v>
      </c>
      <c r="L830" t="n">
        <v>3300</v>
      </c>
      <c r="M830" t="n">
        <v>2008</v>
      </c>
      <c r="S830" t="n">
        <v>37026</v>
      </c>
      <c r="T830">
        <f>S830/J830</f>
        <v/>
      </c>
      <c r="Y830" t="n">
        <v>1200000</v>
      </c>
      <c r="AA830" t="n">
        <v>1200000</v>
      </c>
      <c r="AB830" t="inlineStr">
        <is>
          <t>Taco Star — Fast Food; src: Retail_Sales_Cleaned</t>
        </is>
      </c>
      <c r="AC830" t="inlineStr">
        <is>
          <t>1973-23-3-29-002</t>
        </is>
      </c>
      <c r="AI830">
        <f>IF(AND($E830=Subj_OccCode,Subj_BldgSF&gt;0,ABS($L830-Subj_BldgSF)&lt;=Subj_BldgSF*Subj_SizeTol),ABS($L830-Subj_BldgSF),NA())</f>
        <v/>
      </c>
      <c r="AJ830">
        <f>IF(ISNA(AI830),NA(),AI830+ROW()/10000000)</f>
        <v/>
      </c>
      <c r="AK830">
        <f>IF(AND(ISNUMBER($N830),$N830&gt;0,ISNUMBER($Y830)),$Y830/$N830,"")</f>
        <v/>
      </c>
    </row>
    <row r="831" ht="15" customHeight="1" s="518">
      <c r="A831" s="62" t="n">
        <v>8</v>
      </c>
      <c r="B831" s="59" t="n">
        <v>827</v>
      </c>
      <c r="D831" t="inlineStr">
        <is>
          <t>10401 E IDAHO PL</t>
        </is>
      </c>
      <c r="E831" t="n">
        <v>325</v>
      </c>
      <c r="F831" t="inlineStr">
        <is>
          <t>AURORA</t>
        </is>
      </c>
      <c r="H831">
        <f>Y831/J831</f>
        <v/>
      </c>
      <c r="I831" s="704" t="n">
        <v>44620</v>
      </c>
      <c r="J831" t="n">
        <v>3864</v>
      </c>
      <c r="L831" t="n">
        <v>3864</v>
      </c>
      <c r="M831" t="n">
        <v>1988</v>
      </c>
      <c r="S831" t="n">
        <v>32322</v>
      </c>
      <c r="T831">
        <f>S831/J831</f>
        <v/>
      </c>
      <c r="Y831" t="n">
        <v>1375000</v>
      </c>
      <c r="AA831" t="n">
        <v>1375000</v>
      </c>
      <c r="AB831" t="inlineStr">
        <is>
          <t>The Car Shop — Auto Service; src: Retail_Sales_Cleaned</t>
        </is>
      </c>
      <c r="AC831" t="inlineStr">
        <is>
          <t>1973-22-1-16-001</t>
        </is>
      </c>
      <c r="AI831">
        <f>IF(AND($E831=Subj_OccCode,Subj_BldgSF&gt;0,ABS($L831-Subj_BldgSF)&lt;=Subj_BldgSF*Subj_SizeTol),ABS($L831-Subj_BldgSF),NA())</f>
        <v/>
      </c>
      <c r="AJ831">
        <f>IF(ISNA(AI831),NA(),AI831+ROW()/10000000)</f>
        <v/>
      </c>
      <c r="AK831">
        <f>IF(AND(ISNUMBER($N831),$N831&gt;0,ISNUMBER($Y831)),$Y831/$N831,"")</f>
        <v/>
      </c>
    </row>
    <row r="832" ht="15" customHeight="1" s="518">
      <c r="A832" s="62" t="n">
        <v>8</v>
      </c>
      <c r="B832" s="59" t="n">
        <v>828</v>
      </c>
      <c r="D832" t="inlineStr">
        <is>
          <t>5115 S SANTA FE DR</t>
        </is>
      </c>
      <c r="E832" t="n">
        <v>325</v>
      </c>
      <c r="F832" t="inlineStr">
        <is>
          <t>LITTLETON</t>
        </is>
      </c>
      <c r="H832">
        <f>Y832/J832</f>
        <v/>
      </c>
      <c r="I832" s="704" t="n">
        <v>44830</v>
      </c>
      <c r="J832" t="n">
        <v>6610</v>
      </c>
      <c r="L832" t="n">
        <v>6610</v>
      </c>
      <c r="M832" t="n">
        <v>1986</v>
      </c>
      <c r="S832" t="n">
        <v>36863</v>
      </c>
      <c r="T832">
        <f>S832/J832</f>
        <v/>
      </c>
      <c r="Y832" t="n">
        <v>4000000</v>
      </c>
      <c r="AA832" t="n">
        <v>4000000</v>
      </c>
      <c r="AB832" t="inlineStr">
        <is>
          <t>The German Car Shoppe — Auto Service; src: Retail_Sales_Cleaned</t>
        </is>
      </c>
      <c r="AC832" t="inlineStr">
        <is>
          <t>2077-16-2-21-002</t>
        </is>
      </c>
      <c r="AI832">
        <f>IF(AND($E832=Subj_OccCode,Subj_BldgSF&gt;0,ABS($L832-Subj_BldgSF)&lt;=Subj_BldgSF*Subj_SizeTol),ABS($L832-Subj_BldgSF),NA())</f>
        <v/>
      </c>
      <c r="AJ832">
        <f>IF(ISNA(AI832),NA(),AI832+ROW()/10000000)</f>
        <v/>
      </c>
      <c r="AK832">
        <f>IF(AND(ISNUMBER($N832),$N832&gt;0,ISNUMBER($Y832)),$Y832/$N832,"")</f>
        <v/>
      </c>
    </row>
    <row r="833" ht="15" customHeight="1" s="518">
      <c r="A833" s="62" t="n">
        <v>8</v>
      </c>
      <c r="B833" s="59" t="n">
        <v>829</v>
      </c>
      <c r="D833" t="inlineStr">
        <is>
          <t>8505 E ARAPAHOE RD</t>
        </is>
      </c>
      <c r="E833" t="n">
        <v>413</v>
      </c>
      <c r="F833" t="inlineStr">
        <is>
          <t>GREENWOOD VILLAGE</t>
        </is>
      </c>
      <c r="H833">
        <f>Y833/J833</f>
        <v/>
      </c>
      <c r="I833" s="704" t="n">
        <v>44491</v>
      </c>
      <c r="J833" t="n">
        <v>5220</v>
      </c>
      <c r="L833" t="n">
        <v>5220</v>
      </c>
      <c r="M833" t="n">
        <v>1989</v>
      </c>
      <c r="S833" t="n">
        <v>19214</v>
      </c>
      <c r="T833">
        <f>S833/J833</f>
        <v/>
      </c>
      <c r="Y833" t="n">
        <v>2911137</v>
      </c>
      <c r="AA833" t="n">
        <v>2911137</v>
      </c>
      <c r="AB833" t="inlineStr">
        <is>
          <t>Torchy's Tacos — Retail Center; src: Retail_Sales_Cleaned</t>
        </is>
      </c>
      <c r="AC833" t="inlineStr">
        <is>
          <t>2075-21-4-18-001</t>
        </is>
      </c>
      <c r="AI833">
        <f>IF(AND($E833=Subj_OccCode,Subj_BldgSF&gt;0,ABS($L833-Subj_BldgSF)&lt;=Subj_BldgSF*Subj_SizeTol),ABS($L833-Subj_BldgSF),NA())</f>
        <v/>
      </c>
      <c r="AJ833">
        <f>IF(ISNA(AI833),NA(),AI833+ROW()/10000000)</f>
        <v/>
      </c>
      <c r="AK833">
        <f>IF(AND(ISNUMBER($N833),$N833&gt;0,ISNUMBER($Y833)),$Y833/$N833,"")</f>
        <v/>
      </c>
    </row>
    <row r="834" ht="15" customHeight="1" s="518">
      <c r="A834" s="62" t="n">
        <v>8</v>
      </c>
      <c r="B834" s="59" t="n">
        <v>830</v>
      </c>
      <c r="D834" t="inlineStr">
        <is>
          <t>8959 E DRY CREEK RD</t>
        </is>
      </c>
      <c r="E834" t="n">
        <v>353</v>
      </c>
      <c r="F834" t="inlineStr">
        <is>
          <t>CENTENNIAL</t>
        </is>
      </c>
      <c r="H834">
        <f>Y834/J834</f>
        <v/>
      </c>
      <c r="I834" s="704" t="n">
        <v>44302</v>
      </c>
      <c r="J834" t="n">
        <v>13813</v>
      </c>
      <c r="L834" t="n">
        <v>13813</v>
      </c>
      <c r="M834" t="n">
        <v>2004</v>
      </c>
      <c r="S834" t="n">
        <v>71003</v>
      </c>
      <c r="T834">
        <f>S834/J834</f>
        <v/>
      </c>
      <c r="Y834" t="n">
        <v>4749730</v>
      </c>
      <c r="AA834" t="n">
        <v>4749730</v>
      </c>
      <c r="AB834" t="inlineStr">
        <is>
          <t>Walgreen's — Drugstore; Double Escrow,Investment Triple Net,Sale Leaseback; src: Retail_Sales_Cleaned</t>
        </is>
      </c>
      <c r="AC834" t="inlineStr">
        <is>
          <t>2075-27-3-25-001</t>
        </is>
      </c>
      <c r="AI834">
        <f>IF(AND($E834=Subj_OccCode,Subj_BldgSF&gt;0,ABS($L834-Subj_BldgSF)&lt;=Subj_BldgSF*Subj_SizeTol),ABS($L834-Subj_BldgSF),NA())</f>
        <v/>
      </c>
      <c r="AJ834">
        <f>IF(ISNA(AI834),NA(),AI834+ROW()/10000000)</f>
        <v/>
      </c>
      <c r="AK834">
        <f>IF(AND(ISNUMBER($N834),$N834&gt;0,ISNUMBER($Y834)),$Y834/$N834,"")</f>
        <v/>
      </c>
    </row>
    <row r="835" ht="15" customHeight="1" s="518">
      <c r="A835" s="62" t="n">
        <v>8</v>
      </c>
      <c r="B835" s="59" t="n">
        <v>831</v>
      </c>
      <c r="D835" t="inlineStr">
        <is>
          <t>18620 E ILIFF AVE</t>
        </is>
      </c>
      <c r="E835" t="n">
        <v>353</v>
      </c>
      <c r="F835" t="inlineStr">
        <is>
          <t>AURORA</t>
        </is>
      </c>
      <c r="H835">
        <f>Y835/J835</f>
        <v/>
      </c>
      <c r="I835" s="704" t="n">
        <v>44041</v>
      </c>
      <c r="J835" t="n">
        <v>14490</v>
      </c>
      <c r="L835" t="n">
        <v>14490</v>
      </c>
      <c r="M835" t="n">
        <v>2003</v>
      </c>
      <c r="S835" t="n">
        <v>89298</v>
      </c>
      <c r="T835">
        <f>S835/J835</f>
        <v/>
      </c>
      <c r="Y835" t="n">
        <v>5663000</v>
      </c>
      <c r="AA835" t="n">
        <v>5663000</v>
      </c>
      <c r="AB835" t="inlineStr">
        <is>
          <t>Walgreens — Drugstore [Duplicate]; Investment Triple Net; src: Retail_Sales_Cleaned</t>
        </is>
      </c>
      <c r="AC835" t="inlineStr">
        <is>
          <t>1975-27-2-18-001</t>
        </is>
      </c>
      <c r="AI835">
        <f>IF(AND($E835=Subj_OccCode,Subj_BldgSF&gt;0,ABS($L835-Subj_BldgSF)&lt;=Subj_BldgSF*Subj_SizeTol),ABS($L835-Subj_BldgSF),NA())</f>
        <v/>
      </c>
      <c r="AJ835">
        <f>IF(ISNA(AI835),NA(),AI835+ROW()/10000000)</f>
        <v/>
      </c>
      <c r="AK835">
        <f>IF(AND(ISNUMBER($N835),$N835&gt;0,ISNUMBER($Y835)),$Y835/$N835,"")</f>
        <v/>
      </c>
    </row>
    <row r="836" ht="15" customHeight="1" s="518">
      <c r="A836" s="62" t="n">
        <v>8</v>
      </c>
      <c r="B836" s="59" t="n">
        <v>832</v>
      </c>
      <c r="D836" t="inlineStr">
        <is>
          <t>18620 E ILIFF AVE</t>
        </is>
      </c>
      <c r="E836" t="n">
        <v>353</v>
      </c>
      <c r="F836" t="inlineStr">
        <is>
          <t>AURORA</t>
        </is>
      </c>
      <c r="H836">
        <f>Y836/J836</f>
        <v/>
      </c>
      <c r="I836" s="704" t="n">
        <v>44137</v>
      </c>
      <c r="J836" t="n">
        <v>14490</v>
      </c>
      <c r="L836" t="n">
        <v>14490</v>
      </c>
      <c r="M836" t="n">
        <v>2003</v>
      </c>
      <c r="S836" t="n">
        <v>89298</v>
      </c>
      <c r="T836">
        <f>S836/J836</f>
        <v/>
      </c>
      <c r="Y836" t="n">
        <v>7218100</v>
      </c>
      <c r="AA836" t="n">
        <v>7218100</v>
      </c>
      <c r="AB836" t="inlineStr">
        <is>
          <t>Walgreens — Drugstore; src: Retail_Sales_Cleaned</t>
        </is>
      </c>
      <c r="AC836" t="inlineStr">
        <is>
          <t>1975-27-2-18-001</t>
        </is>
      </c>
      <c r="AI836">
        <f>IF(AND($E836=Subj_OccCode,Subj_BldgSF&gt;0,ABS($L836-Subj_BldgSF)&lt;=Subj_BldgSF*Subj_SizeTol),ABS($L836-Subj_BldgSF),NA())</f>
        <v/>
      </c>
      <c r="AJ836">
        <f>IF(ISNA(AI836),NA(),AI836+ROW()/10000000)</f>
        <v/>
      </c>
      <c r="AK836">
        <f>IF(AND(ISNUMBER($N836),$N836&gt;0,ISNUMBER($Y836)),$Y836/$N836,"")</f>
        <v/>
      </c>
    </row>
    <row r="837" ht="15" customHeight="1" s="518">
      <c r="A837" s="62" t="n">
        <v>8</v>
      </c>
      <c r="B837" s="59" t="n">
        <v>833</v>
      </c>
      <c r="D837" t="inlineStr">
        <is>
          <t>12011 E ILIFF AVE</t>
        </is>
      </c>
      <c r="E837" t="n">
        <v>353</v>
      </c>
      <c r="F837" t="inlineStr">
        <is>
          <t>AURORA</t>
        </is>
      </c>
      <c r="H837">
        <f>Y837/J837</f>
        <v/>
      </c>
      <c r="I837" s="704" t="n">
        <v>44195</v>
      </c>
      <c r="J837" t="n">
        <v>14121</v>
      </c>
      <c r="L837" t="n">
        <v>14121</v>
      </c>
      <c r="M837" t="n">
        <v>2007</v>
      </c>
      <c r="S837" t="n">
        <v>53579</v>
      </c>
      <c r="T837">
        <f>S837/J837</f>
        <v/>
      </c>
      <c r="Y837" t="n">
        <v>7550000</v>
      </c>
      <c r="AA837" t="n">
        <v>7550000</v>
      </c>
      <c r="AB837" t="inlineStr">
        <is>
          <t>Walgreens — Drugstore; Investment Triple Net; src: Retail_Sales_Cleaned</t>
        </is>
      </c>
      <c r="AC837" t="inlineStr">
        <is>
          <t>1973-26-1-45-001</t>
        </is>
      </c>
      <c r="AI837">
        <f>IF(AND($E837=Subj_OccCode,Subj_BldgSF&gt;0,ABS($L837-Subj_BldgSF)&lt;=Subj_BldgSF*Subj_SizeTol),ABS($L837-Subj_BldgSF),NA())</f>
        <v/>
      </c>
      <c r="AJ837">
        <f>IF(ISNA(AI837),NA(),AI837+ROW()/10000000)</f>
        <v/>
      </c>
      <c r="AK837">
        <f>IF(AND(ISNUMBER($N837),$N837&gt;0,ISNUMBER($Y837)),$Y837/$N837,"")</f>
        <v/>
      </c>
    </row>
    <row r="838" ht="15" customHeight="1" s="518">
      <c r="A838" s="62" t="n">
        <v>8</v>
      </c>
      <c r="B838" s="59" t="n">
        <v>834</v>
      </c>
      <c r="D838" t="inlineStr">
        <is>
          <t>15310 E COLFAX AVE</t>
        </is>
      </c>
      <c r="E838" t="n">
        <v>353</v>
      </c>
      <c r="F838" t="inlineStr">
        <is>
          <t>AURORA</t>
        </is>
      </c>
      <c r="H838">
        <f>Y838/J838</f>
        <v/>
      </c>
      <c r="I838" s="704" t="n">
        <v>44216</v>
      </c>
      <c r="J838" t="n">
        <v>14466</v>
      </c>
      <c r="L838" t="n">
        <v>14466</v>
      </c>
      <c r="M838" t="n">
        <v>2008</v>
      </c>
      <c r="S838" t="n">
        <v>75533</v>
      </c>
      <c r="T838">
        <f>S838/J838</f>
        <v/>
      </c>
      <c r="Y838" t="n">
        <v>5196428</v>
      </c>
      <c r="AA838" t="n">
        <v>5196428</v>
      </c>
      <c r="AB838" t="inlineStr">
        <is>
          <t>Walgreens — Drugstore; Investment Triple Net,Sale Leaseback; src: Retail_Sales_Cleaned</t>
        </is>
      </c>
      <c r="AC838" t="inlineStr">
        <is>
          <t>1975-05-2-26-001</t>
        </is>
      </c>
      <c r="AI838">
        <f>IF(AND($E838=Subj_OccCode,Subj_BldgSF&gt;0,ABS($L838-Subj_BldgSF)&lt;=Subj_BldgSF*Subj_SizeTol),ABS($L838-Subj_BldgSF),NA())</f>
        <v/>
      </c>
      <c r="AJ838">
        <f>IF(ISNA(AI838),NA(),AI838+ROW()/10000000)</f>
        <v/>
      </c>
      <c r="AK838">
        <f>IF(AND(ISNUMBER($N838),$N838&gt;0,ISNUMBER($Y838)),$Y838/$N838,"")</f>
        <v/>
      </c>
    </row>
    <row r="839" ht="15" customHeight="1" s="518">
      <c r="A839" s="62" t="n">
        <v>8</v>
      </c>
      <c r="B839" s="59" t="n">
        <v>835</v>
      </c>
      <c r="D839" t="inlineStr">
        <is>
          <t>15301 E ILIFF AVE</t>
        </is>
      </c>
      <c r="E839" t="n">
        <v>353</v>
      </c>
      <c r="F839" t="inlineStr">
        <is>
          <t>AURORA</t>
        </is>
      </c>
      <c r="H839">
        <f>Y839/J839</f>
        <v/>
      </c>
      <c r="I839" s="704" t="n">
        <v>44493</v>
      </c>
      <c r="J839" t="n">
        <v>14490</v>
      </c>
      <c r="L839" t="n">
        <v>14490</v>
      </c>
      <c r="M839" t="n">
        <v>2001</v>
      </c>
      <c r="S839" t="n">
        <v>70567</v>
      </c>
      <c r="T839">
        <f>S839/J839</f>
        <v/>
      </c>
      <c r="Y839" t="n">
        <v>7254097</v>
      </c>
      <c r="AA839" t="n">
        <v>7254097</v>
      </c>
      <c r="AB839" t="inlineStr">
        <is>
          <t>Walgreens — Drugstore [Duplicate]; Investment Triple Net; src: Retail_Sales_Cleaned</t>
        </is>
      </c>
      <c r="AC839" t="inlineStr">
        <is>
          <t>1975-29-2-22-003</t>
        </is>
      </c>
      <c r="AI839">
        <f>IF(AND($E839=Subj_OccCode,Subj_BldgSF&gt;0,ABS($L839-Subj_BldgSF)&lt;=Subj_BldgSF*Subj_SizeTol),ABS($L839-Subj_BldgSF),NA())</f>
        <v/>
      </c>
      <c r="AJ839">
        <f>IF(ISNA(AI839),NA(),AI839+ROW()/10000000)</f>
        <v/>
      </c>
      <c r="AK839">
        <f>IF(AND(ISNUMBER($N839),$N839&gt;0,ISNUMBER($Y839)),$Y839/$N839,"")</f>
        <v/>
      </c>
    </row>
    <row r="840" ht="15" customHeight="1" s="518">
      <c r="A840" s="62" t="n">
        <v>8</v>
      </c>
      <c r="B840" s="59" t="n">
        <v>836</v>
      </c>
      <c r="D840" t="inlineStr">
        <is>
          <t>15301 E ILIFF AVE</t>
        </is>
      </c>
      <c r="E840" t="n">
        <v>353</v>
      </c>
      <c r="F840" t="inlineStr">
        <is>
          <t>AURORA</t>
        </is>
      </c>
      <c r="H840">
        <f>Y840/J840</f>
        <v/>
      </c>
      <c r="I840" s="704" t="n">
        <v>44546</v>
      </c>
      <c r="J840" t="n">
        <v>14490</v>
      </c>
      <c r="L840" t="n">
        <v>14490</v>
      </c>
      <c r="M840" t="n">
        <v>2001</v>
      </c>
      <c r="S840" t="n">
        <v>70567</v>
      </c>
      <c r="T840">
        <f>S840/J840</f>
        <v/>
      </c>
      <c r="Y840" t="n">
        <v>9664926</v>
      </c>
      <c r="AA840" t="n">
        <v>9664926</v>
      </c>
      <c r="AB840" t="inlineStr">
        <is>
          <t>Walgreens — Drugstore; src: Retail_Sales_Cleaned</t>
        </is>
      </c>
      <c r="AC840" t="inlineStr">
        <is>
          <t>1975-29-2-22-003</t>
        </is>
      </c>
      <c r="AI840">
        <f>IF(AND($E840=Subj_OccCode,Subj_BldgSF&gt;0,ABS($L840-Subj_BldgSF)&lt;=Subj_BldgSF*Subj_SizeTol),ABS($L840-Subj_BldgSF),NA())</f>
        <v/>
      </c>
      <c r="AJ840">
        <f>IF(ISNA(AI840),NA(),AI840+ROW()/10000000)</f>
        <v/>
      </c>
      <c r="AK840">
        <f>IF(AND(ISNUMBER($N840),$N840&gt;0,ISNUMBER($Y840)),$Y840/$N840,"")</f>
        <v/>
      </c>
    </row>
    <row r="841" ht="15" customHeight="1" s="518">
      <c r="A841" s="62" t="n">
        <v>8</v>
      </c>
      <c r="B841" s="59" t="n">
        <v>837</v>
      </c>
      <c r="D841" t="inlineStr">
        <is>
          <t>12051 E MISSISSIPPI AVE</t>
        </is>
      </c>
      <c r="E841" t="n">
        <v>353</v>
      </c>
      <c r="F841" t="inlineStr">
        <is>
          <t>AURORA</t>
        </is>
      </c>
      <c r="H841">
        <f>Y841/J841</f>
        <v/>
      </c>
      <c r="I841" s="704" t="n">
        <v>44880</v>
      </c>
      <c r="J841" t="n">
        <v>14778</v>
      </c>
      <c r="L841" t="n">
        <v>14778</v>
      </c>
      <c r="M841" t="n">
        <v>1998</v>
      </c>
      <c r="S841" t="n">
        <v>104980</v>
      </c>
      <c r="T841">
        <f>S841/J841</f>
        <v/>
      </c>
      <c r="Y841" t="n">
        <v>5616000</v>
      </c>
      <c r="AA841" t="n">
        <v>5616000</v>
      </c>
      <c r="AB841" t="inlineStr">
        <is>
          <t>Walgreens — Drugstore; Bulk/Portfolio Sale; src: Retail_Sales_Cleaned</t>
        </is>
      </c>
      <c r="AC841" t="inlineStr">
        <is>
          <t>1973-14-4-32-001</t>
        </is>
      </c>
      <c r="AI841">
        <f>IF(AND($E841=Subj_OccCode,Subj_BldgSF&gt;0,ABS($L841-Subj_BldgSF)&lt;=Subj_BldgSF*Subj_SizeTol),ABS($L841-Subj_BldgSF),NA())</f>
        <v/>
      </c>
      <c r="AJ841">
        <f>IF(ISNA(AI841),NA(),AI841+ROW()/10000000)</f>
        <v/>
      </c>
      <c r="AK841">
        <f>IF(AND(ISNUMBER($N841),$N841&gt;0,ISNUMBER($Y841)),$Y841/$N841,"")</f>
        <v/>
      </c>
    </row>
    <row r="842" ht="15" customHeight="1" s="518">
      <c r="A842" s="62" t="n">
        <v>8</v>
      </c>
      <c r="B842" s="59" t="n">
        <v>838</v>
      </c>
      <c r="D842" t="inlineStr">
        <is>
          <t>18700 E HAMPDEN AVE</t>
        </is>
      </c>
      <c r="E842" t="n">
        <v>349</v>
      </c>
      <c r="F842" t="inlineStr">
        <is>
          <t>AURORA</t>
        </is>
      </c>
      <c r="H842">
        <f>Y842/J842</f>
        <v/>
      </c>
      <c r="I842" s="704" t="n">
        <v>43413</v>
      </c>
      <c r="J842" t="n">
        <v>3227</v>
      </c>
      <c r="L842" t="n">
        <v>3227</v>
      </c>
      <c r="M842" t="n">
        <v>2001</v>
      </c>
      <c r="S842" t="n">
        <v>69260</v>
      </c>
      <c r="T842">
        <f>S842/J842</f>
        <v/>
      </c>
      <c r="Y842" t="n">
        <v>856555</v>
      </c>
      <c r="AA842" t="n">
        <v>856555</v>
      </c>
      <c r="AB842" t="inlineStr">
        <is>
          <t>Wendy's — Fast Food [Old Sale]; 1031 Exchange; src: Retail_Sales_Cleaned</t>
        </is>
      </c>
      <c r="AC842" t="inlineStr">
        <is>
          <t>2073-03-2-34-002</t>
        </is>
      </c>
      <c r="AI842">
        <f>IF(AND($E842=Subj_OccCode,Subj_BldgSF&gt;0,ABS($L842-Subj_BldgSF)&lt;=Subj_BldgSF*Subj_SizeTol),ABS($L842-Subj_BldgSF),NA())</f>
        <v/>
      </c>
      <c r="AJ842">
        <f>IF(ISNA(AI842),NA(),AI842+ROW()/10000000)</f>
        <v/>
      </c>
      <c r="AK842">
        <f>IF(AND(ISNUMBER($N842),$N842&gt;0,ISNUMBER($Y842)),$Y842/$N842,"")</f>
        <v/>
      </c>
    </row>
    <row r="843" ht="15" customHeight="1" s="518">
      <c r="A843" s="62" t="n">
        <v>8</v>
      </c>
      <c r="B843" s="59" t="n">
        <v>839</v>
      </c>
      <c r="D843" t="inlineStr">
        <is>
          <t>16901 E ILIFF AVE</t>
        </is>
      </c>
      <c r="E843" t="n">
        <v>349</v>
      </c>
      <c r="F843" t="inlineStr">
        <is>
          <t>AURORA</t>
        </is>
      </c>
      <c r="H843">
        <f>Y843/J843</f>
        <v/>
      </c>
      <c r="I843" s="704" t="n">
        <v>43866</v>
      </c>
      <c r="J843" t="n">
        <v>2400</v>
      </c>
      <c r="L843" t="n">
        <v>2400</v>
      </c>
      <c r="M843" t="n">
        <v>1984</v>
      </c>
      <c r="S843" t="n">
        <v>33498</v>
      </c>
      <c r="T843">
        <f>S843/J843</f>
        <v/>
      </c>
      <c r="Y843" t="n">
        <v>2122000</v>
      </c>
      <c r="AA843" t="n">
        <v>2122000</v>
      </c>
      <c r="AB843" t="inlineStr">
        <is>
          <t>Wendy's — Fast Food; Investment Triple Net; src: Retail_Sales_Cleaned</t>
        </is>
      </c>
      <c r="AC843" t="inlineStr">
        <is>
          <t>1975-28-3-26-001</t>
        </is>
      </c>
      <c r="AI843">
        <f>IF(AND($E843=Subj_OccCode,Subj_BldgSF&gt;0,ABS($L843-Subj_BldgSF)&lt;=Subj_BldgSF*Subj_SizeTol),ABS($L843-Subj_BldgSF),NA())</f>
        <v/>
      </c>
      <c r="AJ843">
        <f>IF(ISNA(AI843),NA(),AI843+ROW()/10000000)</f>
        <v/>
      </c>
      <c r="AK843">
        <f>IF(AND(ISNUMBER($N843),$N843&gt;0,ISNUMBER($Y843)),$Y843/$N843,"")</f>
        <v/>
      </c>
    </row>
    <row r="844" ht="15" customHeight="1" s="518">
      <c r="A844" s="62" t="n">
        <v>8</v>
      </c>
      <c r="B844" s="59" t="n">
        <v>840</v>
      </c>
      <c r="D844" t="inlineStr">
        <is>
          <t>5155 S BROADWAY</t>
        </is>
      </c>
      <c r="E844" t="n">
        <v>349</v>
      </c>
      <c r="F844" t="inlineStr">
        <is>
          <t>ENGLEWOOD</t>
        </is>
      </c>
      <c r="H844">
        <f>Y844/J844</f>
        <v/>
      </c>
      <c r="I844" s="704" t="n">
        <v>45187</v>
      </c>
      <c r="J844" t="n">
        <v>3254</v>
      </c>
      <c r="L844" t="n">
        <v>3254</v>
      </c>
      <c r="M844" t="n">
        <v>1999</v>
      </c>
      <c r="S844" t="n">
        <v>12632</v>
      </c>
      <c r="T844">
        <f>S844/J844</f>
        <v/>
      </c>
      <c r="Y844" t="n">
        <v>1500000</v>
      </c>
      <c r="AA844" t="n">
        <v>1500000</v>
      </c>
      <c r="AB844" t="inlineStr">
        <is>
          <t>Wendy's — Fast Food; src: Retail_Sales_Cleaned</t>
        </is>
      </c>
      <c r="AC844" t="inlineStr">
        <is>
          <t>2077-15-2-01-082</t>
        </is>
      </c>
      <c r="AI844">
        <f>IF(AND($E844=Subj_OccCode,Subj_BldgSF&gt;0,ABS($L844-Subj_BldgSF)&lt;=Subj_BldgSF*Subj_SizeTol),ABS($L844-Subj_BldgSF),NA())</f>
        <v/>
      </c>
      <c r="AJ844">
        <f>IF(ISNA(AI844),NA(),AI844+ROW()/10000000)</f>
        <v/>
      </c>
      <c r="AK844">
        <f>IF(AND(ISNUMBER($N844),$N844&gt;0,ISNUMBER($Y844)),$Y844/$N844,"")</f>
        <v/>
      </c>
    </row>
    <row r="845" ht="15" customHeight="1" s="518">
      <c r="A845" s="62" t="n">
        <v>8</v>
      </c>
      <c r="B845" s="59" t="n">
        <v>841</v>
      </c>
      <c r="D845" t="inlineStr">
        <is>
          <t>1410 MAIN ST</t>
        </is>
      </c>
      <c r="E845" t="n">
        <v>353</v>
      </c>
      <c r="F845" t="inlineStr">
        <is>
          <t>LONGMONT</t>
        </is>
      </c>
      <c r="H845">
        <f>Y845/J845</f>
        <v/>
      </c>
      <c r="I845" s="704" t="n">
        <v>43209</v>
      </c>
      <c r="J845" t="n">
        <v>7000</v>
      </c>
      <c r="L845" t="n">
        <v>7000</v>
      </c>
      <c r="M845" t="n">
        <v>2006</v>
      </c>
      <c r="S845" t="n">
        <v>40946</v>
      </c>
      <c r="T845">
        <f>S845/J845</f>
        <v/>
      </c>
      <c r="Y845" t="n">
        <v>2074000</v>
      </c>
      <c r="AA845" t="n">
        <v>2074000</v>
      </c>
      <c r="AB845" t="inlineStr">
        <is>
          <t>Advance Auto Parts — Auto Parts; 1031 Exchange,Build to Suit,Investment Triple Net; src: Retail_Sales_Cleaned</t>
        </is>
      </c>
      <c r="AC845" t="inlineStr">
        <is>
          <t>1205341-57-003</t>
        </is>
      </c>
      <c r="AI845">
        <f>IF(AND($E845=Subj_OccCode,Subj_BldgSF&gt;0,ABS($L845-Subj_BldgSF)&lt;=Subj_BldgSF*Subj_SizeTol),ABS($L845-Subj_BldgSF),NA())</f>
        <v/>
      </c>
      <c r="AJ845">
        <f>IF(ISNA(AI845),NA(),AI845+ROW()/10000000)</f>
        <v/>
      </c>
      <c r="AK845">
        <f>IF(AND(ISNUMBER($N845),$N845&gt;0,ISNUMBER($Y845)),$Y845/$N845,"")</f>
        <v/>
      </c>
    </row>
    <row r="846" ht="15" customHeight="1" s="518">
      <c r="A846" s="62" t="n">
        <v>8</v>
      </c>
      <c r="B846" s="59" t="n">
        <v>842</v>
      </c>
      <c r="D846" t="inlineStr">
        <is>
          <t>905 S PUBLIC RD</t>
        </is>
      </c>
      <c r="E846" t="n">
        <v>325</v>
      </c>
      <c r="F846" t="inlineStr">
        <is>
          <t>LAFAYETTE</t>
        </is>
      </c>
      <c r="H846">
        <f>Y846/J846</f>
        <v/>
      </c>
      <c r="I846" s="704" t="n">
        <v>44747</v>
      </c>
      <c r="J846" t="n">
        <v>5000</v>
      </c>
      <c r="L846" t="n">
        <v>5000</v>
      </c>
      <c r="M846" t="n">
        <v>1996</v>
      </c>
      <c r="S846" t="n">
        <v>45454</v>
      </c>
      <c r="T846">
        <f>S846/J846</f>
        <v/>
      </c>
      <c r="Y846" t="n">
        <v>2000000</v>
      </c>
      <c r="AA846" t="n">
        <v>2000000</v>
      </c>
      <c r="AB846" t="inlineStr">
        <is>
          <t>Coopers Auto — Auto Service; src: Retail_Sales_Cleaned</t>
        </is>
      </c>
      <c r="AC846" t="inlineStr">
        <is>
          <t>1575034-74-001</t>
        </is>
      </c>
      <c r="AI846">
        <f>IF(AND($E846=Subj_OccCode,Subj_BldgSF&gt;0,ABS($L846-Subj_BldgSF)&lt;=Subj_BldgSF*Subj_SizeTol),ABS($L846-Subj_BldgSF),NA())</f>
        <v/>
      </c>
      <c r="AJ846">
        <f>IF(ISNA(AI846),NA(),AI846+ROW()/10000000)</f>
        <v/>
      </c>
      <c r="AK846">
        <f>IF(AND(ISNUMBER($N846),$N846&gt;0,ISNUMBER($Y846)),$Y846/$N846,"")</f>
        <v/>
      </c>
    </row>
    <row r="847" ht="15" customHeight="1" s="518">
      <c r="A847" s="62" t="n">
        <v>8</v>
      </c>
      <c r="B847" s="59" t="n">
        <v>843</v>
      </c>
      <c r="D847" t="inlineStr">
        <is>
          <t>585 S MCCASLIN BLVD</t>
        </is>
      </c>
      <c r="E847" t="n">
        <v>353</v>
      </c>
      <c r="F847" t="inlineStr">
        <is>
          <t>LOUISVILLE</t>
        </is>
      </c>
      <c r="H847">
        <f>Y847/J847</f>
        <v/>
      </c>
      <c r="I847" s="704" t="n">
        <v>44866</v>
      </c>
      <c r="J847" t="n">
        <v>6000</v>
      </c>
      <c r="L847" t="n">
        <v>6000</v>
      </c>
      <c r="M847" t="n">
        <v>1996</v>
      </c>
      <c r="S847" t="n">
        <v>70567</v>
      </c>
      <c r="T847">
        <f>S847/J847</f>
        <v/>
      </c>
      <c r="Y847" t="n">
        <v>1900000</v>
      </c>
      <c r="AA847" t="n">
        <v>1900000</v>
      </c>
      <c r="AB847" t="inlineStr">
        <is>
          <t>Dark - Former Chilis — Retail Center; Purchase By Tenant; src: Retail_Sales_Cleaned</t>
        </is>
      </c>
      <c r="AC847" t="inlineStr">
        <is>
          <t>1575183-03-004</t>
        </is>
      </c>
      <c r="AI847">
        <f>IF(AND($E847=Subj_OccCode,Subj_BldgSF&gt;0,ABS($L847-Subj_BldgSF)&lt;=Subj_BldgSF*Subj_SizeTol),ABS($L847-Subj_BldgSF),NA())</f>
        <v/>
      </c>
      <c r="AJ847">
        <f>IF(ISNA(AI847),NA(),AI847+ROW()/10000000)</f>
        <v/>
      </c>
      <c r="AK847">
        <f>IF(AND(ISNUMBER($N847),$N847&gt;0,ISNUMBER($Y847)),$Y847/$N847,"")</f>
        <v/>
      </c>
    </row>
    <row r="848" ht="15" customHeight="1" s="518">
      <c r="A848" s="62" t="n">
        <v>8</v>
      </c>
      <c r="B848" s="59" t="n">
        <v>844</v>
      </c>
      <c r="D848" t="inlineStr">
        <is>
          <t>3332 ARAPAHOE RD</t>
        </is>
      </c>
      <c r="E848" t="n">
        <v>325</v>
      </c>
      <c r="F848" t="inlineStr">
        <is>
          <t>ERIE</t>
        </is>
      </c>
      <c r="H848">
        <f>Y848/J848</f>
        <v/>
      </c>
      <c r="I848" s="704" t="n">
        <v>44720</v>
      </c>
      <c r="J848" t="n">
        <v>8478</v>
      </c>
      <c r="L848" t="n">
        <v>8478</v>
      </c>
      <c r="M848" t="n">
        <v>1999</v>
      </c>
      <c r="S848" t="n">
        <v>45302</v>
      </c>
      <c r="T848">
        <f>S848/J848</f>
        <v/>
      </c>
      <c r="Y848" t="n">
        <v>1229744</v>
      </c>
      <c r="AA848" t="n">
        <v>1229744</v>
      </c>
      <c r="AB848" t="inlineStr">
        <is>
          <t>Fine Tuned Auto — Auto Service; Bulk/Portfolio Sale,Investment Triple Net; src: Retail_Sales_Cleaned</t>
        </is>
      </c>
      <c r="AC848" t="inlineStr">
        <is>
          <t>1465270-14-004</t>
        </is>
      </c>
      <c r="AI848">
        <f>IF(AND($E848=Subj_OccCode,Subj_BldgSF&gt;0,ABS($L848-Subj_BldgSF)&lt;=Subj_BldgSF*Subj_SizeTol),ABS($L848-Subj_BldgSF),NA())</f>
        <v/>
      </c>
      <c r="AJ848">
        <f>IF(ISNA(AI848),NA(),AI848+ROW()/10000000)</f>
        <v/>
      </c>
      <c r="AK848">
        <f>IF(AND(ISNUMBER($N848),$N848&gt;0,ISNUMBER($Y848)),$Y848/$N848,"")</f>
        <v/>
      </c>
    </row>
    <row r="849" ht="15" customHeight="1" s="518">
      <c r="A849" s="62" t="n">
        <v>8</v>
      </c>
      <c r="B849" s="59" t="n">
        <v>845</v>
      </c>
      <c r="D849" t="inlineStr">
        <is>
          <t>2050 26TH ST</t>
        </is>
      </c>
      <c r="E849" t="n">
        <v>349</v>
      </c>
      <c r="F849" t="inlineStr">
        <is>
          <t>BOULDER</t>
        </is>
      </c>
      <c r="H849">
        <f>Y849/J849</f>
        <v/>
      </c>
      <c r="I849" s="704" t="n">
        <v>43928</v>
      </c>
      <c r="J849" t="n">
        <v>876</v>
      </c>
      <c r="L849" t="n">
        <v>876</v>
      </c>
      <c r="M849" t="n">
        <v>1993</v>
      </c>
      <c r="S849" t="n">
        <v>23958</v>
      </c>
      <c r="T849">
        <f>S849/J849</f>
        <v/>
      </c>
      <c r="Y849" t="n">
        <v>2500000</v>
      </c>
      <c r="AA849" t="n">
        <v>2500000</v>
      </c>
      <c r="AB849" t="inlineStr">
        <is>
          <t>Good Times Burgers &amp; Frozen Custard — Fast Food; Bulk/Portfolio Sale,Investment Triple Net; src: Retail_Sales_Cleaned</t>
        </is>
      </c>
      <c r="AC849" t="inlineStr">
        <is>
          <t>1463292-32-003</t>
        </is>
      </c>
      <c r="AI849">
        <f>IF(AND($E849=Subj_OccCode,Subj_BldgSF&gt;0,ABS($L849-Subj_BldgSF)&lt;=Subj_BldgSF*Subj_SizeTol),ABS($L849-Subj_BldgSF),NA())</f>
        <v/>
      </c>
      <c r="AJ849">
        <f>IF(ISNA(AI849),NA(),AI849+ROW()/10000000)</f>
        <v/>
      </c>
      <c r="AK849">
        <f>IF(AND(ISNUMBER($N849),$N849&gt;0,ISNUMBER($Y849)),$Y849/$N849,"")</f>
        <v/>
      </c>
    </row>
    <row r="850" ht="15" customHeight="1" s="518">
      <c r="A850" s="62" t="n">
        <v>8</v>
      </c>
      <c r="B850" s="59" t="n">
        <v>846</v>
      </c>
      <c r="D850" t="inlineStr">
        <is>
          <t>1011 DRY CREEK DR</t>
        </is>
      </c>
      <c r="E850" t="n">
        <v>426</v>
      </c>
      <c r="F850" t="inlineStr">
        <is>
          <t>LONGMONT</t>
        </is>
      </c>
      <c r="H850">
        <f>Y850/J850</f>
        <v/>
      </c>
      <c r="I850" s="704" t="n">
        <v>44243</v>
      </c>
      <c r="J850" t="n">
        <v>11375</v>
      </c>
      <c r="L850" t="n">
        <v>11375</v>
      </c>
      <c r="M850" t="n">
        <v>1998</v>
      </c>
      <c r="S850" t="n">
        <v>51836</v>
      </c>
      <c r="T850">
        <f>S850/J850</f>
        <v/>
      </c>
      <c r="Y850" t="n">
        <v>6035000</v>
      </c>
      <c r="AA850" t="n">
        <v>6035000</v>
      </c>
      <c r="AB850" t="inlineStr">
        <is>
          <t>Guidepost Montessori — Daycare; src: Retail_Sales_Cleaned</t>
        </is>
      </c>
      <c r="AC850" t="inlineStr">
        <is>
          <t>1315080-13-001</t>
        </is>
      </c>
      <c r="AI850">
        <f>IF(AND($E850=Subj_OccCode,Subj_BldgSF&gt;0,ABS($L850-Subj_BldgSF)&lt;=Subj_BldgSF*Subj_SizeTol),ABS($L850-Subj_BldgSF),NA())</f>
        <v/>
      </c>
      <c r="AJ850">
        <f>IF(ISNA(AI850),NA(),AI850+ROW()/10000000)</f>
        <v/>
      </c>
      <c r="AK850">
        <f>IF(AND(ISNUMBER($N850),$N850&gt;0,ISNUMBER($Y850)),$Y850/$N850,"")</f>
        <v/>
      </c>
    </row>
    <row r="851" ht="15" customHeight="1" s="518">
      <c r="A851" s="62" t="n">
        <v>8</v>
      </c>
      <c r="B851" s="59" t="n">
        <v>847</v>
      </c>
      <c r="D851" t="inlineStr">
        <is>
          <t>401 CENTER DR</t>
        </is>
      </c>
      <c r="E851" t="n">
        <v>414</v>
      </c>
      <c r="F851" t="inlineStr">
        <is>
          <t>SUPERIOR</t>
        </is>
      </c>
      <c r="H851">
        <f>Y851/J851</f>
        <v/>
      </c>
      <c r="I851" s="704" t="n">
        <v>44656</v>
      </c>
      <c r="J851" t="n">
        <v>3784</v>
      </c>
      <c r="L851" t="n">
        <v>3784</v>
      </c>
      <c r="M851" t="n">
        <v>2001</v>
      </c>
      <c r="S851" t="n">
        <v>38333</v>
      </c>
      <c r="T851">
        <f>S851/J851</f>
        <v/>
      </c>
      <c r="Y851" t="n">
        <v>1315000</v>
      </c>
      <c r="AA851" t="n">
        <v>1315000</v>
      </c>
      <c r="AB851" t="inlineStr">
        <is>
          <t>Ihop — Retail Center; Investment Triple Net; src: Retail_Sales_Cleaned</t>
        </is>
      </c>
      <c r="AC851" t="inlineStr">
        <is>
          <t>1577130-21-003</t>
        </is>
      </c>
      <c r="AI851">
        <f>IF(AND($E851=Subj_OccCode,Subj_BldgSF&gt;0,ABS($L851-Subj_BldgSF)&lt;=Subj_BldgSF*Subj_SizeTol),ABS($L851-Subj_BldgSF),NA())</f>
        <v/>
      </c>
      <c r="AJ851">
        <f>IF(ISNA(AI851),NA(),AI851+ROW()/10000000)</f>
        <v/>
      </c>
      <c r="AK851">
        <f>IF(AND(ISNUMBER($N851),$N851&gt;0,ISNUMBER($Y851)),$Y851/$N851,"")</f>
        <v/>
      </c>
    </row>
    <row r="852" ht="15" customHeight="1" s="518">
      <c r="A852" s="62" t="n">
        <v>8</v>
      </c>
      <c r="B852" s="59" t="n">
        <v>848</v>
      </c>
      <c r="D852" t="inlineStr">
        <is>
          <t>3210 ARAPAHOE AVE</t>
        </is>
      </c>
      <c r="E852" t="n">
        <v>349</v>
      </c>
      <c r="F852" t="inlineStr">
        <is>
          <t>BOULDER</t>
        </is>
      </c>
      <c r="H852">
        <f>Y852/J852</f>
        <v/>
      </c>
      <c r="I852" s="704" t="n">
        <v>44551</v>
      </c>
      <c r="J852" t="n">
        <v>2996</v>
      </c>
      <c r="L852" t="n">
        <v>2996</v>
      </c>
      <c r="M852" t="n">
        <v>2003</v>
      </c>
      <c r="S852" t="n">
        <v>43560</v>
      </c>
      <c r="T852">
        <f>S852/J852</f>
        <v/>
      </c>
      <c r="Y852" t="n">
        <v>2100000</v>
      </c>
      <c r="AA852" t="n">
        <v>2100000</v>
      </c>
      <c r="AB852" t="inlineStr">
        <is>
          <t>KFC/Taco Bell — Fast Food; src: Retail_Sales_Cleaned</t>
        </is>
      </c>
      <c r="AC852" t="inlineStr">
        <is>
          <t>1463321-00-019</t>
        </is>
      </c>
      <c r="AI852">
        <f>IF(AND($E852=Subj_OccCode,Subj_BldgSF&gt;0,ABS($L852-Subj_BldgSF)&lt;=Subj_BldgSF*Subj_SizeTol),ABS($L852-Subj_BldgSF),NA())</f>
        <v/>
      </c>
      <c r="AJ852">
        <f>IF(ISNA(AI852),NA(),AI852+ROW()/10000000)</f>
        <v/>
      </c>
      <c r="AK852">
        <f>IF(AND(ISNUMBER($N852),$N852&gt;0,ISNUMBER($Y852)),$Y852/$N852,"")</f>
        <v/>
      </c>
    </row>
    <row r="853" ht="15" customHeight="1" s="518">
      <c r="A853" s="62" t="n">
        <v>8</v>
      </c>
      <c r="B853" s="59" t="n">
        <v>849</v>
      </c>
      <c r="D853" t="inlineStr">
        <is>
          <t>1941 TERRY ST</t>
        </is>
      </c>
      <c r="E853" t="n">
        <v>426</v>
      </c>
      <c r="F853" t="inlineStr">
        <is>
          <t>LONGMONT</t>
        </is>
      </c>
      <c r="H853">
        <f>Y853/J853</f>
        <v/>
      </c>
      <c r="I853" s="704" t="n">
        <v>45008</v>
      </c>
      <c r="J853" t="n">
        <v>4900</v>
      </c>
      <c r="L853" t="n">
        <v>4900</v>
      </c>
      <c r="M853" t="n">
        <v>1983</v>
      </c>
      <c r="S853" t="n">
        <v>24394</v>
      </c>
      <c r="T853">
        <f>S853/J853</f>
        <v/>
      </c>
      <c r="Y853" t="n">
        <v>2400000</v>
      </c>
      <c r="AA853" t="n">
        <v>2400000</v>
      </c>
      <c r="AB853" t="inlineStr">
        <is>
          <t>Kid City USA — Daycare; src: Retail_Sales_Cleaned</t>
        </is>
      </c>
      <c r="AC853" t="inlineStr">
        <is>
          <t>1205273-31-001</t>
        </is>
      </c>
      <c r="AI853">
        <f>IF(AND($E853=Subj_OccCode,Subj_BldgSF&gt;0,ABS($L853-Subj_BldgSF)&lt;=Subj_BldgSF*Subj_SizeTol),ABS($L853-Subj_BldgSF),NA())</f>
        <v/>
      </c>
      <c r="AJ853">
        <f>IF(ISNA(AI853),NA(),AI853+ROW()/10000000)</f>
        <v/>
      </c>
      <c r="AK853">
        <f>IF(AND(ISNUMBER($N853),$N853&gt;0,ISNUMBER($Y853)),$Y853/$N853,"")</f>
        <v/>
      </c>
    </row>
    <row r="854" ht="15" customHeight="1" s="518">
      <c r="A854" s="62" t="n">
        <v>8</v>
      </c>
      <c r="B854" s="59" t="n">
        <v>850</v>
      </c>
      <c r="D854" t="inlineStr">
        <is>
          <t>107 MCCASLIN BLVD</t>
        </is>
      </c>
      <c r="E854" t="n">
        <v>426</v>
      </c>
      <c r="F854" t="inlineStr">
        <is>
          <t>LOUISVILLE</t>
        </is>
      </c>
      <c r="H854">
        <f>Y854/J854</f>
        <v/>
      </c>
      <c r="I854" s="704" t="n">
        <v>44173</v>
      </c>
      <c r="J854" t="n">
        <v>10500</v>
      </c>
      <c r="L854" t="n">
        <v>10500</v>
      </c>
      <c r="M854" t="n">
        <v>1996</v>
      </c>
      <c r="S854" t="n">
        <v>84942</v>
      </c>
      <c r="T854">
        <f>S854/J854</f>
        <v/>
      </c>
      <c r="Y854" t="n">
        <v>3225000</v>
      </c>
      <c r="AA854" t="n">
        <v>3225000</v>
      </c>
      <c r="AB854" t="inlineStr">
        <is>
          <t>KinderCare — Daycare; Investment Triple Net; src: Retail_Sales_Cleaned</t>
        </is>
      </c>
      <c r="AC854" t="inlineStr">
        <is>
          <t>1575182-03-003</t>
        </is>
      </c>
      <c r="AI854">
        <f>IF(AND($E854=Subj_OccCode,Subj_BldgSF&gt;0,ABS($L854-Subj_BldgSF)&lt;=Subj_BldgSF*Subj_SizeTol),ABS($L854-Subj_BldgSF),NA())</f>
        <v/>
      </c>
      <c r="AJ854">
        <f>IF(ISNA(AI854),NA(),AI854+ROW()/10000000)</f>
        <v/>
      </c>
      <c r="AK854">
        <f>IF(AND(ISNUMBER($N854),$N854&gt;0,ISNUMBER($Y854)),$Y854/$N854,"")</f>
        <v/>
      </c>
    </row>
    <row r="855" ht="15" customHeight="1" s="518">
      <c r="A855" s="62" t="n">
        <v>8</v>
      </c>
      <c r="B855" s="59" t="n">
        <v>851</v>
      </c>
      <c r="D855" t="inlineStr">
        <is>
          <t>1411 HECLA WAY</t>
        </is>
      </c>
      <c r="E855" t="n">
        <v>353</v>
      </c>
      <c r="F855" t="inlineStr">
        <is>
          <t>LOUISVILLE</t>
        </is>
      </c>
      <c r="H855">
        <f>Y855/J855</f>
        <v/>
      </c>
      <c r="I855" s="704" t="n">
        <v>44929</v>
      </c>
      <c r="J855" t="n">
        <v>11464</v>
      </c>
      <c r="L855" t="n">
        <v>11464</v>
      </c>
      <c r="M855" t="n">
        <v>2002</v>
      </c>
      <c r="S855" t="n">
        <v>30352</v>
      </c>
      <c r="T855">
        <f>S855/J855</f>
        <v/>
      </c>
      <c r="Y855" t="n">
        <v>2200000</v>
      </c>
      <c r="AA855" t="n">
        <v>2200000</v>
      </c>
      <c r="AB855" t="inlineStr">
        <is>
          <t>NAPA — Auto Parts; src: Retail_Sales_Cleaned</t>
        </is>
      </c>
      <c r="AC855" t="inlineStr">
        <is>
          <t>1575040-74-001</t>
        </is>
      </c>
      <c r="AI855">
        <f>IF(AND($E855=Subj_OccCode,Subj_BldgSF&gt;0,ABS($L855-Subj_BldgSF)&lt;=Subj_BldgSF*Subj_SizeTol),ABS($L855-Subj_BldgSF),NA())</f>
        <v/>
      </c>
      <c r="AJ855">
        <f>IF(ISNA(AI855),NA(),AI855+ROW()/10000000)</f>
        <v/>
      </c>
      <c r="AK855">
        <f>IF(AND(ISNUMBER($N855),$N855&gt;0,ISNUMBER($Y855)),$Y855/$N855,"")</f>
        <v/>
      </c>
    </row>
    <row r="856" ht="15" customHeight="1" s="518">
      <c r="A856" s="62" t="n">
        <v>8</v>
      </c>
      <c r="B856" s="59" t="n">
        <v>852</v>
      </c>
      <c r="D856" t="inlineStr">
        <is>
          <t>1417 MAIN ST</t>
        </is>
      </c>
      <c r="E856" t="n">
        <v>353</v>
      </c>
      <c r="F856" t="inlineStr">
        <is>
          <t>LONGMONT</t>
        </is>
      </c>
      <c r="H856">
        <f>Y856/J856</f>
        <v/>
      </c>
      <c r="I856" s="704" t="n">
        <v>44248</v>
      </c>
      <c r="J856" t="n">
        <v>7000</v>
      </c>
      <c r="L856" t="n">
        <v>7000</v>
      </c>
      <c r="M856" t="n">
        <v>1999</v>
      </c>
      <c r="S856" t="n">
        <v>27878</v>
      </c>
      <c r="T856">
        <f>S856/J856</f>
        <v/>
      </c>
      <c r="Y856" t="n">
        <v>1867000</v>
      </c>
      <c r="AA856" t="n">
        <v>1867000</v>
      </c>
      <c r="AB856" t="inlineStr">
        <is>
          <t>O'Reilly Auto Parts — Auto Parts; src: Retail_Sales_Cleaned</t>
        </is>
      </c>
      <c r="AC856" t="inlineStr">
        <is>
          <t>1205342-40-004</t>
        </is>
      </c>
      <c r="AI856">
        <f>IF(AND($E856=Subj_OccCode,Subj_BldgSF&gt;0,ABS($L856-Subj_BldgSF)&lt;=Subj_BldgSF*Subj_SizeTol),ABS($L856-Subj_BldgSF),NA())</f>
        <v/>
      </c>
      <c r="AJ856">
        <f>IF(ISNA(AI856),NA(),AI856+ROW()/10000000)</f>
        <v/>
      </c>
      <c r="AK856">
        <f>IF(AND(ISNUMBER($N856),$N856&gt;0,ISNUMBER($Y856)),$Y856/$N856,"")</f>
        <v/>
      </c>
    </row>
    <row r="857" ht="15" customHeight="1" s="518">
      <c r="A857" s="62" t="n">
        <v>8</v>
      </c>
      <c r="B857" s="59" t="n">
        <v>853</v>
      </c>
      <c r="D857" t="inlineStr">
        <is>
          <t>301 CENTER DR</t>
        </is>
      </c>
      <c r="E857" t="n">
        <v>349</v>
      </c>
      <c r="F857" t="inlineStr">
        <is>
          <t>SUPERIOR</t>
        </is>
      </c>
      <c r="H857">
        <f>Y857/J857</f>
        <v/>
      </c>
      <c r="I857" s="704" t="n">
        <v>44649</v>
      </c>
      <c r="J857" t="n">
        <v>2500</v>
      </c>
      <c r="L857" t="n">
        <v>2500</v>
      </c>
      <c r="M857" t="n">
        <v>2005</v>
      </c>
      <c r="S857" t="n">
        <v>34526</v>
      </c>
      <c r="T857">
        <f>S857/J857</f>
        <v/>
      </c>
      <c r="Y857" t="n">
        <v>2000000</v>
      </c>
      <c r="AA857" t="n">
        <v>2000000</v>
      </c>
      <c r="AB857" t="inlineStr">
        <is>
          <t>Panda Express — Fast Food; Investment Triple Net; src: Retail_Sales_Cleaned</t>
        </is>
      </c>
      <c r="AC857" t="inlineStr">
        <is>
          <t>1577240-42-002</t>
        </is>
      </c>
      <c r="AI857">
        <f>IF(AND($E857=Subj_OccCode,Subj_BldgSF&gt;0,ABS($L857-Subj_BldgSF)&lt;=Subj_BldgSF*Subj_SizeTol),ABS($L857-Subj_BldgSF),NA())</f>
        <v/>
      </c>
      <c r="AJ857">
        <f>IF(ISNA(AI857),NA(),AI857+ROW()/10000000)</f>
        <v/>
      </c>
      <c r="AK857">
        <f>IF(AND(ISNUMBER($N857),$N857&gt;0,ISNUMBER($Y857)),$Y857/$N857,"")</f>
        <v/>
      </c>
    </row>
    <row r="858" ht="15" customHeight="1" s="518">
      <c r="A858" s="62" t="n">
        <v>8</v>
      </c>
      <c r="B858" s="59" t="n">
        <v>854</v>
      </c>
      <c r="D858" t="inlineStr">
        <is>
          <t>425 KEN PRATT BLVD</t>
        </is>
      </c>
      <c r="E858" t="n">
        <v>349</v>
      </c>
      <c r="F858" t="inlineStr">
        <is>
          <t>LONGMONT</t>
        </is>
      </c>
      <c r="H858">
        <f>Y858/J858</f>
        <v/>
      </c>
      <c r="I858" s="704" t="n">
        <v>44840</v>
      </c>
      <c r="J858" t="n">
        <v>5234</v>
      </c>
      <c r="L858" t="n">
        <v>5234</v>
      </c>
      <c r="M858" t="n">
        <v>2005</v>
      </c>
      <c r="S858" t="n">
        <v>49035</v>
      </c>
      <c r="T858">
        <f>S858/J858</f>
        <v/>
      </c>
      <c r="Y858" t="n">
        <v>1666348</v>
      </c>
      <c r="AA858" t="n">
        <v>1666348</v>
      </c>
      <c r="AB858" t="inlineStr">
        <is>
          <t>Panera Bread — Fast Food; src: Retail_Sales_Cleaned</t>
        </is>
      </c>
      <c r="AC858" t="inlineStr">
        <is>
          <t>1315100-46-001</t>
        </is>
      </c>
      <c r="AI858">
        <f>IF(AND($E858=Subj_OccCode,Subj_BldgSF&gt;0,ABS($L858-Subj_BldgSF)&lt;=Subj_BldgSF*Subj_SizeTol),ABS($L858-Subj_BldgSF),NA())</f>
        <v/>
      </c>
      <c r="AJ858">
        <f>IF(ISNA(AI858),NA(),AI858+ROW()/10000000)</f>
        <v/>
      </c>
      <c r="AK858">
        <f>IF(AND(ISNUMBER($N858),$N858&gt;0,ISNUMBER($Y858)),$Y858/$N858,"")</f>
        <v/>
      </c>
    </row>
    <row r="859" ht="15" customHeight="1" s="518">
      <c r="A859" s="62" t="n">
        <v>8</v>
      </c>
      <c r="B859" s="59" t="n">
        <v>855</v>
      </c>
      <c r="D859" t="inlineStr">
        <is>
          <t>844 KEN PRATT BLVD</t>
        </is>
      </c>
      <c r="E859" t="n">
        <v>349</v>
      </c>
      <c r="F859" t="inlineStr">
        <is>
          <t>LONGMONT</t>
        </is>
      </c>
      <c r="H859">
        <f>Y859/J859</f>
        <v/>
      </c>
      <c r="I859" s="704" t="n">
        <v>42954</v>
      </c>
      <c r="J859" t="n">
        <v>2200</v>
      </c>
      <c r="L859" t="n">
        <v>2200</v>
      </c>
      <c r="M859" t="n">
        <v>2016</v>
      </c>
      <c r="S859" t="n">
        <v>22216</v>
      </c>
      <c r="T859">
        <f>S859/J859</f>
        <v/>
      </c>
      <c r="Y859" t="n">
        <v>2375000</v>
      </c>
      <c r="AA859" t="n">
        <v>2375000</v>
      </c>
      <c r="AB859" t="inlineStr">
        <is>
          <t>Starbucks — Coffee [Out of Time Frame]; Investment Triple Net,Soil Contamination Issue; src: Retail_Sales_Cleaned</t>
        </is>
      </c>
      <c r="AC859" t="inlineStr">
        <is>
          <t>1315102-00-039</t>
        </is>
      </c>
      <c r="AI859">
        <f>IF(AND($E859=Subj_OccCode,Subj_BldgSF&gt;0,ABS($L859-Subj_BldgSF)&lt;=Subj_BldgSF*Subj_SizeTol),ABS($L859-Subj_BldgSF),NA())</f>
        <v/>
      </c>
      <c r="AJ859">
        <f>IF(ISNA(AI859),NA(),AI859+ROW()/10000000)</f>
        <v/>
      </c>
      <c r="AK859">
        <f>IF(AND(ISNUMBER($N859),$N859&gt;0,ISNUMBER($Y859)),$Y859/$N859,"")</f>
        <v/>
      </c>
    </row>
    <row r="860" ht="15" customHeight="1" s="518">
      <c r="A860" s="62" t="n">
        <v>8</v>
      </c>
      <c r="B860" s="59" t="n">
        <v>856</v>
      </c>
      <c r="D860" t="inlineStr">
        <is>
          <t>305 KEN PRATT BLVD</t>
        </is>
      </c>
      <c r="E860" t="n">
        <v>349</v>
      </c>
      <c r="F860" t="inlineStr">
        <is>
          <t>LONGMONT</t>
        </is>
      </c>
      <c r="H860">
        <f>Y860/J860</f>
        <v/>
      </c>
      <c r="I860" s="704" t="n">
        <v>44252</v>
      </c>
      <c r="J860" t="n">
        <v>2369</v>
      </c>
      <c r="L860" t="n">
        <v>2369</v>
      </c>
      <c r="M860" t="n">
        <v>2006</v>
      </c>
      <c r="S860" t="n">
        <v>40511</v>
      </c>
      <c r="T860">
        <f>S860/J860</f>
        <v/>
      </c>
      <c r="Y860" t="n">
        <v>1833071</v>
      </c>
      <c r="AA860" t="n">
        <v>1833071</v>
      </c>
      <c r="AB860" t="inlineStr">
        <is>
          <t>Taco Palace — Fast Food; src: Retail_Sales_Cleaned</t>
        </is>
      </c>
      <c r="AC860" t="inlineStr">
        <is>
          <t>1315100-46-002</t>
        </is>
      </c>
      <c r="AI860">
        <f>IF(AND($E860=Subj_OccCode,Subj_BldgSF&gt;0,ABS($L860-Subj_BldgSF)&lt;=Subj_BldgSF*Subj_SizeTol),ABS($L860-Subj_BldgSF),NA())</f>
        <v/>
      </c>
      <c r="AJ860">
        <f>IF(ISNA(AI860),NA(),AI860+ROW()/10000000)</f>
        <v/>
      </c>
      <c r="AK860">
        <f>IF(AND(ISNUMBER($N860),$N860&gt;0,ISNUMBER($Y860)),$Y860/$N860,"")</f>
        <v/>
      </c>
    </row>
    <row r="861" ht="15" customHeight="1" s="518">
      <c r="A861" s="62" t="n">
        <v>8</v>
      </c>
      <c r="B861" s="59" t="n">
        <v>857</v>
      </c>
      <c r="D861" t="inlineStr">
        <is>
          <t>3210 ARAPAHOE AVE</t>
        </is>
      </c>
      <c r="E861" t="n">
        <v>349</v>
      </c>
      <c r="F861" t="inlineStr">
        <is>
          <t>BOULDER</t>
        </is>
      </c>
      <c r="H861">
        <f>Y861/J861</f>
        <v/>
      </c>
      <c r="I861" s="704" t="n">
        <v>45358</v>
      </c>
      <c r="J861" t="n">
        <v>2996</v>
      </c>
      <c r="L861" t="n">
        <v>2996</v>
      </c>
      <c r="M861" t="n">
        <v>2003</v>
      </c>
      <c r="S861" t="n">
        <v>43560</v>
      </c>
      <c r="T861">
        <f>S861/J861</f>
        <v/>
      </c>
      <c r="Y861" t="n">
        <v>3200000</v>
      </c>
      <c r="AA861" t="n">
        <v>3200000</v>
      </c>
      <c r="AB861" t="inlineStr">
        <is>
          <t>Voodoo Doughnut — Fast Food; Investment Triple Net; src: Retail_Sales_Cleaned</t>
        </is>
      </c>
      <c r="AC861" t="inlineStr">
        <is>
          <t>1463321-00-019</t>
        </is>
      </c>
      <c r="AI861">
        <f>IF(AND($E861=Subj_OccCode,Subj_BldgSF&gt;0,ABS($L861-Subj_BldgSF)&lt;=Subj_BldgSF*Subj_SizeTol),ABS($L861-Subj_BldgSF),NA())</f>
        <v/>
      </c>
      <c r="AJ861">
        <f>IF(ISNA(AI861),NA(),AI861+ROW()/10000000)</f>
        <v/>
      </c>
      <c r="AK861">
        <f>IF(AND(ISNUMBER($N861),$N861&gt;0,ISNUMBER($Y861)),$Y861/$N861,"")</f>
        <v/>
      </c>
    </row>
    <row r="862" ht="15" customHeight="1" s="518">
      <c r="A862" s="62" t="n">
        <v>8</v>
      </c>
      <c r="B862" s="59" t="n">
        <v>858</v>
      </c>
      <c r="D862" t="inlineStr">
        <is>
          <t>5520 W 120TH AVE</t>
        </is>
      </c>
      <c r="E862" t="n">
        <v>353</v>
      </c>
      <c r="F862" t="inlineStr">
        <is>
          <t>BROOMFIELD</t>
        </is>
      </c>
      <c r="H862">
        <f>Y862/J862</f>
        <v/>
      </c>
      <c r="I862" s="704" t="n">
        <v>44440</v>
      </c>
      <c r="J862" t="n">
        <v>7000</v>
      </c>
      <c r="L862" t="n">
        <v>7000</v>
      </c>
      <c r="M862" t="n">
        <v>2006</v>
      </c>
      <c r="S862" t="n">
        <v>42253</v>
      </c>
      <c r="T862">
        <f>S862/J862</f>
        <v/>
      </c>
      <c r="Y862" t="n">
        <v>2910000</v>
      </c>
      <c r="AA862" t="n">
        <v>2910000</v>
      </c>
      <c r="AB862" t="inlineStr">
        <is>
          <t>Advance Auto Parts — Auto Parts; Investment Triple Net; src: Retail_Sales_Cleaned</t>
        </is>
      </c>
      <c r="AC862" t="inlineStr">
        <is>
          <t>1717-01-1-17-001</t>
        </is>
      </c>
      <c r="AI862">
        <f>IF(AND($E862=Subj_OccCode,Subj_BldgSF&gt;0,ABS($L862-Subj_BldgSF)&lt;=Subj_BldgSF*Subj_SizeTol),ABS($L862-Subj_BldgSF),NA())</f>
        <v/>
      </c>
      <c r="AJ862">
        <f>IF(ISNA(AI862),NA(),AI862+ROW()/10000000)</f>
        <v/>
      </c>
      <c r="AK862">
        <f>IF(AND(ISNUMBER($N862),$N862&gt;0,ISNUMBER($Y862)),$Y862/$N862,"")</f>
        <v/>
      </c>
    </row>
    <row r="863" ht="15" customHeight="1" s="518">
      <c r="A863" s="62" t="n">
        <v>8</v>
      </c>
      <c r="B863" s="59" t="n">
        <v>859</v>
      </c>
      <c r="D863" t="inlineStr">
        <is>
          <t>16812 SHERIDAN PKY</t>
        </is>
      </c>
      <c r="E863" t="n">
        <v>353</v>
      </c>
      <c r="F863" t="inlineStr">
        <is>
          <t>BROOMFIELD</t>
        </is>
      </c>
      <c r="H863">
        <f>Y863/J863</f>
        <v/>
      </c>
      <c r="I863" s="704" t="n">
        <v>44112</v>
      </c>
      <c r="J863" t="n">
        <v>7400</v>
      </c>
      <c r="L863" t="n">
        <v>7400</v>
      </c>
      <c r="M863" t="n">
        <v>2019</v>
      </c>
      <c r="S863" t="n">
        <v>42253</v>
      </c>
      <c r="T863">
        <f>S863/J863</f>
        <v/>
      </c>
      <c r="Y863" t="n">
        <v>1309500</v>
      </c>
      <c r="AA863" t="n">
        <v>1309500</v>
      </c>
      <c r="AB863" t="inlineStr">
        <is>
          <t>AutoZone — Auto Parts; src: Retail_Sales_Cleaned</t>
        </is>
      </c>
      <c r="AC863" t="inlineStr">
        <is>
          <t>1467-33-4-14-008</t>
        </is>
      </c>
      <c r="AI863">
        <f>IF(AND($E863=Subj_OccCode,Subj_BldgSF&gt;0,ABS($L863-Subj_BldgSF)&lt;=Subj_BldgSF*Subj_SizeTol),ABS($L863-Subj_BldgSF),NA())</f>
        <v/>
      </c>
      <c r="AJ863">
        <f>IF(ISNA(AI863),NA(),AI863+ROW()/10000000)</f>
        <v/>
      </c>
      <c r="AK863">
        <f>IF(AND(ISNUMBER($N863),$N863&gt;0,ISNUMBER($Y863)),$Y863/$N863,"")</f>
        <v/>
      </c>
    </row>
    <row r="864" ht="15" customHeight="1" s="518">
      <c r="A864" s="62" t="n">
        <v>8</v>
      </c>
      <c r="B864" s="59" t="n">
        <v>860</v>
      </c>
      <c r="D864" t="inlineStr">
        <is>
          <t>6430 W 120TH AVE</t>
        </is>
      </c>
      <c r="E864" t="n">
        <v>410</v>
      </c>
      <c r="F864" t="inlineStr">
        <is>
          <t>BROOMFIELD</t>
        </is>
      </c>
      <c r="H864">
        <f>Y864/J864</f>
        <v/>
      </c>
      <c r="I864" s="704" t="n">
        <v>43781</v>
      </c>
      <c r="J864" t="n">
        <v>4608</v>
      </c>
      <c r="L864" t="n">
        <v>4608</v>
      </c>
      <c r="M864" t="n">
        <v>1997</v>
      </c>
      <c r="S864" t="n">
        <v>32234</v>
      </c>
      <c r="T864">
        <f>S864/J864</f>
        <v/>
      </c>
      <c r="Y864" t="n">
        <v>2800000</v>
      </c>
      <c r="AA864" t="n">
        <v>2800000</v>
      </c>
      <c r="AB864" t="inlineStr">
        <is>
          <t>Big O Tires — Auto Service; 1031 Exchange,Investment Triple Net,Sale Leaseback; src: Retail_Sales_Cleaned</t>
        </is>
      </c>
      <c r="AC864" t="inlineStr">
        <is>
          <t>1717-01-2-03-010</t>
        </is>
      </c>
      <c r="AI864">
        <f>IF(AND($E864=Subj_OccCode,Subj_BldgSF&gt;0,ABS($L864-Subj_BldgSF)&lt;=Subj_BldgSF*Subj_SizeTol),ABS($L864-Subj_BldgSF),NA())</f>
        <v/>
      </c>
      <c r="AJ864">
        <f>IF(ISNA(AI864),NA(),AI864+ROW()/10000000)</f>
        <v/>
      </c>
      <c r="AK864">
        <f>IF(AND(ISNUMBER($N864),$N864&gt;0,ISNUMBER($Y864)),$Y864/$N864,"")</f>
        <v/>
      </c>
    </row>
    <row r="865" ht="15" customHeight="1" s="518">
      <c r="A865" s="62" t="n">
        <v>8</v>
      </c>
      <c r="B865" s="59" t="n">
        <v>861</v>
      </c>
      <c r="D865" t="inlineStr">
        <is>
          <t>565 US-287</t>
        </is>
      </c>
      <c r="E865" t="n">
        <v>349</v>
      </c>
      <c r="F865" t="inlineStr">
        <is>
          <t>BROOMFIELD</t>
        </is>
      </c>
      <c r="H865">
        <f>Y865/J865</f>
        <v/>
      </c>
      <c r="I865" s="704" t="n">
        <v>44424</v>
      </c>
      <c r="J865" t="n">
        <v>5035</v>
      </c>
      <c r="L865" t="n">
        <v>5035</v>
      </c>
      <c r="M865" t="n">
        <v>1978</v>
      </c>
      <c r="S865" t="n">
        <v>22651</v>
      </c>
      <c r="T865">
        <f>S865/J865</f>
        <v/>
      </c>
      <c r="Y865" t="n">
        <v>1500000</v>
      </c>
      <c r="AA865" t="n">
        <v>1500000</v>
      </c>
      <c r="AB865" t="inlineStr">
        <is>
          <t>Brothers BBQ 4 — Fast Food; src: Retail_Sales_Cleaned</t>
        </is>
      </c>
      <c r="AC865" t="inlineStr">
        <is>
          <t>1575-34-1-09-008</t>
        </is>
      </c>
      <c r="AI865">
        <f>IF(AND($E865=Subj_OccCode,Subj_BldgSF&gt;0,ABS($L865-Subj_BldgSF)&lt;=Subj_BldgSF*Subj_SizeTol),ABS($L865-Subj_BldgSF),NA())</f>
        <v/>
      </c>
      <c r="AJ865">
        <f>IF(ISNA(AI865),NA(),AI865+ROW()/10000000)</f>
        <v/>
      </c>
      <c r="AK865">
        <f>IF(AND(ISNUMBER($N865),$N865&gt;0,ISNUMBER($Y865)),$Y865/$N865,"")</f>
        <v/>
      </c>
    </row>
    <row r="866" ht="15" customHeight="1" s="518">
      <c r="A866" s="62" t="n">
        <v>8</v>
      </c>
      <c r="B866" s="59" t="n">
        <v>862</v>
      </c>
      <c r="D866" t="inlineStr">
        <is>
          <t>6801 W 120TH AVE</t>
        </is>
      </c>
      <c r="E866" t="n">
        <v>349</v>
      </c>
      <c r="F866" t="inlineStr">
        <is>
          <t>BROOMFIELD</t>
        </is>
      </c>
      <c r="H866">
        <f>Y866/J866</f>
        <v/>
      </c>
      <c r="I866" s="704" t="n">
        <v>43180</v>
      </c>
      <c r="J866" t="n">
        <v>3454</v>
      </c>
      <c r="L866" t="n">
        <v>3454</v>
      </c>
      <c r="M866" t="n">
        <v>1986</v>
      </c>
      <c r="S866" t="n">
        <v>20038</v>
      </c>
      <c r="T866">
        <f>S866/J866</f>
        <v/>
      </c>
      <c r="Y866" t="n">
        <v>1780000</v>
      </c>
      <c r="AA866" t="n">
        <v>1780000</v>
      </c>
      <c r="AB866" t="inlineStr">
        <is>
          <t>Burger King — Fast Food [Old Sale]; 1031 Exchange,Investment Triple Net; src: Retail_Sales_Cleaned</t>
        </is>
      </c>
      <c r="AC866" t="inlineStr">
        <is>
          <t>1575-35-4-24-006</t>
        </is>
      </c>
      <c r="AI866">
        <f>IF(AND($E866=Subj_OccCode,Subj_BldgSF&gt;0,ABS($L866-Subj_BldgSF)&lt;=Subj_BldgSF*Subj_SizeTol),ABS($L866-Subj_BldgSF),NA())</f>
        <v/>
      </c>
      <c r="AJ866">
        <f>IF(ISNA(AI866),NA(),AI866+ROW()/10000000)</f>
        <v/>
      </c>
      <c r="AK866">
        <f>IF(AND(ISNUMBER($N866),$N866&gt;0,ISNUMBER($Y866)),$Y866/$N866,"")</f>
        <v/>
      </c>
    </row>
    <row r="867" ht="15" customHeight="1" s="518">
      <c r="A867" s="62" t="n">
        <v>8</v>
      </c>
      <c r="B867" s="59" t="n">
        <v>863</v>
      </c>
      <c r="D867" t="inlineStr">
        <is>
          <t>6801 W 120TH AVE</t>
        </is>
      </c>
      <c r="E867" t="n">
        <v>349</v>
      </c>
      <c r="F867" t="inlineStr">
        <is>
          <t>BROOMFIELD</t>
        </is>
      </c>
      <c r="H867">
        <f>Y867/J867</f>
        <v/>
      </c>
      <c r="I867" s="704" t="n">
        <v>43868</v>
      </c>
      <c r="J867" t="n">
        <v>3454</v>
      </c>
      <c r="L867" t="n">
        <v>3454</v>
      </c>
      <c r="M867" t="n">
        <v>1986</v>
      </c>
      <c r="S867" t="n">
        <v>20038</v>
      </c>
      <c r="T867">
        <f>S867/J867</f>
        <v/>
      </c>
      <c r="Y867" t="n">
        <v>1735000</v>
      </c>
      <c r="AA867" t="n">
        <v>1735000</v>
      </c>
      <c r="AB867" t="inlineStr">
        <is>
          <t>Burger King — Fast Food; 1031 Exchange,Investment Triple Net; src: Retail_Sales_Cleaned</t>
        </is>
      </c>
      <c r="AC867" t="inlineStr">
        <is>
          <t>1575-35-4-24-006</t>
        </is>
      </c>
      <c r="AI867">
        <f>IF(AND($E867=Subj_OccCode,Subj_BldgSF&gt;0,ABS($L867-Subj_BldgSF)&lt;=Subj_BldgSF*Subj_SizeTol),ABS($L867-Subj_BldgSF),NA())</f>
        <v/>
      </c>
      <c r="AJ867">
        <f>IF(ISNA(AI867),NA(),AI867+ROW()/10000000)</f>
        <v/>
      </c>
      <c r="AK867">
        <f>IF(AND(ISNUMBER($N867),$N867&gt;0,ISNUMBER($Y867)),$Y867/$N867,"")</f>
        <v/>
      </c>
    </row>
    <row r="868" ht="15" customHeight="1" s="518">
      <c r="A868" s="62" t="n">
        <v>8</v>
      </c>
      <c r="B868" s="59" t="n">
        <v>864</v>
      </c>
      <c r="D868" t="inlineStr">
        <is>
          <t>7085 W 119TH PL</t>
        </is>
      </c>
      <c r="E868" t="n">
        <v>426</v>
      </c>
      <c r="F868" t="inlineStr">
        <is>
          <t>BROOMFIELD</t>
        </is>
      </c>
      <c r="H868">
        <f>Y868/J868</f>
        <v/>
      </c>
      <c r="I868" s="704" t="n">
        <v>45420</v>
      </c>
      <c r="J868" t="n">
        <v>3090</v>
      </c>
      <c r="L868" t="n">
        <v>3090</v>
      </c>
      <c r="M868" t="n">
        <v>1978</v>
      </c>
      <c r="S868" t="n">
        <v>10454</v>
      </c>
      <c r="T868">
        <f>S868/J868</f>
        <v/>
      </c>
      <c r="Y868" t="n">
        <v>775000</v>
      </c>
      <c r="AA868" t="n">
        <v>775000</v>
      </c>
      <c r="AB868" t="inlineStr">
        <is>
          <t>Children's Garden — Daycare; src: Retail_Sales_Cleaned</t>
        </is>
      </c>
      <c r="AC868" t="inlineStr">
        <is>
          <t>1717-02-1-03-003</t>
        </is>
      </c>
      <c r="AI868">
        <f>IF(AND($E868=Subj_OccCode,Subj_BldgSF&gt;0,ABS($L868-Subj_BldgSF)&lt;=Subj_BldgSF*Subj_SizeTol),ABS($L868-Subj_BldgSF),NA())</f>
        <v/>
      </c>
      <c r="AJ868">
        <f>IF(ISNA(AI868),NA(),AI868+ROW()/10000000)</f>
        <v/>
      </c>
      <c r="AK868">
        <f>IF(AND(ISNUMBER($N868),$N868&gt;0,ISNUMBER($Y868)),$Y868/$N868,"")</f>
        <v/>
      </c>
    </row>
    <row r="869" ht="15" customHeight="1" s="518">
      <c r="A869" s="62" t="n">
        <v>8</v>
      </c>
      <c r="B869" s="59" t="n">
        <v>865</v>
      </c>
      <c r="D869" t="inlineStr">
        <is>
          <t>2411 E MIDWAY BLVD</t>
        </is>
      </c>
      <c r="E869" t="n">
        <v>410</v>
      </c>
      <c r="F869" t="inlineStr">
        <is>
          <t>BROOMFIELD</t>
        </is>
      </c>
      <c r="H869">
        <f>Y869/J869</f>
        <v/>
      </c>
      <c r="I869" s="704" t="n">
        <v>44308</v>
      </c>
      <c r="J869" t="n">
        <v>5940</v>
      </c>
      <c r="L869" t="n">
        <v>5940</v>
      </c>
      <c r="M869" t="n">
        <v>2020</v>
      </c>
      <c r="S869" t="n">
        <v>69696</v>
      </c>
      <c r="T869">
        <f>S869/J869</f>
        <v/>
      </c>
      <c r="Y869" t="n">
        <v>3580000</v>
      </c>
      <c r="AA869" t="n">
        <v>3580000</v>
      </c>
      <c r="AB869" t="inlineStr">
        <is>
          <t>Christian Brothers Automotive — Auto Service; src: Retail_Sales_Cleaned</t>
        </is>
      </c>
      <c r="AC869" t="inlineStr">
        <is>
          <t>1573-29-4-29-001</t>
        </is>
      </c>
      <c r="AI869">
        <f>IF(AND($E869=Subj_OccCode,Subj_BldgSF&gt;0,ABS($L869-Subj_BldgSF)&lt;=Subj_BldgSF*Subj_SizeTol),ABS($L869-Subj_BldgSF),NA())</f>
        <v/>
      </c>
      <c r="AJ869">
        <f>IF(ISNA(AI869),NA(),AI869+ROW()/10000000)</f>
        <v/>
      </c>
      <c r="AK869">
        <f>IF(AND(ISNUMBER($N869),$N869&gt;0,ISNUMBER($Y869)),$Y869/$N869,"")</f>
        <v/>
      </c>
    </row>
    <row r="870" ht="15" customHeight="1" s="518">
      <c r="A870" s="62" t="n">
        <v>8</v>
      </c>
      <c r="B870" s="59" t="n">
        <v>866</v>
      </c>
      <c r="D870" t="inlineStr">
        <is>
          <t>805 BURBANK ST</t>
        </is>
      </c>
      <c r="E870" t="n">
        <v>426</v>
      </c>
      <c r="F870" t="inlineStr">
        <is>
          <t>BROOMFIELD</t>
        </is>
      </c>
      <c r="H870">
        <f>Y870/J870</f>
        <v/>
      </c>
      <c r="I870" s="704" t="n">
        <v>44734</v>
      </c>
      <c r="J870" t="n">
        <v>4950</v>
      </c>
      <c r="L870" t="n">
        <v>4950</v>
      </c>
      <c r="M870" t="n">
        <v>1982</v>
      </c>
      <c r="S870" t="n">
        <v>33106</v>
      </c>
      <c r="T870">
        <f>S870/J870</f>
        <v/>
      </c>
      <c r="Y870" t="n">
        <v>1250000</v>
      </c>
      <c r="AA870" t="n">
        <v>1250000</v>
      </c>
      <c r="AB870" t="inlineStr">
        <is>
          <t>Lil Friends — Daycare; src: Retail_Sales_Cleaned</t>
        </is>
      </c>
      <c r="AC870" t="inlineStr">
        <is>
          <t>1575-34-1-18-002</t>
        </is>
      </c>
      <c r="AI870">
        <f>IF(AND($E870=Subj_OccCode,Subj_BldgSF&gt;0,ABS($L870-Subj_BldgSF)&lt;=Subj_BldgSF*Subj_SizeTol),ABS($L870-Subj_BldgSF),NA())</f>
        <v/>
      </c>
      <c r="AJ870">
        <f>IF(ISNA(AI870),NA(),AI870+ROW()/10000000)</f>
        <v/>
      </c>
      <c r="AK870">
        <f>IF(AND(ISNUMBER($N870),$N870&gt;0,ISNUMBER($Y870)),$Y870/$N870,"")</f>
        <v/>
      </c>
    </row>
    <row r="871" ht="15" customHeight="1" s="518">
      <c r="A871" s="62" t="n">
        <v>8</v>
      </c>
      <c r="B871" s="59" t="n">
        <v>867</v>
      </c>
      <c r="D871" t="inlineStr">
        <is>
          <t>4640 W 121ST AVE</t>
        </is>
      </c>
      <c r="E871" t="n">
        <v>349</v>
      </c>
      <c r="F871" t="inlineStr">
        <is>
          <t>BROOMFIELD</t>
        </is>
      </c>
      <c r="H871">
        <f>Y871/J871</f>
        <v/>
      </c>
      <c r="I871" s="704" t="n">
        <v>43216</v>
      </c>
      <c r="J871" t="n">
        <v>3447</v>
      </c>
      <c r="L871" t="n">
        <v>3447</v>
      </c>
      <c r="M871" t="n">
        <v>2011</v>
      </c>
      <c r="S871" t="n">
        <v>39204</v>
      </c>
      <c r="T871">
        <f>S871/J871</f>
        <v/>
      </c>
      <c r="Y871" t="n">
        <v>2000000</v>
      </c>
      <c r="AA871" t="n">
        <v>2000000</v>
      </c>
      <c r="AB871" t="inlineStr">
        <is>
          <t>Raising Cane's — Fast Food [Old Sale]; src: Retail_Sales_Cleaned</t>
        </is>
      </c>
      <c r="AC871" t="inlineStr">
        <is>
          <t>1573-31-3-21-003</t>
        </is>
      </c>
      <c r="AI871">
        <f>IF(AND($E871=Subj_OccCode,Subj_BldgSF&gt;0,ABS($L871-Subj_BldgSF)&lt;=Subj_BldgSF*Subj_SizeTol),ABS($L871-Subj_BldgSF),NA())</f>
        <v/>
      </c>
      <c r="AJ871">
        <f>IF(ISNA(AI871),NA(),AI871+ROW()/10000000)</f>
        <v/>
      </c>
      <c r="AK871">
        <f>IF(AND(ISNUMBER($N871),$N871&gt;0,ISNUMBER($Y871)),$Y871/$N871,"")</f>
        <v/>
      </c>
    </row>
    <row r="872" ht="15" customHeight="1" s="518">
      <c r="A872" s="62" t="n">
        <v>8</v>
      </c>
      <c r="B872" s="59" t="n">
        <v>868</v>
      </c>
      <c r="D872" t="inlineStr">
        <is>
          <t>11986 COLMANS WAY</t>
        </is>
      </c>
      <c r="E872" t="n">
        <v>325</v>
      </c>
      <c r="F872" t="inlineStr">
        <is>
          <t>BROOMFIELD</t>
        </is>
      </c>
      <c r="H872">
        <f>Y872/J872</f>
        <v/>
      </c>
      <c r="I872" s="704" t="n">
        <v>45169</v>
      </c>
      <c r="J872" t="n">
        <v>3908</v>
      </c>
      <c r="L872" t="n">
        <v>3908</v>
      </c>
      <c r="M872" t="n">
        <v>2005</v>
      </c>
      <c r="S872" t="n">
        <v>13068</v>
      </c>
      <c r="T872">
        <f>S872/J872</f>
        <v/>
      </c>
      <c r="Y872" t="n">
        <v>1400000</v>
      </c>
      <c r="AA872" t="n">
        <v>1400000</v>
      </c>
      <c r="AB872" t="inlineStr">
        <is>
          <t>Randy'S Auto — Auto Service; src: Retail_Sales_Cleaned</t>
        </is>
      </c>
      <c r="AC872" t="inlineStr">
        <is>
          <t>1717-02-2-02-001</t>
        </is>
      </c>
      <c r="AI872">
        <f>IF(AND($E872=Subj_OccCode,Subj_BldgSF&gt;0,ABS($L872-Subj_BldgSF)&lt;=Subj_BldgSF*Subj_SizeTol),ABS($L872-Subj_BldgSF),NA())</f>
        <v/>
      </c>
      <c r="AJ872">
        <f>IF(ISNA(AI872),NA(),AI872+ROW()/10000000)</f>
        <v/>
      </c>
      <c r="AK872">
        <f>IF(AND(ISNUMBER($N872),$N872&gt;0,ISNUMBER($Y872)),$Y872/$N872,"")</f>
        <v/>
      </c>
    </row>
    <row r="873" ht="15" customHeight="1" s="518">
      <c r="A873" s="62" t="n">
        <v>8</v>
      </c>
      <c r="B873" s="59" t="n">
        <v>869</v>
      </c>
      <c r="D873" t="inlineStr">
        <is>
          <t>2400 COALTON RD</t>
        </is>
      </c>
      <c r="E873" t="n">
        <v>349</v>
      </c>
      <c r="F873" t="inlineStr">
        <is>
          <t>SUPERIOR</t>
        </is>
      </c>
      <c r="H873">
        <f>Y873/J873</f>
        <v/>
      </c>
      <c r="I873" s="704" t="n">
        <v>45036</v>
      </c>
      <c r="J873" t="n">
        <v>1621</v>
      </c>
      <c r="L873" t="n">
        <v>1621</v>
      </c>
      <c r="M873" t="n">
        <v>2005</v>
      </c>
      <c r="S873" t="n">
        <v>44213</v>
      </c>
      <c r="T873">
        <f>S873/J873</f>
        <v/>
      </c>
      <c r="Y873" t="n">
        <v>1900000</v>
      </c>
      <c r="AA873" t="n">
        <v>1900000</v>
      </c>
      <c r="AB873" t="inlineStr">
        <is>
          <t>Sonic — Fast Food; Investment Triple Net; src: Retail_Sales_Cleaned</t>
        </is>
      </c>
      <c r="AC873" t="inlineStr">
        <is>
          <t>1575-32-2-21-001</t>
        </is>
      </c>
      <c r="AI873">
        <f>IF(AND($E873=Subj_OccCode,Subj_BldgSF&gt;0,ABS($L873-Subj_BldgSF)&lt;=Subj_BldgSF*Subj_SizeTol),ABS($L873-Subj_BldgSF),NA())</f>
        <v/>
      </c>
      <c r="AJ873">
        <f>IF(ISNA(AI873),NA(),AI873+ROW()/10000000)</f>
        <v/>
      </c>
      <c r="AK873">
        <f>IF(AND(ISNUMBER($N873),$N873&gt;0,ISNUMBER($Y873)),$Y873/$N873,"")</f>
        <v/>
      </c>
    </row>
    <row r="874" ht="15" customHeight="1" s="518">
      <c r="A874" s="62" t="n">
        <v>8</v>
      </c>
      <c r="B874" s="59" t="n">
        <v>870</v>
      </c>
      <c r="D874" t="inlineStr">
        <is>
          <t>60 W FLATIRON CROSSING DR</t>
        </is>
      </c>
      <c r="E874" t="n">
        <v>349</v>
      </c>
      <c r="F874" t="inlineStr">
        <is>
          <t>BROOMFIELD</t>
        </is>
      </c>
      <c r="H874">
        <f>Y874/J874</f>
        <v/>
      </c>
      <c r="I874" s="704" t="n">
        <v>44531</v>
      </c>
      <c r="J874" t="n">
        <v>1966</v>
      </c>
      <c r="L874" t="n">
        <v>1966</v>
      </c>
      <c r="M874" t="n">
        <v>2015</v>
      </c>
      <c r="S874" t="n">
        <v>40511</v>
      </c>
      <c r="T874">
        <f>S874/J874</f>
        <v/>
      </c>
      <c r="Y874" t="n">
        <v>600000</v>
      </c>
      <c r="AA874" t="n">
        <v>600000</v>
      </c>
      <c r="AB874" t="inlineStr">
        <is>
          <t>Taco Bell — Fast Food; src: Retail_Sales_Cleaned</t>
        </is>
      </c>
      <c r="AC874" t="inlineStr">
        <is>
          <t>1575-32-1-29-002</t>
        </is>
      </c>
      <c r="AI874">
        <f>IF(AND($E874=Subj_OccCode,Subj_BldgSF&gt;0,ABS($L874-Subj_BldgSF)&lt;=Subj_BldgSF*Subj_SizeTol),ABS($L874-Subj_BldgSF),NA())</f>
        <v/>
      </c>
      <c r="AJ874">
        <f>IF(ISNA(AI874),NA(),AI874+ROW()/10000000)</f>
        <v/>
      </c>
      <c r="AK874">
        <f>IF(AND(ISNUMBER($N874),$N874&gt;0,ISNUMBER($Y874)),$Y874/$N874,"")</f>
        <v/>
      </c>
    </row>
    <row r="875" ht="15" customHeight="1" s="518">
      <c r="A875" s="62" t="n">
        <v>8</v>
      </c>
      <c r="B875" s="59" t="n">
        <v>871</v>
      </c>
      <c r="D875" t="inlineStr">
        <is>
          <t>300 ALTER ST</t>
        </is>
      </c>
      <c r="E875" t="n">
        <v>349</v>
      </c>
      <c r="F875" t="inlineStr">
        <is>
          <t>BROOMFIELD</t>
        </is>
      </c>
      <c r="H875">
        <f>Y875/J875</f>
        <v/>
      </c>
      <c r="I875" s="704" t="n">
        <v>44502</v>
      </c>
      <c r="J875" t="n">
        <v>3332</v>
      </c>
      <c r="L875" t="n">
        <v>3332</v>
      </c>
      <c r="M875" t="n">
        <v>1984</v>
      </c>
      <c r="S875" t="n">
        <v>32670</v>
      </c>
      <c r="T875">
        <f>S875/J875</f>
        <v/>
      </c>
      <c r="Y875" t="n">
        <v>1435000</v>
      </c>
      <c r="AA875" t="n">
        <v>1435000</v>
      </c>
      <c r="AB875" t="inlineStr">
        <is>
          <t>Tamale Kitchen — Fast Food; src: Retail_Sales_Cleaned</t>
        </is>
      </c>
      <c r="AC875" t="inlineStr">
        <is>
          <t>1575-34-4-01-001</t>
        </is>
      </c>
      <c r="AI875">
        <f>IF(AND($E875=Subj_OccCode,Subj_BldgSF&gt;0,ABS($L875-Subj_BldgSF)&lt;=Subj_BldgSF*Subj_SizeTol),ABS($L875-Subj_BldgSF),NA())</f>
        <v/>
      </c>
      <c r="AJ875">
        <f>IF(ISNA(AI875),NA(),AI875+ROW()/10000000)</f>
        <v/>
      </c>
      <c r="AK875">
        <f>IF(AND(ISNUMBER($N875),$N875&gt;0,ISNUMBER($Y875)),$Y875/$N875,"")</f>
        <v/>
      </c>
    </row>
    <row r="876" ht="15" customHeight="1" s="518">
      <c r="A876" s="62" t="n">
        <v>8</v>
      </c>
      <c r="B876" s="59" t="n">
        <v>872</v>
      </c>
      <c r="D876" t="inlineStr">
        <is>
          <t>300 ALTER ST</t>
        </is>
      </c>
      <c r="E876" t="n">
        <v>349</v>
      </c>
      <c r="F876" t="inlineStr">
        <is>
          <t>BROOMFIELD</t>
        </is>
      </c>
      <c r="H876">
        <f>Y876/J876</f>
        <v/>
      </c>
      <c r="I876" s="704" t="n">
        <v>45310</v>
      </c>
      <c r="J876" t="n">
        <v>3332</v>
      </c>
      <c r="L876" t="n">
        <v>3332</v>
      </c>
      <c r="M876" t="n">
        <v>1984</v>
      </c>
      <c r="S876" t="n">
        <v>32670</v>
      </c>
      <c r="T876">
        <f>S876/J876</f>
        <v/>
      </c>
      <c r="Y876" t="n">
        <v>1550000</v>
      </c>
      <c r="AA876" t="n">
        <v>1550000</v>
      </c>
      <c r="AB876" t="inlineStr">
        <is>
          <t>Tamale Kitchen — Fast Food; src: Retail_Sales_Cleaned</t>
        </is>
      </c>
      <c r="AC876" t="inlineStr">
        <is>
          <t>1575-34-4-01-001</t>
        </is>
      </c>
      <c r="AI876">
        <f>IF(AND($E876=Subj_OccCode,Subj_BldgSF&gt;0,ABS($L876-Subj_BldgSF)&lt;=Subj_BldgSF*Subj_SizeTol),ABS($L876-Subj_BldgSF),NA())</f>
        <v/>
      </c>
      <c r="AJ876">
        <f>IF(ISNA(AI876),NA(),AI876+ROW()/10000000)</f>
        <v/>
      </c>
      <c r="AK876">
        <f>IF(AND(ISNUMBER($N876),$N876&gt;0,ISNUMBER($Y876)),$Y876/$N876,"")</f>
        <v/>
      </c>
    </row>
    <row r="877" ht="15" customHeight="1" s="518">
      <c r="A877" s="62" t="n">
        <v>8</v>
      </c>
      <c r="B877" s="59" t="n">
        <v>873</v>
      </c>
      <c r="D877" t="inlineStr">
        <is>
          <t>900 E FIRST AVE</t>
        </is>
      </c>
      <c r="E877" t="n">
        <v>426</v>
      </c>
      <c r="F877" t="inlineStr">
        <is>
          <t>BROOMFIELD</t>
        </is>
      </c>
      <c r="H877">
        <f>Y877/J877</f>
        <v/>
      </c>
      <c r="I877" s="704" t="n">
        <v>45205</v>
      </c>
      <c r="J877" t="n">
        <v>10200</v>
      </c>
      <c r="L877" t="n">
        <v>10200</v>
      </c>
      <c r="M877" t="n">
        <v>2000</v>
      </c>
      <c r="S877" t="n">
        <v>54450</v>
      </c>
      <c r="T877">
        <f>S877/J877</f>
        <v/>
      </c>
      <c r="Y877" t="n">
        <v>4760000</v>
      </c>
      <c r="AA877" t="n">
        <v>4760000</v>
      </c>
      <c r="AB877" t="inlineStr">
        <is>
          <t>The Nest Schools — Daycare; 1031 Exchange,Investment Triple Net; src: Retail_Sales_Cleaned</t>
        </is>
      </c>
      <c r="AC877" t="inlineStr">
        <is>
          <t>1575-36-4-13-001</t>
        </is>
      </c>
      <c r="AI877">
        <f>IF(AND($E877=Subj_OccCode,Subj_BldgSF&gt;0,ABS($L877-Subj_BldgSF)&lt;=Subj_BldgSF*Subj_SizeTol),ABS($L877-Subj_BldgSF),NA())</f>
        <v/>
      </c>
      <c r="AJ877">
        <f>IF(ISNA(AI877),NA(),AI877+ROW()/10000000)</f>
        <v/>
      </c>
      <c r="AK877">
        <f>IF(AND(ISNUMBER($N877),$N877&gt;0,ISNUMBER($Y877)),$Y877/$N877,"")</f>
        <v/>
      </c>
    </row>
    <row r="878" ht="15" customHeight="1" s="518">
      <c r="A878" s="62" t="n">
        <v>8</v>
      </c>
      <c r="B878" s="59" t="n">
        <v>874</v>
      </c>
      <c r="D878" t="inlineStr">
        <is>
          <t>1600 E COALTON RD</t>
        </is>
      </c>
      <c r="E878" t="n">
        <v>353</v>
      </c>
      <c r="F878" t="inlineStr">
        <is>
          <t>BROOMFIELD</t>
        </is>
      </c>
      <c r="H878">
        <f>Y878/J878</f>
        <v/>
      </c>
      <c r="I878" s="704" t="n">
        <v>44302</v>
      </c>
      <c r="J878" t="n">
        <v>14742</v>
      </c>
      <c r="L878" t="n">
        <v>14742</v>
      </c>
      <c r="M878" t="n">
        <v>2002</v>
      </c>
      <c r="S878" t="n">
        <v>89298</v>
      </c>
      <c r="T878">
        <f>S878/J878</f>
        <v/>
      </c>
      <c r="Y878" t="n">
        <v>5263000</v>
      </c>
      <c r="AA878" t="n">
        <v>5263000</v>
      </c>
      <c r="AB878" t="inlineStr">
        <is>
          <t>Walgreens — Drugstore; src: Retail_Sales_Cleaned</t>
        </is>
      </c>
      <c r="AC878" t="inlineStr">
        <is>
          <t>1575-32-2-18-001</t>
        </is>
      </c>
      <c r="AI878">
        <f>IF(AND($E878=Subj_OccCode,Subj_BldgSF&gt;0,ABS($L878-Subj_BldgSF)&lt;=Subj_BldgSF*Subj_SizeTol),ABS($L878-Subj_BldgSF),NA())</f>
        <v/>
      </c>
      <c r="AJ878">
        <f>IF(ISNA(AI878),NA(),AI878+ROW()/10000000)</f>
        <v/>
      </c>
      <c r="AK878">
        <f>IF(AND(ISNUMBER($N878),$N878&gt;0,ISNUMBER($Y878)),$Y878/$N878,"")</f>
        <v/>
      </c>
    </row>
    <row r="879" ht="15" customHeight="1" s="518">
      <c r="A879" s="62" t="n">
        <v>8</v>
      </c>
      <c r="B879" s="59" t="n">
        <v>875</v>
      </c>
      <c r="D879" t="inlineStr">
        <is>
          <t>2901 COLORADO BLVD</t>
        </is>
      </c>
      <c r="E879" t="n">
        <v>349</v>
      </c>
      <c r="F879" t="inlineStr">
        <is>
          <t>IDAHO SPRINGS</t>
        </is>
      </c>
      <c r="H879">
        <f>Y879/J879</f>
        <v/>
      </c>
      <c r="I879" s="704" t="n">
        <v>44137</v>
      </c>
      <c r="J879" t="n">
        <v>2500</v>
      </c>
      <c r="L879" t="n">
        <v>2500</v>
      </c>
      <c r="M879" t="n">
        <v>2009</v>
      </c>
      <c r="S879" t="n">
        <v>39204</v>
      </c>
      <c r="T879">
        <f>S879/J879</f>
        <v/>
      </c>
      <c r="Y879" t="n">
        <v>3225000</v>
      </c>
      <c r="AA879" t="n">
        <v>3225000</v>
      </c>
      <c r="AB879" t="inlineStr">
        <is>
          <t>Carl's Jr — Fast Food; src: Retail_Sales_Cleaned</t>
        </is>
      </c>
      <c r="AC879" t="inlineStr">
        <is>
          <t>1833-31-3-00-209</t>
        </is>
      </c>
      <c r="AI879">
        <f>IF(AND($E879=Subj_OccCode,Subj_BldgSF&gt;0,ABS($L879-Subj_BldgSF)&lt;=Subj_BldgSF*Subj_SizeTol),ABS($L879-Subj_BldgSF),NA())</f>
        <v/>
      </c>
      <c r="AJ879">
        <f>IF(ISNA(AI879),NA(),AI879+ROW()/10000000)</f>
        <v/>
      </c>
      <c r="AK879">
        <f>IF(AND(ISNUMBER($N879),$N879&gt;0,ISNUMBER($Y879)),$Y879/$N879,"")</f>
        <v/>
      </c>
    </row>
    <row r="880" ht="15" customHeight="1" s="518">
      <c r="A880" s="62" t="n">
        <v>8</v>
      </c>
      <c r="B880" s="59" t="n">
        <v>876</v>
      </c>
      <c r="D880" t="inlineStr">
        <is>
          <t>1560 ARGENTINE ST</t>
        </is>
      </c>
      <c r="E880" t="n">
        <v>319</v>
      </c>
      <c r="F880" t="inlineStr">
        <is>
          <t>GEORGETOWN</t>
        </is>
      </c>
      <c r="H880">
        <f>Y880/J880</f>
        <v/>
      </c>
      <c r="I880" s="704" t="n">
        <v>43105</v>
      </c>
      <c r="J880" t="n">
        <v>8240</v>
      </c>
      <c r="L880" t="n">
        <v>8240</v>
      </c>
      <c r="M880" t="n">
        <v>2014</v>
      </c>
      <c r="S880" t="n">
        <v>27007</v>
      </c>
      <c r="T880">
        <f>S880/J880</f>
        <v/>
      </c>
      <c r="Y880" t="n">
        <v>1363333</v>
      </c>
      <c r="AA880" t="n">
        <v>1363333</v>
      </c>
      <c r="AB880" t="inlineStr">
        <is>
          <t>Family Dollar — Dollar Store [Out of Time Frame]; Bulk/Portfolio Sale,Investment Triple Net; src: Retail_Sales_Cleaned</t>
        </is>
      </c>
      <c r="AC880" t="inlineStr">
        <is>
          <t>1959-08-4-01-202</t>
        </is>
      </c>
      <c r="AI880">
        <f>IF(AND($E880=Subj_OccCode,Subj_BldgSF&gt;0,ABS($L880-Subj_BldgSF)&lt;=Subj_BldgSF*Subj_SizeTol),ABS($L880-Subj_BldgSF),NA())</f>
        <v/>
      </c>
      <c r="AJ880">
        <f>IF(ISNA(AI880),NA(),AI880+ROW()/10000000)</f>
        <v/>
      </c>
      <c r="AK880">
        <f>IF(AND(ISNUMBER($N880),$N880&gt;0,ISNUMBER($Y880)),$Y880/$N880,"")</f>
        <v/>
      </c>
    </row>
    <row r="881" ht="15" customHeight="1" s="518">
      <c r="A881" s="62" t="n">
        <v>8</v>
      </c>
      <c r="B881" s="59" t="n">
        <v>877</v>
      </c>
      <c r="D881" t="inlineStr">
        <is>
          <t>4509 N TOWER RD</t>
        </is>
      </c>
      <c r="E881" t="n">
        <v>353</v>
      </c>
      <c r="F881" t="inlineStr">
        <is>
          <t>DENVER</t>
        </is>
      </c>
      <c r="H881">
        <f>Y881/J881</f>
        <v/>
      </c>
      <c r="I881" s="704" t="n">
        <v>44383</v>
      </c>
      <c r="J881" t="n">
        <v>6400</v>
      </c>
      <c r="L881" t="n">
        <v>6400</v>
      </c>
      <c r="M881" t="n">
        <v>2021</v>
      </c>
      <c r="S881" t="n">
        <v>40075</v>
      </c>
      <c r="T881">
        <f>S881/J881</f>
        <v/>
      </c>
      <c r="Y881" t="n">
        <v>2791980</v>
      </c>
      <c r="AA881" t="n">
        <v>2791980</v>
      </c>
      <c r="AB881" t="inlineStr">
        <is>
          <t>Advance Auto Parts — Auto Parts; src: Retail_Sales_Cleaned</t>
        </is>
      </c>
      <c r="AC881" t="inlineStr">
        <is>
          <t>00211-00-074-000</t>
        </is>
      </c>
      <c r="AI881">
        <f>IF(AND($E881=Subj_OccCode,Subj_BldgSF&gt;0,ABS($L881-Subj_BldgSF)&lt;=Subj_BldgSF*Subj_SizeTol),ABS($L881-Subj_BldgSF),NA())</f>
        <v/>
      </c>
      <c r="AJ881">
        <f>IF(ISNA(AI881),NA(),AI881+ROW()/10000000)</f>
        <v/>
      </c>
      <c r="AK881">
        <f>IF(AND(ISNUMBER($N881),$N881&gt;0,ISNUMBER($Y881)),$Y881/$N881,"")</f>
        <v/>
      </c>
    </row>
    <row r="882" ht="15" customHeight="1" s="518">
      <c r="A882" s="62" t="n">
        <v>8</v>
      </c>
      <c r="B882" s="59" t="n">
        <v>878</v>
      </c>
      <c r="D882" t="inlineStr">
        <is>
          <t>18408 E 47TH AVE</t>
        </is>
      </c>
      <c r="E882" t="n">
        <v>349</v>
      </c>
      <c r="F882" t="inlineStr">
        <is>
          <t>DENVER</t>
        </is>
      </c>
      <c r="H882">
        <f>Y882/J882</f>
        <v/>
      </c>
      <c r="I882" s="704" t="n">
        <v>43439</v>
      </c>
      <c r="J882" t="n">
        <v>3013</v>
      </c>
      <c r="L882" t="n">
        <v>3013</v>
      </c>
      <c r="M882" t="n">
        <v>2015</v>
      </c>
      <c r="S882" t="n">
        <v>43995</v>
      </c>
      <c r="T882">
        <f>S882/J882</f>
        <v/>
      </c>
      <c r="Y882" t="n">
        <v>1506000</v>
      </c>
      <c r="AA882" t="n">
        <v>1506000</v>
      </c>
      <c r="AB882" t="inlineStr">
        <is>
          <t>Arby's — Fast Food [Old Sale]; Bulk/Portfolio Sale,Investment Triple Net,Sale Leaseback; src: Retail_Sales_Cleaned</t>
        </is>
      </c>
      <c r="AC882" t="inlineStr">
        <is>
          <t>0211-00-049</t>
        </is>
      </c>
      <c r="AI882">
        <f>IF(AND($E882=Subj_OccCode,Subj_BldgSF&gt;0,ABS($L882-Subj_BldgSF)&lt;=Subj_BldgSF*Subj_SizeTol),ABS($L882-Subj_BldgSF),NA())</f>
        <v/>
      </c>
      <c r="AJ882">
        <f>IF(ISNA(AI882),NA(),AI882+ROW()/10000000)</f>
        <v/>
      </c>
      <c r="AK882">
        <f>IF(AND(ISNUMBER($N882),$N882&gt;0,ISNUMBER($Y882)),$Y882/$N882,"")</f>
        <v/>
      </c>
    </row>
    <row r="883" ht="15" customHeight="1" s="518">
      <c r="A883" s="62" t="n">
        <v>8</v>
      </c>
      <c r="B883" s="59" t="n">
        <v>879</v>
      </c>
      <c r="D883" t="inlineStr">
        <is>
          <t>4390 PEORIA ST</t>
        </is>
      </c>
      <c r="E883" t="n">
        <v>349</v>
      </c>
      <c r="F883" t="inlineStr">
        <is>
          <t>DENVER</t>
        </is>
      </c>
      <c r="H883">
        <f>Y883/J883</f>
        <v/>
      </c>
      <c r="I883" s="704" t="n">
        <v>43439</v>
      </c>
      <c r="J883" t="n">
        <v>3115</v>
      </c>
      <c r="L883" t="n">
        <v>3115</v>
      </c>
      <c r="M883" t="n">
        <v>2015</v>
      </c>
      <c r="S883" t="n">
        <v>36155</v>
      </c>
      <c r="T883">
        <f>S883/J883</f>
        <v/>
      </c>
      <c r="Y883" t="n">
        <v>1339600</v>
      </c>
      <c r="AA883" t="n">
        <v>1339600</v>
      </c>
      <c r="AB883" t="inlineStr">
        <is>
          <t>Arby's — Fast Food [Old Sale]; Bulk/Portfolio Sale,Investment Triple Net,Sale Leaseback; src: Retail_Sales_Cleaned</t>
        </is>
      </c>
      <c r="AC883" t="inlineStr">
        <is>
          <t>1243-00-024</t>
        </is>
      </c>
      <c r="AI883">
        <f>IF(AND($E883=Subj_OccCode,Subj_BldgSF&gt;0,ABS($L883-Subj_BldgSF)&lt;=Subj_BldgSF*Subj_SizeTol),ABS($L883-Subj_BldgSF),NA())</f>
        <v/>
      </c>
      <c r="AJ883">
        <f>IF(ISNA(AI883),NA(),AI883+ROW()/10000000)</f>
        <v/>
      </c>
      <c r="AK883">
        <f>IF(AND(ISNUMBER($N883),$N883&gt;0,ISNUMBER($Y883)),$Y883/$N883,"")</f>
        <v/>
      </c>
    </row>
    <row r="884" ht="15" customHeight="1" s="518">
      <c r="A884" s="62" t="n">
        <v>8</v>
      </c>
      <c r="B884" s="59" t="n">
        <v>880</v>
      </c>
      <c r="D884" t="inlineStr">
        <is>
          <t>18643 E 48TH AVE</t>
        </is>
      </c>
      <c r="E884" t="n">
        <v>353</v>
      </c>
      <c r="F884" t="inlineStr">
        <is>
          <t>DENVER</t>
        </is>
      </c>
      <c r="H884">
        <f>Y884/J884</f>
        <v/>
      </c>
      <c r="I884" s="704" t="n">
        <v>43152</v>
      </c>
      <c r="J884" t="n">
        <v>7381</v>
      </c>
      <c r="L884" t="n">
        <v>7381</v>
      </c>
      <c r="M884" t="n">
        <v>2008</v>
      </c>
      <c r="S884" t="n">
        <v>33727</v>
      </c>
      <c r="T884">
        <f>S884/J884</f>
        <v/>
      </c>
      <c r="Y884" t="n">
        <v>1205000</v>
      </c>
      <c r="AA884" t="n">
        <v>1205000</v>
      </c>
      <c r="AB884" t="inlineStr">
        <is>
          <t>AutoZone — Auto Parts [Out of Time Frame]; Investment Triple Net; src: Retail_Sales_Cleaned</t>
        </is>
      </c>
      <c r="AC884" t="inlineStr">
        <is>
          <t>0153-12-013</t>
        </is>
      </c>
      <c r="AI884">
        <f>IF(AND($E884=Subj_OccCode,Subj_BldgSF&gt;0,ABS($L884-Subj_BldgSF)&lt;=Subj_BldgSF*Subj_SizeTol),ABS($L884-Subj_BldgSF),NA())</f>
        <v/>
      </c>
      <c r="AJ884">
        <f>IF(ISNA(AI884),NA(),AI884+ROW()/10000000)</f>
        <v/>
      </c>
      <c r="AK884">
        <f>IF(AND(ISNUMBER($N884),$N884&gt;0,ISNUMBER($Y884)),$Y884/$N884,"")</f>
        <v/>
      </c>
    </row>
    <row r="885" ht="15" customHeight="1" s="518">
      <c r="A885" s="62" t="n">
        <v>8</v>
      </c>
      <c r="B885" s="59" t="n">
        <v>881</v>
      </c>
      <c r="D885" t="inlineStr">
        <is>
          <t>4685 E COLFAX AVE</t>
        </is>
      </c>
      <c r="E885" t="n">
        <v>353</v>
      </c>
      <c r="F885" t="inlineStr">
        <is>
          <t>DENVER</t>
        </is>
      </c>
      <c r="H885">
        <f>Y885/J885</f>
        <v/>
      </c>
      <c r="I885" s="704" t="n">
        <v>44321</v>
      </c>
      <c r="J885" t="n">
        <v>7225</v>
      </c>
      <c r="L885" t="n">
        <v>7225</v>
      </c>
      <c r="M885" t="n">
        <v>1991</v>
      </c>
      <c r="S885" t="n">
        <v>37701</v>
      </c>
      <c r="T885">
        <f>S885/J885</f>
        <v/>
      </c>
      <c r="Y885" t="n">
        <v>2700000</v>
      </c>
      <c r="AA885" t="n">
        <v>2700000</v>
      </c>
      <c r="AB885" t="inlineStr">
        <is>
          <t>AutoZone — Auto Parts; Investment Triple Net; src: Retail_Sales_Cleaned</t>
        </is>
      </c>
      <c r="AC885" t="inlineStr">
        <is>
          <t>1313-29-032</t>
        </is>
      </c>
      <c r="AI885">
        <f>IF(AND($E885=Subj_OccCode,Subj_BldgSF&gt;0,ABS($L885-Subj_BldgSF)&lt;=Subj_BldgSF*Subj_SizeTol),ABS($L885-Subj_BldgSF),NA())</f>
        <v/>
      </c>
      <c r="AJ885">
        <f>IF(ISNA(AI885),NA(),AI885+ROW()/10000000)</f>
        <v/>
      </c>
      <c r="AK885">
        <f>IF(AND(ISNUMBER($N885),$N885&gt;0,ISNUMBER($Y885)),$Y885/$N885,"")</f>
        <v/>
      </c>
    </row>
    <row r="886" ht="15" customHeight="1" s="518">
      <c r="A886" s="62" t="n">
        <v>8</v>
      </c>
      <c r="B886" s="59" t="n">
        <v>882</v>
      </c>
      <c r="D886" t="inlineStr">
        <is>
          <t>4695 S PEORIA ST</t>
        </is>
      </c>
      <c r="E886" t="n">
        <v>410</v>
      </c>
      <c r="F886" t="inlineStr">
        <is>
          <t>DENVER</t>
        </is>
      </c>
      <c r="H886">
        <f>Y886/J886</f>
        <v/>
      </c>
      <c r="I886" s="704" t="n">
        <v>44679</v>
      </c>
      <c r="J886" t="n">
        <v>2790</v>
      </c>
      <c r="L886" t="n">
        <v>2790</v>
      </c>
      <c r="M886" t="n">
        <v>1972</v>
      </c>
      <c r="S886" t="n">
        <v>47463</v>
      </c>
      <c r="T886">
        <f>S886/J886</f>
        <v/>
      </c>
      <c r="Y886" t="n">
        <v>1400000</v>
      </c>
      <c r="AA886" t="n">
        <v>1400000</v>
      </c>
      <c r="AB886" t="inlineStr">
        <is>
          <t>Big O Tires — Auto Service; src: Retail_Sales_Cleaned</t>
        </is>
      </c>
      <c r="AC886" t="inlineStr">
        <is>
          <t>1231-00-055</t>
        </is>
      </c>
      <c r="AI886">
        <f>IF(AND($E886=Subj_OccCode,Subj_BldgSF&gt;0,ABS($L886-Subj_BldgSF)&lt;=Subj_BldgSF*Subj_SizeTol),ABS($L886-Subj_BldgSF),NA())</f>
        <v/>
      </c>
      <c r="AJ886">
        <f>IF(ISNA(AI886),NA(),AI886+ROW()/10000000)</f>
        <v/>
      </c>
      <c r="AK886">
        <f>IF(AND(ISNUMBER($N886),$N886&gt;0,ISNUMBER($Y886)),$Y886/$N886,"")</f>
        <v/>
      </c>
    </row>
    <row r="887" ht="15" customHeight="1" s="518">
      <c r="A887" s="62" t="n">
        <v>8</v>
      </c>
      <c r="B887" s="59" t="n">
        <v>883</v>
      </c>
      <c r="D887" t="inlineStr">
        <is>
          <t>1745 RACE ST</t>
        </is>
      </c>
      <c r="E887" t="n">
        <v>426</v>
      </c>
      <c r="F887" t="inlineStr">
        <is>
          <t>DENVER</t>
        </is>
      </c>
      <c r="H887">
        <f>Y887/J887</f>
        <v/>
      </c>
      <c r="I887" s="704" t="n">
        <v>44774</v>
      </c>
      <c r="J887" t="n">
        <v>6257</v>
      </c>
      <c r="L887" t="n">
        <v>6257</v>
      </c>
      <c r="M887" t="n">
        <v>1955</v>
      </c>
      <c r="S887" t="n">
        <v>14005</v>
      </c>
      <c r="T887">
        <f>S887/J887</f>
        <v/>
      </c>
      <c r="Y887" t="n">
        <v>1475000</v>
      </c>
      <c r="AA887" t="n">
        <v>1475000</v>
      </c>
      <c r="AB887" t="inlineStr">
        <is>
          <t>Bundles Of Babies Child Care — Daycare; src: Retail_Sales_Cleaned</t>
        </is>
      </c>
      <c r="AC887" t="inlineStr">
        <is>
          <t>2355-17-047</t>
        </is>
      </c>
      <c r="AI887">
        <f>IF(AND($E887=Subj_OccCode,Subj_BldgSF&gt;0,ABS($L887-Subj_BldgSF)&lt;=Subj_BldgSF*Subj_SizeTol),ABS($L887-Subj_BldgSF),NA())</f>
        <v/>
      </c>
      <c r="AJ887">
        <f>IF(ISNA(AI887),NA(),AI887+ROW()/10000000)</f>
        <v/>
      </c>
      <c r="AK887">
        <f>IF(AND(ISNUMBER($N887),$N887&gt;0,ISNUMBER($Y887)),$Y887/$N887,"")</f>
        <v/>
      </c>
    </row>
    <row r="888" ht="15" customHeight="1" s="518">
      <c r="A888" s="62" t="n">
        <v>8</v>
      </c>
      <c r="B888" s="59" t="n">
        <v>884</v>
      </c>
      <c r="D888" t="inlineStr">
        <is>
          <t>1800 FEDERAL BLVD</t>
        </is>
      </c>
      <c r="E888" t="n">
        <v>349</v>
      </c>
      <c r="F888" t="inlineStr">
        <is>
          <t>DENVER</t>
        </is>
      </c>
      <c r="H888">
        <f>Y888/J888</f>
        <v/>
      </c>
      <c r="I888" s="704" t="n">
        <v>43866</v>
      </c>
      <c r="J888" t="n">
        <v>2347</v>
      </c>
      <c r="L888" t="n">
        <v>2347</v>
      </c>
      <c r="M888" t="n">
        <v>1974</v>
      </c>
      <c r="S888" t="n">
        <v>18731</v>
      </c>
      <c r="T888">
        <f>S888/J888</f>
        <v/>
      </c>
      <c r="Y888" t="n">
        <v>2500000</v>
      </c>
      <c r="AA888" t="n">
        <v>2500000</v>
      </c>
      <c r="AB888" t="inlineStr">
        <is>
          <t>Burger King — Fast Food; High Vacancy Property,Redevelopment Project; src: Retail_Sales_Cleaned</t>
        </is>
      </c>
      <c r="AC888" t="inlineStr">
        <is>
          <t>2324-07-020</t>
        </is>
      </c>
      <c r="AI888">
        <f>IF(AND($E888=Subj_OccCode,Subj_BldgSF&gt;0,ABS($L888-Subj_BldgSF)&lt;=Subj_BldgSF*Subj_SizeTol),ABS($L888-Subj_BldgSF),NA())</f>
        <v/>
      </c>
      <c r="AJ888">
        <f>IF(ISNA(AI888),NA(),AI888+ROW()/10000000)</f>
        <v/>
      </c>
      <c r="AK888">
        <f>IF(AND(ISNUMBER($N888),$N888&gt;0,ISNUMBER($Y888)),$Y888/$N888,"")</f>
        <v/>
      </c>
    </row>
    <row r="889" ht="15" customHeight="1" s="518">
      <c r="A889" s="62" t="n">
        <v>8</v>
      </c>
      <c r="B889" s="59" t="n">
        <v>885</v>
      </c>
      <c r="D889" t="inlineStr">
        <is>
          <t>1717 W 38TH AVE</t>
        </is>
      </c>
      <c r="E889" t="n">
        <v>349</v>
      </c>
      <c r="F889" t="inlineStr">
        <is>
          <t>DENVER</t>
        </is>
      </c>
      <c r="H889">
        <f>Y889/J889</f>
        <v/>
      </c>
      <c r="I889" s="704" t="n">
        <v>44316</v>
      </c>
      <c r="J889" t="n">
        <v>3089</v>
      </c>
      <c r="L889" t="n">
        <v>3089</v>
      </c>
      <c r="M889" t="n">
        <v>1988</v>
      </c>
      <c r="S889" t="n">
        <v>22608</v>
      </c>
      <c r="T889">
        <f>S889/J889</f>
        <v/>
      </c>
      <c r="Y889" t="n">
        <v>1645019</v>
      </c>
      <c r="AA889" t="n">
        <v>1645019</v>
      </c>
      <c r="AB889" t="inlineStr">
        <is>
          <t>Burger King — Fast Food; src: Retail_Sales_Cleaned</t>
        </is>
      </c>
      <c r="AC889" t="inlineStr">
        <is>
          <t>2213-45-034</t>
        </is>
      </c>
      <c r="AI889">
        <f>IF(AND($E889=Subj_OccCode,Subj_BldgSF&gt;0,ABS($L889-Subj_BldgSF)&lt;=Subj_BldgSF*Subj_SizeTol),ABS($L889-Subj_BldgSF),NA())</f>
        <v/>
      </c>
      <c r="AJ889">
        <f>IF(ISNA(AI889),NA(),AI889+ROW()/10000000)</f>
        <v/>
      </c>
      <c r="AK889">
        <f>IF(AND(ISNUMBER($N889),$N889&gt;0,ISNUMBER($Y889)),$Y889/$N889,"")</f>
        <v/>
      </c>
    </row>
    <row r="890" ht="15" customHeight="1" s="518">
      <c r="A890" s="62" t="n">
        <v>8</v>
      </c>
      <c r="B890" s="59" t="n">
        <v>886</v>
      </c>
      <c r="D890" t="inlineStr">
        <is>
          <t>1680 E COLFAX AVE</t>
        </is>
      </c>
      <c r="E890" t="n">
        <v>349</v>
      </c>
      <c r="F890" t="inlineStr">
        <is>
          <t>DENVER</t>
        </is>
      </c>
      <c r="H890">
        <f>Y890/J890</f>
        <v/>
      </c>
      <c r="I890" s="704" t="n">
        <v>45153</v>
      </c>
      <c r="J890" t="n">
        <v>2701</v>
      </c>
      <c r="L890" t="n">
        <v>2701</v>
      </c>
      <c r="M890" t="n">
        <v>1975</v>
      </c>
      <c r="S890" t="n">
        <v>29185</v>
      </c>
      <c r="T890">
        <f>S890/J890</f>
        <v/>
      </c>
      <c r="Y890" t="n">
        <v>1200000</v>
      </c>
      <c r="AA890" t="n">
        <v>1200000</v>
      </c>
      <c r="AB890" t="inlineStr">
        <is>
          <t>Burger King — Fast Food; High Vacancy Property; src: Retail_Sales_Cleaned</t>
        </is>
      </c>
      <c r="AC890" t="inlineStr">
        <is>
          <t>5021-07-023</t>
        </is>
      </c>
      <c r="AI890">
        <f>IF(AND($E890=Subj_OccCode,Subj_BldgSF&gt;0,ABS($L890-Subj_BldgSF)&lt;=Subj_BldgSF*Subj_SizeTol),ABS($L890-Subj_BldgSF),NA())</f>
        <v/>
      </c>
      <c r="AJ890">
        <f>IF(ISNA(AI890),NA(),AI890+ROW()/10000000)</f>
        <v/>
      </c>
      <c r="AK890">
        <f>IF(AND(ISNUMBER($N890),$N890&gt;0,ISNUMBER($Y890)),$Y890/$N890,"")</f>
        <v/>
      </c>
    </row>
    <row r="891" ht="15" customHeight="1" s="518">
      <c r="A891" s="62" t="n">
        <v>8</v>
      </c>
      <c r="B891" s="59" t="n">
        <v>887</v>
      </c>
      <c r="D891" t="inlineStr">
        <is>
          <t>7950 E HAMPDEN AVE</t>
        </is>
      </c>
      <c r="E891" t="n">
        <v>353</v>
      </c>
      <c r="F891" t="inlineStr">
        <is>
          <t>DENVER</t>
        </is>
      </c>
      <c r="H891">
        <f>Y891/J891</f>
        <v/>
      </c>
      <c r="I891" s="704" t="n">
        <v>44566</v>
      </c>
      <c r="J891" t="n">
        <v>13111</v>
      </c>
      <c r="L891" t="n">
        <v>13111</v>
      </c>
      <c r="M891" t="n">
        <v>2022</v>
      </c>
      <c r="S891" t="n">
        <v>64469</v>
      </c>
      <c r="T891">
        <f>S891/J891</f>
        <v/>
      </c>
      <c r="Y891" t="n">
        <v>18132000</v>
      </c>
      <c r="AA891" t="n">
        <v>18132000</v>
      </c>
      <c r="AB891" t="inlineStr">
        <is>
          <t>CVS — Drugstore; Investment Triple Net; src: Retail_Sales_Cleaned</t>
        </is>
      </c>
      <c r="AC891" t="inlineStr">
        <is>
          <t>7042-00-041</t>
        </is>
      </c>
      <c r="AI891">
        <f>IF(AND($E891=Subj_OccCode,Subj_BldgSF&gt;0,ABS($L891-Subj_BldgSF)&lt;=Subj_BldgSF*Subj_SizeTol),ABS($L891-Subj_BldgSF),NA())</f>
        <v/>
      </c>
      <c r="AJ891">
        <f>IF(ISNA(AI891),NA(),AI891+ROW()/10000000)</f>
        <v/>
      </c>
      <c r="AK891">
        <f>IF(AND(ISNUMBER($N891),$N891&gt;0,ISNUMBER($Y891)),$Y891/$N891,"")</f>
        <v/>
      </c>
    </row>
    <row r="892" ht="15" customHeight="1" s="518">
      <c r="A892" s="62" t="n">
        <v>8</v>
      </c>
      <c r="B892" s="59" t="n">
        <v>888</v>
      </c>
      <c r="D892" t="inlineStr">
        <is>
          <t>7785 E HAMPDEN AVE</t>
        </is>
      </c>
      <c r="E892" t="n">
        <v>349</v>
      </c>
      <c r="F892" t="inlineStr">
        <is>
          <t>DENVER</t>
        </is>
      </c>
      <c r="H892">
        <f>Y892/J892</f>
        <v/>
      </c>
      <c r="I892" s="704" t="n">
        <v>43088</v>
      </c>
      <c r="J892" t="n">
        <v>4320</v>
      </c>
      <c r="L892" t="n">
        <v>4320</v>
      </c>
      <c r="M892" t="n">
        <v>2013</v>
      </c>
      <c r="S892" t="n">
        <v>1.06</v>
      </c>
      <c r="T892">
        <f>S892/J892</f>
        <v/>
      </c>
      <c r="Y892" t="n">
        <v>2101207</v>
      </c>
      <c r="AA892" t="n">
        <v>2101207</v>
      </c>
      <c r="AB892" t="inlineStr">
        <is>
          <t>Chick-fil-A — Fast Food [Old Sale]; Allocated; src: Retail_Sales_Cleaned</t>
        </is>
      </c>
      <c r="AC892" t="inlineStr">
        <is>
          <t>6333-00-104</t>
        </is>
      </c>
      <c r="AI892">
        <f>IF(AND($E892=Subj_OccCode,Subj_BldgSF&gt;0,ABS($L892-Subj_BldgSF)&lt;=Subj_BldgSF*Subj_SizeTol),ABS($L892-Subj_BldgSF),NA())</f>
        <v/>
      </c>
      <c r="AJ892">
        <f>IF(ISNA(AI892),NA(),AI892+ROW()/10000000)</f>
        <v/>
      </c>
      <c r="AK892">
        <f>IF(AND(ISNUMBER($N892),$N892&gt;0,ISNUMBER($Y892)),$Y892/$N892,"")</f>
        <v/>
      </c>
    </row>
    <row r="893" ht="15" customHeight="1" s="518">
      <c r="A893" s="62" t="n">
        <v>8</v>
      </c>
      <c r="B893" s="59" t="n">
        <v>889</v>
      </c>
      <c r="D893" t="inlineStr">
        <is>
          <t>3801 KALAMATH ST</t>
        </is>
      </c>
      <c r="E893" t="n">
        <v>410</v>
      </c>
      <c r="F893" t="inlineStr">
        <is>
          <t>DENVER</t>
        </is>
      </c>
      <c r="H893">
        <f>Y893/J893</f>
        <v/>
      </c>
      <c r="I893" s="704" t="n">
        <v>44778</v>
      </c>
      <c r="J893" t="n">
        <v>2324</v>
      </c>
      <c r="L893" t="n">
        <v>2324</v>
      </c>
      <c r="M893" t="n">
        <v>1976</v>
      </c>
      <c r="S893" t="n">
        <v>9583</v>
      </c>
      <c r="T893">
        <f>S893/J893</f>
        <v/>
      </c>
      <c r="Y893" t="n">
        <v>1500000</v>
      </c>
      <c r="AA893" t="n">
        <v>1500000</v>
      </c>
      <c r="AB893" t="inlineStr">
        <is>
          <t>Chihuas Tires — Auto Service; src: Retail_Sales_Cleaned</t>
        </is>
      </c>
      <c r="AC893" t="inlineStr">
        <is>
          <t>2214-45-012</t>
        </is>
      </c>
      <c r="AI893">
        <f>IF(AND($E893=Subj_OccCode,Subj_BldgSF&gt;0,ABS($L893-Subj_BldgSF)&lt;=Subj_BldgSF*Subj_SizeTol),ABS($L893-Subj_BldgSF),NA())</f>
        <v/>
      </c>
      <c r="AJ893">
        <f>IF(ISNA(AI893),NA(),AI893+ROW()/10000000)</f>
        <v/>
      </c>
      <c r="AK893">
        <f>IF(AND(ISNUMBER($N893),$N893&gt;0,ISNUMBER($Y893)),$Y893/$N893,"")</f>
        <v/>
      </c>
    </row>
    <row r="894" ht="15" customHeight="1" s="518">
      <c r="A894" s="62" t="n">
        <v>8</v>
      </c>
      <c r="B894" s="59" t="n">
        <v>890</v>
      </c>
      <c r="D894" t="inlineStr">
        <is>
          <t>3833 W 38TH AVE</t>
        </is>
      </c>
      <c r="E894" t="n">
        <v>349</v>
      </c>
      <c r="F894" t="inlineStr">
        <is>
          <t>DENVER</t>
        </is>
      </c>
      <c r="H894">
        <f>Y894/J894</f>
        <v/>
      </c>
      <c r="I894" s="704" t="n">
        <v>43102</v>
      </c>
      <c r="J894" t="n">
        <v>1425</v>
      </c>
      <c r="L894" t="n">
        <v>1425</v>
      </c>
      <c r="M894" t="n">
        <v>2005</v>
      </c>
      <c r="S894" t="n">
        <v>10772</v>
      </c>
      <c r="T894">
        <f>S894/J894</f>
        <v/>
      </c>
      <c r="Y894" t="n">
        <v>900000</v>
      </c>
      <c r="AA894" t="n">
        <v>900000</v>
      </c>
      <c r="AB894" t="inlineStr">
        <is>
          <t>Dairy Queen — Fast Food [Old Sale]; Redevelopment Project; src: Retail_Sales_Cleaned</t>
        </is>
      </c>
      <c r="AC894" t="inlineStr">
        <is>
          <t>2194-23-013</t>
        </is>
      </c>
      <c r="AI894">
        <f>IF(AND($E894=Subj_OccCode,Subj_BldgSF&gt;0,ABS($L894-Subj_BldgSF)&lt;=Subj_BldgSF*Subj_SizeTol),ABS($L894-Subj_BldgSF),NA())</f>
        <v/>
      </c>
      <c r="AJ894">
        <f>IF(ISNA(AI894),NA(),AI894+ROW()/10000000)</f>
        <v/>
      </c>
      <c r="AK894">
        <f>IF(AND(ISNUMBER($N894),$N894&gt;0,ISNUMBER($Y894)),$Y894/$N894,"")</f>
        <v/>
      </c>
    </row>
    <row r="895" ht="15" customHeight="1" s="518">
      <c r="A895" s="62" t="n">
        <v>8</v>
      </c>
      <c r="B895" s="59" t="n">
        <v>891</v>
      </c>
      <c r="D895" t="inlineStr">
        <is>
          <t>2215 S BROADWAY</t>
        </is>
      </c>
      <c r="E895" t="n">
        <v>349</v>
      </c>
      <c r="F895" t="inlineStr">
        <is>
          <t>DENVER</t>
        </is>
      </c>
      <c r="H895">
        <f>Y895/J895</f>
        <v/>
      </c>
      <c r="I895" s="704" t="n">
        <v>43728</v>
      </c>
      <c r="J895" t="n">
        <v>710</v>
      </c>
      <c r="L895" t="n">
        <v>710</v>
      </c>
      <c r="M895" t="n">
        <v>1980</v>
      </c>
      <c r="S895" t="n">
        <v>13939</v>
      </c>
      <c r="T895">
        <f>S895/J895</f>
        <v/>
      </c>
      <c r="Y895" t="n">
        <v>1400000</v>
      </c>
      <c r="AA895" t="n">
        <v>1400000</v>
      </c>
      <c r="AB895" t="inlineStr">
        <is>
          <t>Dairy Queen — Fast Food; src: Retail_Sales_Cleaned</t>
        </is>
      </c>
      <c r="AC895" t="inlineStr">
        <is>
          <t>5272-22-034</t>
        </is>
      </c>
      <c r="AI895">
        <f>IF(AND($E895=Subj_OccCode,Subj_BldgSF&gt;0,ABS($L895-Subj_BldgSF)&lt;=Subj_BldgSF*Subj_SizeTol),ABS($L895-Subj_BldgSF),NA())</f>
        <v/>
      </c>
      <c r="AJ895">
        <f>IF(ISNA(AI895),NA(),AI895+ROW()/10000000)</f>
        <v/>
      </c>
      <c r="AK895">
        <f>IF(AND(ISNUMBER($N895),$N895&gt;0,ISNUMBER($Y895)),$Y895/$N895,"")</f>
        <v/>
      </c>
    </row>
    <row r="896" ht="15" customHeight="1" s="518">
      <c r="A896" s="62" t="n">
        <v>8</v>
      </c>
      <c r="B896" s="59" t="n">
        <v>892</v>
      </c>
      <c r="D896" t="inlineStr">
        <is>
          <t>8100 E 49TH AVE</t>
        </is>
      </c>
      <c r="E896" t="n">
        <v>349</v>
      </c>
      <c r="F896" t="inlineStr">
        <is>
          <t>DENVER</t>
        </is>
      </c>
      <c r="H896">
        <f>Y896/J896</f>
        <v/>
      </c>
      <c r="I896" s="704" t="n">
        <v>43335</v>
      </c>
      <c r="J896" t="n">
        <v>2733</v>
      </c>
      <c r="L896" t="n">
        <v>2733</v>
      </c>
      <c r="M896" t="n">
        <v>2006</v>
      </c>
      <c r="S896" t="n">
        <v>23522</v>
      </c>
      <c r="T896">
        <f>S896/J896</f>
        <v/>
      </c>
      <c r="Y896" t="n">
        <v>2283000</v>
      </c>
      <c r="AA896" t="n">
        <v>2283000</v>
      </c>
      <c r="AB896" t="inlineStr">
        <is>
          <t>Del Taco — Fast Food [Old Sale]; Purchase By Tenant; src: Retail_Sales_Cleaned</t>
        </is>
      </c>
      <c r="AC896" t="inlineStr">
        <is>
          <t>1215-01-015</t>
        </is>
      </c>
      <c r="AI896">
        <f>IF(AND($E896=Subj_OccCode,Subj_BldgSF&gt;0,ABS($L896-Subj_BldgSF)&lt;=Subj_BldgSF*Subj_SizeTol),ABS($L896-Subj_BldgSF),NA())</f>
        <v/>
      </c>
      <c r="AJ896">
        <f>IF(ISNA(AI896),NA(),AI896+ROW()/10000000)</f>
        <v/>
      </c>
      <c r="AK896">
        <f>IF(AND(ISNUMBER($N896),$N896&gt;0,ISNUMBER($Y896)),$Y896/$N896,"")</f>
        <v/>
      </c>
    </row>
    <row r="897" ht="15" customHeight="1" s="518">
      <c r="A897" s="62" t="n">
        <v>8</v>
      </c>
      <c r="B897" s="59" t="n">
        <v>893</v>
      </c>
      <c r="D897" t="inlineStr">
        <is>
          <t>4698 PEORIA ST</t>
        </is>
      </c>
      <c r="E897" t="n">
        <v>349</v>
      </c>
      <c r="F897" t="inlineStr">
        <is>
          <t>DENVER</t>
        </is>
      </c>
      <c r="H897">
        <f>Y897/J897</f>
        <v/>
      </c>
      <c r="I897" s="704" t="n">
        <v>43682</v>
      </c>
      <c r="J897" t="n">
        <v>2417</v>
      </c>
      <c r="L897" t="n">
        <v>2417</v>
      </c>
      <c r="M897" t="n">
        <v>2005</v>
      </c>
      <c r="S897" t="n">
        <v>35719</v>
      </c>
      <c r="T897">
        <f>S897/J897</f>
        <v/>
      </c>
      <c r="Y897" t="n">
        <v>1600000</v>
      </c>
      <c r="AA897" t="n">
        <v>1600000</v>
      </c>
      <c r="AB897" t="inlineStr">
        <is>
          <t>Del Taco — Fast Food; 1031 Exchange,Investment Triple Net; src: Retail_Sales_Cleaned</t>
        </is>
      </c>
      <c r="AC897" t="inlineStr">
        <is>
          <t>1242-00-084</t>
        </is>
      </c>
      <c r="AI897">
        <f>IF(AND($E897=Subj_OccCode,Subj_BldgSF&gt;0,ABS($L897-Subj_BldgSF)&lt;=Subj_BldgSF*Subj_SizeTol),ABS($L897-Subj_BldgSF),NA())</f>
        <v/>
      </c>
      <c r="AJ897">
        <f>IF(ISNA(AI897),NA(),AI897+ROW()/10000000)</f>
        <v/>
      </c>
      <c r="AK897">
        <f>IF(AND(ISNUMBER($N897),$N897&gt;0,ISNUMBER($Y897)),$Y897/$N897,"")</f>
        <v/>
      </c>
    </row>
    <row r="898" ht="15" customHeight="1" s="518">
      <c r="A898" s="62" t="n">
        <v>8</v>
      </c>
      <c r="B898" s="59" t="n">
        <v>894</v>
      </c>
      <c r="D898" t="inlineStr">
        <is>
          <t>4698 PEORIA ST</t>
        </is>
      </c>
      <c r="E898" t="n">
        <v>349</v>
      </c>
      <c r="F898" t="inlineStr">
        <is>
          <t>DENVER</t>
        </is>
      </c>
      <c r="H898">
        <f>Y898/J898</f>
        <v/>
      </c>
      <c r="I898" s="704" t="n">
        <v>44812</v>
      </c>
      <c r="J898" t="n">
        <v>2417</v>
      </c>
      <c r="L898" t="n">
        <v>2417</v>
      </c>
      <c r="M898" t="n">
        <v>2005</v>
      </c>
      <c r="S898" t="n">
        <v>35719</v>
      </c>
      <c r="T898">
        <f>S898/J898</f>
        <v/>
      </c>
      <c r="Y898" t="n">
        <v>2700000</v>
      </c>
      <c r="AA898" t="n">
        <v>2700000</v>
      </c>
      <c r="AB898" t="inlineStr">
        <is>
          <t>Del Taco — Fast Food; 1031 Exchange,Build to Suit,Investment Triple Net; src: Retail_Sales_Cleaned</t>
        </is>
      </c>
      <c r="AC898" t="inlineStr">
        <is>
          <t>1242-00-084</t>
        </is>
      </c>
      <c r="AI898">
        <f>IF(AND($E898=Subj_OccCode,Subj_BldgSF&gt;0,ABS($L898-Subj_BldgSF)&lt;=Subj_BldgSF*Subj_SizeTol),ABS($L898-Subj_BldgSF),NA())</f>
        <v/>
      </c>
      <c r="AJ898">
        <f>IF(ISNA(AI898),NA(),AI898+ROW()/10000000)</f>
        <v/>
      </c>
      <c r="AK898">
        <f>IF(AND(ISNUMBER($N898),$N898&gt;0,ISNUMBER($Y898)),$Y898/$N898,"")</f>
        <v/>
      </c>
    </row>
    <row r="899" ht="15" customHeight="1" s="518">
      <c r="A899" s="62" t="n">
        <v>8</v>
      </c>
      <c r="B899" s="59" t="n">
        <v>895</v>
      </c>
      <c r="D899" t="inlineStr">
        <is>
          <t>8100 E 49TH AVE</t>
        </is>
      </c>
      <c r="E899" t="n">
        <v>349</v>
      </c>
      <c r="F899" t="inlineStr">
        <is>
          <t>DENVER</t>
        </is>
      </c>
      <c r="H899">
        <f>Y899/J899</f>
        <v/>
      </c>
      <c r="I899" s="704" t="n">
        <v>45295</v>
      </c>
      <c r="J899" t="n">
        <v>3101</v>
      </c>
      <c r="L899" t="n">
        <v>3101</v>
      </c>
      <c r="M899" t="n">
        <v>2006</v>
      </c>
      <c r="S899" t="n">
        <v>23522</v>
      </c>
      <c r="T899">
        <f>S899/J899</f>
        <v/>
      </c>
      <c r="Y899" t="n">
        <v>2560000</v>
      </c>
      <c r="AA899" t="n">
        <v>2560000</v>
      </c>
      <c r="AB899" t="inlineStr">
        <is>
          <t>Del Taco — Fast Food; src: Retail_Sales_Cleaned</t>
        </is>
      </c>
      <c r="AC899" t="inlineStr">
        <is>
          <t>1215-01-015</t>
        </is>
      </c>
      <c r="AI899">
        <f>IF(AND($E899=Subj_OccCode,Subj_BldgSF&gt;0,ABS($L899-Subj_BldgSF)&lt;=Subj_BldgSF*Subj_SizeTol),ABS($L899-Subj_BldgSF),NA())</f>
        <v/>
      </c>
      <c r="AJ899">
        <f>IF(ISNA(AI899),NA(),AI899+ROW()/10000000)</f>
        <v/>
      </c>
      <c r="AK899">
        <f>IF(AND(ISNUMBER($N899),$N899&gt;0,ISNUMBER($Y899)),$Y899/$N899,"")</f>
        <v/>
      </c>
    </row>
    <row r="900" ht="15" customHeight="1" s="518">
      <c r="A900" s="62" t="n">
        <v>8</v>
      </c>
      <c r="B900" s="59" t="n">
        <v>896</v>
      </c>
      <c r="D900" t="inlineStr">
        <is>
          <t>931 W EVANS AVE</t>
        </is>
      </c>
      <c r="E900" t="n">
        <v>325</v>
      </c>
      <c r="F900" t="inlineStr">
        <is>
          <t>DENVER</t>
        </is>
      </c>
      <c r="H900">
        <f>Y900/J900</f>
        <v/>
      </c>
      <c r="I900" s="704" t="n">
        <v>45169</v>
      </c>
      <c r="J900" t="n">
        <v>12500</v>
      </c>
      <c r="L900" t="n">
        <v>12500</v>
      </c>
      <c r="M900" t="n">
        <v>1955</v>
      </c>
      <c r="S900" t="n">
        <v>32670</v>
      </c>
      <c r="T900">
        <f>S900/J900</f>
        <v/>
      </c>
      <c r="Y900" t="n">
        <v>4000000</v>
      </c>
      <c r="AA900" t="n">
        <v>4000000</v>
      </c>
      <c r="AB900" t="inlineStr">
        <is>
          <t>Diamond Paint &amp; Autobody — Auto Service; src: Retail_Sales_Cleaned</t>
        </is>
      </c>
      <c r="AC900" t="inlineStr">
        <is>
          <t>5281-12-003</t>
        </is>
      </c>
      <c r="AI900">
        <f>IF(AND($E900=Subj_OccCode,Subj_BldgSF&gt;0,ABS($L900-Subj_BldgSF)&lt;=Subj_BldgSF*Subj_SizeTol),ABS($L900-Subj_BldgSF),NA())</f>
        <v/>
      </c>
      <c r="AJ900">
        <f>IF(ISNA(AI900),NA(),AI900+ROW()/10000000)</f>
        <v/>
      </c>
      <c r="AK900">
        <f>IF(AND(ISNUMBER($N900),$N900&gt;0,ISNUMBER($Y900)),$Y900/$N900,"")</f>
        <v/>
      </c>
    </row>
    <row r="901" ht="15" customHeight="1" s="518">
      <c r="A901" s="62" t="n">
        <v>8</v>
      </c>
      <c r="B901" s="59" t="n">
        <v>897</v>
      </c>
      <c r="D901" t="inlineStr">
        <is>
          <t>4923 E COLFAX AVE</t>
        </is>
      </c>
      <c r="E901" t="n">
        <v>319</v>
      </c>
      <c r="F901" t="inlineStr">
        <is>
          <t>DENVER</t>
        </is>
      </c>
      <c r="H901">
        <f>Y901/J901</f>
        <v/>
      </c>
      <c r="I901" s="704" t="n">
        <v>44700</v>
      </c>
      <c r="J901" t="n">
        <v>17500</v>
      </c>
      <c r="L901" t="n">
        <v>17500</v>
      </c>
      <c r="M901" t="n">
        <v>1987</v>
      </c>
      <c r="S901" t="n">
        <v>71499</v>
      </c>
      <c r="T901">
        <f>S901/J901</f>
        <v/>
      </c>
      <c r="Y901" t="n">
        <v>7000000</v>
      </c>
      <c r="AA901" t="n">
        <v>7000000</v>
      </c>
      <c r="AB901" t="inlineStr">
        <is>
          <t>Dollar Tree — Dollar Store; src: Retail_Sales_Cleaned</t>
        </is>
      </c>
      <c r="AC901" t="inlineStr">
        <is>
          <t>1314-35-008</t>
        </is>
      </c>
      <c r="AI901">
        <f>IF(AND($E901=Subj_OccCode,Subj_BldgSF&gt;0,ABS($L901-Subj_BldgSF)&lt;=Subj_BldgSF*Subj_SizeTol),ABS($L901-Subj_BldgSF),NA())</f>
        <v/>
      </c>
      <c r="AJ901">
        <f>IF(ISNA(AI901),NA(),AI901+ROW()/10000000)</f>
        <v/>
      </c>
      <c r="AK901">
        <f>IF(AND(ISNUMBER($N901),$N901&gt;0,ISNUMBER($Y901)),$Y901/$N901,"")</f>
        <v/>
      </c>
    </row>
    <row r="902" ht="15" customHeight="1" s="518">
      <c r="A902" s="62" t="n">
        <v>8</v>
      </c>
      <c r="B902" s="59" t="n">
        <v>898</v>
      </c>
      <c r="D902" t="inlineStr">
        <is>
          <t>401 DOWNING ST</t>
        </is>
      </c>
      <c r="E902" t="n">
        <v>325</v>
      </c>
      <c r="F902" t="inlineStr">
        <is>
          <t>DENVER</t>
        </is>
      </c>
      <c r="H902">
        <f>Y902/J902</f>
        <v/>
      </c>
      <c r="I902" s="704" t="n">
        <v>44384</v>
      </c>
      <c r="J902" t="n">
        <v>2793</v>
      </c>
      <c r="L902" t="n">
        <v>2793</v>
      </c>
      <c r="M902" t="n">
        <v>1959</v>
      </c>
      <c r="S902" t="n">
        <v>12998</v>
      </c>
      <c r="T902">
        <f>S902/J902</f>
        <v/>
      </c>
      <c r="Y902" t="n">
        <v>1400000</v>
      </c>
      <c r="AA902" t="n">
        <v>1400000</v>
      </c>
      <c r="AB902" t="inlineStr">
        <is>
          <t>Downing Street Automotive — Auto Service; src: Retail_Sales_Cleaned</t>
        </is>
      </c>
      <c r="AC902" t="inlineStr">
        <is>
          <t>5112-07-015</t>
        </is>
      </c>
      <c r="AI902">
        <f>IF(AND($E902=Subj_OccCode,Subj_BldgSF&gt;0,ABS($L902-Subj_BldgSF)&lt;=Subj_BldgSF*Subj_SizeTol),ABS($L902-Subj_BldgSF),NA())</f>
        <v/>
      </c>
      <c r="AJ902">
        <f>IF(ISNA(AI902),NA(),AI902+ROW()/10000000)</f>
        <v/>
      </c>
      <c r="AK902">
        <f>IF(AND(ISNUMBER($N902),$N902&gt;0,ISNUMBER($Y902)),$Y902/$N902,"")</f>
        <v/>
      </c>
    </row>
    <row r="903" ht="15" customHeight="1" s="518">
      <c r="A903" s="62" t="n">
        <v>8</v>
      </c>
      <c r="B903" s="59" t="n">
        <v>899</v>
      </c>
      <c r="D903" t="inlineStr">
        <is>
          <t>4601 PEORIA ST</t>
        </is>
      </c>
      <c r="E903" t="n">
        <v>349</v>
      </c>
      <c r="F903" t="inlineStr">
        <is>
          <t>DENVER</t>
        </is>
      </c>
      <c r="H903">
        <f>Y903/J903</f>
        <v/>
      </c>
      <c r="I903" s="704" t="n">
        <v>44224</v>
      </c>
      <c r="J903" t="n">
        <v>862</v>
      </c>
      <c r="L903" t="n">
        <v>862</v>
      </c>
      <c r="M903" t="n">
        <v>2020</v>
      </c>
      <c r="S903" t="n">
        <v>35633</v>
      </c>
      <c r="T903">
        <f>S903/J903</f>
        <v/>
      </c>
      <c r="Y903" t="n">
        <v>2239583</v>
      </c>
      <c r="AA903" t="n">
        <v>2239583</v>
      </c>
      <c r="AB903" t="inlineStr">
        <is>
          <t>Dutch Bros — Coffee; Investment Triple Net; src: Retail_Sales_Cleaned</t>
        </is>
      </c>
      <c r="AC903" t="inlineStr">
        <is>
          <t>1231-00-060</t>
        </is>
      </c>
      <c r="AI903">
        <f>IF(AND($E903=Subj_OccCode,Subj_BldgSF&gt;0,ABS($L903-Subj_BldgSF)&lt;=Subj_BldgSF*Subj_SizeTol),ABS($L903-Subj_BldgSF),NA())</f>
        <v/>
      </c>
      <c r="AJ903">
        <f>IF(ISNA(AI903),NA(),AI903+ROW()/10000000)</f>
        <v/>
      </c>
      <c r="AK903">
        <f>IF(AND(ISNUMBER($N903),$N903&gt;0,ISNUMBER($Y903)),$Y903/$N903,"")</f>
        <v/>
      </c>
    </row>
    <row r="904" ht="15" customHeight="1" s="518">
      <c r="A904" s="62" t="n">
        <v>8</v>
      </c>
      <c r="B904" s="59" t="n">
        <v>900</v>
      </c>
      <c r="D904" t="inlineStr">
        <is>
          <t>5038 W 44TH AVE</t>
        </is>
      </c>
      <c r="E904" t="n">
        <v>325</v>
      </c>
      <c r="F904" t="inlineStr">
        <is>
          <t>DENVER</t>
        </is>
      </c>
      <c r="H904">
        <f>Y904/J904</f>
        <v/>
      </c>
      <c r="I904" s="704" t="n">
        <v>44147</v>
      </c>
      <c r="J904" t="n">
        <v>2783</v>
      </c>
      <c r="L904" t="n">
        <v>2783</v>
      </c>
      <c r="M904" t="n">
        <v>1955</v>
      </c>
      <c r="S904" t="n">
        <v>13286</v>
      </c>
      <c r="T904">
        <f>S904/J904</f>
        <v/>
      </c>
      <c r="Y904" t="n">
        <v>599000</v>
      </c>
      <c r="AA904" t="n">
        <v>599000</v>
      </c>
      <c r="AB904" t="inlineStr">
        <is>
          <t>Edgewater Jeep — Auto Service; src: Retail_Sales_Cleaned</t>
        </is>
      </c>
      <c r="AC904" t="inlineStr">
        <is>
          <t>2193-07-025</t>
        </is>
      </c>
      <c r="AI904">
        <f>IF(AND($E904=Subj_OccCode,Subj_BldgSF&gt;0,ABS($L904-Subj_BldgSF)&lt;=Subj_BldgSF*Subj_SizeTol),ABS($L904-Subj_BldgSF),NA())</f>
        <v/>
      </c>
      <c r="AJ904">
        <f>IF(ISNA(AI904),NA(),AI904+ROW()/10000000)</f>
        <v/>
      </c>
      <c r="AK904">
        <f>IF(AND(ISNUMBER($N904),$N904&gt;0,ISNUMBER($Y904)),$Y904/$N904,"")</f>
        <v/>
      </c>
    </row>
    <row r="905" ht="15" customHeight="1" s="518">
      <c r="A905" s="62" t="n">
        <v>8</v>
      </c>
      <c r="B905" s="59" t="n">
        <v>901</v>
      </c>
      <c r="D905" t="inlineStr">
        <is>
          <t>4200 E EVANS AVE</t>
        </is>
      </c>
      <c r="E905" t="n">
        <v>325</v>
      </c>
      <c r="F905" t="inlineStr">
        <is>
          <t>DENVER</t>
        </is>
      </c>
      <c r="H905">
        <f>Y905/J905</f>
        <v/>
      </c>
      <c r="I905" s="704" t="n">
        <v>44910</v>
      </c>
      <c r="J905" t="n">
        <v>2343</v>
      </c>
      <c r="L905" t="n">
        <v>2343</v>
      </c>
      <c r="M905" t="n">
        <v>1974</v>
      </c>
      <c r="S905" t="n">
        <v>10487</v>
      </c>
      <c r="T905">
        <f>S905/J905</f>
        <v/>
      </c>
      <c r="Y905" t="n">
        <v>875000</v>
      </c>
      <c r="AA905" t="n">
        <v>875000</v>
      </c>
      <c r="AB905" t="inlineStr">
        <is>
          <t>Express Car Care — Auto Service; src: Retail_Sales_Cleaned</t>
        </is>
      </c>
      <c r="AC905" t="inlineStr">
        <is>
          <t>6302-02-024</t>
        </is>
      </c>
      <c r="AI905">
        <f>IF(AND($E905=Subj_OccCode,Subj_BldgSF&gt;0,ABS($L905-Subj_BldgSF)&lt;=Subj_BldgSF*Subj_SizeTol),ABS($L905-Subj_BldgSF),NA())</f>
        <v/>
      </c>
      <c r="AJ905">
        <f>IF(ISNA(AI905),NA(),AI905+ROW()/10000000)</f>
        <v/>
      </c>
      <c r="AK905">
        <f>IF(AND(ISNUMBER($N905),$N905&gt;0,ISNUMBER($Y905)),$Y905/$N905,"")</f>
        <v/>
      </c>
    </row>
    <row r="906" ht="15" customHeight="1" s="518">
      <c r="A906" s="62" t="n">
        <v>8</v>
      </c>
      <c r="B906" s="59" t="n">
        <v>902</v>
      </c>
      <c r="D906" t="inlineStr">
        <is>
          <t>1700 E COLFAX AVE</t>
        </is>
      </c>
      <c r="E906" t="n">
        <v>319</v>
      </c>
      <c r="F906" t="inlineStr">
        <is>
          <t>DENVER</t>
        </is>
      </c>
      <c r="H906">
        <f>Y906/J906</f>
        <v/>
      </c>
      <c r="I906" s="704" t="n">
        <v>43656</v>
      </c>
      <c r="J906" t="n">
        <v>7664</v>
      </c>
      <c r="L906" t="n">
        <v>7664</v>
      </c>
      <c r="M906" t="n">
        <v>1936</v>
      </c>
      <c r="S906" t="n">
        <v>17860</v>
      </c>
      <c r="T906">
        <f>S906/J906</f>
        <v/>
      </c>
      <c r="Y906" t="n">
        <v>1716250</v>
      </c>
      <c r="AA906" t="n">
        <v>1716250</v>
      </c>
      <c r="AB906" t="inlineStr">
        <is>
          <t>Family Dollar — Dollar Store; Investment Triple Net; src: Retail_Sales_Cleaned</t>
        </is>
      </c>
      <c r="AC906" t="inlineStr">
        <is>
          <t>5021-06-019</t>
        </is>
      </c>
      <c r="AI906">
        <f>IF(AND($E906=Subj_OccCode,Subj_BldgSF&gt;0,ABS($L906-Subj_BldgSF)&lt;=Subj_BldgSF*Subj_SizeTol),ABS($L906-Subj_BldgSF),NA())</f>
        <v/>
      </c>
      <c r="AJ906">
        <f>IF(ISNA(AI906),NA(),AI906+ROW()/10000000)</f>
        <v/>
      </c>
      <c r="AK906">
        <f>IF(AND(ISNUMBER($N906),$N906&gt;0,ISNUMBER($Y906)),$Y906/$N906,"")</f>
        <v/>
      </c>
    </row>
    <row r="907" ht="15" customHeight="1" s="518">
      <c r="A907" s="62" t="n">
        <v>8</v>
      </c>
      <c r="B907" s="59" t="n">
        <v>903</v>
      </c>
      <c r="D907" t="inlineStr">
        <is>
          <t>4555 TOWER RD</t>
        </is>
      </c>
      <c r="E907" t="n">
        <v>410</v>
      </c>
      <c r="F907" t="inlineStr">
        <is>
          <t>DENVER</t>
        </is>
      </c>
      <c r="H907">
        <f>Y907/J907</f>
        <v/>
      </c>
      <c r="I907" s="704" t="n">
        <v>44126</v>
      </c>
      <c r="J907" t="n">
        <v>3088</v>
      </c>
      <c r="L907" t="n">
        <v>3088</v>
      </c>
      <c r="M907" t="n">
        <v>2020</v>
      </c>
      <c r="S907" t="n">
        <v>36590</v>
      </c>
      <c r="T907">
        <f>S907/J907</f>
        <v/>
      </c>
      <c r="Y907" t="n">
        <v>2740000</v>
      </c>
      <c r="AA907" t="n">
        <v>2740000</v>
      </c>
      <c r="AB907" t="inlineStr">
        <is>
          <t>Firestone — Auto Service; Investment Triple Net; src: Retail_Sales_Cleaned</t>
        </is>
      </c>
      <c r="AC907" t="inlineStr">
        <is>
          <t>0211-00-069</t>
        </is>
      </c>
      <c r="AI907">
        <f>IF(AND($E907=Subj_OccCode,Subj_BldgSF&gt;0,ABS($L907-Subj_BldgSF)&lt;=Subj_BldgSF*Subj_SizeTol),ABS($L907-Subj_BldgSF),NA())</f>
        <v/>
      </c>
      <c r="AJ907">
        <f>IF(ISNA(AI907),NA(),AI907+ROW()/10000000)</f>
        <v/>
      </c>
      <c r="AK907">
        <f>IF(AND(ISNUMBER($N907),$N907&gt;0,ISNUMBER($Y907)),$Y907/$N907,"")</f>
        <v/>
      </c>
    </row>
    <row r="908" ht="15" customHeight="1" s="518">
      <c r="A908" s="62" t="n">
        <v>8</v>
      </c>
      <c r="B908" s="59" t="n">
        <v>904</v>
      </c>
      <c r="D908" t="inlineStr">
        <is>
          <t>2000 BROADWAY</t>
        </is>
      </c>
      <c r="E908" t="n">
        <v>410</v>
      </c>
      <c r="F908" t="inlineStr">
        <is>
          <t>DENVER</t>
        </is>
      </c>
      <c r="H908">
        <f>Y908/J908</f>
        <v/>
      </c>
      <c r="I908" s="704" t="n">
        <v>44343</v>
      </c>
      <c r="J908" t="n">
        <v>10991</v>
      </c>
      <c r="L908" t="n">
        <v>10991</v>
      </c>
      <c r="M908" t="n">
        <v>1965</v>
      </c>
      <c r="S908" t="n">
        <v>23441</v>
      </c>
      <c r="T908">
        <f>S908/J908</f>
        <v/>
      </c>
      <c r="Y908" t="n">
        <v>5360600</v>
      </c>
      <c r="AA908" t="n">
        <v>5360600</v>
      </c>
      <c r="AB908" t="inlineStr">
        <is>
          <t>Firestone — Auto Service; src: Retail_Sales_Cleaned</t>
        </is>
      </c>
      <c r="AC908" t="inlineStr">
        <is>
          <t>2342-41-016</t>
        </is>
      </c>
      <c r="AI908">
        <f>IF(AND($E908=Subj_OccCode,Subj_BldgSF&gt;0,ABS($L908-Subj_BldgSF)&lt;=Subj_BldgSF*Subj_SizeTol),ABS($L908-Subj_BldgSF),NA())</f>
        <v/>
      </c>
      <c r="AJ908">
        <f>IF(ISNA(AI908),NA(),AI908+ROW()/10000000)</f>
        <v/>
      </c>
      <c r="AK908">
        <f>IF(AND(ISNUMBER($N908),$N908&gt;0,ISNUMBER($Y908)),$Y908/$N908,"")</f>
        <v/>
      </c>
    </row>
    <row r="909" ht="15" customHeight="1" s="518">
      <c r="A909" s="62" t="n">
        <v>8</v>
      </c>
      <c r="B909" s="59" t="n">
        <v>905</v>
      </c>
      <c r="D909" t="inlineStr">
        <is>
          <t>1430 W ALAMEDA AVE</t>
        </is>
      </c>
      <c r="E909" t="n">
        <v>325</v>
      </c>
      <c r="F909" t="inlineStr">
        <is>
          <t>DENVER</t>
        </is>
      </c>
      <c r="H909">
        <f>Y909/J909</f>
        <v/>
      </c>
      <c r="I909" s="704" t="n">
        <v>45215</v>
      </c>
      <c r="J909" t="n">
        <v>4014</v>
      </c>
      <c r="L909" t="n">
        <v>4014</v>
      </c>
      <c r="M909" t="n">
        <v>1978</v>
      </c>
      <c r="S909" t="n">
        <v>5314</v>
      </c>
      <c r="T909">
        <f>S909/J909</f>
        <v/>
      </c>
      <c r="Y909" t="n">
        <v>1600000</v>
      </c>
      <c r="AA909" t="n">
        <v>1600000</v>
      </c>
      <c r="AB909" t="inlineStr">
        <is>
          <t>Harry's Transmission — Auto Service; src: Retail_Sales_Cleaned</t>
        </is>
      </c>
      <c r="AC909" t="inlineStr">
        <is>
          <t>5162-01-004</t>
        </is>
      </c>
      <c r="AI909">
        <f>IF(AND($E909=Subj_OccCode,Subj_BldgSF&gt;0,ABS($L909-Subj_BldgSF)&lt;=Subj_BldgSF*Subj_SizeTol),ABS($L909-Subj_BldgSF),NA())</f>
        <v/>
      </c>
      <c r="AJ909">
        <f>IF(ISNA(AI909),NA(),AI909+ROW()/10000000)</f>
        <v/>
      </c>
      <c r="AK909">
        <f>IF(AND(ISNUMBER($N909),$N909&gt;0,ISNUMBER($Y909)),$Y909/$N909,"")</f>
        <v/>
      </c>
    </row>
    <row r="910" ht="15" customHeight="1" s="518">
      <c r="A910" s="62" t="n">
        <v>8</v>
      </c>
      <c r="B910" s="59" t="n">
        <v>906</v>
      </c>
      <c r="D910" t="inlineStr">
        <is>
          <t>592 S BROADWAY</t>
        </is>
      </c>
      <c r="E910" t="n">
        <v>410</v>
      </c>
      <c r="F910" t="inlineStr">
        <is>
          <t>DENVER</t>
        </is>
      </c>
      <c r="H910">
        <f>Y910/J910</f>
        <v/>
      </c>
      <c r="I910" s="704" t="n">
        <v>44207</v>
      </c>
      <c r="J910" t="n">
        <v>2040</v>
      </c>
      <c r="L910" t="n">
        <v>2040</v>
      </c>
      <c r="M910" t="n">
        <v>1998</v>
      </c>
      <c r="S910" t="n">
        <v>9148</v>
      </c>
      <c r="T910">
        <f>S910/J910</f>
        <v/>
      </c>
      <c r="Y910" t="n">
        <v>1600000</v>
      </c>
      <c r="AA910" t="n">
        <v>1600000</v>
      </c>
      <c r="AB910" t="inlineStr">
        <is>
          <t>Just Brakes — Auto Service; src: Retail_Sales_Cleaned</t>
        </is>
      </c>
      <c r="AC910" t="inlineStr">
        <is>
          <t>5151-24-033</t>
        </is>
      </c>
      <c r="AI910">
        <f>IF(AND($E910=Subj_OccCode,Subj_BldgSF&gt;0,ABS($L910-Subj_BldgSF)&lt;=Subj_BldgSF*Subj_SizeTol),ABS($L910-Subj_BldgSF),NA())</f>
        <v/>
      </c>
      <c r="AJ910">
        <f>IF(ISNA(AI910),NA(),AI910+ROW()/10000000)</f>
        <v/>
      </c>
      <c r="AK910">
        <f>IF(AND(ISNUMBER($N910),$N910&gt;0,ISNUMBER($Y910)),$Y910/$N910,"")</f>
        <v/>
      </c>
    </row>
    <row r="911" ht="15" customHeight="1" s="518">
      <c r="A911" s="62" t="n">
        <v>8</v>
      </c>
      <c r="B911" s="59" t="n">
        <v>907</v>
      </c>
      <c r="D911" t="inlineStr">
        <is>
          <t>6030 E 23RD AVE</t>
        </is>
      </c>
      <c r="E911" t="n">
        <v>325</v>
      </c>
      <c r="F911" t="inlineStr">
        <is>
          <t>DENVER</t>
        </is>
      </c>
      <c r="H911">
        <f>Y911/J911</f>
        <v/>
      </c>
      <c r="I911" s="704" t="n">
        <v>44728</v>
      </c>
      <c r="J911" t="n">
        <v>4037</v>
      </c>
      <c r="L911" t="n">
        <v>4037</v>
      </c>
      <c r="M911" t="n">
        <v>1938</v>
      </c>
      <c r="S911" t="n">
        <v>6668</v>
      </c>
      <c r="T911">
        <f>S911/J911</f>
        <v/>
      </c>
      <c r="Y911" t="n">
        <v>1400000</v>
      </c>
      <c r="AA911" t="n">
        <v>1400000</v>
      </c>
      <c r="AB911" t="inlineStr">
        <is>
          <t>Kearney Garage — Auto Service; src: Retail_Sales_Cleaned</t>
        </is>
      </c>
      <c r="AC911" t="inlineStr">
        <is>
          <t>1322-17-019</t>
        </is>
      </c>
      <c r="AI911">
        <f>IF(AND($E911=Subj_OccCode,Subj_BldgSF&gt;0,ABS($L911-Subj_BldgSF)&lt;=Subj_BldgSF*Subj_SizeTol),ABS($L911-Subj_BldgSF),NA())</f>
        <v/>
      </c>
      <c r="AJ911">
        <f>IF(ISNA(AI911),NA(),AI911+ROW()/10000000)</f>
        <v/>
      </c>
      <c r="AK911">
        <f>IF(AND(ISNUMBER($N911),$N911&gt;0,ISNUMBER($Y911)),$Y911/$N911,"")</f>
        <v/>
      </c>
    </row>
    <row r="912" ht="15" customHeight="1" s="518">
      <c r="A912" s="62" t="n">
        <v>8</v>
      </c>
      <c r="B912" s="59" t="n">
        <v>908</v>
      </c>
      <c r="D912" t="inlineStr">
        <is>
          <t>1658 S BROADWAY</t>
        </is>
      </c>
      <c r="E912" t="n">
        <v>410</v>
      </c>
      <c r="F912" t="inlineStr">
        <is>
          <t>DENVER</t>
        </is>
      </c>
      <c r="H912">
        <f>Y912/J912</f>
        <v/>
      </c>
      <c r="I912" s="704" t="n">
        <v>44609</v>
      </c>
      <c r="J912" t="n">
        <v>3504</v>
      </c>
      <c r="L912" t="n">
        <v>3504</v>
      </c>
      <c r="M912" t="n">
        <v>1987</v>
      </c>
      <c r="S912" t="n">
        <v>9367</v>
      </c>
      <c r="T912">
        <f>S912/J912</f>
        <v/>
      </c>
      <c r="Y912" t="n">
        <v>1521271</v>
      </c>
      <c r="AA912" t="n">
        <v>1521271</v>
      </c>
      <c r="AB912" t="inlineStr">
        <is>
          <t>Meineke — Auto Service; src: Retail_Sales_Cleaned</t>
        </is>
      </c>
      <c r="AC912" t="inlineStr">
        <is>
          <t>5227-11-006</t>
        </is>
      </c>
      <c r="AI912">
        <f>IF(AND($E912=Subj_OccCode,Subj_BldgSF&gt;0,ABS($L912-Subj_BldgSF)&lt;=Subj_BldgSF*Subj_SizeTol),ABS($L912-Subj_BldgSF),NA())</f>
        <v/>
      </c>
      <c r="AJ912">
        <f>IF(ISNA(AI912),NA(),AI912+ROW()/10000000)</f>
        <v/>
      </c>
      <c r="AK912">
        <f>IF(AND(ISNUMBER($N912),$N912&gt;0,ISNUMBER($Y912)),$Y912/$N912,"")</f>
        <v/>
      </c>
    </row>
    <row r="913" ht="15" customHeight="1" s="518">
      <c r="A913" s="62" t="n">
        <v>8</v>
      </c>
      <c r="B913" s="59" t="n">
        <v>909</v>
      </c>
      <c r="D913" t="inlineStr">
        <is>
          <t>5360 E COLFAX AVE</t>
        </is>
      </c>
      <c r="E913" t="n">
        <v>353</v>
      </c>
      <c r="F913" t="inlineStr">
        <is>
          <t>DENVER</t>
        </is>
      </c>
      <c r="H913">
        <f>Y913/J913</f>
        <v/>
      </c>
      <c r="I913" s="704" t="n">
        <v>44599</v>
      </c>
      <c r="J913" t="n">
        <v>6749</v>
      </c>
      <c r="L913" t="n">
        <v>6749</v>
      </c>
      <c r="M913" t="n">
        <v>2007</v>
      </c>
      <c r="S913" t="n">
        <v>23522</v>
      </c>
      <c r="T913">
        <f>S913/J913</f>
        <v/>
      </c>
      <c r="Y913" t="n">
        <v>1684000</v>
      </c>
      <c r="AA913" t="n">
        <v>1684000</v>
      </c>
      <c r="AB913" t="inlineStr">
        <is>
          <t>O'Reilly Auto Parts — Auto Parts [Duplicate]; src: Retail_Sales_Cleaned</t>
        </is>
      </c>
      <c r="AC913" t="inlineStr">
        <is>
          <t>6061-03-032</t>
        </is>
      </c>
      <c r="AI913">
        <f>IF(AND($E913=Subj_OccCode,Subj_BldgSF&gt;0,ABS($L913-Subj_BldgSF)&lt;=Subj_BldgSF*Subj_SizeTol),ABS($L913-Subj_BldgSF),NA())</f>
        <v/>
      </c>
      <c r="AJ913">
        <f>IF(ISNA(AI913),NA(),AI913+ROW()/10000000)</f>
        <v/>
      </c>
      <c r="AK913">
        <f>IF(AND(ISNUMBER($N913),$N913&gt;0,ISNUMBER($Y913)),$Y913/$N913,"")</f>
        <v/>
      </c>
    </row>
    <row r="914" ht="15" customHeight="1" s="518">
      <c r="A914" s="62" t="n">
        <v>8</v>
      </c>
      <c r="B914" s="59" t="n">
        <v>910</v>
      </c>
      <c r="D914" t="inlineStr">
        <is>
          <t>5360 E COLFAX AVE</t>
        </is>
      </c>
      <c r="E914" t="n">
        <v>353</v>
      </c>
      <c r="F914" t="inlineStr">
        <is>
          <t>DENVER</t>
        </is>
      </c>
      <c r="H914">
        <f>Y914/J914</f>
        <v/>
      </c>
      <c r="I914" s="704" t="n">
        <v>44760</v>
      </c>
      <c r="J914" t="n">
        <v>6749</v>
      </c>
      <c r="L914" t="n">
        <v>6749</v>
      </c>
      <c r="M914" t="n">
        <v>2007</v>
      </c>
      <c r="S914" t="n">
        <v>23522</v>
      </c>
      <c r="T914">
        <f>S914/J914</f>
        <v/>
      </c>
      <c r="Y914" t="n">
        <v>2397900</v>
      </c>
      <c r="AA914" t="n">
        <v>2397900</v>
      </c>
      <c r="AB914" t="inlineStr">
        <is>
          <t>O'Reilly Auto Parts — Auto Parts; src: Retail_Sales_Cleaned</t>
        </is>
      </c>
      <c r="AC914" t="inlineStr">
        <is>
          <t>6061-03-032</t>
        </is>
      </c>
      <c r="AI914">
        <f>IF(AND($E914=Subj_OccCode,Subj_BldgSF&gt;0,ABS($L914-Subj_BldgSF)&lt;=Subj_BldgSF*Subj_SizeTol),ABS($L914-Subj_BldgSF),NA())</f>
        <v/>
      </c>
      <c r="AJ914">
        <f>IF(ISNA(AI914),NA(),AI914+ROW()/10000000)</f>
        <v/>
      </c>
      <c r="AK914">
        <f>IF(AND(ISNUMBER($N914),$N914&gt;0,ISNUMBER($Y914)),$Y914/$N914,"")</f>
        <v/>
      </c>
    </row>
    <row r="915" ht="15" customHeight="1" s="518">
      <c r="A915" s="62" t="n">
        <v>8</v>
      </c>
      <c r="B915" s="59" t="n">
        <v>911</v>
      </c>
      <c r="D915" t="inlineStr">
        <is>
          <t>2309 S FEDERAL BLVD</t>
        </is>
      </c>
      <c r="E915" t="n">
        <v>353</v>
      </c>
      <c r="F915" t="inlineStr">
        <is>
          <t>DENVER</t>
        </is>
      </c>
      <c r="H915">
        <f>Y915/J915</f>
        <v/>
      </c>
      <c r="I915" s="704" t="n">
        <v>44904</v>
      </c>
      <c r="J915" t="n">
        <v>18555</v>
      </c>
      <c r="L915" t="n">
        <v>18555</v>
      </c>
      <c r="M915" t="n">
        <v>1955</v>
      </c>
      <c r="S915" t="n">
        <v>77972</v>
      </c>
      <c r="T915">
        <f>S915/J915</f>
        <v/>
      </c>
      <c r="Y915" t="n">
        <v>2765000</v>
      </c>
      <c r="AA915" t="n">
        <v>2765000</v>
      </c>
      <c r="AB915" t="inlineStr">
        <is>
          <t>O'Reilly Auto Parts — Auto Parts; Investment Triple Net; src: Retail_Sales_Cleaned</t>
        </is>
      </c>
      <c r="AC915" t="inlineStr">
        <is>
          <t>5293-00-035</t>
        </is>
      </c>
      <c r="AI915">
        <f>IF(AND($E915=Subj_OccCode,Subj_BldgSF&gt;0,ABS($L915-Subj_BldgSF)&lt;=Subj_BldgSF*Subj_SizeTol),ABS($L915-Subj_BldgSF),NA())</f>
        <v/>
      </c>
      <c r="AJ915">
        <f>IF(ISNA(AI915),NA(),AI915+ROW()/10000000)</f>
        <v/>
      </c>
      <c r="AK915">
        <f>IF(AND(ISNUMBER($N915),$N915&gt;0,ISNUMBER($Y915)),$Y915/$N915,"")</f>
        <v/>
      </c>
    </row>
    <row r="916" ht="15" customHeight="1" s="518">
      <c r="A916" s="62" t="n">
        <v>8</v>
      </c>
      <c r="B916" s="59" t="n">
        <v>912</v>
      </c>
      <c r="D916" t="inlineStr">
        <is>
          <t>4831 TOWER RD</t>
        </is>
      </c>
      <c r="E916" t="n">
        <v>353</v>
      </c>
      <c r="F916" t="inlineStr">
        <is>
          <t>DENVER</t>
        </is>
      </c>
      <c r="H916">
        <f>Y916/J916</f>
        <v/>
      </c>
      <c r="I916" s="704" t="n">
        <v>44342</v>
      </c>
      <c r="J916" t="n">
        <v>4540</v>
      </c>
      <c r="L916" t="n">
        <v>4540</v>
      </c>
      <c r="M916" t="n">
        <v>2019</v>
      </c>
      <c r="S916" t="n">
        <v>44000</v>
      </c>
      <c r="T916">
        <f>S916/J916</f>
        <v/>
      </c>
      <c r="Y916" t="n">
        <v>3880000</v>
      </c>
      <c r="AA916" t="n">
        <v>3880000</v>
      </c>
      <c r="AB916" t="inlineStr">
        <is>
          <t>Panera Bread — Retail Center; Investment Triple Net; src: Retail_Sales_Cleaned</t>
        </is>
      </c>
      <c r="AC916" t="inlineStr">
        <is>
          <t>0161-03-004</t>
        </is>
      </c>
      <c r="AI916">
        <f>IF(AND($E916=Subj_OccCode,Subj_BldgSF&gt;0,ABS($L916-Subj_BldgSF)&lt;=Subj_BldgSF*Subj_SizeTol),ABS($L916-Subj_BldgSF),NA())</f>
        <v/>
      </c>
      <c r="AJ916">
        <f>IF(ISNA(AI916),NA(),AI916+ROW()/10000000)</f>
        <v/>
      </c>
      <c r="AK916">
        <f>IF(AND(ISNUMBER($N916),$N916&gt;0,ISNUMBER($Y916)),$Y916/$N916,"")</f>
        <v/>
      </c>
    </row>
    <row r="917" ht="15" customHeight="1" s="518">
      <c r="A917" s="62" t="n">
        <v>8</v>
      </c>
      <c r="B917" s="59" t="n">
        <v>913</v>
      </c>
      <c r="D917" t="inlineStr">
        <is>
          <t>1563 S PEARL ST</t>
        </is>
      </c>
      <c r="E917" t="n">
        <v>325</v>
      </c>
      <c r="F917" t="inlineStr">
        <is>
          <t>DENVER</t>
        </is>
      </c>
      <c r="H917">
        <f>Y917/J917</f>
        <v/>
      </c>
      <c r="I917" s="704" t="n">
        <v>44187</v>
      </c>
      <c r="J917" t="n">
        <v>4118</v>
      </c>
      <c r="L917" t="n">
        <v>4118</v>
      </c>
      <c r="M917" t="n">
        <v>1942</v>
      </c>
      <c r="S917" t="n">
        <v>6250</v>
      </c>
      <c r="T917">
        <f>S917/J917</f>
        <v/>
      </c>
      <c r="Y917" t="n">
        <v>3200000</v>
      </c>
      <c r="AA917" t="n">
        <v>3200000</v>
      </c>
      <c r="AB917" t="inlineStr">
        <is>
          <t>Pearl Street Garage — Auto Service; Purchase By Tenant; src: Retail_Sales_Cleaned</t>
        </is>
      </c>
      <c r="AC917" t="inlineStr">
        <is>
          <t>5227-05-018</t>
        </is>
      </c>
      <c r="AI917">
        <f>IF(AND($E917=Subj_OccCode,Subj_BldgSF&gt;0,ABS($L917-Subj_BldgSF)&lt;=Subj_BldgSF*Subj_SizeTol),ABS($L917-Subj_BldgSF),NA())</f>
        <v/>
      </c>
      <c r="AJ917">
        <f>IF(ISNA(AI917),NA(),AI917+ROW()/10000000)</f>
        <v/>
      </c>
      <c r="AK917">
        <f>IF(AND(ISNUMBER($N917),$N917&gt;0,ISNUMBER($Y917)),$Y917/$N917,"")</f>
        <v/>
      </c>
    </row>
    <row r="918" ht="15" customHeight="1" s="518">
      <c r="A918" s="62" t="n">
        <v>8</v>
      </c>
      <c r="B918" s="59" t="n">
        <v>914</v>
      </c>
      <c r="D918" t="inlineStr">
        <is>
          <t>5668 N BEELER ST</t>
        </is>
      </c>
      <c r="E918" t="n">
        <v>426</v>
      </c>
      <c r="F918" t="inlineStr">
        <is>
          <t>DENVER</t>
        </is>
      </c>
      <c r="H918">
        <f>Y918/J918</f>
        <v/>
      </c>
      <c r="I918" s="704" t="n">
        <v>43972</v>
      </c>
      <c r="J918" t="n">
        <v>11083</v>
      </c>
      <c r="L918" t="n">
        <v>11083</v>
      </c>
      <c r="M918" t="n">
        <v>2019</v>
      </c>
      <c r="S918" t="n">
        <v>62086</v>
      </c>
      <c r="T918">
        <f>S918/J918</f>
        <v/>
      </c>
      <c r="Y918" t="n">
        <v>6555000</v>
      </c>
      <c r="AA918" t="n">
        <v>6555000</v>
      </c>
      <c r="AB918" t="inlineStr">
        <is>
          <t>Prestige Preschool Academy — Daycare; 1031 Exchange,Investment Triple Net; src: Retail_Sales_Cleaned</t>
        </is>
      </c>
      <c r="AC918" t="inlineStr">
        <is>
          <t>1103-39-001</t>
        </is>
      </c>
      <c r="AI918">
        <f>IF(AND($E918=Subj_OccCode,Subj_BldgSF&gt;0,ABS($L918-Subj_BldgSF)&lt;=Subj_BldgSF*Subj_SizeTol),ABS($L918-Subj_BldgSF),NA())</f>
        <v/>
      </c>
      <c r="AJ918">
        <f>IF(ISNA(AI918),NA(),AI918+ROW()/10000000)</f>
        <v/>
      </c>
      <c r="AK918">
        <f>IF(AND(ISNUMBER($N918),$N918&gt;0,ISNUMBER($Y918)),$Y918/$N918,"")</f>
        <v/>
      </c>
    </row>
    <row r="919" ht="15" customHeight="1" s="518">
      <c r="A919" s="62" t="n">
        <v>8</v>
      </c>
      <c r="B919" s="59" t="n">
        <v>915</v>
      </c>
      <c r="D919" t="inlineStr">
        <is>
          <t>7301 E HAMPDEN AVE</t>
        </is>
      </c>
      <c r="E919" t="n">
        <v>349</v>
      </c>
      <c r="F919" t="inlineStr">
        <is>
          <t>DENVER</t>
        </is>
      </c>
      <c r="H919">
        <f>Y919/J919</f>
        <v/>
      </c>
      <c r="I919" s="704" t="n">
        <v>44134</v>
      </c>
      <c r="J919" t="n">
        <v>3290</v>
      </c>
      <c r="L919" t="n">
        <v>3290</v>
      </c>
      <c r="M919" t="n">
        <v>2020</v>
      </c>
      <c r="S919" t="n">
        <v>55321</v>
      </c>
      <c r="T919">
        <f>S919/J919</f>
        <v/>
      </c>
      <c r="Y919" t="n">
        <v>3680000</v>
      </c>
      <c r="AA919" t="n">
        <v>3680000</v>
      </c>
      <c r="AB919" t="inlineStr">
        <is>
          <t>Raising Cane's — Fast Food; Ground Lease (Leased Fee),Investment Triple Net; src: Retail_Sales_Cleaned</t>
        </is>
      </c>
      <c r="AC919" t="inlineStr">
        <is>
          <t>6333-00-084</t>
        </is>
      </c>
      <c r="AI919">
        <f>IF(AND($E919=Subj_OccCode,Subj_BldgSF&gt;0,ABS($L919-Subj_BldgSF)&lt;=Subj_BldgSF*Subj_SizeTol),ABS($L919-Subj_BldgSF),NA())</f>
        <v/>
      </c>
      <c r="AJ919">
        <f>IF(ISNA(AI919),NA(),AI919+ROW()/10000000)</f>
        <v/>
      </c>
      <c r="AK919">
        <f>IF(AND(ISNUMBER($N919),$N919&gt;0,ISNUMBER($Y919)),$Y919/$N919,"")</f>
        <v/>
      </c>
    </row>
    <row r="920" ht="15" customHeight="1" s="518">
      <c r="A920" s="62" t="n">
        <v>8</v>
      </c>
      <c r="B920" s="59" t="n">
        <v>916</v>
      </c>
      <c r="D920" t="inlineStr">
        <is>
          <t>560 CORONA ST</t>
        </is>
      </c>
      <c r="E920" t="n">
        <v>446</v>
      </c>
      <c r="F920" t="inlineStr">
        <is>
          <t>DENVER</t>
        </is>
      </c>
      <c r="H920">
        <f>Y920/J920</f>
        <v/>
      </c>
      <c r="I920" s="704" t="n">
        <v>43861</v>
      </c>
      <c r="J920" t="n">
        <v>51609</v>
      </c>
      <c r="L920" t="n">
        <v>51609</v>
      </c>
      <c r="M920" t="n">
        <v>2000</v>
      </c>
      <c r="S920" t="n">
        <v>41730</v>
      </c>
      <c r="T920">
        <f>S920/J920</f>
        <v/>
      </c>
      <c r="Y920" t="n">
        <v>16383490</v>
      </c>
      <c r="AA920" t="n">
        <v>16383490</v>
      </c>
      <c r="AB920" t="inlineStr">
        <is>
          <t>Safeway — Supermarket; 1031 Exchange,Investment Triple Net; src: Retail_Sales_Cleaned</t>
        </is>
      </c>
      <c r="AC920" t="inlineStr">
        <is>
          <t>5112-04-050</t>
        </is>
      </c>
      <c r="AI920">
        <f>IF(AND($E920=Subj_OccCode,Subj_BldgSF&gt;0,ABS($L920-Subj_BldgSF)&lt;=Subj_BldgSF*Subj_SizeTol),ABS($L920-Subj_BldgSF),NA())</f>
        <v/>
      </c>
      <c r="AJ920">
        <f>IF(ISNA(AI920),NA(),AI920+ROW()/10000000)</f>
        <v/>
      </c>
      <c r="AK920">
        <f>IF(AND(ISNUMBER($N920),$N920&gt;0,ISNUMBER($Y920)),$Y920/$N920,"")</f>
        <v/>
      </c>
    </row>
    <row r="921" ht="15" customHeight="1" s="518">
      <c r="A921" s="62" t="n">
        <v>8</v>
      </c>
      <c r="B921" s="59" t="n">
        <v>917</v>
      </c>
      <c r="D921" t="inlineStr">
        <is>
          <t>1300 S SHERIDAN BLVD</t>
        </is>
      </c>
      <c r="E921" t="n">
        <v>349</v>
      </c>
      <c r="F921" t="inlineStr">
        <is>
          <t>DENVER</t>
        </is>
      </c>
      <c r="H921">
        <f>Y921/J921</f>
        <v/>
      </c>
      <c r="I921" s="704" t="n">
        <v>43251</v>
      </c>
      <c r="J921" t="n">
        <v>1436</v>
      </c>
      <c r="L921" t="n">
        <v>1436</v>
      </c>
      <c r="M921" t="n">
        <v>2002</v>
      </c>
      <c r="S921" t="n">
        <v>29185</v>
      </c>
      <c r="T921">
        <f>S921/J921</f>
        <v/>
      </c>
      <c r="Y921" t="n">
        <v>1650000</v>
      </c>
      <c r="AA921" t="n">
        <v>1650000</v>
      </c>
      <c r="AB921" t="inlineStr">
        <is>
          <t>Sonic — Fast Food [Old Sale]; src: Retail_Sales_Cleaned</t>
        </is>
      </c>
      <c r="AC921" t="inlineStr">
        <is>
          <t>5192-20-007</t>
        </is>
      </c>
      <c r="AI921">
        <f>IF(AND($E921=Subj_OccCode,Subj_BldgSF&gt;0,ABS($L921-Subj_BldgSF)&lt;=Subj_BldgSF*Subj_SizeTol),ABS($L921-Subj_BldgSF),NA())</f>
        <v/>
      </c>
      <c r="AJ921">
        <f>IF(ISNA(AI921),NA(),AI921+ROW()/10000000)</f>
        <v/>
      </c>
      <c r="AK921">
        <f>IF(AND(ISNUMBER($N921),$N921&gt;0,ISNUMBER($Y921)),$Y921/$N921,"")</f>
        <v/>
      </c>
    </row>
    <row r="922" ht="15" customHeight="1" s="518">
      <c r="A922" s="62" t="n">
        <v>8</v>
      </c>
      <c r="B922" s="59" t="n">
        <v>918</v>
      </c>
      <c r="D922" t="inlineStr">
        <is>
          <t>3555 QUEBEC ST</t>
        </is>
      </c>
      <c r="E922" t="n">
        <v>349</v>
      </c>
      <c r="F922" t="inlineStr">
        <is>
          <t>DENVER</t>
        </is>
      </c>
      <c r="H922">
        <f>Y922/J922</f>
        <v/>
      </c>
      <c r="I922" s="704" t="n">
        <v>43329</v>
      </c>
      <c r="J922" t="n">
        <v>1538</v>
      </c>
      <c r="L922" t="n">
        <v>1538</v>
      </c>
      <c r="M922" t="n">
        <v>2007</v>
      </c>
      <c r="S922" t="n">
        <v>28061</v>
      </c>
      <c r="T922">
        <f>S922/J922</f>
        <v/>
      </c>
      <c r="Y922" t="n">
        <v>1815760</v>
      </c>
      <c r="AA922" t="n">
        <v>1815760</v>
      </c>
      <c r="AB922" t="inlineStr">
        <is>
          <t>Sonic — Fast Food [Old Sale]; src: Retail_Sales_Cleaned</t>
        </is>
      </c>
      <c r="AC922" t="inlineStr">
        <is>
          <t>1291-00-021</t>
        </is>
      </c>
      <c r="AI922">
        <f>IF(AND($E922=Subj_OccCode,Subj_BldgSF&gt;0,ABS($L922-Subj_BldgSF)&lt;=Subj_BldgSF*Subj_SizeTol),ABS($L922-Subj_BldgSF),NA())</f>
        <v/>
      </c>
      <c r="AJ922">
        <f>IF(ISNA(AI922),NA(),AI922+ROW()/10000000)</f>
        <v/>
      </c>
      <c r="AK922">
        <f>IF(AND(ISNUMBER($N922),$N922&gt;0,ISNUMBER($Y922)),$Y922/$N922,"")</f>
        <v/>
      </c>
    </row>
    <row r="923" ht="15" customHeight="1" s="518">
      <c r="A923" s="62" t="n">
        <v>8</v>
      </c>
      <c r="B923" s="59" t="n">
        <v>919</v>
      </c>
      <c r="D923" t="inlineStr">
        <is>
          <t>3555 CENTRAL PARK BLVD</t>
        </is>
      </c>
      <c r="E923" t="n">
        <v>446</v>
      </c>
      <c r="F923" t="inlineStr">
        <is>
          <t>DENVER</t>
        </is>
      </c>
      <c r="H923">
        <f>Y923/J923</f>
        <v/>
      </c>
      <c r="I923" s="704" t="n">
        <v>44159</v>
      </c>
      <c r="J923" t="n">
        <v>29992</v>
      </c>
      <c r="L923" t="n">
        <v>29992</v>
      </c>
      <c r="M923" t="n">
        <v>2020</v>
      </c>
      <c r="S923" t="n">
        <v>48768</v>
      </c>
      <c r="T923">
        <f>S923/J923</f>
        <v/>
      </c>
      <c r="Y923" t="n">
        <v>11700000</v>
      </c>
      <c r="AA923" t="n">
        <v>11700000</v>
      </c>
      <c r="AB923" t="inlineStr">
        <is>
          <t>Sprouts — Supermarket; 1031 Exchange; src: Retail_Sales_Cleaned</t>
        </is>
      </c>
      <c r="AC923" t="inlineStr">
        <is>
          <t>1286-02-008</t>
        </is>
      </c>
      <c r="AI923">
        <f>IF(AND($E923=Subj_OccCode,Subj_BldgSF&gt;0,ABS($L923-Subj_BldgSF)&lt;=Subj_BldgSF*Subj_SizeTol),ABS($L923-Subj_BldgSF),NA())</f>
        <v/>
      </c>
      <c r="AJ923">
        <f>IF(ISNA(AI923),NA(),AI923+ROW()/10000000)</f>
        <v/>
      </c>
      <c r="AK923">
        <f>IF(AND(ISNUMBER($N923),$N923&gt;0,ISNUMBER($Y923)),$Y923/$N923,"")</f>
        <v/>
      </c>
    </row>
    <row r="924" ht="15" customHeight="1" s="518">
      <c r="A924" s="62" t="n">
        <v>8</v>
      </c>
      <c r="B924" s="59" t="n">
        <v>920</v>
      </c>
      <c r="D924" t="inlineStr">
        <is>
          <t>5670 N TOWER RD</t>
        </is>
      </c>
      <c r="E924" t="n">
        <v>446</v>
      </c>
      <c r="F924" t="inlineStr">
        <is>
          <t>DENVER</t>
        </is>
      </c>
      <c r="H924">
        <f>Y924/J924</f>
        <v/>
      </c>
      <c r="I924" s="704" t="n">
        <v>44579</v>
      </c>
      <c r="J924" t="n">
        <v>23300</v>
      </c>
      <c r="L924" t="n">
        <v>23300</v>
      </c>
      <c r="M924" t="n">
        <v>2021</v>
      </c>
      <c r="S924" t="n">
        <v>82716</v>
      </c>
      <c r="T924">
        <f>S924/J924</f>
        <v/>
      </c>
      <c r="Y924" t="n">
        <v>11325000</v>
      </c>
      <c r="AA924" t="n">
        <v>11325000</v>
      </c>
      <c r="AB924" t="inlineStr">
        <is>
          <t>Sprouts — Supermarket; 1031 Exchange; src: Retail_Sales_Cleaned</t>
        </is>
      </c>
      <c r="AC924" t="inlineStr">
        <is>
          <t>0102-21-001</t>
        </is>
      </c>
      <c r="AI924">
        <f>IF(AND($E924=Subj_OccCode,Subj_BldgSF&gt;0,ABS($L924-Subj_BldgSF)&lt;=Subj_BldgSF*Subj_SizeTol),ABS($L924-Subj_BldgSF),NA())</f>
        <v/>
      </c>
      <c r="AJ924">
        <f>IF(ISNA(AI924),NA(),AI924+ROW()/10000000)</f>
        <v/>
      </c>
      <c r="AK924">
        <f>IF(AND(ISNUMBER($N924),$N924&gt;0,ISNUMBER($Y924)),$Y924/$N924,"")</f>
        <v/>
      </c>
    </row>
    <row r="925" ht="15" customHeight="1" s="518">
      <c r="A925" s="62" t="n">
        <v>8</v>
      </c>
      <c r="B925" s="59" t="n">
        <v>921</v>
      </c>
      <c r="D925" t="inlineStr">
        <is>
          <t>4700 38TH AVE</t>
        </is>
      </c>
      <c r="E925" t="n">
        <v>446</v>
      </c>
      <c r="F925" t="inlineStr">
        <is>
          <t>DENVER</t>
        </is>
      </c>
      <c r="H925">
        <f>Y925/J925</f>
        <v/>
      </c>
      <c r="I925" s="704" t="n">
        <v>45496</v>
      </c>
      <c r="J925" t="n">
        <v>28000</v>
      </c>
      <c r="L925" t="n">
        <v>28000</v>
      </c>
      <c r="M925" t="n">
        <v>2006</v>
      </c>
      <c r="S925" t="n">
        <v>39631</v>
      </c>
      <c r="T925">
        <f>S925/J925</f>
        <v/>
      </c>
      <c r="Y925" t="n">
        <v>7955160</v>
      </c>
      <c r="AA925" t="n">
        <v>7955160</v>
      </c>
      <c r="AB925" t="inlineStr">
        <is>
          <t>Sprouts — Supermarket; src: Retail_Sales_Cleaned</t>
        </is>
      </c>
      <c r="AC925" t="inlineStr">
        <is>
          <t>2302-47-060</t>
        </is>
      </c>
      <c r="AI925">
        <f>IF(AND($E925=Subj_OccCode,Subj_BldgSF&gt;0,ABS($L925-Subj_BldgSF)&lt;=Subj_BldgSF*Subj_SizeTol),ABS($L925-Subj_BldgSF),NA())</f>
        <v/>
      </c>
      <c r="AJ925">
        <f>IF(ISNA(AI925),NA(),AI925+ROW()/10000000)</f>
        <v/>
      </c>
      <c r="AK925">
        <f>IF(AND(ISNUMBER($N925),$N925&gt;0,ISNUMBER($Y925)),$Y925/$N925,"")</f>
        <v/>
      </c>
    </row>
    <row r="926" ht="15" customHeight="1" s="518">
      <c r="A926" s="62" t="n">
        <v>8</v>
      </c>
      <c r="B926" s="59" t="n">
        <v>922</v>
      </c>
      <c r="D926" t="inlineStr">
        <is>
          <t>1410 SPEER BLVD</t>
        </is>
      </c>
      <c r="E926" t="n">
        <v>349</v>
      </c>
      <c r="F926" t="inlineStr">
        <is>
          <t>DENVER</t>
        </is>
      </c>
      <c r="H926">
        <f>Y926/J926</f>
        <v/>
      </c>
      <c r="I926" s="704" t="n">
        <v>42928</v>
      </c>
      <c r="J926" t="n">
        <v>996</v>
      </c>
      <c r="L926" t="n">
        <v>996</v>
      </c>
      <c r="M926" t="n">
        <v>2016</v>
      </c>
      <c r="S926" t="n">
        <v>9964</v>
      </c>
      <c r="T926">
        <f>S926/J926</f>
        <v/>
      </c>
      <c r="Y926" t="n">
        <v>1867200</v>
      </c>
      <c r="AA926" t="n">
        <v>1867200</v>
      </c>
      <c r="AB926" t="inlineStr">
        <is>
          <t>Starbucks — Coffee [Old Sale]; Investment Triple Net; src: Retail_Sales_Cleaned</t>
        </is>
      </c>
      <c r="AC926" t="inlineStr">
        <is>
          <t>5034-04-038</t>
        </is>
      </c>
      <c r="AI926">
        <f>IF(AND($E926=Subj_OccCode,Subj_BldgSF&gt;0,ABS($L926-Subj_BldgSF)&lt;=Subj_BldgSF*Subj_SizeTol),ABS($L926-Subj_BldgSF),NA())</f>
        <v/>
      </c>
      <c r="AJ926">
        <f>IF(ISNA(AI926),NA(),AI926+ROW()/10000000)</f>
        <v/>
      </c>
      <c r="AK926">
        <f>IF(AND(ISNUMBER($N926),$N926&gt;0,ISNUMBER($Y926)),$Y926/$N926,"")</f>
        <v/>
      </c>
    </row>
    <row r="927" ht="15" customHeight="1" s="518">
      <c r="A927" s="62" t="n">
        <v>8</v>
      </c>
      <c r="B927" s="59" t="n">
        <v>923</v>
      </c>
      <c r="D927" t="inlineStr">
        <is>
          <t>3087 S SHERIDAN BLVD</t>
        </is>
      </c>
      <c r="E927" t="n">
        <v>349</v>
      </c>
      <c r="F927" t="inlineStr">
        <is>
          <t>DENVER</t>
        </is>
      </c>
      <c r="H927">
        <f>Y927/J927</f>
        <v/>
      </c>
      <c r="I927" s="704" t="n">
        <v>43483</v>
      </c>
      <c r="J927" t="n">
        <v>1890</v>
      </c>
      <c r="L927" t="n">
        <v>1890</v>
      </c>
      <c r="S927" t="n">
        <v>18295</v>
      </c>
      <c r="T927">
        <f>S927/J927</f>
        <v/>
      </c>
      <c r="Y927" t="n">
        <v>2425000</v>
      </c>
      <c r="AA927" t="n">
        <v>2425000</v>
      </c>
      <c r="AB927" t="inlineStr">
        <is>
          <t>Starbucks — Coffee [Out of Time Frame]; 1031 Exchange; src: Retail_Sales_Cleaned</t>
        </is>
      </c>
      <c r="AC927" t="inlineStr">
        <is>
          <t>4364-00-024</t>
        </is>
      </c>
      <c r="AI927">
        <f>IF(AND($E927=Subj_OccCode,Subj_BldgSF&gt;0,ABS($L927-Subj_BldgSF)&lt;=Subj_BldgSF*Subj_SizeTol),ABS($L927-Subj_BldgSF),NA())</f>
        <v/>
      </c>
      <c r="AJ927">
        <f>IF(ISNA(AI927),NA(),AI927+ROW()/10000000)</f>
        <v/>
      </c>
      <c r="AK927">
        <f>IF(AND(ISNUMBER($N927),$N927&gt;0,ISNUMBER($Y927)),$Y927/$N927,"")</f>
        <v/>
      </c>
    </row>
    <row r="928" ht="15" customHeight="1" s="518">
      <c r="A928" s="62" t="n">
        <v>8</v>
      </c>
      <c r="B928" s="59" t="n">
        <v>924</v>
      </c>
      <c r="D928" t="inlineStr">
        <is>
          <t>2790 W ALAMEDA AVE</t>
        </is>
      </c>
      <c r="E928" t="n">
        <v>349</v>
      </c>
      <c r="F928" t="inlineStr">
        <is>
          <t>DENVER</t>
        </is>
      </c>
      <c r="H928">
        <f>Y928/J928</f>
        <v/>
      </c>
      <c r="I928" s="704" t="n">
        <v>44552</v>
      </c>
      <c r="J928" t="n">
        <v>1479</v>
      </c>
      <c r="L928" t="n">
        <v>1479</v>
      </c>
      <c r="M928" t="n">
        <v>2001</v>
      </c>
      <c r="S928" t="n">
        <v>24935</v>
      </c>
      <c r="T928">
        <f>S928/J928</f>
        <v/>
      </c>
      <c r="Y928" t="n">
        <v>1580000</v>
      </c>
      <c r="AA928" t="n">
        <v>1580000</v>
      </c>
      <c r="AB928" t="inlineStr">
        <is>
          <t>Starbucks — Coffee; Investment Triple Net; src: Retail_Sales_Cleaned</t>
        </is>
      </c>
      <c r="AC928" t="inlineStr">
        <is>
          <t>5171-06-017</t>
        </is>
      </c>
      <c r="AI928">
        <f>IF(AND($E928=Subj_OccCode,Subj_BldgSF&gt;0,ABS($L928-Subj_BldgSF)&lt;=Subj_BldgSF*Subj_SizeTol),ABS($L928-Subj_BldgSF),NA())</f>
        <v/>
      </c>
      <c r="AJ928">
        <f>IF(ISNA(AI928),NA(),AI928+ROW()/10000000)</f>
        <v/>
      </c>
      <c r="AK928">
        <f>IF(AND(ISNUMBER($N928),$N928&gt;0,ISNUMBER($Y928)),$Y928/$N928,"")</f>
        <v/>
      </c>
    </row>
    <row r="929" ht="15" customHeight="1" s="518">
      <c r="A929" s="62" t="n">
        <v>8</v>
      </c>
      <c r="B929" s="59" t="n">
        <v>925</v>
      </c>
      <c r="D929" t="inlineStr">
        <is>
          <t>7327 E COLFAX AVE</t>
        </is>
      </c>
      <c r="E929" t="n">
        <v>349</v>
      </c>
      <c r="F929" t="inlineStr">
        <is>
          <t>DENVER</t>
        </is>
      </c>
      <c r="H929">
        <f>Y929/J929</f>
        <v/>
      </c>
      <c r="I929" s="704" t="n">
        <v>44070</v>
      </c>
      <c r="J929" t="n">
        <v>1627</v>
      </c>
      <c r="L929" t="n">
        <v>1627</v>
      </c>
      <c r="M929" t="n">
        <v>1964</v>
      </c>
      <c r="S929" t="n">
        <v>12632</v>
      </c>
      <c r="T929">
        <f>S929/J929</f>
        <v/>
      </c>
      <c r="Y929" t="n">
        <v>810000</v>
      </c>
      <c r="AA929" t="n">
        <v>810000</v>
      </c>
      <c r="AB929" t="inlineStr">
        <is>
          <t>Subway — Fast Food; 1031 Exchange,Investment Triple Net; src: Retail_Sales_Cleaned</t>
        </is>
      </c>
      <c r="AC929" t="inlineStr">
        <is>
          <t>1333-24-027</t>
        </is>
      </c>
      <c r="AI929">
        <f>IF(AND($E929=Subj_OccCode,Subj_BldgSF&gt;0,ABS($L929-Subj_BldgSF)&lt;=Subj_BldgSF*Subj_SizeTol),ABS($L929-Subj_BldgSF),NA())</f>
        <v/>
      </c>
      <c r="AJ929">
        <f>IF(ISNA(AI929),NA(),AI929+ROW()/10000000)</f>
        <v/>
      </c>
      <c r="AK929">
        <f>IF(AND(ISNUMBER($N929),$N929&gt;0,ISNUMBER($Y929)),$Y929/$N929,"")</f>
        <v/>
      </c>
    </row>
    <row r="930" ht="15" customHeight="1" s="518">
      <c r="A930" s="62" t="n">
        <v>8</v>
      </c>
      <c r="B930" s="59" t="n">
        <v>926</v>
      </c>
      <c r="D930" t="inlineStr">
        <is>
          <t>1996 S FEDERAL BLVD</t>
        </is>
      </c>
      <c r="E930" t="n">
        <v>349</v>
      </c>
      <c r="F930" t="inlineStr">
        <is>
          <t>DENVER</t>
        </is>
      </c>
      <c r="H930">
        <f>Y930/J930</f>
        <v/>
      </c>
      <c r="I930" s="704" t="n">
        <v>45351</v>
      </c>
      <c r="J930" t="n">
        <v>2357</v>
      </c>
      <c r="L930" t="n">
        <v>2357</v>
      </c>
      <c r="M930" t="n">
        <v>1993</v>
      </c>
      <c r="S930" t="n">
        <v>32552</v>
      </c>
      <c r="T930">
        <f>S930/J930</f>
        <v/>
      </c>
      <c r="Y930" t="n">
        <v>925000</v>
      </c>
      <c r="AA930" t="n">
        <v>925000</v>
      </c>
      <c r="AB930" t="inlineStr">
        <is>
          <t>Taco Bell — Fast Food; src: Retail_Sales_Cleaned</t>
        </is>
      </c>
      <c r="AC930" t="inlineStr">
        <is>
          <t>5291-04-046</t>
        </is>
      </c>
      <c r="AI930">
        <f>IF(AND($E930=Subj_OccCode,Subj_BldgSF&gt;0,ABS($L930-Subj_BldgSF)&lt;=Subj_BldgSF*Subj_SizeTol),ABS($L930-Subj_BldgSF),NA())</f>
        <v/>
      </c>
      <c r="AJ930">
        <f>IF(ISNA(AI930),NA(),AI930+ROW()/10000000)</f>
        <v/>
      </c>
      <c r="AK930">
        <f>IF(AND(ISNUMBER($N930),$N930&gt;0,ISNUMBER($Y930)),$Y930/$N930,"")</f>
        <v/>
      </c>
    </row>
    <row r="931" ht="15" customHeight="1" s="518">
      <c r="A931" s="62" t="n">
        <v>8</v>
      </c>
      <c r="B931" s="59" t="n">
        <v>927</v>
      </c>
      <c r="D931" t="inlineStr">
        <is>
          <t>2345 W ALAMEDA AVE</t>
        </is>
      </c>
      <c r="E931" t="n">
        <v>349</v>
      </c>
      <c r="F931" t="inlineStr">
        <is>
          <t>DENVER</t>
        </is>
      </c>
      <c r="H931">
        <f>Y931/J931</f>
        <v/>
      </c>
      <c r="I931" s="704" t="n">
        <v>44490</v>
      </c>
      <c r="J931" t="n">
        <v>1602</v>
      </c>
      <c r="L931" t="n">
        <v>1602</v>
      </c>
      <c r="M931" t="n">
        <v>1973</v>
      </c>
      <c r="S931" t="n">
        <v>18295</v>
      </c>
      <c r="T931">
        <f>S931/J931</f>
        <v/>
      </c>
      <c r="Y931" t="n">
        <v>1100000</v>
      </c>
      <c r="AA931" t="n">
        <v>1100000</v>
      </c>
      <c r="AB931" t="inlineStr">
        <is>
          <t>Taco Star — Fast Food; Purchase By Tenant; src: Retail_Sales_Cleaned</t>
        </is>
      </c>
      <c r="AC931" t="inlineStr">
        <is>
          <t>5094-09-003</t>
        </is>
      </c>
      <c r="AI931">
        <f>IF(AND($E931=Subj_OccCode,Subj_BldgSF&gt;0,ABS($L931-Subj_BldgSF)&lt;=Subj_BldgSF*Subj_SizeTol),ABS($L931-Subj_BldgSF),NA())</f>
        <v/>
      </c>
      <c r="AJ931">
        <f>IF(ISNA(AI931),NA(),AI931+ROW()/10000000)</f>
        <v/>
      </c>
      <c r="AK931">
        <f>IF(AND(ISNUMBER($N931),$N931&gt;0,ISNUMBER($Y931)),$Y931/$N931,"")</f>
        <v/>
      </c>
    </row>
    <row r="932" ht="15" customHeight="1" s="518">
      <c r="A932" s="62" t="n">
        <v>8</v>
      </c>
      <c r="B932" s="59" t="n">
        <v>928</v>
      </c>
      <c r="D932" t="inlineStr">
        <is>
          <t>4405 CHAMBERS RD</t>
        </is>
      </c>
      <c r="E932" t="n">
        <v>410</v>
      </c>
      <c r="F932" t="inlineStr">
        <is>
          <t>DENVER</t>
        </is>
      </c>
      <c r="H932">
        <f>Y932/J932</f>
        <v/>
      </c>
      <c r="I932" s="704" t="n">
        <v>43608</v>
      </c>
      <c r="J932" t="n">
        <v>7093</v>
      </c>
      <c r="L932" t="n">
        <v>7093</v>
      </c>
      <c r="M932" t="n">
        <v>2002</v>
      </c>
      <c r="S932" t="n">
        <v>42253</v>
      </c>
      <c r="T932">
        <f>S932/J932</f>
        <v/>
      </c>
      <c r="Y932" t="n">
        <v>2825000</v>
      </c>
      <c r="AA932" t="n">
        <v>2825000</v>
      </c>
      <c r="AB932" t="inlineStr">
        <is>
          <t>Tires Plus — Auto Service [Old Sale]; Investment Triple Net; src: Retail_Sales_Cleaned</t>
        </is>
      </c>
      <c r="AC932" t="inlineStr">
        <is>
          <t>0194-17-011</t>
        </is>
      </c>
      <c r="AI932">
        <f>IF(AND($E932=Subj_OccCode,Subj_BldgSF&gt;0,ABS($L932-Subj_BldgSF)&lt;=Subj_BldgSF*Subj_SizeTol),ABS($L932-Subj_BldgSF),NA())</f>
        <v/>
      </c>
      <c r="AJ932">
        <f>IF(ISNA(AI932),NA(),AI932+ROW()/10000000)</f>
        <v/>
      </c>
      <c r="AK932">
        <f>IF(AND(ISNUMBER($N932),$N932&gt;0,ISNUMBER($Y932)),$Y932/$N932,"")</f>
        <v/>
      </c>
    </row>
    <row r="933" ht="15" customHeight="1" s="518">
      <c r="A933" s="62" t="n">
        <v>8</v>
      </c>
      <c r="B933" s="59" t="n">
        <v>929</v>
      </c>
      <c r="D933" t="inlineStr">
        <is>
          <t>4405 CHAMBERS RD</t>
        </is>
      </c>
      <c r="E933" t="n">
        <v>410</v>
      </c>
      <c r="F933" t="inlineStr">
        <is>
          <t>DENVER</t>
        </is>
      </c>
      <c r="H933">
        <f>Y933/J933</f>
        <v/>
      </c>
      <c r="I933" s="704" t="n">
        <v>44728</v>
      </c>
      <c r="J933" t="n">
        <v>7093</v>
      </c>
      <c r="L933" t="n">
        <v>7093</v>
      </c>
      <c r="M933" t="n">
        <v>2002</v>
      </c>
      <c r="S933" t="n">
        <v>42253</v>
      </c>
      <c r="T933">
        <f>S933/J933</f>
        <v/>
      </c>
      <c r="Y933" t="n">
        <v>3200000</v>
      </c>
      <c r="AA933" t="n">
        <v>3200000</v>
      </c>
      <c r="AB933" t="inlineStr">
        <is>
          <t>Tires Plus — Auto Service; src: Retail_Sales_Cleaned</t>
        </is>
      </c>
      <c r="AC933" t="inlineStr">
        <is>
          <t>0194-17-011</t>
        </is>
      </c>
      <c r="AI933">
        <f>IF(AND($E933=Subj_OccCode,Subj_BldgSF&gt;0,ABS($L933-Subj_BldgSF)&lt;=Subj_BldgSF*Subj_SizeTol),ABS($L933-Subj_BldgSF),NA())</f>
        <v/>
      </c>
      <c r="AJ933">
        <f>IF(ISNA(AI933),NA(),AI933+ROW()/10000000)</f>
        <v/>
      </c>
      <c r="AK933">
        <f>IF(AND(ISNUMBER($N933),$N933&gt;0,ISNUMBER($Y933)),$Y933/$N933,"")</f>
        <v/>
      </c>
    </row>
    <row r="934" ht="15" customHeight="1" s="518">
      <c r="A934" s="62" t="n">
        <v>8</v>
      </c>
      <c r="B934" s="59" t="n">
        <v>930</v>
      </c>
      <c r="D934" t="inlineStr">
        <is>
          <t>6325 E HAMPDEN AVE</t>
        </is>
      </c>
      <c r="E934" t="n">
        <v>412</v>
      </c>
      <c r="F934" t="inlineStr">
        <is>
          <t>DENVER</t>
        </is>
      </c>
      <c r="H934">
        <f>Y934/J934</f>
        <v/>
      </c>
      <c r="I934" s="704" t="n">
        <v>44246</v>
      </c>
      <c r="J934" t="n">
        <v>5045</v>
      </c>
      <c r="L934" t="n">
        <v>5045</v>
      </c>
      <c r="M934" t="n">
        <v>2014</v>
      </c>
      <c r="S934" t="n">
        <v>60113</v>
      </c>
      <c r="T934">
        <f>S934/J934</f>
        <v/>
      </c>
      <c r="Y934" t="n">
        <v>3250000</v>
      </c>
      <c r="AA934" t="n">
        <v>3250000</v>
      </c>
      <c r="AB934" t="inlineStr">
        <is>
          <t>Torchy's Tacos — Retail Center; Investment Triple Net; src: Retail_Sales_Cleaned</t>
        </is>
      </c>
      <c r="AC934" t="inlineStr">
        <is>
          <t>6323-07-052</t>
        </is>
      </c>
      <c r="AI934">
        <f>IF(AND($E934=Subj_OccCode,Subj_BldgSF&gt;0,ABS($L934-Subj_BldgSF)&lt;=Subj_BldgSF*Subj_SizeTol),ABS($L934-Subj_BldgSF),NA())</f>
        <v/>
      </c>
      <c r="AJ934">
        <f>IF(ISNA(AI934),NA(),AI934+ROW()/10000000)</f>
        <v/>
      </c>
      <c r="AK934">
        <f>IF(AND(ISNUMBER($N934),$N934&gt;0,ISNUMBER($Y934)),$Y934/$N934,"")</f>
        <v/>
      </c>
    </row>
    <row r="935" ht="15" customHeight="1" s="518">
      <c r="A935" s="62" t="n">
        <v>8</v>
      </c>
      <c r="B935" s="59" t="n">
        <v>931</v>
      </c>
      <c r="D935" t="inlineStr">
        <is>
          <t>701 E EVANS AVE</t>
        </is>
      </c>
      <c r="E935" t="n">
        <v>325</v>
      </c>
      <c r="F935" t="inlineStr">
        <is>
          <t>DENVER</t>
        </is>
      </c>
      <c r="H935">
        <f>Y935/J935</f>
        <v/>
      </c>
      <c r="I935" s="704" t="n">
        <v>44244</v>
      </c>
      <c r="J935" t="n">
        <v>2473</v>
      </c>
      <c r="L935" t="n">
        <v>2473</v>
      </c>
      <c r="M935" t="n">
        <v>1944</v>
      </c>
      <c r="S935" t="n">
        <v>9370</v>
      </c>
      <c r="T935">
        <f>S935/J935</f>
        <v/>
      </c>
      <c r="Y935" t="n">
        <v>895000</v>
      </c>
      <c r="AA935" t="n">
        <v>895000</v>
      </c>
      <c r="AB935" t="inlineStr">
        <is>
          <t>Urban Autocare — Auto Service; Business Value Included; src: Retail_Sales_Cleaned</t>
        </is>
      </c>
      <c r="AC935" t="inlineStr">
        <is>
          <t>5271-18-010</t>
        </is>
      </c>
      <c r="AI935">
        <f>IF(AND($E935=Subj_OccCode,Subj_BldgSF&gt;0,ABS($L935-Subj_BldgSF)&lt;=Subj_BldgSF*Subj_SizeTol),ABS($L935-Subj_BldgSF),NA())</f>
        <v/>
      </c>
      <c r="AJ935">
        <f>IF(ISNA(AI935),NA(),AI935+ROW()/10000000)</f>
        <v/>
      </c>
      <c r="AK935">
        <f>IF(AND(ISNUMBER($N935),$N935&gt;0,ISNUMBER($Y935)),$Y935/$N935,"")</f>
        <v/>
      </c>
    </row>
    <row r="936" ht="15" customHeight="1" s="518">
      <c r="A936" s="62" t="n">
        <v>8</v>
      </c>
      <c r="B936" s="59" t="n">
        <v>932</v>
      </c>
      <c r="D936" t="inlineStr">
        <is>
          <t>4850 FEDERAL BLVD</t>
        </is>
      </c>
      <c r="E936" t="n">
        <v>353</v>
      </c>
      <c r="F936" t="inlineStr">
        <is>
          <t>DENVER</t>
        </is>
      </c>
      <c r="H936">
        <f>Y936/J936</f>
        <v/>
      </c>
      <c r="I936" s="704" t="n">
        <v>45099</v>
      </c>
      <c r="J936" t="n">
        <v>5292</v>
      </c>
      <c r="L936" t="n">
        <v>5292</v>
      </c>
      <c r="M936" t="n">
        <v>1971</v>
      </c>
      <c r="S936" t="n">
        <v>78408</v>
      </c>
      <c r="T936">
        <f>S936/J936</f>
        <v/>
      </c>
      <c r="Y936" t="n">
        <v>2173900</v>
      </c>
      <c r="AA936" t="n">
        <v>2173900</v>
      </c>
      <c r="AB936" t="inlineStr">
        <is>
          <t>Village Inn — Retail Center; src: Retail_Sales_Cleaned</t>
        </is>
      </c>
      <c r="AC936" t="inlineStr">
        <is>
          <t>2174-25-014</t>
        </is>
      </c>
      <c r="AI936">
        <f>IF(AND($E936=Subj_OccCode,Subj_BldgSF&gt;0,ABS($L936-Subj_BldgSF)&lt;=Subj_BldgSF*Subj_SizeTol),ABS($L936-Subj_BldgSF),NA())</f>
        <v/>
      </c>
      <c r="AJ936">
        <f>IF(ISNA(AI936),NA(),AI936+ROW()/10000000)</f>
        <v/>
      </c>
      <c r="AK936">
        <f>IF(AND(ISNUMBER($N936),$N936&gt;0,ISNUMBER($Y936)),$Y936/$N936,"")</f>
        <v/>
      </c>
    </row>
    <row r="937" ht="15" customHeight="1" s="518">
      <c r="A937" s="62" t="n">
        <v>8</v>
      </c>
      <c r="B937" s="59" t="n">
        <v>933</v>
      </c>
      <c r="D937" t="inlineStr">
        <is>
          <t>2975 FEDERAL BLVD</t>
        </is>
      </c>
      <c r="E937" t="n">
        <v>353</v>
      </c>
      <c r="F937" t="inlineStr">
        <is>
          <t>DENVER</t>
        </is>
      </c>
      <c r="H937">
        <f>Y937/J937</f>
        <v/>
      </c>
      <c r="I937" s="704" t="n">
        <v>45337</v>
      </c>
      <c r="J937" t="n">
        <v>13736</v>
      </c>
      <c r="L937" t="n">
        <v>13736</v>
      </c>
      <c r="M937" t="n">
        <v>1996</v>
      </c>
      <c r="S937" t="n">
        <v>61968</v>
      </c>
      <c r="T937">
        <f>S937/J937</f>
        <v/>
      </c>
      <c r="Y937" t="n">
        <v>4948200</v>
      </c>
      <c r="AA937" t="n">
        <v>4948200</v>
      </c>
      <c r="AB937" t="inlineStr">
        <is>
          <t>Walgreen's — Drugstore; 1031 Exchange,Bulk/Portfolio Sale,Investment Triple Net,Sale Leaseback; src: Retail_Sales_Cleaned</t>
        </is>
      </c>
      <c r="AC937" t="inlineStr">
        <is>
          <t>2293-09-060</t>
        </is>
      </c>
      <c r="AI937">
        <f>IF(AND($E937=Subj_OccCode,Subj_BldgSF&gt;0,ABS($L937-Subj_BldgSF)&lt;=Subj_BldgSF*Subj_SizeTol),ABS($L937-Subj_BldgSF),NA())</f>
        <v/>
      </c>
      <c r="AJ937">
        <f>IF(ISNA(AI937),NA(),AI937+ROW()/10000000)</f>
        <v/>
      </c>
      <c r="AK937">
        <f>IF(AND(ISNUMBER($N937),$N937&gt;0,ISNUMBER($Y937)),$Y937/$N937,"")</f>
        <v/>
      </c>
    </row>
    <row r="938" ht="15" customHeight="1" s="518">
      <c r="A938" s="62" t="n">
        <v>8</v>
      </c>
      <c r="B938" s="59" t="n">
        <v>934</v>
      </c>
      <c r="D938" t="inlineStr">
        <is>
          <t>3555 COLORADO BLVD</t>
        </is>
      </c>
      <c r="E938" t="n">
        <v>353</v>
      </c>
      <c r="F938" t="inlineStr">
        <is>
          <t>DENVER</t>
        </is>
      </c>
      <c r="H938">
        <f>Y938/J938</f>
        <v/>
      </c>
      <c r="I938" s="704" t="n">
        <v>44263</v>
      </c>
      <c r="J938" t="n">
        <v>13000</v>
      </c>
      <c r="L938" t="n">
        <v>13000</v>
      </c>
      <c r="M938" t="n">
        <v>2013</v>
      </c>
      <c r="S938" t="n">
        <v>38703</v>
      </c>
      <c r="T938">
        <f>S938/J938</f>
        <v/>
      </c>
      <c r="Y938" t="n">
        <v>5292900</v>
      </c>
      <c r="AA938" t="n">
        <v>5292900</v>
      </c>
      <c r="AB938" t="inlineStr">
        <is>
          <t>Walgreens — Drugstore; Bulk/Portfolio Sale; src: Retail_Sales_Cleaned</t>
        </is>
      </c>
      <c r="AC938" t="inlineStr">
        <is>
          <t>2251-19-013</t>
        </is>
      </c>
      <c r="AI938">
        <f>IF(AND($E938=Subj_OccCode,Subj_BldgSF&gt;0,ABS($L938-Subj_BldgSF)&lt;=Subj_BldgSF*Subj_SizeTol),ABS($L938-Subj_BldgSF),NA())</f>
        <v/>
      </c>
      <c r="AJ938">
        <f>IF(ISNA(AI938),NA(),AI938+ROW()/10000000)</f>
        <v/>
      </c>
      <c r="AK938">
        <f>IF(AND(ISNUMBER($N938),$N938&gt;0,ISNUMBER($Y938)),$Y938/$N938,"")</f>
        <v/>
      </c>
    </row>
    <row r="939" ht="15" customHeight="1" s="518">
      <c r="A939" s="62" t="n">
        <v>8</v>
      </c>
      <c r="B939" s="59" t="n">
        <v>935</v>
      </c>
      <c r="D939" t="inlineStr">
        <is>
          <t>2000 E COLFAX AVE</t>
        </is>
      </c>
      <c r="E939" t="n">
        <v>353</v>
      </c>
      <c r="F939" t="inlineStr">
        <is>
          <t>DENVER</t>
        </is>
      </c>
      <c r="H939">
        <f>Y939/J939</f>
        <v/>
      </c>
      <c r="I939" s="704" t="n">
        <v>44943</v>
      </c>
      <c r="J939" t="n">
        <v>12398</v>
      </c>
      <c r="L939" t="n">
        <v>12398</v>
      </c>
      <c r="M939" t="n">
        <v>1987</v>
      </c>
      <c r="S939" t="n">
        <v>40510</v>
      </c>
      <c r="T939">
        <f>S939/J939</f>
        <v/>
      </c>
      <c r="Y939" t="n">
        <v>8100000</v>
      </c>
      <c r="AA939" t="n">
        <v>8100000</v>
      </c>
      <c r="AB939" t="inlineStr">
        <is>
          <t>Walgreens — Drugstore; Sale Leaseback; src: Retail_Sales_Cleaned</t>
        </is>
      </c>
      <c r="AC939" t="inlineStr">
        <is>
          <t>5021-03-020</t>
        </is>
      </c>
      <c r="AI939">
        <f>IF(AND($E939=Subj_OccCode,Subj_BldgSF&gt;0,ABS($L939-Subj_BldgSF)&lt;=Subj_BldgSF*Subj_SizeTol),ABS($L939-Subj_BldgSF),NA())</f>
        <v/>
      </c>
      <c r="AJ939">
        <f>IF(ISNA(AI939),NA(),AI939+ROW()/10000000)</f>
        <v/>
      </c>
      <c r="AK939">
        <f>IF(AND(ISNUMBER($N939),$N939&gt;0,ISNUMBER($Y939)),$Y939/$N939,"")</f>
        <v/>
      </c>
    </row>
    <row r="940" ht="15" customHeight="1" s="518">
      <c r="A940" s="62" t="n">
        <v>8</v>
      </c>
      <c r="B940" s="59" t="n">
        <v>936</v>
      </c>
      <c r="D940" t="inlineStr">
        <is>
          <t>2235 W ALAMEDA AVE</t>
        </is>
      </c>
      <c r="E940" t="n">
        <v>349</v>
      </c>
      <c r="F940" t="inlineStr">
        <is>
          <t>DENVER</t>
        </is>
      </c>
      <c r="H940">
        <f>Y940/J940</f>
        <v/>
      </c>
      <c r="I940" s="704" t="n">
        <v>44175</v>
      </c>
      <c r="J940" t="n">
        <v>2864</v>
      </c>
      <c r="L940" t="n">
        <v>2864</v>
      </c>
      <c r="M940" t="n">
        <v>1978</v>
      </c>
      <c r="S940" t="n">
        <v>21780</v>
      </c>
      <c r="T940">
        <f>S940/J940</f>
        <v/>
      </c>
      <c r="Y940" t="n">
        <v>900000</v>
      </c>
      <c r="AA940" t="n">
        <v>900000</v>
      </c>
      <c r="AB940" t="inlineStr">
        <is>
          <t>Wendy's — Fast Food; src: Retail_Sales_Cleaned</t>
        </is>
      </c>
      <c r="AC940" t="inlineStr">
        <is>
          <t>5094-00-053</t>
        </is>
      </c>
      <c r="AI940">
        <f>IF(AND($E940=Subj_OccCode,Subj_BldgSF&gt;0,ABS($L940-Subj_BldgSF)&lt;=Subj_BldgSF*Subj_SizeTol),ABS($L940-Subj_BldgSF),NA())</f>
        <v/>
      </c>
      <c r="AJ940">
        <f>IF(ISNA(AI940),NA(),AI940+ROW()/10000000)</f>
        <v/>
      </c>
      <c r="AK940">
        <f>IF(AND(ISNUMBER($N940),$N940&gt;0,ISNUMBER($Y940)),$Y940/$N940,"")</f>
        <v/>
      </c>
    </row>
    <row r="941" ht="15" customHeight="1" s="518">
      <c r="A941" s="62" t="n">
        <v>8</v>
      </c>
      <c r="B941" s="59" t="n">
        <v>937</v>
      </c>
      <c r="D941" t="inlineStr">
        <is>
          <t>10431 PARKGLENN WAY</t>
        </is>
      </c>
      <c r="E941" t="n">
        <v>410</v>
      </c>
      <c r="F941" t="inlineStr">
        <is>
          <t>PARKER</t>
        </is>
      </c>
      <c r="H941">
        <f>Y941/J941</f>
        <v/>
      </c>
      <c r="I941" s="704" t="n">
        <v>45411</v>
      </c>
      <c r="J941" t="n">
        <v>4608</v>
      </c>
      <c r="L941" t="n">
        <v>4608</v>
      </c>
      <c r="M941" t="n">
        <v>1993</v>
      </c>
      <c r="S941" t="n">
        <v>22651</v>
      </c>
      <c r="T941">
        <f>S941/J941</f>
        <v/>
      </c>
      <c r="Y941" t="n">
        <v>3200000</v>
      </c>
      <c r="AA941" t="n">
        <v>3200000</v>
      </c>
      <c r="AB941" t="inlineStr">
        <is>
          <t>Big O Tires — Auto Service; src: Retail_Sales_Cleaned</t>
        </is>
      </c>
      <c r="AC941" t="inlineStr">
        <is>
          <t>2233-153-07-010</t>
        </is>
      </c>
      <c r="AI941">
        <f>IF(AND($E941=Subj_OccCode,Subj_BldgSF&gt;0,ABS($L941-Subj_BldgSF)&lt;=Subj_BldgSF*Subj_SizeTol),ABS($L941-Subj_BldgSF),NA())</f>
        <v/>
      </c>
      <c r="AJ941">
        <f>IF(ISNA(AI941),NA(),AI941+ROW()/10000000)</f>
        <v/>
      </c>
      <c r="AK941">
        <f>IF(AND(ISNUMBER($N941),$N941&gt;0,ISNUMBER($Y941)),$Y941/$N941,"")</f>
        <v/>
      </c>
    </row>
    <row r="942">
      <c r="A942" s="706" t="n">
        <v>8</v>
      </c>
      <c r="B942" s="706" t="n">
        <v>938</v>
      </c>
      <c r="C942" s="706" t="n"/>
      <c r="D942" s="706" t="inlineStr">
        <is>
          <t>9297 S BROADWAY</t>
        </is>
      </c>
      <c r="E942" s="706" t="n">
        <v>410</v>
      </c>
      <c r="F942" s="706" t="inlineStr">
        <is>
          <t>HIGHLANDS RANCH</t>
        </is>
      </c>
      <c r="G942" s="706" t="n"/>
      <c r="H942" s="706">
        <f>Y942/J942</f>
        <v/>
      </c>
      <c r="I942" s="707" t="n">
        <v>44007</v>
      </c>
      <c r="J942" s="706" t="n">
        <v>5336</v>
      </c>
      <c r="K942" s="706" t="n"/>
      <c r="L942" s="706" t="n">
        <v>5336</v>
      </c>
      <c r="M942" s="706" t="n">
        <v>1999</v>
      </c>
      <c r="N942" s="706" t="n"/>
      <c r="O942" s="706" t="n"/>
      <c r="P942" s="706" t="n"/>
      <c r="Q942" s="706" t="n"/>
      <c r="R942" s="706" t="n"/>
      <c r="S942" s="706" t="n">
        <v>31537</v>
      </c>
      <c r="T942" s="706">
        <f>S942/J942</f>
        <v/>
      </c>
      <c r="U942" s="706" t="n"/>
      <c r="V942" s="706" t="n"/>
      <c r="W942" s="706" t="n"/>
      <c r="X942" s="706" t="n"/>
      <c r="Y942" s="706" t="n">
        <v>2486823</v>
      </c>
      <c r="Z942" s="706" t="n"/>
      <c r="AA942" s="706" t="n">
        <v>2486823</v>
      </c>
      <c r="AB942" s="706" t="inlineStr">
        <is>
          <t>Brakes Plus — Auto Service; 1031 Exchange,Bulk/Portfolio Sale,Investment Triple Net; src: Retail_Sales_Cleaned</t>
        </is>
      </c>
      <c r="AC942" s="706" t="inlineStr">
        <is>
          <t>2229-102-09-034</t>
        </is>
      </c>
      <c r="AD942" s="706" t="n"/>
      <c r="AE942" s="706" t="n"/>
      <c r="AF942" s="706" t="n"/>
      <c r="AG942" s="706" t="n"/>
      <c r="AH942" s="706" t="n"/>
      <c r="AI942" s="706">
        <f>IF(AND($E942=Subj_OccCode,Subj_BldgSF&gt;0,ABS($L942-Subj_BldgSF)&lt;=Subj_BldgSF*Subj_SizeTol),ABS($L942-Subj_BldgSF),NA())</f>
        <v/>
      </c>
      <c r="AJ942" s="706">
        <f>IF(ISNA(AI942),NA(),AI942+ROW()/10000000)</f>
        <v/>
      </c>
      <c r="AK942" s="706">
        <f>IF(AND(ISNUMBER($N942),$N942&gt;0,ISNUMBER($Y942)),$Y942/$N942,"")</f>
        <v/>
      </c>
      <c r="AL942" s="706" t="n"/>
      <c r="AM942" s="706" t="n"/>
      <c r="AN942" s="706" t="n"/>
    </row>
    <row r="943">
      <c r="A943" s="706" t="n">
        <v>8</v>
      </c>
      <c r="B943" s="706" t="n">
        <v>939</v>
      </c>
      <c r="C943" s="706" t="n"/>
      <c r="D943" s="706" t="inlineStr">
        <is>
          <t>16920 LINCOLN AVE</t>
        </is>
      </c>
      <c r="E943" s="706" t="n">
        <v>353</v>
      </c>
      <c r="F943" s="706" t="inlineStr">
        <is>
          <t>PARKER</t>
        </is>
      </c>
      <c r="G943" s="706" t="n"/>
      <c r="H943" s="706">
        <f>Y943/J943</f>
        <v/>
      </c>
      <c r="I943" s="707" t="n">
        <v>43287</v>
      </c>
      <c r="J943" s="706" t="n">
        <v>12900</v>
      </c>
      <c r="K943" s="706" t="n"/>
      <c r="L943" s="706" t="n">
        <v>12900</v>
      </c>
      <c r="M943" s="706" t="n">
        <v>2017</v>
      </c>
      <c r="N943" s="706" t="n"/>
      <c r="O943" s="706" t="n"/>
      <c r="P943" s="706" t="n"/>
      <c r="Q943" s="706" t="n"/>
      <c r="R943" s="706" t="n"/>
      <c r="S943" s="706" t="n">
        <v>59634</v>
      </c>
      <c r="T943" s="706">
        <f>S943/J943</f>
        <v/>
      </c>
      <c r="U943" s="706" t="n"/>
      <c r="V943" s="706" t="n"/>
      <c r="W943" s="706" t="n"/>
      <c r="X943" s="706" t="n"/>
      <c r="Y943" s="706" t="n">
        <v>8259603</v>
      </c>
      <c r="Z943" s="706" t="n"/>
      <c r="AA943" s="706" t="n">
        <v>8259603</v>
      </c>
      <c r="AB943" s="706" t="inlineStr">
        <is>
          <t>CVS — Drugstore; Investment Triple Net; src: Retail_Sales_Cleaned</t>
        </is>
      </c>
      <c r="AC943" s="706" t="inlineStr">
        <is>
          <t>2233-162-08-001</t>
        </is>
      </c>
      <c r="AD943" s="706" t="n"/>
      <c r="AE943" s="706" t="n"/>
      <c r="AF943" s="706" t="n"/>
      <c r="AG943" s="706" t="n"/>
      <c r="AH943" s="706" t="n"/>
      <c r="AI943" s="706">
        <f>IF(AND($E943=Subj_OccCode,Subj_BldgSF&gt;0,ABS($L943-Subj_BldgSF)&lt;=Subj_BldgSF*Subj_SizeTol),ABS($L943-Subj_BldgSF),NA())</f>
        <v/>
      </c>
      <c r="AJ943" s="706">
        <f>IF(ISNA(AI943),NA(),AI943+ROW()/10000000)</f>
        <v/>
      </c>
      <c r="AK943" s="706">
        <f>IF(AND(ISNUMBER($N943),$N943&gt;0,ISNUMBER($Y943)),$Y943/$N943,"")</f>
        <v/>
      </c>
      <c r="AL943" s="706" t="n"/>
      <c r="AM943" s="706" t="n"/>
      <c r="AN943" s="706" t="n"/>
    </row>
    <row r="944">
      <c r="A944" s="706" t="n">
        <v>8</v>
      </c>
      <c r="B944" s="706" t="n">
        <v>940</v>
      </c>
      <c r="C944" s="706" t="n"/>
      <c r="D944" s="706" t="inlineStr">
        <is>
          <t>9215 S BROADWAY</t>
        </is>
      </c>
      <c r="E944" s="706" t="n">
        <v>349</v>
      </c>
      <c r="F944" s="706" t="inlineStr">
        <is>
          <t>HIGHLANDS RANCH</t>
        </is>
      </c>
      <c r="G944" s="706" t="n"/>
      <c r="H944" s="706">
        <f>Y944/J944</f>
        <v/>
      </c>
      <c r="I944" s="707" t="n">
        <v>44813</v>
      </c>
      <c r="J944" s="706" t="n">
        <v>2105</v>
      </c>
      <c r="K944" s="706" t="n"/>
      <c r="L944" s="706" t="n">
        <v>2105</v>
      </c>
      <c r="M944" s="706" t="n">
        <v>1998</v>
      </c>
      <c r="N944" s="706" t="n"/>
      <c r="O944" s="706" t="n"/>
      <c r="P944" s="706" t="n"/>
      <c r="Q944" s="706" t="n"/>
      <c r="R944" s="706" t="n"/>
      <c r="S944" s="706" t="n">
        <v>33541</v>
      </c>
      <c r="T944" s="706">
        <f>S944/J944</f>
        <v/>
      </c>
      <c r="U944" s="706" t="n"/>
      <c r="V944" s="706" t="n"/>
      <c r="W944" s="706" t="n"/>
      <c r="X944" s="706" t="n"/>
      <c r="Y944" s="706" t="n">
        <v>3025000</v>
      </c>
      <c r="Z944" s="706" t="n"/>
      <c r="AA944" s="706" t="n">
        <v>3025000</v>
      </c>
      <c r="AB944" s="706" t="inlineStr">
        <is>
          <t>Café Rio — Fast Food; src: Retail_Sales_Cleaned</t>
        </is>
      </c>
      <c r="AC944" s="706" t="inlineStr">
        <is>
          <t>2229-102-09-023</t>
        </is>
      </c>
      <c r="AD944" s="706" t="n"/>
      <c r="AE944" s="706" t="n"/>
      <c r="AF944" s="706" t="n"/>
      <c r="AG944" s="706" t="n"/>
      <c r="AH944" s="706" t="n"/>
      <c r="AI944" s="706">
        <f>IF(AND($E944=Subj_OccCode,Subj_BldgSF&gt;0,ABS($L944-Subj_BldgSF)&lt;=Subj_BldgSF*Subj_SizeTol),ABS($L944-Subj_BldgSF),NA())</f>
        <v/>
      </c>
      <c r="AJ944" s="706">
        <f>IF(ISNA(AI944),NA(),AI944+ROW()/10000000)</f>
        <v/>
      </c>
      <c r="AK944" s="706">
        <f>IF(AND(ISNUMBER($N944),$N944&gt;0,ISNUMBER($Y944)),$Y944/$N944,"")</f>
        <v/>
      </c>
      <c r="AL944" s="706" t="n"/>
      <c r="AM944" s="706" t="n"/>
      <c r="AN944" s="706" t="n"/>
    </row>
    <row r="945">
      <c r="A945" s="706" t="n">
        <v>8</v>
      </c>
      <c r="B945" s="706" t="n">
        <v>941</v>
      </c>
      <c r="C945" s="706" t="n"/>
      <c r="D945" s="706" t="inlineStr">
        <is>
          <t>1164 SGT JON STILES DR</t>
        </is>
      </c>
      <c r="E945" s="706" t="n">
        <v>414</v>
      </c>
      <c r="F945" s="706" t="inlineStr">
        <is>
          <t>HIGHLANDS RANCH</t>
        </is>
      </c>
      <c r="G945" s="706" t="n"/>
      <c r="H945" s="706">
        <f>Y945/J945</f>
        <v/>
      </c>
      <c r="I945" s="707" t="n">
        <v>44732</v>
      </c>
      <c r="J945" s="706" t="n">
        <v>4253</v>
      </c>
      <c r="K945" s="706" t="n"/>
      <c r="L945" s="706" t="n">
        <v>4253</v>
      </c>
      <c r="M945" s="706" t="n">
        <v>2012</v>
      </c>
      <c r="N945" s="706" t="n"/>
      <c r="O945" s="706" t="n"/>
      <c r="P945" s="706" t="n"/>
      <c r="Q945" s="706" t="n"/>
      <c r="R945" s="706" t="n"/>
      <c r="S945" s="706" t="n">
        <v>36155</v>
      </c>
      <c r="T945" s="706">
        <f>S945/J945</f>
        <v/>
      </c>
      <c r="U945" s="706" t="n"/>
      <c r="V945" s="706" t="n"/>
      <c r="W945" s="706" t="n"/>
      <c r="X945" s="706" t="n"/>
      <c r="Y945" s="706" t="n">
        <v>3325833</v>
      </c>
      <c r="Z945" s="706" t="n"/>
      <c r="AA945" s="706" t="n">
        <v>3325833</v>
      </c>
      <c r="AB945" s="706" t="inlineStr">
        <is>
          <t>Denny's — Retail Center; src: Retail_Sales_Cleaned</t>
        </is>
      </c>
      <c r="AC945" s="706" t="inlineStr">
        <is>
          <t>2229-091-16-003</t>
        </is>
      </c>
      <c r="AD945" s="706" t="n"/>
      <c r="AE945" s="706" t="n"/>
      <c r="AF945" s="706" t="n"/>
      <c r="AG945" s="706" t="n"/>
      <c r="AH945" s="706" t="n"/>
      <c r="AI945" s="706">
        <f>IF(AND($E945=Subj_OccCode,Subj_BldgSF&gt;0,ABS($L945-Subj_BldgSF)&lt;=Subj_BldgSF*Subj_SizeTol),ABS($L945-Subj_BldgSF),NA())</f>
        <v/>
      </c>
      <c r="AJ945" s="706">
        <f>IF(ISNA(AI945),NA(),AI945+ROW()/10000000)</f>
        <v/>
      </c>
      <c r="AK945" s="706">
        <f>IF(AND(ISNUMBER($N945),$N945&gt;0,ISNUMBER($Y945)),$Y945/$N945,"")</f>
        <v/>
      </c>
      <c r="AL945" s="706" t="n"/>
      <c r="AM945" s="706" t="n"/>
      <c r="AN945" s="706" t="n"/>
    </row>
    <row r="946">
      <c r="A946" s="706" t="n">
        <v>8</v>
      </c>
      <c r="B946" s="706" t="n">
        <v>942</v>
      </c>
      <c r="C946" s="706" t="n"/>
      <c r="D946" s="706" t="inlineStr">
        <is>
          <t>10365 S PARKER RD</t>
        </is>
      </c>
      <c r="E946" s="706" t="n">
        <v>349</v>
      </c>
      <c r="F946" s="706" t="inlineStr">
        <is>
          <t>PARKER</t>
        </is>
      </c>
      <c r="G946" s="706" t="n"/>
      <c r="H946" s="706">
        <f>Y946/J946</f>
        <v/>
      </c>
      <c r="I946" s="707" t="n">
        <v>44167</v>
      </c>
      <c r="J946" s="706" t="n">
        <v>824</v>
      </c>
      <c r="K946" s="706" t="n"/>
      <c r="L946" s="706" t="n">
        <v>824</v>
      </c>
      <c r="M946" s="706" t="n">
        <v>2020</v>
      </c>
      <c r="N946" s="706" t="n"/>
      <c r="O946" s="706" t="n"/>
      <c r="P946" s="706" t="n"/>
      <c r="Q946" s="706" t="n"/>
      <c r="R946" s="706" t="n"/>
      <c r="S946" s="706" t="n">
        <v>21780</v>
      </c>
      <c r="T946" s="706">
        <f>S946/J946</f>
        <v/>
      </c>
      <c r="U946" s="706" t="n"/>
      <c r="V946" s="706" t="n"/>
      <c r="W946" s="706" t="n"/>
      <c r="X946" s="706" t="n"/>
      <c r="Y946" s="706" t="n">
        <v>2020000</v>
      </c>
      <c r="Z946" s="706" t="n"/>
      <c r="AA946" s="706" t="n">
        <v>2020000</v>
      </c>
      <c r="AB946" s="706" t="inlineStr">
        <is>
          <t>Dutch Bros — Coffee; src: Retail_Sales_Cleaned</t>
        </is>
      </c>
      <c r="AC946" s="706" t="inlineStr">
        <is>
          <t>2233-153-15-007</t>
        </is>
      </c>
      <c r="AD946" s="706" t="n"/>
      <c r="AE946" s="706" t="n"/>
      <c r="AF946" s="706" t="n"/>
      <c r="AG946" s="706" t="n"/>
      <c r="AH946" s="706" t="n"/>
      <c r="AI946" s="706">
        <f>IF(AND($E946=Subj_OccCode,Subj_BldgSF&gt;0,ABS($L946-Subj_BldgSF)&lt;=Subj_BldgSF*Subj_SizeTol),ABS($L946-Subj_BldgSF),NA())</f>
        <v/>
      </c>
      <c r="AJ946" s="706">
        <f>IF(ISNA(AI946),NA(),AI946+ROW()/10000000)</f>
        <v/>
      </c>
      <c r="AK946" s="706">
        <f>IF(AND(ISNUMBER($N946),$N946&gt;0,ISNUMBER($Y946)),$Y946/$N946,"")</f>
        <v/>
      </c>
      <c r="AL946" s="706" t="n"/>
      <c r="AM946" s="706" t="n"/>
      <c r="AN946" s="706" t="n"/>
    </row>
    <row r="947">
      <c r="A947" s="706" t="n">
        <v>8</v>
      </c>
      <c r="B947" s="706" t="n">
        <v>943</v>
      </c>
      <c r="C947" s="706" t="n"/>
      <c r="D947" s="706" t="inlineStr">
        <is>
          <t>10365 S PARKER RD</t>
        </is>
      </c>
      <c r="E947" s="706" t="n">
        <v>349</v>
      </c>
      <c r="F947" s="706" t="inlineStr">
        <is>
          <t>PARKER</t>
        </is>
      </c>
      <c r="G947" s="706" t="n"/>
      <c r="H947" s="706">
        <f>Y947/J947</f>
        <v/>
      </c>
      <c r="I947" s="707" t="n">
        <v>45225</v>
      </c>
      <c r="J947" s="706" t="n">
        <v>824</v>
      </c>
      <c r="K947" s="706" t="n"/>
      <c r="L947" s="706" t="n">
        <v>824</v>
      </c>
      <c r="M947" s="706" t="n">
        <v>2020</v>
      </c>
      <c r="N947" s="706" t="n"/>
      <c r="O947" s="706" t="n"/>
      <c r="P947" s="706" t="n"/>
      <c r="Q947" s="706" t="n"/>
      <c r="R947" s="706" t="n"/>
      <c r="S947" s="706" t="n">
        <v>21780</v>
      </c>
      <c r="T947" s="706">
        <f>S947/J947</f>
        <v/>
      </c>
      <c r="U947" s="706" t="n"/>
      <c r="V947" s="706" t="n"/>
      <c r="W947" s="706" t="n"/>
      <c r="X947" s="706" t="n"/>
      <c r="Y947" s="706" t="n">
        <v>1930000</v>
      </c>
      <c r="Z947" s="706" t="n"/>
      <c r="AA947" s="706" t="n">
        <v>1930000</v>
      </c>
      <c r="AB947" s="706" t="inlineStr">
        <is>
          <t>Dutch Bros — Coffee; src: Retail_Sales_Cleaned</t>
        </is>
      </c>
      <c r="AC947" s="706" t="inlineStr">
        <is>
          <t>2233-153-15-007</t>
        </is>
      </c>
      <c r="AD947" s="706" t="n"/>
      <c r="AE947" s="706" t="n"/>
      <c r="AF947" s="706" t="n"/>
      <c r="AG947" s="706" t="n"/>
      <c r="AH947" s="706" t="n"/>
      <c r="AI947" s="706">
        <f>IF(AND($E947=Subj_OccCode,Subj_BldgSF&gt;0,ABS($L947-Subj_BldgSF)&lt;=Subj_BldgSF*Subj_SizeTol),ABS($L947-Subj_BldgSF),NA())</f>
        <v/>
      </c>
      <c r="AJ947" s="706">
        <f>IF(ISNA(AI947),NA(),AI947+ROW()/10000000)</f>
        <v/>
      </c>
      <c r="AK947" s="706">
        <f>IF(AND(ISNUMBER($N947),$N947&gt;0,ISNUMBER($Y947)),$Y947/$N947,"")</f>
        <v/>
      </c>
      <c r="AL947" s="706" t="n"/>
      <c r="AM947" s="706" t="n"/>
      <c r="AN947" s="706" t="n"/>
    </row>
    <row r="948">
      <c r="A948" s="706" t="n">
        <v>8</v>
      </c>
      <c r="B948" s="706" t="n">
        <v>944</v>
      </c>
      <c r="C948" s="706" t="n"/>
      <c r="D948" s="706" t="inlineStr">
        <is>
          <t>13055 COPPERHEAD TRL</t>
        </is>
      </c>
      <c r="E948" s="706" t="n">
        <v>410</v>
      </c>
      <c r="F948" s="706" t="inlineStr">
        <is>
          <t>PARKER</t>
        </is>
      </c>
      <c r="G948" s="706" t="n"/>
      <c r="H948" s="706">
        <f>Y948/J948</f>
        <v/>
      </c>
      <c r="I948" s="707" t="n">
        <v>43865</v>
      </c>
      <c r="J948" s="706" t="n">
        <v>5557</v>
      </c>
      <c r="K948" s="706" t="n"/>
      <c r="L948" s="706" t="n">
        <v>5557</v>
      </c>
      <c r="M948" s="706" t="n">
        <v>2020</v>
      </c>
      <c r="N948" s="706" t="n"/>
      <c r="O948" s="706" t="n"/>
      <c r="P948" s="706" t="n"/>
      <c r="Q948" s="706" t="n"/>
      <c r="R948" s="706" t="n"/>
      <c r="S948" s="706" t="n">
        <v>52403</v>
      </c>
      <c r="T948" s="706">
        <f>S948/J948</f>
        <v/>
      </c>
      <c r="U948" s="706" t="n"/>
      <c r="V948" s="706" t="n"/>
      <c r="W948" s="706" t="n"/>
      <c r="X948" s="706" t="n"/>
      <c r="Y948" s="706" t="n">
        <v>3959000</v>
      </c>
      <c r="Z948" s="706" t="n"/>
      <c r="AA948" s="706" t="n">
        <v>3959000</v>
      </c>
      <c r="AB948" s="706" t="inlineStr">
        <is>
          <t>Firestone — Auto Service; Investment Triple Net; src: Retail_Sales_Cleaned</t>
        </is>
      </c>
      <c r="AC948" s="706" t="inlineStr">
        <is>
          <t>2233-344-18-006</t>
        </is>
      </c>
      <c r="AD948" s="706" t="n"/>
      <c r="AE948" s="706" t="n"/>
      <c r="AF948" s="706" t="n"/>
      <c r="AG948" s="706" t="n"/>
      <c r="AH948" s="706" t="n"/>
      <c r="AI948" s="706">
        <f>IF(AND($E948=Subj_OccCode,Subj_BldgSF&gt;0,ABS($L948-Subj_BldgSF)&lt;=Subj_BldgSF*Subj_SizeTol),ABS($L948-Subj_BldgSF),NA())</f>
        <v/>
      </c>
      <c r="AJ948" s="706">
        <f>IF(ISNA(AI948),NA(),AI948+ROW()/10000000)</f>
        <v/>
      </c>
      <c r="AK948" s="706">
        <f>IF(AND(ISNUMBER($N948),$N948&gt;0,ISNUMBER($Y948)),$Y948/$N948,"")</f>
        <v/>
      </c>
      <c r="AL948" s="706" t="n"/>
      <c r="AM948" s="706" t="n"/>
      <c r="AN948" s="706" t="n"/>
    </row>
    <row r="949">
      <c r="A949" s="706" t="n">
        <v>8</v>
      </c>
      <c r="B949" s="706" t="n">
        <v>945</v>
      </c>
      <c r="C949" s="706" t="n"/>
      <c r="D949" s="706" t="inlineStr">
        <is>
          <t>11140 S TWENTY MILE RD</t>
        </is>
      </c>
      <c r="E949" s="706" t="n">
        <v>349</v>
      </c>
      <c r="F949" s="706" t="inlineStr">
        <is>
          <t>PARKER</t>
        </is>
      </c>
      <c r="G949" s="706" t="n"/>
      <c r="H949" s="706">
        <f>Y949/J949</f>
        <v/>
      </c>
      <c r="I949" s="707" t="n">
        <v>44789</v>
      </c>
      <c r="J949" s="706" t="n">
        <v>3785</v>
      </c>
      <c r="K949" s="706" t="n"/>
      <c r="L949" s="706" t="n">
        <v>3785</v>
      </c>
      <c r="M949" s="706" t="n">
        <v>2015</v>
      </c>
      <c r="N949" s="706" t="n"/>
      <c r="O949" s="706" t="n"/>
      <c r="P949" s="706" t="n"/>
      <c r="Q949" s="706" t="n"/>
      <c r="R949" s="706" t="n"/>
      <c r="S949" s="706" t="n">
        <v>47480</v>
      </c>
      <c r="T949" s="706">
        <f>S949/J949</f>
        <v/>
      </c>
      <c r="U949" s="706" t="n"/>
      <c r="V949" s="706" t="n"/>
      <c r="W949" s="706" t="n"/>
      <c r="X949" s="706" t="n"/>
      <c r="Y949" s="706" t="n">
        <v>3368888</v>
      </c>
      <c r="Z949" s="706" t="n"/>
      <c r="AA949" s="706" t="n">
        <v>3368888</v>
      </c>
      <c r="AB949" s="706" t="inlineStr">
        <is>
          <t>Freddy's Frozen Custard &amp; Steakburgers — Fast Food; Bulk/Portfolio Sale,Investment Triple Net,Sale Leaseback; src: Retail_Sales_Cleaned</t>
        </is>
      </c>
      <c r="AC949" s="706" t="inlineStr">
        <is>
          <t>2233-223-02-041</t>
        </is>
      </c>
      <c r="AD949" s="706" t="n"/>
      <c r="AE949" s="706" t="n"/>
      <c r="AF949" s="706" t="n"/>
      <c r="AG949" s="706" t="n"/>
      <c r="AH949" s="706" t="n"/>
      <c r="AI949" s="706">
        <f>IF(AND($E949=Subj_OccCode,Subj_BldgSF&gt;0,ABS($L949-Subj_BldgSF)&lt;=Subj_BldgSF*Subj_SizeTol),ABS($L949-Subj_BldgSF),NA())</f>
        <v/>
      </c>
      <c r="AJ949" s="706">
        <f>IF(ISNA(AI949),NA(),AI949+ROW()/10000000)</f>
        <v/>
      </c>
      <c r="AK949" s="706">
        <f>IF(AND(ISNUMBER($N949),$N949&gt;0,ISNUMBER($Y949)),$Y949/$N949,"")</f>
        <v/>
      </c>
      <c r="AL949" s="706" t="n"/>
      <c r="AM949" s="706" t="n"/>
      <c r="AN949" s="706" t="n"/>
    </row>
    <row r="950">
      <c r="A950" s="706" t="n">
        <v>8</v>
      </c>
      <c r="B950" s="706" t="n">
        <v>946</v>
      </c>
      <c r="C950" s="706" t="n"/>
      <c r="D950" s="706" t="inlineStr">
        <is>
          <t>18424 COTTONWOOD DR</t>
        </is>
      </c>
      <c r="E950" s="706" t="n">
        <v>349</v>
      </c>
      <c r="F950" s="706" t="inlineStr">
        <is>
          <t>PARKER</t>
        </is>
      </c>
      <c r="G950" s="706" t="n"/>
      <c r="H950" s="706">
        <f>Y950/J950</f>
        <v/>
      </c>
      <c r="I950" s="707" t="n">
        <v>44796</v>
      </c>
      <c r="J950" s="706" t="n">
        <v>3542</v>
      </c>
      <c r="K950" s="706" t="n"/>
      <c r="L950" s="706" t="n">
        <v>3542</v>
      </c>
      <c r="M950" s="706" t="n">
        <v>2018</v>
      </c>
      <c r="N950" s="706" t="n"/>
      <c r="O950" s="706" t="n"/>
      <c r="P950" s="706" t="n"/>
      <c r="Q950" s="706" t="n"/>
      <c r="R950" s="706" t="n"/>
      <c r="S950" s="706" t="n">
        <v>55844</v>
      </c>
      <c r="T950" s="706">
        <f>S950/J950</f>
        <v/>
      </c>
      <c r="U950" s="706" t="n"/>
      <c r="V950" s="706" t="n"/>
      <c r="W950" s="706" t="n"/>
      <c r="X950" s="706" t="n"/>
      <c r="Y950" s="706" t="n">
        <v>2353000</v>
      </c>
      <c r="Z950" s="706" t="n"/>
      <c r="AA950" s="706" t="n">
        <v>2353000</v>
      </c>
      <c r="AB950" s="706" t="inlineStr">
        <is>
          <t>Freddy's Steakburgers — Fast Food; Investment Triple Net,Sale Leaseback; src: Retail_Sales_Cleaned</t>
        </is>
      </c>
      <c r="AC950" s="706" t="inlineStr">
        <is>
          <t>2233-044-06-002</t>
        </is>
      </c>
      <c r="AD950" s="706" t="n"/>
      <c r="AE950" s="706" t="n"/>
      <c r="AF950" s="706" t="n"/>
      <c r="AG950" s="706" t="n"/>
      <c r="AH950" s="706" t="n"/>
      <c r="AI950" s="706">
        <f>IF(AND($E950=Subj_OccCode,Subj_BldgSF&gt;0,ABS($L950-Subj_BldgSF)&lt;=Subj_BldgSF*Subj_SizeTol),ABS($L950-Subj_BldgSF),NA())</f>
        <v/>
      </c>
      <c r="AJ950" s="706">
        <f>IF(ISNA(AI950),NA(),AI950+ROW()/10000000)</f>
        <v/>
      </c>
      <c r="AK950" s="706">
        <f>IF(AND(ISNUMBER($N950),$N950&gt;0,ISNUMBER($Y950)),$Y950/$N950,"")</f>
        <v/>
      </c>
      <c r="AL950" s="706" t="n"/>
      <c r="AM950" s="706" t="n"/>
      <c r="AN950" s="706" t="n"/>
    </row>
    <row r="951">
      <c r="A951" s="706" t="n">
        <v>8</v>
      </c>
      <c r="B951" s="706" t="n">
        <v>947</v>
      </c>
      <c r="C951" s="706" t="n"/>
      <c r="D951" s="706" t="inlineStr">
        <is>
          <t>9985 S TWENTY MILE RD</t>
        </is>
      </c>
      <c r="E951" s="706" t="n">
        <v>426</v>
      </c>
      <c r="F951" s="706" t="inlineStr">
        <is>
          <t>PARKER</t>
        </is>
      </c>
      <c r="G951" s="706" t="n"/>
      <c r="H951" s="706">
        <f>Y951/J951</f>
        <v/>
      </c>
      <c r="I951" s="707" t="n">
        <v>44417</v>
      </c>
      <c r="J951" s="706" t="n">
        <v>11142</v>
      </c>
      <c r="K951" s="706" t="n"/>
      <c r="L951" s="706" t="n">
        <v>11142</v>
      </c>
      <c r="M951" s="706" t="n">
        <v>2012</v>
      </c>
      <c r="N951" s="706" t="n"/>
      <c r="O951" s="706" t="n"/>
      <c r="P951" s="706" t="n"/>
      <c r="Q951" s="706" t="n"/>
      <c r="R951" s="706" t="n"/>
      <c r="S951" s="706" t="n">
        <v>54014</v>
      </c>
      <c r="T951" s="706">
        <f>S951/J951</f>
        <v/>
      </c>
      <c r="U951" s="706" t="n"/>
      <c r="V951" s="706" t="n"/>
      <c r="W951" s="706" t="n"/>
      <c r="X951" s="706" t="n"/>
      <c r="Y951" s="706" t="n">
        <v>5815000</v>
      </c>
      <c r="Z951" s="706" t="n"/>
      <c r="AA951" s="706" t="n">
        <v>5815000</v>
      </c>
      <c r="AB951" s="706" t="inlineStr">
        <is>
          <t>Guidepost Montessori — Daycare; 1031 Exchange; src: Retail_Sales_Cleaned</t>
        </is>
      </c>
      <c r="AC951" s="706" t="inlineStr">
        <is>
          <t>2233-161-04-013</t>
        </is>
      </c>
      <c r="AD951" s="706" t="n"/>
      <c r="AE951" s="706" t="n"/>
      <c r="AF951" s="706" t="n"/>
      <c r="AG951" s="706" t="n"/>
      <c r="AH951" s="706" t="n"/>
      <c r="AI951" s="706">
        <f>IF(AND($E951=Subj_OccCode,Subj_BldgSF&gt;0,ABS($L951-Subj_BldgSF)&lt;=Subj_BldgSF*Subj_SizeTol),ABS($L951-Subj_BldgSF),NA())</f>
        <v/>
      </c>
      <c r="AJ951" s="706">
        <f>IF(ISNA(AI951),NA(),AI951+ROW()/10000000)</f>
        <v/>
      </c>
      <c r="AK951" s="706">
        <f>IF(AND(ISNUMBER($N951),$N951&gt;0,ISNUMBER($Y951)),$Y951/$N951,"")</f>
        <v/>
      </c>
      <c r="AL951" s="706" t="n"/>
      <c r="AM951" s="706" t="n"/>
      <c r="AN951" s="706" t="n"/>
    </row>
    <row r="952">
      <c r="A952" s="706" t="n">
        <v>8</v>
      </c>
      <c r="B952" s="706" t="n">
        <v>948</v>
      </c>
      <c r="C952" s="706" t="n"/>
      <c r="D952" s="706" t="inlineStr">
        <is>
          <t>11901 S PARKER RD</t>
        </is>
      </c>
      <c r="E952" s="706" t="n">
        <v>410</v>
      </c>
      <c r="F952" s="706" t="inlineStr">
        <is>
          <t>PARKER</t>
        </is>
      </c>
      <c r="G952" s="706" t="n"/>
      <c r="H952" s="706">
        <f>Y952/J952</f>
        <v/>
      </c>
      <c r="I952" s="707" t="n">
        <v>43573</v>
      </c>
      <c r="J952" s="706" t="n">
        <v>3500</v>
      </c>
      <c r="K952" s="706" t="n"/>
      <c r="L952" s="706" t="n">
        <v>3500</v>
      </c>
      <c r="M952" s="706" t="n">
        <v>1989</v>
      </c>
      <c r="N952" s="706" t="n"/>
      <c r="O952" s="706" t="n"/>
      <c r="P952" s="706" t="n"/>
      <c r="Q952" s="706" t="n"/>
      <c r="R952" s="706" t="n"/>
      <c r="S952" s="706" t="n">
        <v>17337</v>
      </c>
      <c r="T952" s="706">
        <f>S952/J952</f>
        <v/>
      </c>
      <c r="U952" s="706" t="n"/>
      <c r="V952" s="706" t="n"/>
      <c r="W952" s="706" t="n"/>
      <c r="X952" s="706" t="n"/>
      <c r="Y952" s="706" t="n">
        <v>780000</v>
      </c>
      <c r="Z952" s="706" t="n"/>
      <c r="AA952" s="706" t="n">
        <v>780000</v>
      </c>
      <c r="AB952" s="706" t="inlineStr">
        <is>
          <t>Just Brakes — Auto Service [Old Sale]; Purchase By Tenant; src: Retail_Sales_Cleaned</t>
        </is>
      </c>
      <c r="AC952" s="706" t="inlineStr">
        <is>
          <t>0352979</t>
        </is>
      </c>
      <c r="AD952" s="706" t="n"/>
      <c r="AE952" s="706" t="n"/>
      <c r="AF952" s="706" t="n"/>
      <c r="AG952" s="706" t="n"/>
      <c r="AH952" s="706" t="n"/>
      <c r="AI952" s="706">
        <f>IF(AND($E952=Subj_OccCode,Subj_BldgSF&gt;0,ABS($L952-Subj_BldgSF)&lt;=Subj_BldgSF*Subj_SizeTol),ABS($L952-Subj_BldgSF),NA())</f>
        <v/>
      </c>
      <c r="AJ952" s="706">
        <f>IF(ISNA(AI952),NA(),AI952+ROW()/10000000)</f>
        <v/>
      </c>
      <c r="AK952" s="706">
        <f>IF(AND(ISNUMBER($N952),$N952&gt;0,ISNUMBER($Y952)),$Y952/$N952,"")</f>
        <v/>
      </c>
      <c r="AL952" s="706" t="n"/>
      <c r="AM952" s="706" t="n"/>
      <c r="AN952" s="706" t="n"/>
    </row>
    <row r="953">
      <c r="A953" s="706" t="n">
        <v>8</v>
      </c>
      <c r="B953" s="706" t="n">
        <v>949</v>
      </c>
      <c r="C953" s="706" t="n"/>
      <c r="D953" s="706" t="inlineStr">
        <is>
          <t>11901 S PARKER RD</t>
        </is>
      </c>
      <c r="E953" s="706" t="n">
        <v>410</v>
      </c>
      <c r="F953" s="706" t="inlineStr">
        <is>
          <t>PARKER</t>
        </is>
      </c>
      <c r="G953" s="706" t="n"/>
      <c r="H953" s="706">
        <f>Y953/J953</f>
        <v/>
      </c>
      <c r="I953" s="707" t="n">
        <v>44782</v>
      </c>
      <c r="J953" s="706" t="n">
        <v>3500</v>
      </c>
      <c r="K953" s="706" t="n"/>
      <c r="L953" s="706" t="n">
        <v>3500</v>
      </c>
      <c r="M953" s="706" t="n">
        <v>1989</v>
      </c>
      <c r="N953" s="706" t="n"/>
      <c r="O953" s="706" t="n"/>
      <c r="P953" s="706" t="n"/>
      <c r="Q953" s="706" t="n"/>
      <c r="R953" s="706" t="n"/>
      <c r="S953" s="706" t="n">
        <v>17337</v>
      </c>
      <c r="T953" s="706">
        <f>S953/J953</f>
        <v/>
      </c>
      <c r="U953" s="706" t="n"/>
      <c r="V953" s="706" t="n"/>
      <c r="W953" s="706" t="n"/>
      <c r="X953" s="706" t="n"/>
      <c r="Y953" s="706" t="n">
        <v>1500000</v>
      </c>
      <c r="Z953" s="706" t="n"/>
      <c r="AA953" s="706" t="n">
        <v>1500000</v>
      </c>
      <c r="AB953" s="706" t="inlineStr">
        <is>
          <t>Just Brakes — Auto Service; src: Retail_Sales_Cleaned</t>
        </is>
      </c>
      <c r="AC953" s="706" t="inlineStr">
        <is>
          <t>0352979</t>
        </is>
      </c>
      <c r="AD953" s="706" t="n"/>
      <c r="AE953" s="706" t="n"/>
      <c r="AF953" s="706" t="n"/>
      <c r="AG953" s="706" t="n"/>
      <c r="AH953" s="706" t="n"/>
      <c r="AI953" s="706">
        <f>IF(AND($E953=Subj_OccCode,Subj_BldgSF&gt;0,ABS($L953-Subj_BldgSF)&lt;=Subj_BldgSF*Subj_SizeTol),ABS($L953-Subj_BldgSF),NA())</f>
        <v/>
      </c>
      <c r="AJ953" s="706">
        <f>IF(ISNA(AI953),NA(),AI953+ROW()/10000000)</f>
        <v/>
      </c>
      <c r="AK953" s="706">
        <f>IF(AND(ISNUMBER($N953),$N953&gt;0,ISNUMBER($Y953)),$Y953/$N953,"")</f>
        <v/>
      </c>
      <c r="AL953" s="706" t="n"/>
      <c r="AM953" s="706" t="n"/>
      <c r="AN953" s="706" t="n"/>
    </row>
    <row r="954">
      <c r="A954" s="706" t="n">
        <v>8</v>
      </c>
      <c r="B954" s="706" t="n">
        <v>950</v>
      </c>
      <c r="C954" s="706" t="n"/>
      <c r="D954" s="706" t="inlineStr">
        <is>
          <t>10344 PARK MEADOWS DR</t>
        </is>
      </c>
      <c r="E954" s="706" t="n">
        <v>426</v>
      </c>
      <c r="F954" s="706" t="inlineStr">
        <is>
          <t>LONE TREE</t>
        </is>
      </c>
      <c r="G954" s="706" t="n"/>
      <c r="H954" s="706">
        <f>Y954/J954</f>
        <v/>
      </c>
      <c r="I954" s="707" t="n">
        <v>44679</v>
      </c>
      <c r="J954" s="706" t="n">
        <v>11000</v>
      </c>
      <c r="K954" s="706" t="n"/>
      <c r="L954" s="706" t="n">
        <v>11000</v>
      </c>
      <c r="M954" s="706" t="n">
        <v>2019</v>
      </c>
      <c r="N954" s="706" t="n"/>
      <c r="O954" s="706" t="n"/>
      <c r="P954" s="706" t="n"/>
      <c r="Q954" s="706" t="n"/>
      <c r="R954" s="706" t="n"/>
      <c r="S954" s="706" t="n">
        <v>98446</v>
      </c>
      <c r="T954" s="706">
        <f>S954/J954</f>
        <v/>
      </c>
      <c r="U954" s="706" t="n"/>
      <c r="V954" s="706" t="n"/>
      <c r="W954" s="706" t="n"/>
      <c r="X954" s="706" t="n"/>
      <c r="Y954" s="706" t="n">
        <v>6330000</v>
      </c>
      <c r="Z954" s="706" t="n"/>
      <c r="AA954" s="706" t="n">
        <v>6330000</v>
      </c>
      <c r="AB954" s="706" t="inlineStr">
        <is>
          <t>Kiddie Academy — Daycare; src: Retail_Sales_Cleaned</t>
        </is>
      </c>
      <c r="AC954" s="706" t="inlineStr">
        <is>
          <t>2231-104-01-071</t>
        </is>
      </c>
      <c r="AD954" s="706" t="n"/>
      <c r="AE954" s="706" t="n"/>
      <c r="AF954" s="706" t="n"/>
      <c r="AG954" s="706" t="n"/>
      <c r="AH954" s="706" t="n"/>
      <c r="AI954" s="706">
        <f>IF(AND($E954=Subj_OccCode,Subj_BldgSF&gt;0,ABS($L954-Subj_BldgSF)&lt;=Subj_BldgSF*Subj_SizeTol),ABS($L954-Subj_BldgSF),NA())</f>
        <v/>
      </c>
      <c r="AJ954" s="706">
        <f>IF(ISNA(AI954),NA(),AI954+ROW()/10000000)</f>
        <v/>
      </c>
      <c r="AK954" s="706">
        <f>IF(AND(ISNUMBER($N954),$N954&gt;0,ISNUMBER($Y954)),$Y954/$N954,"")</f>
        <v/>
      </c>
      <c r="AL954" s="706" t="n"/>
      <c r="AM954" s="706" t="n"/>
      <c r="AN954" s="706" t="n"/>
    </row>
    <row r="955">
      <c r="A955" s="706" t="n">
        <v>8</v>
      </c>
      <c r="B955" s="706" t="n">
        <v>951</v>
      </c>
      <c r="C955" s="706" t="n"/>
      <c r="D955" s="706" t="inlineStr">
        <is>
          <t>8 N WILCOX ST</t>
        </is>
      </c>
      <c r="E955" s="706" t="n">
        <v>410</v>
      </c>
      <c r="F955" s="706" t="inlineStr">
        <is>
          <t>CASTLE ROCK</t>
        </is>
      </c>
      <c r="G955" s="706" t="n"/>
      <c r="H955" s="706">
        <f>Y955/J955</f>
        <v/>
      </c>
      <c r="I955" s="707" t="n">
        <v>43283</v>
      </c>
      <c r="J955" s="706" t="n">
        <v>2730</v>
      </c>
      <c r="K955" s="706" t="n"/>
      <c r="L955" s="706" t="n">
        <v>2730</v>
      </c>
      <c r="M955" s="706" t="n">
        <v>1994</v>
      </c>
      <c r="N955" s="706" t="n"/>
      <c r="O955" s="706" t="n"/>
      <c r="P955" s="706" t="n"/>
      <c r="Q955" s="706" t="n"/>
      <c r="R955" s="706" t="n"/>
      <c r="S955" s="706" t="n">
        <v>13939</v>
      </c>
      <c r="T955" s="706">
        <f>S955/J955</f>
        <v/>
      </c>
      <c r="U955" s="706" t="n"/>
      <c r="V955" s="706" t="n"/>
      <c r="W955" s="706" t="n"/>
      <c r="X955" s="706" t="n"/>
      <c r="Y955" s="706" t="n">
        <v>1475000</v>
      </c>
      <c r="Z955" s="706" t="n"/>
      <c r="AA955" s="706" t="n">
        <v>1475000</v>
      </c>
      <c r="AB955" s="706" t="inlineStr">
        <is>
          <t>Meineke — Auto Service [Old Sale]; src: Retail_Sales_Cleaned</t>
        </is>
      </c>
      <c r="AC955" s="706" t="inlineStr">
        <is>
          <t>2505-112-19-006</t>
        </is>
      </c>
      <c r="AD955" s="706" t="n"/>
      <c r="AE955" s="706" t="n"/>
      <c r="AF955" s="706" t="n"/>
      <c r="AG955" s="706" t="n"/>
      <c r="AH955" s="706" t="n"/>
      <c r="AI955" s="706">
        <f>IF(AND($E955=Subj_OccCode,Subj_BldgSF&gt;0,ABS($L955-Subj_BldgSF)&lt;=Subj_BldgSF*Subj_SizeTol),ABS($L955-Subj_BldgSF),NA())</f>
        <v/>
      </c>
      <c r="AJ955" s="706">
        <f>IF(ISNA(AI955),NA(),AI955+ROW()/10000000)</f>
        <v/>
      </c>
      <c r="AK955" s="706">
        <f>IF(AND(ISNUMBER($N955),$N955&gt;0,ISNUMBER($Y955)),$Y955/$N955,"")</f>
        <v/>
      </c>
      <c r="AL955" s="706" t="n"/>
      <c r="AM955" s="706" t="n"/>
      <c r="AN955" s="706" t="n"/>
    </row>
    <row r="956">
      <c r="A956" s="706" t="n">
        <v>8</v>
      </c>
      <c r="B956" s="706" t="n">
        <v>952</v>
      </c>
      <c r="C956" s="706" t="n"/>
      <c r="D956" s="706" t="inlineStr">
        <is>
          <t>12201 S PARKER RD</t>
        </is>
      </c>
      <c r="E956" s="706" t="n">
        <v>426</v>
      </c>
      <c r="F956" s="706" t="inlineStr">
        <is>
          <t>PARKER</t>
        </is>
      </c>
      <c r="G956" s="706" t="n"/>
      <c r="H956" s="706">
        <f>Y956/J956</f>
        <v/>
      </c>
      <c r="I956" s="707" t="n">
        <v>44126</v>
      </c>
      <c r="J956" s="706" t="n">
        <v>11391</v>
      </c>
      <c r="K956" s="706" t="n"/>
      <c r="L956" s="706" t="n">
        <v>11391</v>
      </c>
      <c r="M956" s="706" t="n">
        <v>2008</v>
      </c>
      <c r="N956" s="706" t="n"/>
      <c r="O956" s="706" t="n"/>
      <c r="P956" s="706" t="n"/>
      <c r="Q956" s="706" t="n"/>
      <c r="R956" s="706" t="n"/>
      <c r="S956" s="706" t="n">
        <v>45302</v>
      </c>
      <c r="T956" s="706">
        <f>S956/J956</f>
        <v/>
      </c>
      <c r="U956" s="706" t="n"/>
      <c r="V956" s="706" t="n"/>
      <c r="W956" s="706" t="n"/>
      <c r="X956" s="706" t="n"/>
      <c r="Y956" s="706" t="n">
        <v>3325000</v>
      </c>
      <c r="Z956" s="706" t="n"/>
      <c r="AA956" s="706" t="n">
        <v>3325000</v>
      </c>
      <c r="AB956" s="706" t="inlineStr">
        <is>
          <t>Monarch Academy — Daycare; src: Retail_Sales_Cleaned</t>
        </is>
      </c>
      <c r="AC956" s="706" t="inlineStr">
        <is>
          <t>2233-274-01-113</t>
        </is>
      </c>
      <c r="AD956" s="706" t="n"/>
      <c r="AE956" s="706" t="n"/>
      <c r="AF956" s="706" t="n"/>
      <c r="AG956" s="706" t="n"/>
      <c r="AH956" s="706" t="n"/>
      <c r="AI956" s="706">
        <f>IF(AND($E956=Subj_OccCode,Subj_BldgSF&gt;0,ABS($L956-Subj_BldgSF)&lt;=Subj_BldgSF*Subj_SizeTol),ABS($L956-Subj_BldgSF),NA())</f>
        <v/>
      </c>
      <c r="AJ956" s="706">
        <f>IF(ISNA(AI956),NA(),AI956+ROW()/10000000)</f>
        <v/>
      </c>
      <c r="AK956" s="706">
        <f>IF(AND(ISNUMBER($N956),$N956&gt;0,ISNUMBER($Y956)),$Y956/$N956,"")</f>
        <v/>
      </c>
      <c r="AL956" s="706" t="n"/>
      <c r="AM956" s="706" t="n"/>
      <c r="AN956" s="706" t="n"/>
    </row>
    <row r="957">
      <c r="A957" s="706" t="n">
        <v>8</v>
      </c>
      <c r="B957" s="706" t="n">
        <v>953</v>
      </c>
      <c r="C957" s="706" t="n"/>
      <c r="D957" s="706" t="inlineStr">
        <is>
          <t>9092 SKY RIDGE AVE</t>
        </is>
      </c>
      <c r="E957" s="706" t="n">
        <v>426</v>
      </c>
      <c r="F957" s="706" t="inlineStr">
        <is>
          <t>LONE TREE</t>
        </is>
      </c>
      <c r="G957" s="706" t="n"/>
      <c r="H957" s="706">
        <f>Y957/J957</f>
        <v/>
      </c>
      <c r="I957" s="707" t="n">
        <v>44053</v>
      </c>
      <c r="J957" s="706" t="n">
        <v>13068</v>
      </c>
      <c r="K957" s="706" t="n"/>
      <c r="L957" s="706" t="n">
        <v>13068</v>
      </c>
      <c r="M957" s="706" t="n">
        <v>2020</v>
      </c>
      <c r="N957" s="706" t="n"/>
      <c r="O957" s="706" t="n"/>
      <c r="P957" s="706" t="n"/>
      <c r="Q957" s="706" t="n"/>
      <c r="R957" s="706" t="n"/>
      <c r="S957" s="706" t="n">
        <v>54184</v>
      </c>
      <c r="T957" s="706">
        <f>S957/J957</f>
        <v/>
      </c>
      <c r="U957" s="706" t="n"/>
      <c r="V957" s="706" t="n"/>
      <c r="W957" s="706" t="n"/>
      <c r="X957" s="706" t="n"/>
      <c r="Y957" s="706" t="n">
        <v>6450000</v>
      </c>
      <c r="Z957" s="706" t="n"/>
      <c r="AA957" s="706" t="n">
        <v>6450000</v>
      </c>
      <c r="AB957" s="706" t="inlineStr">
        <is>
          <t>New Horizon Academy — Daycare; src: Retail_Sales_Cleaned</t>
        </is>
      </c>
      <c r="AC957" s="706" t="inlineStr">
        <is>
          <t>2231-152-02-007</t>
        </is>
      </c>
      <c r="AD957" s="706" t="n"/>
      <c r="AE957" s="706" t="n"/>
      <c r="AF957" s="706" t="n"/>
      <c r="AG957" s="706" t="n"/>
      <c r="AH957" s="706" t="n"/>
      <c r="AI957" s="706">
        <f>IF(AND($E957=Subj_OccCode,Subj_BldgSF&gt;0,ABS($L957-Subj_BldgSF)&lt;=Subj_BldgSF*Subj_SizeTol),ABS($L957-Subj_BldgSF),NA())</f>
        <v/>
      </c>
      <c r="AJ957" s="706">
        <f>IF(ISNA(AI957),NA(),AI957+ROW()/10000000)</f>
        <v/>
      </c>
      <c r="AK957" s="706">
        <f>IF(AND(ISNUMBER($N957),$N957&gt;0,ISNUMBER($Y957)),$Y957/$N957,"")</f>
        <v/>
      </c>
      <c r="AL957" s="706" t="n"/>
      <c r="AM957" s="706" t="n"/>
      <c r="AN957" s="706" t="n"/>
    </row>
    <row r="958">
      <c r="A958" s="706" t="n">
        <v>8</v>
      </c>
      <c r="B958" s="706" t="n">
        <v>954</v>
      </c>
      <c r="C958" s="706" t="n"/>
      <c r="D958" s="706" t="inlineStr">
        <is>
          <t>8502 PARK MEADOWS DR</t>
        </is>
      </c>
      <c r="E958" s="706" t="n">
        <v>426</v>
      </c>
      <c r="F958" s="706" t="inlineStr">
        <is>
          <t>LONE TREE</t>
        </is>
      </c>
      <c r="G958" s="706" t="n"/>
      <c r="H958" s="706">
        <f>Y958/J958</f>
        <v/>
      </c>
      <c r="I958" s="707" t="n">
        <v>44084</v>
      </c>
      <c r="J958" s="706" t="n">
        <v>11090</v>
      </c>
      <c r="K958" s="706" t="n"/>
      <c r="L958" s="706" t="n">
        <v>11090</v>
      </c>
      <c r="M958" s="706" t="n">
        <v>2006</v>
      </c>
      <c r="N958" s="706" t="n"/>
      <c r="O958" s="706" t="n"/>
      <c r="P958" s="706" t="n"/>
      <c r="Q958" s="706" t="n"/>
      <c r="R958" s="706" t="n"/>
      <c r="S958" s="706" t="n">
        <v>43996</v>
      </c>
      <c r="T958" s="706">
        <f>S958/J958</f>
        <v/>
      </c>
      <c r="U958" s="706" t="n"/>
      <c r="V958" s="706" t="n"/>
      <c r="W958" s="706" t="n"/>
      <c r="X958" s="706" t="n"/>
      <c r="Y958" s="706" t="n">
        <v>4200000</v>
      </c>
      <c r="Z958" s="706" t="n"/>
      <c r="AA958" s="706" t="n">
        <v>4200000</v>
      </c>
      <c r="AB958" s="706" t="inlineStr">
        <is>
          <t>Nobel- Merryhill Child Care — Daycare; Investment Triple Net; src: Retail_Sales_Cleaned</t>
        </is>
      </c>
      <c r="AC958" s="706" t="inlineStr">
        <is>
          <t>2231-041-01-072</t>
        </is>
      </c>
      <c r="AD958" s="706" t="n"/>
      <c r="AE958" s="706" t="n"/>
      <c r="AF958" s="706" t="n"/>
      <c r="AG958" s="706" t="n"/>
      <c r="AH958" s="706" t="n"/>
      <c r="AI958" s="706">
        <f>IF(AND($E958=Subj_OccCode,Subj_BldgSF&gt;0,ABS($L958-Subj_BldgSF)&lt;=Subj_BldgSF*Subj_SizeTol),ABS($L958-Subj_BldgSF),NA())</f>
        <v/>
      </c>
      <c r="AJ958" s="706">
        <f>IF(ISNA(AI958),NA(),AI958+ROW()/10000000)</f>
        <v/>
      </c>
      <c r="AK958" s="706">
        <f>IF(AND(ISNUMBER($N958),$N958&gt;0,ISNUMBER($Y958)),$Y958/$N958,"")</f>
        <v/>
      </c>
      <c r="AL958" s="706" t="n"/>
      <c r="AM958" s="706" t="n"/>
      <c r="AN958" s="706" t="n"/>
    </row>
    <row r="959">
      <c r="A959" s="706" t="n">
        <v>8</v>
      </c>
      <c r="B959" s="706" t="n">
        <v>955</v>
      </c>
      <c r="C959" s="706" t="n"/>
      <c r="D959" s="706" t="inlineStr">
        <is>
          <t>4400 BARRANCA LN</t>
        </is>
      </c>
      <c r="E959" s="706" t="n">
        <v>410</v>
      </c>
      <c r="F959" s="706" t="inlineStr">
        <is>
          <t>CASTLE ROCK</t>
        </is>
      </c>
      <c r="G959" s="706" t="n"/>
      <c r="H959" s="706">
        <f>Y959/J959</f>
        <v/>
      </c>
      <c r="I959" s="707" t="n">
        <v>44119</v>
      </c>
      <c r="J959" s="706" t="n">
        <v>4020</v>
      </c>
      <c r="K959" s="706" t="n"/>
      <c r="L959" s="706" t="n">
        <v>4020</v>
      </c>
      <c r="M959" s="706" t="n">
        <v>2009</v>
      </c>
      <c r="N959" s="706" t="n"/>
      <c r="O959" s="706" t="n"/>
      <c r="P959" s="706" t="n"/>
      <c r="Q959" s="706" t="n"/>
      <c r="R959" s="706" t="n"/>
      <c r="S959" s="706" t="n">
        <v>20473</v>
      </c>
      <c r="T959" s="706">
        <f>S959/J959</f>
        <v/>
      </c>
      <c r="U959" s="706" t="n"/>
      <c r="V959" s="706" t="n"/>
      <c r="W959" s="706" t="n"/>
      <c r="X959" s="706" t="n"/>
      <c r="Y959" s="706" t="n">
        <v>1800000</v>
      </c>
      <c r="Z959" s="706" t="n"/>
      <c r="AA959" s="706" t="n">
        <v>1800000</v>
      </c>
      <c r="AB959" s="706" t="inlineStr">
        <is>
          <t>Pep Boys — Auto Service; Investment Triple Net; src: Retail_Sales_Cleaned</t>
        </is>
      </c>
      <c r="AC959" s="706" t="inlineStr">
        <is>
          <t>2351-264-06-012</t>
        </is>
      </c>
      <c r="AD959" s="706" t="n"/>
      <c r="AE959" s="706" t="n"/>
      <c r="AF959" s="706" t="n"/>
      <c r="AG959" s="706" t="n"/>
      <c r="AH959" s="706" t="n"/>
      <c r="AI959" s="706">
        <f>IF(AND($E959=Subj_OccCode,Subj_BldgSF&gt;0,ABS($L959-Subj_BldgSF)&lt;=Subj_BldgSF*Subj_SizeTol),ABS($L959-Subj_BldgSF),NA())</f>
        <v/>
      </c>
      <c r="AJ959" s="706">
        <f>IF(ISNA(AI959),NA(),AI959+ROW()/10000000)</f>
        <v/>
      </c>
      <c r="AK959" s="706">
        <f>IF(AND(ISNUMBER($N959),$N959&gt;0,ISNUMBER($Y959)),$Y959/$N959,"")</f>
        <v/>
      </c>
      <c r="AL959" s="706" t="n"/>
      <c r="AM959" s="706" t="n"/>
      <c r="AN959" s="706" t="n"/>
    </row>
    <row r="960">
      <c r="A960" s="706" t="n">
        <v>8</v>
      </c>
      <c r="B960" s="706" t="n">
        <v>956</v>
      </c>
      <c r="C960" s="706" t="n"/>
      <c r="D960" s="706" t="inlineStr">
        <is>
          <t>9055 RIDGELINE BLVD</t>
        </is>
      </c>
      <c r="E960" s="706" t="n">
        <v>426</v>
      </c>
      <c r="F960" s="706" t="inlineStr">
        <is>
          <t>HIGHLANDS RANCH</t>
        </is>
      </c>
      <c r="G960" s="706" t="n"/>
      <c r="H960" s="706">
        <f>Y960/J960</f>
        <v/>
      </c>
      <c r="I960" s="707" t="n">
        <v>44305</v>
      </c>
      <c r="J960" s="706" t="n">
        <v>8943</v>
      </c>
      <c r="K960" s="706" t="n"/>
      <c r="L960" s="706" t="n">
        <v>8943</v>
      </c>
      <c r="M960" s="706" t="n">
        <v>1999</v>
      </c>
      <c r="N960" s="706" t="n"/>
      <c r="O960" s="706" t="n"/>
      <c r="P960" s="706" t="n"/>
      <c r="Q960" s="706" t="n"/>
      <c r="R960" s="706" t="n"/>
      <c r="S960" s="706" t="n">
        <v>43560</v>
      </c>
      <c r="T960" s="706">
        <f>S960/J960</f>
        <v/>
      </c>
      <c r="U960" s="706" t="n"/>
      <c r="V960" s="706" t="n"/>
      <c r="W960" s="706" t="n"/>
      <c r="X960" s="706" t="n"/>
      <c r="Y960" s="706" t="n">
        <v>3000000</v>
      </c>
      <c r="Z960" s="706" t="n"/>
      <c r="AA960" s="706" t="n">
        <v>3000000</v>
      </c>
      <c r="AB960" s="706" t="inlineStr">
        <is>
          <t>Primrose School — Daycare; src: Retail_Sales_Cleaned</t>
        </is>
      </c>
      <c r="AC960" s="706" t="inlineStr">
        <is>
          <t>2229-033-06-017</t>
        </is>
      </c>
      <c r="AD960" s="706" t="n"/>
      <c r="AE960" s="706" t="n"/>
      <c r="AF960" s="706" t="n"/>
      <c r="AG960" s="706" t="n"/>
      <c r="AH960" s="706" t="n"/>
      <c r="AI960" s="706">
        <f>IF(AND($E960=Subj_OccCode,Subj_BldgSF&gt;0,ABS($L960-Subj_BldgSF)&lt;=Subj_BldgSF*Subj_SizeTol),ABS($L960-Subj_BldgSF),NA())</f>
        <v/>
      </c>
      <c r="AJ960" s="706">
        <f>IF(ISNA(AI960),NA(),AI960+ROW()/10000000)</f>
        <v/>
      </c>
      <c r="AK960" s="706">
        <f>IF(AND(ISNUMBER($N960),$N960&gt;0,ISNUMBER($Y960)),$Y960/$N960,"")</f>
        <v/>
      </c>
      <c r="AL960" s="706" t="n"/>
      <c r="AM960" s="706" t="n"/>
      <c r="AN960" s="706" t="n"/>
    </row>
    <row r="961">
      <c r="A961" s="706" t="n">
        <v>8</v>
      </c>
      <c r="B961" s="706" t="n">
        <v>957</v>
      </c>
      <c r="C961" s="706" t="n"/>
      <c r="D961" s="706" t="inlineStr">
        <is>
          <t>9200 TEDDY LN</t>
        </is>
      </c>
      <c r="E961" s="706" t="n">
        <v>426</v>
      </c>
      <c r="F961" s="706" t="inlineStr">
        <is>
          <t>LONE TREE</t>
        </is>
      </c>
      <c r="G961" s="706" t="n"/>
      <c r="H961" s="706">
        <f>Y961/J961</f>
        <v/>
      </c>
      <c r="I961" s="707" t="n">
        <v>44896</v>
      </c>
      <c r="J961" s="706" t="n">
        <v>9093</v>
      </c>
      <c r="K961" s="706" t="n"/>
      <c r="L961" s="706" t="n">
        <v>9093</v>
      </c>
      <c r="M961" s="706" t="n">
        <v>2000</v>
      </c>
      <c r="N961" s="706" t="n"/>
      <c r="O961" s="706" t="n"/>
      <c r="P961" s="706" t="n"/>
      <c r="Q961" s="706" t="n"/>
      <c r="R961" s="706" t="n"/>
      <c r="S961" s="706" t="n">
        <v>63162</v>
      </c>
      <c r="T961" s="706">
        <f>S961/J961</f>
        <v/>
      </c>
      <c r="U961" s="706" t="n"/>
      <c r="V961" s="706" t="n"/>
      <c r="W961" s="706" t="n"/>
      <c r="X961" s="706" t="n"/>
      <c r="Y961" s="706" t="n">
        <v>5050000</v>
      </c>
      <c r="Z961" s="706" t="n"/>
      <c r="AA961" s="706" t="n">
        <v>5050000</v>
      </c>
      <c r="AB961" s="706" t="inlineStr">
        <is>
          <t>Primrose School — Daycare; Business Value Included; src: Retail_Sales_Cleaned</t>
        </is>
      </c>
      <c r="AC961" s="706" t="inlineStr">
        <is>
          <t>2231-033-07-013</t>
        </is>
      </c>
      <c r="AD961" s="706" t="n"/>
      <c r="AE961" s="706" t="n"/>
      <c r="AF961" s="706" t="n"/>
      <c r="AG961" s="706" t="n"/>
      <c r="AH961" s="706" t="n"/>
      <c r="AI961" s="706">
        <f>IF(AND($E961=Subj_OccCode,Subj_BldgSF&gt;0,ABS($L961-Subj_BldgSF)&lt;=Subj_BldgSF*Subj_SizeTol),ABS($L961-Subj_BldgSF),NA())</f>
        <v/>
      </c>
      <c r="AJ961" s="706">
        <f>IF(ISNA(AI961),NA(),AI961+ROW()/10000000)</f>
        <v/>
      </c>
      <c r="AK961" s="706">
        <f>IF(AND(ISNUMBER($N961),$N961&gt;0,ISNUMBER($Y961)),$Y961/$N961,"")</f>
        <v/>
      </c>
      <c r="AL961" s="706" t="n"/>
      <c r="AM961" s="706" t="n"/>
      <c r="AN961" s="706" t="n"/>
    </row>
    <row r="962">
      <c r="A962" s="706" t="n">
        <v>8</v>
      </c>
      <c r="B962" s="706" t="n">
        <v>958</v>
      </c>
      <c r="C962" s="706" t="n"/>
      <c r="D962" s="706" t="inlineStr">
        <is>
          <t>18200 E COTTONWOOD DR</t>
        </is>
      </c>
      <c r="E962" s="706" t="n">
        <v>349</v>
      </c>
      <c r="F962" s="706" t="inlineStr">
        <is>
          <t>PARKER</t>
        </is>
      </c>
      <c r="G962" s="706" t="n"/>
      <c r="H962" s="706">
        <f>Y962/J962</f>
        <v/>
      </c>
      <c r="I962" s="707" t="n">
        <v>42977</v>
      </c>
      <c r="J962" s="706" t="n">
        <v>3702</v>
      </c>
      <c r="K962" s="706" t="n"/>
      <c r="L962" s="706" t="n">
        <v>3702</v>
      </c>
      <c r="M962" s="706" t="n">
        <v>2017</v>
      </c>
      <c r="N962" s="706" t="n"/>
      <c r="O962" s="706" t="n"/>
      <c r="P962" s="706" t="n"/>
      <c r="Q962" s="706" t="n"/>
      <c r="R962" s="706" t="n"/>
      <c r="S962" s="706" t="n">
        <v>54886</v>
      </c>
      <c r="T962" s="706">
        <f>S962/J962</f>
        <v/>
      </c>
      <c r="U962" s="706" t="n"/>
      <c r="V962" s="706" t="n"/>
      <c r="W962" s="706" t="n"/>
      <c r="X962" s="706" t="n"/>
      <c r="Y962" s="706" t="n">
        <v>4300000</v>
      </c>
      <c r="Z962" s="706" t="n"/>
      <c r="AA962" s="706" t="n">
        <v>4300000</v>
      </c>
      <c r="AB962" s="706" t="inlineStr">
        <is>
          <t>Raising Cane's — Fast Food [Old Sale]; Investment Triple Net; src: Retail_Sales_Cleaned</t>
        </is>
      </c>
      <c r="AC962" s="706" t="inlineStr">
        <is>
          <t>2233-044-28-005</t>
        </is>
      </c>
      <c r="AD962" s="706" t="n"/>
      <c r="AE962" s="706" t="n"/>
      <c r="AF962" s="706" t="n"/>
      <c r="AG962" s="706" t="n"/>
      <c r="AH962" s="706" t="n"/>
      <c r="AI962" s="706">
        <f>IF(AND($E962=Subj_OccCode,Subj_BldgSF&gt;0,ABS($L962-Subj_BldgSF)&lt;=Subj_BldgSF*Subj_SizeTol),ABS($L962-Subj_BldgSF),NA())</f>
        <v/>
      </c>
      <c r="AJ962" s="706">
        <f>IF(ISNA(AI962),NA(),AI962+ROW()/10000000)</f>
        <v/>
      </c>
      <c r="AK962" s="706">
        <f>IF(AND(ISNUMBER($N962),$N962&gt;0,ISNUMBER($Y962)),$Y962/$N962,"")</f>
        <v/>
      </c>
      <c r="AL962" s="706" t="n"/>
      <c r="AM962" s="706" t="n"/>
      <c r="AN962" s="706" t="n"/>
    </row>
    <row r="963">
      <c r="A963" s="706" t="n">
        <v>8</v>
      </c>
      <c r="B963" s="706" t="n">
        <v>959</v>
      </c>
      <c r="C963" s="706" t="n"/>
      <c r="D963" s="706" t="inlineStr">
        <is>
          <t>63 CENTENNIAL BLVD</t>
        </is>
      </c>
      <c r="E963" s="706" t="n">
        <v>353</v>
      </c>
      <c r="F963" s="706" t="inlineStr">
        <is>
          <t>HIGHLANDS RANCH</t>
        </is>
      </c>
      <c r="G963" s="706" t="n"/>
      <c r="H963" s="706">
        <f>Y963/J963</f>
        <v/>
      </c>
      <c r="I963" s="707" t="n">
        <v>45356</v>
      </c>
      <c r="J963" s="706" t="n">
        <v>9350</v>
      </c>
      <c r="K963" s="706" t="n"/>
      <c r="L963" s="706" t="n">
        <v>9350</v>
      </c>
      <c r="M963" s="706" t="n">
        <v>1996</v>
      </c>
      <c r="N963" s="706" t="n"/>
      <c r="O963" s="706" t="n"/>
      <c r="P963" s="706" t="n"/>
      <c r="Q963" s="706" t="n"/>
      <c r="R963" s="706" t="n"/>
      <c r="S963" s="706" t="n">
        <v>130680</v>
      </c>
      <c r="T963" s="706">
        <f>S963/J963</f>
        <v/>
      </c>
      <c r="U963" s="706" t="n"/>
      <c r="V963" s="706" t="n"/>
      <c r="W963" s="706" t="n"/>
      <c r="X963" s="706" t="n"/>
      <c r="Y963" s="706" t="n">
        <v>2557950</v>
      </c>
      <c r="Z963" s="706" t="n"/>
      <c r="AA963" s="706" t="n">
        <v>2557950</v>
      </c>
      <c r="AB963" s="706" t="inlineStr">
        <is>
          <t>Red Robin — Retail Center; Bulk/Portfolio Sale,Sale Leaseback; src: Retail_Sales_Cleaned</t>
        </is>
      </c>
      <c r="AC963" s="706" t="inlineStr">
        <is>
          <t>2229-032-07-008</t>
        </is>
      </c>
      <c r="AD963" s="706" t="n"/>
      <c r="AE963" s="706" t="n"/>
      <c r="AF963" s="706" t="n"/>
      <c r="AG963" s="706" t="n"/>
      <c r="AH963" s="706" t="n"/>
      <c r="AI963" s="706">
        <f>IF(AND($E963=Subj_OccCode,Subj_BldgSF&gt;0,ABS($L963-Subj_BldgSF)&lt;=Subj_BldgSF*Subj_SizeTol),ABS($L963-Subj_BldgSF),NA())</f>
        <v/>
      </c>
      <c r="AJ963" s="706">
        <f>IF(ISNA(AI963),NA(),AI963+ROW()/10000000)</f>
        <v/>
      </c>
      <c r="AK963" s="706">
        <f>IF(AND(ISNUMBER($N963),$N963&gt;0,ISNUMBER($Y963)),$Y963/$N963,"")</f>
        <v/>
      </c>
      <c r="AL963" s="706" t="n"/>
      <c r="AM963" s="706" t="n"/>
      <c r="AN963" s="706" t="n"/>
    </row>
    <row r="964">
      <c r="A964" s="706" t="n">
        <v>8</v>
      </c>
      <c r="B964" s="706" t="n">
        <v>960</v>
      </c>
      <c r="C964" s="706" t="n"/>
      <c r="D964" s="706" t="inlineStr">
        <is>
          <t>7520 VILLAGE SQUARE DR</t>
        </is>
      </c>
      <c r="E964" s="706" t="n">
        <v>325</v>
      </c>
      <c r="F964" s="706" t="inlineStr">
        <is>
          <t>CASTLE PINES</t>
        </is>
      </c>
      <c r="G964" s="706" t="n"/>
      <c r="H964" s="706">
        <f>Y964/J964</f>
        <v/>
      </c>
      <c r="I964" s="707" t="n">
        <v>44720</v>
      </c>
      <c r="J964" s="706" t="n">
        <v>8000</v>
      </c>
      <c r="K964" s="706" t="n"/>
      <c r="L964" s="706" t="n">
        <v>8000</v>
      </c>
      <c r="M964" s="706" t="n">
        <v>2000</v>
      </c>
      <c r="N964" s="706" t="n"/>
      <c r="O964" s="706" t="n"/>
      <c r="P964" s="706" t="n"/>
      <c r="Q964" s="706" t="n"/>
      <c r="R964" s="706" t="n"/>
      <c r="S964" s="706" t="n">
        <v>40685</v>
      </c>
      <c r="T964" s="706">
        <f>S964/J964</f>
        <v/>
      </c>
      <c r="U964" s="706" t="n"/>
      <c r="V964" s="706" t="n"/>
      <c r="W964" s="706" t="n"/>
      <c r="X964" s="706" t="n"/>
      <c r="Y964" s="706" t="n">
        <v>1618866</v>
      </c>
      <c r="Z964" s="706" t="n"/>
      <c r="AA964" s="706" t="n">
        <v>1618866</v>
      </c>
      <c r="AB964" s="706" t="inlineStr">
        <is>
          <t>SimplyEuro — Auto Service; Bulk/Portfolio Sale,Investment Triple Net; src: Retail_Sales_Cleaned</t>
        </is>
      </c>
      <c r="AC964" s="706" t="inlineStr">
        <is>
          <t>2351-03-2-08-001</t>
        </is>
      </c>
      <c r="AD964" s="706" t="n"/>
      <c r="AE964" s="706" t="n"/>
      <c r="AF964" s="706" t="n"/>
      <c r="AG964" s="706" t="n"/>
      <c r="AH964" s="706" t="n"/>
      <c r="AI964" s="706">
        <f>IF(AND($E964=Subj_OccCode,Subj_BldgSF&gt;0,ABS($L964-Subj_BldgSF)&lt;=Subj_BldgSF*Subj_SizeTol),ABS($L964-Subj_BldgSF),NA())</f>
        <v/>
      </c>
      <c r="AJ964" s="706">
        <f>IF(ISNA(AI964),NA(),AI964+ROW()/10000000)</f>
        <v/>
      </c>
      <c r="AK964" s="706">
        <f>IF(AND(ISNUMBER($N964),$N964&gt;0,ISNUMBER($Y964)),$Y964/$N964,"")</f>
        <v/>
      </c>
      <c r="AL964" s="706" t="n"/>
      <c r="AM964" s="706" t="n"/>
      <c r="AN964" s="706" t="n"/>
    </row>
    <row r="965">
      <c r="A965" s="706" t="n">
        <v>8</v>
      </c>
      <c r="B965" s="706" t="n">
        <v>961</v>
      </c>
      <c r="C965" s="706" t="n"/>
      <c r="D965" s="706" t="inlineStr">
        <is>
          <t>8078 BLAKELAND DR</t>
        </is>
      </c>
      <c r="E965" s="706" t="n">
        <v>349</v>
      </c>
      <c r="F965" s="706" t="inlineStr">
        <is>
          <t>LITTLETON</t>
        </is>
      </c>
      <c r="G965" s="706" t="n"/>
      <c r="H965" s="706">
        <f>Y965/J965</f>
        <v/>
      </c>
      <c r="I965" s="707" t="n">
        <v>45289</v>
      </c>
      <c r="J965" s="706" t="n">
        <v>2649</v>
      </c>
      <c r="K965" s="706" t="n"/>
      <c r="L965" s="706" t="n">
        <v>2649</v>
      </c>
      <c r="M965" s="706" t="n">
        <v>2001</v>
      </c>
      <c r="N965" s="706" t="n"/>
      <c r="O965" s="706" t="n"/>
      <c r="P965" s="706" t="n"/>
      <c r="Q965" s="706" t="n"/>
      <c r="R965" s="706" t="n"/>
      <c r="S965" s="706" t="n">
        <v>29010</v>
      </c>
      <c r="T965" s="706">
        <f>S965/J965</f>
        <v/>
      </c>
      <c r="U965" s="706" t="n"/>
      <c r="V965" s="706" t="n"/>
      <c r="W965" s="706" t="n"/>
      <c r="X965" s="706" t="n"/>
      <c r="Y965" s="706" t="n">
        <v>1280000</v>
      </c>
      <c r="Z965" s="706" t="n"/>
      <c r="AA965" s="706" t="n">
        <v>1280000</v>
      </c>
      <c r="AB965" s="706" t="inlineStr">
        <is>
          <t>Taco Bell — Fast Food; src: Retail_Sales_Cleaned</t>
        </is>
      </c>
      <c r="AC965" s="706" t="inlineStr">
        <is>
          <t>2229-060-06-046</t>
        </is>
      </c>
      <c r="AD965" s="706" t="n"/>
      <c r="AE965" s="706" t="n"/>
      <c r="AF965" s="706" t="n"/>
      <c r="AG965" s="706" t="n"/>
      <c r="AH965" s="706" t="n"/>
      <c r="AI965" s="706">
        <f>IF(AND($E965=Subj_OccCode,Subj_BldgSF&gt;0,ABS($L965-Subj_BldgSF)&lt;=Subj_BldgSF*Subj_SizeTol),ABS($L965-Subj_BldgSF),NA())</f>
        <v/>
      </c>
      <c r="AJ965" s="706">
        <f>IF(ISNA(AI965),NA(),AI965+ROW()/10000000)</f>
        <v/>
      </c>
      <c r="AK965" s="706">
        <f>IF(AND(ISNUMBER($N965),$N965&gt;0,ISNUMBER($Y965)),$Y965/$N965,"")</f>
        <v/>
      </c>
      <c r="AL965" s="706" t="n"/>
      <c r="AM965" s="706" t="n"/>
      <c r="AN965" s="706" t="n"/>
    </row>
    <row r="966">
      <c r="A966" s="706" t="n">
        <v>8</v>
      </c>
      <c r="B966" s="706" t="n">
        <v>962</v>
      </c>
      <c r="C966" s="706" t="n"/>
      <c r="D966" s="706" t="inlineStr">
        <is>
          <t>23 CENTENNIAL BLVD</t>
        </is>
      </c>
      <c r="E966" s="706" t="n">
        <v>353</v>
      </c>
      <c r="F966" s="706" t="inlineStr">
        <is>
          <t>HIGHLANDS RANCH</t>
        </is>
      </c>
      <c r="G966" s="706" t="n"/>
      <c r="H966" s="706">
        <f>Y966/J966</f>
        <v/>
      </c>
      <c r="I966" s="707" t="n">
        <v>45497</v>
      </c>
      <c r="J966" s="706" t="n">
        <v>5162</v>
      </c>
      <c r="K966" s="706" t="n"/>
      <c r="L966" s="706" t="n">
        <v>5162</v>
      </c>
      <c r="M966" s="706" t="n">
        <v>1985</v>
      </c>
      <c r="N966" s="706" t="n"/>
      <c r="O966" s="706" t="n"/>
      <c r="P966" s="706" t="n"/>
      <c r="Q966" s="706" t="n"/>
      <c r="R966" s="706" t="n"/>
      <c r="S966" s="706" t="n">
        <v>43560</v>
      </c>
      <c r="T966" s="706">
        <f>S966/J966</f>
        <v/>
      </c>
      <c r="U966" s="706" t="n"/>
      <c r="V966" s="706" t="n"/>
      <c r="W966" s="706" t="n"/>
      <c r="X966" s="706" t="n"/>
      <c r="Y966" s="706" t="n">
        <v>5500000</v>
      </c>
      <c r="Z966" s="706" t="n"/>
      <c r="AA966" s="706" t="n">
        <v>5500000</v>
      </c>
      <c r="AB966" s="706" t="inlineStr">
        <is>
          <t>Village Inn — Retail Center; src: Retail_Sales_Cleaned</t>
        </is>
      </c>
      <c r="AC966" s="706" t="inlineStr">
        <is>
          <t>2229-031-11-002</t>
        </is>
      </c>
      <c r="AD966" s="706" t="n"/>
      <c r="AE966" s="706" t="n"/>
      <c r="AF966" s="706" t="n"/>
      <c r="AG966" s="706" t="n"/>
      <c r="AH966" s="706" t="n"/>
      <c r="AI966" s="706">
        <f>IF(AND($E966=Subj_OccCode,Subj_BldgSF&gt;0,ABS($L966-Subj_BldgSF)&lt;=Subj_BldgSF*Subj_SizeTol),ABS($L966-Subj_BldgSF),NA())</f>
        <v/>
      </c>
      <c r="AJ966" s="706">
        <f>IF(ISNA(AI966),NA(),AI966+ROW()/10000000)</f>
        <v/>
      </c>
      <c r="AK966" s="706">
        <f>IF(AND(ISNUMBER($N966),$N966&gt;0,ISNUMBER($Y966)),$Y966/$N966,"")</f>
        <v/>
      </c>
      <c r="AL966" s="706" t="n"/>
      <c r="AM966" s="706" t="n"/>
      <c r="AN966" s="706" t="n"/>
    </row>
    <row r="967">
      <c r="A967" s="706" t="n">
        <v>8</v>
      </c>
      <c r="B967" s="706" t="n">
        <v>963</v>
      </c>
      <c r="C967" s="706" t="n"/>
      <c r="D967" s="706" t="inlineStr">
        <is>
          <t>13143 S PARKER RD</t>
        </is>
      </c>
      <c r="E967" s="706" t="n">
        <v>353</v>
      </c>
      <c r="F967" s="706" t="inlineStr">
        <is>
          <t>PARKER</t>
        </is>
      </c>
      <c r="G967" s="706" t="n"/>
      <c r="H967" s="706">
        <f>Y967/J967</f>
        <v/>
      </c>
      <c r="I967" s="707" t="n">
        <v>44735</v>
      </c>
      <c r="J967" s="706" t="n">
        <v>14490</v>
      </c>
      <c r="K967" s="706" t="n"/>
      <c r="L967" s="706" t="n">
        <v>14490</v>
      </c>
      <c r="M967" s="706" t="n">
        <v>2006</v>
      </c>
      <c r="N967" s="706" t="n"/>
      <c r="O967" s="706" t="n"/>
      <c r="P967" s="706" t="n"/>
      <c r="Q967" s="706" t="n"/>
      <c r="R967" s="706" t="n"/>
      <c r="S967" s="706" t="n">
        <v>102017</v>
      </c>
      <c r="T967" s="706">
        <f>S967/J967</f>
        <v/>
      </c>
      <c r="U967" s="706" t="n"/>
      <c r="V967" s="706" t="n"/>
      <c r="W967" s="706" t="n"/>
      <c r="X967" s="706" t="n"/>
      <c r="Y967" s="706" t="n">
        <v>7900000</v>
      </c>
      <c r="Z967" s="706" t="n"/>
      <c r="AA967" s="706" t="n">
        <v>7900000</v>
      </c>
      <c r="AB967" s="706" t="inlineStr">
        <is>
          <t>Walgreens — Drugstore; src: Retail_Sales_Cleaned</t>
        </is>
      </c>
      <c r="AC967" s="706" t="inlineStr">
        <is>
          <t>2349-031-01-002</t>
        </is>
      </c>
      <c r="AD967" s="706" t="n"/>
      <c r="AE967" s="706" t="n"/>
      <c r="AF967" s="706" t="n"/>
      <c r="AG967" s="706" t="n"/>
      <c r="AH967" s="706" t="n"/>
      <c r="AI967" s="706">
        <f>IF(AND($E967=Subj_OccCode,Subj_BldgSF&gt;0,ABS($L967-Subj_BldgSF)&lt;=Subj_BldgSF*Subj_SizeTol),ABS($L967-Subj_BldgSF),NA())</f>
        <v/>
      </c>
      <c r="AJ967" s="706">
        <f>IF(ISNA(AI967),NA(),AI967+ROW()/10000000)</f>
        <v/>
      </c>
      <c r="AK967" s="706">
        <f>IF(AND(ISNUMBER($N967),$N967&gt;0,ISNUMBER($Y967)),$Y967/$N967,"")</f>
        <v/>
      </c>
      <c r="AL967" s="706" t="n"/>
      <c r="AM967" s="706" t="n"/>
      <c r="AN967" s="706" t="n"/>
    </row>
    <row r="968">
      <c r="A968" s="706" t="n">
        <v>8</v>
      </c>
      <c r="B968" s="706" t="n">
        <v>964</v>
      </c>
      <c r="C968" s="706" t="n"/>
      <c r="D968" s="706" t="inlineStr">
        <is>
          <t>9390 S UNIVERSITY BLVD</t>
        </is>
      </c>
      <c r="E968" s="706" t="n">
        <v>353</v>
      </c>
      <c r="F968" s="706" t="inlineStr">
        <is>
          <t>HIGHLANDS RANCH</t>
        </is>
      </c>
      <c r="G968" s="706" t="n"/>
      <c r="H968" s="706">
        <f>Y968/J968</f>
        <v/>
      </c>
      <c r="I968" s="707" t="n">
        <v>45484</v>
      </c>
      <c r="J968" s="706" t="n">
        <v>13500</v>
      </c>
      <c r="K968" s="706" t="n"/>
      <c r="L968" s="706" t="n">
        <v>13500</v>
      </c>
      <c r="M968" s="706" t="n">
        <v>1995</v>
      </c>
      <c r="N968" s="706" t="n"/>
      <c r="O968" s="706" t="n"/>
      <c r="P968" s="706" t="n"/>
      <c r="Q968" s="706" t="n"/>
      <c r="R968" s="706" t="n"/>
      <c r="S968" s="706" t="n">
        <v>63162</v>
      </c>
      <c r="T968" s="706">
        <f>S968/J968</f>
        <v/>
      </c>
      <c r="U968" s="706" t="n"/>
      <c r="V968" s="706" t="n"/>
      <c r="W968" s="706" t="n"/>
      <c r="X968" s="706" t="n"/>
      <c r="Y968" s="706" t="n">
        <v>3650000</v>
      </c>
      <c r="Z968" s="706" t="n"/>
      <c r="AA968" s="706" t="n">
        <v>3650000</v>
      </c>
      <c r="AB968" s="706" t="inlineStr">
        <is>
          <t>Walgreens — Drugstore; Investment Triple Net; src: Retail_Sales_Cleaned</t>
        </is>
      </c>
      <c r="AC968" s="706" t="inlineStr">
        <is>
          <t>2229-121-02-049</t>
        </is>
      </c>
      <c r="AD968" s="706" t="n"/>
      <c r="AE968" s="706" t="n"/>
      <c r="AF968" s="706" t="n"/>
      <c r="AG968" s="706" t="n"/>
      <c r="AH968" s="706" t="n"/>
      <c r="AI968" s="706">
        <f>IF(AND($E968=Subj_OccCode,Subj_BldgSF&gt;0,ABS($L968-Subj_BldgSF)&lt;=Subj_BldgSF*Subj_SizeTol),ABS($L968-Subj_BldgSF),NA())</f>
        <v/>
      </c>
      <c r="AJ968" s="706">
        <f>IF(ISNA(AI968),NA(),AI968+ROW()/10000000)</f>
        <v/>
      </c>
      <c r="AK968" s="706">
        <f>IF(AND(ISNUMBER($N968),$N968&gt;0,ISNUMBER($Y968)),$Y968/$N968,"")</f>
        <v/>
      </c>
      <c r="AL968" s="706" t="n"/>
      <c r="AM968" s="706" t="n"/>
      <c r="AN968" s="706" t="n"/>
    </row>
    <row r="969">
      <c r="A969" s="706" t="n">
        <v>8</v>
      </c>
      <c r="B969" s="706" t="n">
        <v>965</v>
      </c>
      <c r="C969" s="706" t="inlineStr">
        <is>
          <t>R310220</t>
        </is>
      </c>
      <c r="D969" s="706" t="inlineStr">
        <is>
          <t>230 W AGATE AVE</t>
        </is>
      </c>
      <c r="E969" s="706" t="n">
        <v>319</v>
      </c>
      <c r="F969" s="706" t="inlineStr">
        <is>
          <t>GRANBY</t>
        </is>
      </c>
      <c r="G969" s="706" t="n"/>
      <c r="H969" s="706">
        <f>Y969/J969</f>
        <v/>
      </c>
      <c r="I969" s="707" t="n">
        <v>44529</v>
      </c>
      <c r="J969" s="706" t="n">
        <v>9100</v>
      </c>
      <c r="K969" s="706" t="n"/>
      <c r="L969" s="706" t="n">
        <v>9100</v>
      </c>
      <c r="M969" s="706" t="n">
        <v>2018</v>
      </c>
      <c r="N969" s="706" t="n"/>
      <c r="O969" s="706" t="n"/>
      <c r="P969" s="706" t="n"/>
      <c r="Q969" s="706" t="n"/>
      <c r="R969" s="706" t="n"/>
      <c r="S969" s="706" t="n">
        <v>76230</v>
      </c>
      <c r="T969" s="706">
        <f>S969/J969</f>
        <v/>
      </c>
      <c r="U969" s="706" t="n"/>
      <c r="V969" s="706" t="n"/>
      <c r="W969" s="706" t="n"/>
      <c r="X969" s="706" t="n"/>
      <c r="Y969" s="706" t="n">
        <v>2050000</v>
      </c>
      <c r="Z969" s="706" t="n"/>
      <c r="AA969" s="706" t="n">
        <v>2050000</v>
      </c>
      <c r="AB969" s="706" t="inlineStr">
        <is>
          <t>Dollar General — Dollar Store; Investment Triple Net; src: Retail_Sales_Cleaned</t>
        </is>
      </c>
      <c r="AC969" s="706" t="inlineStr">
        <is>
          <t>R310220</t>
        </is>
      </c>
      <c r="AD969" s="706" t="n"/>
      <c r="AE969" s="706" t="n"/>
      <c r="AF969" s="706" t="n"/>
      <c r="AG969" s="706" t="n"/>
      <c r="AH969" s="706" t="n"/>
      <c r="AI969" s="706">
        <f>IF(AND($E969=Subj_OccCode,Subj_BldgSF&gt;0,ABS($L969-Subj_BldgSF)&lt;=Subj_BldgSF*Subj_SizeTol),ABS($L969-Subj_BldgSF),NA())</f>
        <v/>
      </c>
      <c r="AJ969" s="706">
        <f>IF(ISNA(AI969),NA(),AI969+ROW()/10000000)</f>
        <v/>
      </c>
      <c r="AK969" s="706">
        <f>IF(AND(ISNUMBER($N969),$N969&gt;0,ISNUMBER($Y969)),$Y969/$N969,"")</f>
        <v/>
      </c>
      <c r="AL969" s="706" t="n"/>
      <c r="AM969" s="706" t="n"/>
      <c r="AN969" s="706" t="n"/>
    </row>
    <row r="970">
      <c r="A970" s="706" t="n">
        <v>8</v>
      </c>
      <c r="B970" s="706" t="n">
        <v>966</v>
      </c>
      <c r="C970" s="706" t="inlineStr">
        <is>
          <t>R090500</t>
        </is>
      </c>
      <c r="D970" s="706" t="inlineStr">
        <is>
          <t>585 COUNTY ROAD 40</t>
        </is>
      </c>
      <c r="E970" s="706" t="n">
        <v>410</v>
      </c>
      <c r="F970" s="706" t="inlineStr">
        <is>
          <t>GRANBY</t>
        </is>
      </c>
      <c r="G970" s="706" t="n"/>
      <c r="H970" s="706">
        <f>Y970/J970</f>
        <v/>
      </c>
      <c r="I970" s="707" t="n">
        <v>45202</v>
      </c>
      <c r="J970" s="706" t="n">
        <v>5400</v>
      </c>
      <c r="K970" s="706" t="n"/>
      <c r="L970" s="706" t="n">
        <v>5400</v>
      </c>
      <c r="M970" s="706" t="n">
        <v>2001</v>
      </c>
      <c r="N970" s="706" t="n"/>
      <c r="O970" s="706" t="n"/>
      <c r="P970" s="706" t="n"/>
      <c r="Q970" s="706" t="n"/>
      <c r="R970" s="706" t="n"/>
      <c r="S970" s="706" t="n">
        <v>15682</v>
      </c>
      <c r="T970" s="706">
        <f>S970/J970</f>
        <v/>
      </c>
      <c r="U970" s="706" t="n"/>
      <c r="V970" s="706" t="n"/>
      <c r="W970" s="706" t="n"/>
      <c r="X970" s="706" t="n"/>
      <c r="Y970" s="706" t="n">
        <v>1250000</v>
      </c>
      <c r="Z970" s="706" t="n"/>
      <c r="AA970" s="706" t="n">
        <v>1250000</v>
      </c>
      <c r="AB970" s="706" t="inlineStr">
        <is>
          <t>Wrangler Tire and Tune — Auto Service; src: Retail_Sales_Cleaned</t>
        </is>
      </c>
      <c r="AC970" s="706" t="inlineStr">
        <is>
          <t>R090500</t>
        </is>
      </c>
      <c r="AD970" s="706" t="n"/>
      <c r="AE970" s="706" t="n"/>
      <c r="AF970" s="706" t="n"/>
      <c r="AG970" s="706" t="n"/>
      <c r="AH970" s="706" t="n"/>
      <c r="AI970" s="706">
        <f>IF(AND($E970=Subj_OccCode,Subj_BldgSF&gt;0,ABS($L970-Subj_BldgSF)&lt;=Subj_BldgSF*Subj_SizeTol),ABS($L970-Subj_BldgSF),NA())</f>
        <v/>
      </c>
      <c r="AJ970" s="706">
        <f>IF(ISNA(AI970),NA(),AI970+ROW()/10000000)</f>
        <v/>
      </c>
      <c r="AK970" s="706">
        <f>IF(AND(ISNUMBER($N970),$N970&gt;0,ISNUMBER($Y970)),$Y970/$N970,"")</f>
        <v/>
      </c>
      <c r="AL970" s="706" t="n"/>
      <c r="AM970" s="706" t="n"/>
      <c r="AN970" s="706" t="n"/>
    </row>
    <row r="971">
      <c r="A971" s="706" t="n">
        <v>8</v>
      </c>
      <c r="B971" s="706" t="n">
        <v>967</v>
      </c>
      <c r="C971" s="706" t="n"/>
      <c r="D971" s="706" t="inlineStr">
        <is>
          <t>405 FRY RD</t>
        </is>
      </c>
      <c r="E971" s="706" t="n">
        <v>349</v>
      </c>
      <c r="F971" s="706" t="inlineStr">
        <is>
          <t>HOUSTON</t>
        </is>
      </c>
      <c r="G971" s="706" t="n"/>
      <c r="H971" s="706">
        <f>Y971/J971</f>
        <v/>
      </c>
      <c r="I971" s="707" t="n">
        <v>43965</v>
      </c>
      <c r="J971" s="706" t="n">
        <v>3119</v>
      </c>
      <c r="K971" s="706" t="n"/>
      <c r="L971" s="706" t="n">
        <v>3119</v>
      </c>
      <c r="M971" s="706" t="n">
        <v>1995</v>
      </c>
      <c r="N971" s="706" t="n"/>
      <c r="O971" s="706" t="n"/>
      <c r="P971" s="706" t="n"/>
      <c r="Q971" s="706" t="n"/>
      <c r="R971" s="706" t="n"/>
      <c r="S971" s="706" t="n">
        <v>40511</v>
      </c>
      <c r="T971" s="706">
        <f>S971/J971</f>
        <v/>
      </c>
      <c r="U971" s="706" t="n"/>
      <c r="V971" s="706" t="n"/>
      <c r="W971" s="706" t="n"/>
      <c r="X971" s="706" t="n"/>
      <c r="Y971" s="706" t="n">
        <v>2700000</v>
      </c>
      <c r="Z971" s="706" t="n"/>
      <c r="AA971" s="706" t="n">
        <v>2700000</v>
      </c>
      <c r="AB971" s="706" t="inlineStr">
        <is>
          <t>McDonald's — Fast Food; Investment Triple Net; src: Retail_Sales_Cleaned</t>
        </is>
      </c>
      <c r="AC971" s="706" t="inlineStr">
        <is>
          <t>1184440010006</t>
        </is>
      </c>
      <c r="AD971" s="706" t="n"/>
      <c r="AE971" s="706" t="n"/>
      <c r="AF971" s="706" t="n"/>
      <c r="AG971" s="706" t="n"/>
      <c r="AH971" s="706" t="n"/>
      <c r="AI971" s="706">
        <f>IF(AND($E971=Subj_OccCode,Subj_BldgSF&gt;0,ABS($L971-Subj_BldgSF)&lt;=Subj_BldgSF*Subj_SizeTol),ABS($L971-Subj_BldgSF),NA())</f>
        <v/>
      </c>
      <c r="AJ971" s="706">
        <f>IF(ISNA(AI971),NA(),AI971+ROW()/10000000)</f>
        <v/>
      </c>
      <c r="AK971" s="706">
        <f>IF(AND(ISNUMBER($N971),$N971&gt;0,ISNUMBER($Y971)),$Y971/$N971,"")</f>
        <v/>
      </c>
      <c r="AL971" s="706" t="n"/>
      <c r="AM971" s="706" t="n"/>
      <c r="AN971" s="706" t="n"/>
    </row>
    <row r="972">
      <c r="A972" s="706" t="n">
        <v>8</v>
      </c>
      <c r="B972" s="706" t="n">
        <v>968</v>
      </c>
      <c r="C972" s="706" t="n"/>
      <c r="D972" s="706" t="inlineStr">
        <is>
          <t>6711 GRANDVIEW AVE</t>
        </is>
      </c>
      <c r="E972" s="706" t="n">
        <v>426</v>
      </c>
      <c r="F972" s="706" t="inlineStr">
        <is>
          <t>ARVADA</t>
        </is>
      </c>
      <c r="G972" s="706" t="n"/>
      <c r="H972" s="706">
        <f>Y972/J972</f>
        <v/>
      </c>
      <c r="I972" s="707" t="n">
        <v>45133</v>
      </c>
      <c r="J972" s="706" t="n">
        <v>5592</v>
      </c>
      <c r="K972" s="706" t="n"/>
      <c r="L972" s="706" t="n">
        <v>5592</v>
      </c>
      <c r="M972" s="706" t="n">
        <v>1967</v>
      </c>
      <c r="N972" s="706" t="n"/>
      <c r="O972" s="706" t="n"/>
      <c r="P972" s="706" t="n"/>
      <c r="Q972" s="706" t="n"/>
      <c r="R972" s="706" t="n"/>
      <c r="S972" s="706" t="n">
        <v>14374</v>
      </c>
      <c r="T972" s="706">
        <f>S972/J972</f>
        <v/>
      </c>
      <c r="U972" s="706" t="n"/>
      <c r="V972" s="706" t="n"/>
      <c r="W972" s="706" t="n"/>
      <c r="X972" s="706" t="n"/>
      <c r="Y972" s="706" t="n">
        <v>1450000</v>
      </c>
      <c r="Z972" s="706" t="n"/>
      <c r="AA972" s="706" t="n">
        <v>1450000</v>
      </c>
      <c r="AB972" s="706" t="inlineStr">
        <is>
          <t>A Child'S Reflection Day Care — Daycare; src: Retail_Sales_Cleaned</t>
        </is>
      </c>
      <c r="AC972" s="706" t="inlineStr">
        <is>
          <t>39-123-00-068</t>
        </is>
      </c>
      <c r="AD972" s="706" t="n"/>
      <c r="AE972" s="706" t="n"/>
      <c r="AF972" s="706" t="n"/>
      <c r="AG972" s="706" t="n"/>
      <c r="AH972" s="706" t="n"/>
      <c r="AI972" s="706">
        <f>IF(AND($E972=Subj_OccCode,Subj_BldgSF&gt;0,ABS($L972-Subj_BldgSF)&lt;=Subj_BldgSF*Subj_SizeTol),ABS($L972-Subj_BldgSF),NA())</f>
        <v/>
      </c>
      <c r="AJ972" s="706">
        <f>IF(ISNA(AI972),NA(),AI972+ROW()/10000000)</f>
        <v/>
      </c>
      <c r="AK972" s="706">
        <f>IF(AND(ISNUMBER($N972),$N972&gt;0,ISNUMBER($Y972)),$Y972/$N972,"")</f>
        <v/>
      </c>
      <c r="AL972" s="706" t="n"/>
      <c r="AM972" s="706" t="n"/>
      <c r="AN972" s="706" t="n"/>
    </row>
    <row r="973">
      <c r="A973" s="706" t="n">
        <v>8</v>
      </c>
      <c r="B973" s="706" t="n">
        <v>969</v>
      </c>
      <c r="C973" s="706" t="n"/>
      <c r="D973" s="706" t="inlineStr">
        <is>
          <t>9544 W 44TH AVE</t>
        </is>
      </c>
      <c r="E973" s="706" t="n">
        <v>325</v>
      </c>
      <c r="F973" s="706" t="inlineStr">
        <is>
          <t>WHEAT RIDGE</t>
        </is>
      </c>
      <c r="G973" s="706" t="n"/>
      <c r="H973" s="706">
        <f>Y973/J973</f>
        <v/>
      </c>
      <c r="I973" s="707" t="n">
        <v>45379</v>
      </c>
      <c r="J973" s="706" t="n">
        <v>2204</v>
      </c>
      <c r="K973" s="706" t="n"/>
      <c r="L973" s="706" t="n">
        <v>2204</v>
      </c>
      <c r="M973" s="706" t="n">
        <v>1965</v>
      </c>
      <c r="N973" s="706" t="n"/>
      <c r="O973" s="706" t="n"/>
      <c r="P973" s="706" t="n"/>
      <c r="Q973" s="706" t="n"/>
      <c r="R973" s="706" t="n"/>
      <c r="S973" s="706" t="n">
        <v>13068</v>
      </c>
      <c r="T973" s="706">
        <f>S973/J973</f>
        <v/>
      </c>
      <c r="U973" s="706" t="n"/>
      <c r="V973" s="706" t="n"/>
      <c r="W973" s="706" t="n"/>
      <c r="X973" s="706" t="n"/>
      <c r="Y973" s="706" t="n">
        <v>1300000</v>
      </c>
      <c r="Z973" s="706" t="n"/>
      <c r="AA973" s="706" t="n">
        <v>1300000</v>
      </c>
      <c r="AB973" s="706" t="inlineStr">
        <is>
          <t>Adler Automotive — Auto Service; Business Value Included; src: Retail_Sales_Cleaned</t>
        </is>
      </c>
      <c r="AC973" s="706" t="inlineStr">
        <is>
          <t>39-222-00-021</t>
        </is>
      </c>
      <c r="AD973" s="706" t="n"/>
      <c r="AE973" s="706" t="n"/>
      <c r="AF973" s="706" t="n"/>
      <c r="AG973" s="706" t="n"/>
      <c r="AH973" s="706" t="n"/>
      <c r="AI973" s="706">
        <f>IF(AND($E973=Subj_OccCode,Subj_BldgSF&gt;0,ABS($L973-Subj_BldgSF)&lt;=Subj_BldgSF*Subj_SizeTol),ABS($L973-Subj_BldgSF),NA())</f>
        <v/>
      </c>
      <c r="AJ973" s="706">
        <f>IF(ISNA(AI973),NA(),AI973+ROW()/10000000)</f>
        <v/>
      </c>
      <c r="AK973" s="706">
        <f>IF(AND(ISNUMBER($N973),$N973&gt;0,ISNUMBER($Y973)),$Y973/$N973,"")</f>
        <v/>
      </c>
      <c r="AL973" s="706" t="n"/>
      <c r="AM973" s="706" t="n"/>
      <c r="AN973" s="706" t="n"/>
    </row>
    <row r="974">
      <c r="A974" s="706" t="n">
        <v>8</v>
      </c>
      <c r="B974" s="706" t="n">
        <v>970</v>
      </c>
      <c r="C974" s="706" t="n"/>
      <c r="D974" s="706" t="inlineStr">
        <is>
          <t>1410 S WADSWORTH BLVD</t>
        </is>
      </c>
      <c r="E974" s="706" t="n">
        <v>353</v>
      </c>
      <c r="F974" s="706" t="inlineStr">
        <is>
          <t>LAKEWOOD</t>
        </is>
      </c>
      <c r="G974" s="706" t="n"/>
      <c r="H974" s="706">
        <f>Y974/J974</f>
        <v/>
      </c>
      <c r="I974" s="707" t="n">
        <v>43586</v>
      </c>
      <c r="J974" s="706" t="n">
        <v>7000</v>
      </c>
      <c r="K974" s="706" t="n"/>
      <c r="L974" s="706" t="n">
        <v>7000</v>
      </c>
      <c r="M974" s="706" t="n">
        <v>2016</v>
      </c>
      <c r="N974" s="706" t="n"/>
      <c r="O974" s="706" t="n"/>
      <c r="P974" s="706" t="n"/>
      <c r="Q974" s="706" t="n"/>
      <c r="R974" s="706" t="n"/>
      <c r="S974" s="706" t="n">
        <v>21344</v>
      </c>
      <c r="T974" s="706">
        <f>S974/J974</f>
        <v/>
      </c>
      <c r="U974" s="706" t="n"/>
      <c r="V974" s="706" t="n"/>
      <c r="W974" s="706" t="n"/>
      <c r="X974" s="706" t="n"/>
      <c r="Y974" s="706" t="n">
        <v>2035000</v>
      </c>
      <c r="Z974" s="706" t="n"/>
      <c r="AA974" s="706" t="n">
        <v>2035000</v>
      </c>
      <c r="AB974" s="706" t="inlineStr">
        <is>
          <t>Advance Auto Parts — Auto Parts; src: Retail_Sales_Cleaned</t>
        </is>
      </c>
      <c r="AC974" s="706" t="inlineStr">
        <is>
          <t>49-231-00-030</t>
        </is>
      </c>
      <c r="AD974" s="706" t="n"/>
      <c r="AE974" s="706" t="n"/>
      <c r="AF974" s="706" t="n"/>
      <c r="AG974" s="706" t="n"/>
      <c r="AH974" s="706" t="n"/>
      <c r="AI974" s="706">
        <f>IF(AND($E974=Subj_OccCode,Subj_BldgSF&gt;0,ABS($L974-Subj_BldgSF)&lt;=Subj_BldgSF*Subj_SizeTol),ABS($L974-Subj_BldgSF),NA())</f>
        <v/>
      </c>
      <c r="AJ974" s="706">
        <f>IF(ISNA(AI974),NA(),AI974+ROW()/10000000)</f>
        <v/>
      </c>
      <c r="AK974" s="706">
        <f>IF(AND(ISNUMBER($N974),$N974&gt;0,ISNUMBER($Y974)),$Y974/$N974,"")</f>
        <v/>
      </c>
      <c r="AL974" s="706" t="n"/>
      <c r="AM974" s="706" t="n"/>
      <c r="AN974" s="706" t="n"/>
    </row>
    <row r="975">
      <c r="A975" s="706" t="n">
        <v>8</v>
      </c>
      <c r="B975" s="706" t="n">
        <v>971</v>
      </c>
      <c r="C975" s="706" t="n"/>
      <c r="D975" s="706" t="inlineStr">
        <is>
          <t>25907 CONIFER RD</t>
        </is>
      </c>
      <c r="E975" s="706" t="n">
        <v>353</v>
      </c>
      <c r="F975" s="706" t="inlineStr">
        <is>
          <t>CONIFER</t>
        </is>
      </c>
      <c r="G975" s="706" t="n"/>
      <c r="H975" s="706">
        <f>Y975/J975</f>
        <v/>
      </c>
      <c r="I975" s="707" t="n">
        <v>45125</v>
      </c>
      <c r="J975" s="706" t="n">
        <v>7157</v>
      </c>
      <c r="K975" s="706" t="n"/>
      <c r="L975" s="706" t="n">
        <v>7157</v>
      </c>
      <c r="M975" s="706" t="n">
        <v>2023</v>
      </c>
      <c r="N975" s="706" t="n"/>
      <c r="O975" s="706" t="n"/>
      <c r="P975" s="706" t="n"/>
      <c r="Q975" s="706" t="n"/>
      <c r="R975" s="706" t="n"/>
      <c r="S975" s="706" t="n">
        <v>60127</v>
      </c>
      <c r="T975" s="706">
        <f>S975/J975</f>
        <v/>
      </c>
      <c r="U975" s="706" t="n"/>
      <c r="V975" s="706" t="n"/>
      <c r="W975" s="706" t="n"/>
      <c r="X975" s="706" t="n"/>
      <c r="Y975" s="706" t="n">
        <v>3000000</v>
      </c>
      <c r="Z975" s="706" t="n"/>
      <c r="AA975" s="706" t="n">
        <v>3000000</v>
      </c>
      <c r="AB975" s="706" t="inlineStr">
        <is>
          <t>Advance Auto Parts — Auto Parts; Confirmed; src: Retail_Sales_Cleaned</t>
        </is>
      </c>
      <c r="AC975" s="706" t="n"/>
      <c r="AD975" s="706" t="n"/>
      <c r="AE975" s="706" t="n"/>
      <c r="AF975" s="706" t="n"/>
      <c r="AG975" s="706" t="n"/>
      <c r="AH975" s="706" t="n"/>
      <c r="AI975" s="706">
        <f>IF(AND($E975=Subj_OccCode,Subj_BldgSF&gt;0,ABS($L975-Subj_BldgSF)&lt;=Subj_BldgSF*Subj_SizeTol),ABS($L975-Subj_BldgSF),NA())</f>
        <v/>
      </c>
      <c r="AJ975" s="706">
        <f>IF(ISNA(AI975),NA(),AI975+ROW()/10000000)</f>
        <v/>
      </c>
      <c r="AK975" s="706">
        <f>IF(AND(ISNUMBER($N975),$N975&gt;0,ISNUMBER($Y975)),$Y975/$N975,"")</f>
        <v/>
      </c>
      <c r="AL975" s="706" t="n"/>
      <c r="AM975" s="706" t="n"/>
      <c r="AN975" s="706" t="n"/>
    </row>
    <row r="976">
      <c r="A976" s="706" t="n">
        <v>8</v>
      </c>
      <c r="B976" s="706" t="n">
        <v>972</v>
      </c>
      <c r="C976" s="706" t="n"/>
      <c r="D976" s="706" t="inlineStr">
        <is>
          <t>595 GARRISON ST</t>
        </is>
      </c>
      <c r="E976" s="706" t="n">
        <v>325</v>
      </c>
      <c r="F976" s="706" t="inlineStr">
        <is>
          <t>LAKEWOOD</t>
        </is>
      </c>
      <c r="G976" s="706" t="n"/>
      <c r="H976" s="706">
        <f>Y976/J976</f>
        <v/>
      </c>
      <c r="I976" s="707" t="n">
        <v>45429</v>
      </c>
      <c r="J976" s="706" t="n">
        <v>1532</v>
      </c>
      <c r="K976" s="706" t="n"/>
      <c r="L976" s="706" t="n">
        <v>1532</v>
      </c>
      <c r="M976" s="706" t="n">
        <v>1969</v>
      </c>
      <c r="N976" s="706" t="n"/>
      <c r="O976" s="706" t="n"/>
      <c r="P976" s="706" t="n"/>
      <c r="Q976" s="706" t="n"/>
      <c r="R976" s="706" t="n"/>
      <c r="S976" s="706" t="n">
        <v>17746</v>
      </c>
      <c r="T976" s="706">
        <f>S976/J976</f>
        <v/>
      </c>
      <c r="U976" s="706" t="n"/>
      <c r="V976" s="706" t="n"/>
      <c r="W976" s="706" t="n"/>
      <c r="X976" s="706" t="n"/>
      <c r="Y976" s="706" t="n">
        <v>880000</v>
      </c>
      <c r="Z976" s="706" t="n"/>
      <c r="AA976" s="706" t="n">
        <v>880000</v>
      </c>
      <c r="AB976" s="706" t="inlineStr">
        <is>
          <t>Applewood Auto — Auto Service; src: Retail_Sales_Cleaned</t>
        </is>
      </c>
      <c r="AC976" s="706" t="inlineStr">
        <is>
          <t>49-102-04-021</t>
        </is>
      </c>
      <c r="AD976" s="706" t="n"/>
      <c r="AE976" s="706" t="n"/>
      <c r="AF976" s="706" t="n"/>
      <c r="AG976" s="706" t="n"/>
      <c r="AH976" s="706" t="n"/>
      <c r="AI976" s="706">
        <f>IF(AND($E976=Subj_OccCode,Subj_BldgSF&gt;0,ABS($L976-Subj_BldgSF)&lt;=Subj_BldgSF*Subj_SizeTol),ABS($L976-Subj_BldgSF),NA())</f>
        <v/>
      </c>
      <c r="AJ976" s="706">
        <f>IF(ISNA(AI976),NA(),AI976+ROW()/10000000)</f>
        <v/>
      </c>
      <c r="AK976" s="706">
        <f>IF(AND(ISNUMBER($N976),$N976&gt;0,ISNUMBER($Y976)),$Y976/$N976,"")</f>
        <v/>
      </c>
      <c r="AL976" s="706" t="n"/>
      <c r="AM976" s="706" t="n"/>
      <c r="AN976" s="706" t="n"/>
    </row>
    <row r="977">
      <c r="A977" s="706" t="n">
        <v>8</v>
      </c>
      <c r="B977" s="706" t="n">
        <v>973</v>
      </c>
      <c r="C977" s="706" t="n"/>
      <c r="D977" s="706" t="inlineStr">
        <is>
          <t>8144 S KIPLING PKY</t>
        </is>
      </c>
      <c r="E977" s="706" t="n">
        <v>349</v>
      </c>
      <c r="F977" s="706" t="inlineStr">
        <is>
          <t>LITTLETON</t>
        </is>
      </c>
      <c r="G977" s="706" t="n"/>
      <c r="H977" s="706">
        <f>Y977/J977</f>
        <v/>
      </c>
      <c r="I977" s="707" t="n">
        <v>43003</v>
      </c>
      <c r="J977" s="706" t="n">
        <v>2661</v>
      </c>
      <c r="K977" s="706" t="n"/>
      <c r="L977" s="706" t="n">
        <v>2661</v>
      </c>
      <c r="M977" s="706" t="n">
        <v>2003</v>
      </c>
      <c r="N977" s="706" t="n"/>
      <c r="O977" s="706" t="n"/>
      <c r="P977" s="706" t="n"/>
      <c r="Q977" s="706" t="n"/>
      <c r="R977" s="706" t="n"/>
      <c r="S977" s="706" t="n">
        <v>33149</v>
      </c>
      <c r="T977" s="706">
        <f>S977/J977</f>
        <v/>
      </c>
      <c r="U977" s="706" t="n"/>
      <c r="V977" s="706" t="n"/>
      <c r="W977" s="706" t="n"/>
      <c r="X977" s="706" t="n"/>
      <c r="Y977" s="706" t="n">
        <v>948876</v>
      </c>
      <c r="Z977" s="706" t="n"/>
      <c r="AA977" s="706" t="n">
        <v>948876</v>
      </c>
      <c r="AB977" s="706" t="inlineStr">
        <is>
          <t>Arby's — Fast Food [Old Sale]; src: Retail_Sales_Cleaned</t>
        </is>
      </c>
      <c r="AC977" s="706" t="inlineStr">
        <is>
          <t>59-343-13-006</t>
        </is>
      </c>
      <c r="AD977" s="706" t="n"/>
      <c r="AE977" s="706" t="n"/>
      <c r="AF977" s="706" t="n"/>
      <c r="AG977" s="706" t="n"/>
      <c r="AH977" s="706" t="n"/>
      <c r="AI977" s="706">
        <f>IF(AND($E977=Subj_OccCode,Subj_BldgSF&gt;0,ABS($L977-Subj_BldgSF)&lt;=Subj_BldgSF*Subj_SizeTol),ABS($L977-Subj_BldgSF),NA())</f>
        <v/>
      </c>
      <c r="AJ977" s="706">
        <f>IF(ISNA(AI977),NA(),AI977+ROW()/10000000)</f>
        <v/>
      </c>
      <c r="AK977" s="706">
        <f>IF(AND(ISNUMBER($N977),$N977&gt;0,ISNUMBER($Y977)),$Y977/$N977,"")</f>
        <v/>
      </c>
      <c r="AL977" s="706" t="n"/>
      <c r="AM977" s="706" t="n"/>
      <c r="AN977" s="706" t="n"/>
    </row>
    <row r="978">
      <c r="A978" s="706" t="n">
        <v>8</v>
      </c>
      <c r="B978" s="706" t="n">
        <v>974</v>
      </c>
      <c r="C978" s="706" t="n"/>
      <c r="D978" s="706" t="inlineStr">
        <is>
          <t>6441 W COLFAX AVE</t>
        </is>
      </c>
      <c r="E978" s="706" t="n">
        <v>349</v>
      </c>
      <c r="F978" s="706" t="inlineStr">
        <is>
          <t>LAKEWOOD</t>
        </is>
      </c>
      <c r="G978" s="706" t="n"/>
      <c r="H978" s="706">
        <f>Y978/J978</f>
        <v/>
      </c>
      <c r="I978" s="707" t="n">
        <v>45379</v>
      </c>
      <c r="J978" s="706" t="n">
        <v>2963</v>
      </c>
      <c r="K978" s="706" t="n"/>
      <c r="L978" s="706" t="n">
        <v>2963</v>
      </c>
      <c r="M978" s="706" t="n">
        <v>1985</v>
      </c>
      <c r="N978" s="706" t="n"/>
      <c r="O978" s="706" t="n"/>
      <c r="P978" s="706" t="n"/>
      <c r="Q978" s="706" t="n"/>
      <c r="R978" s="706" t="n"/>
      <c r="S978" s="706" t="n">
        <v>25700</v>
      </c>
      <c r="T978" s="706">
        <f>S978/J978</f>
        <v/>
      </c>
      <c r="U978" s="706" t="n"/>
      <c r="V978" s="706" t="n"/>
      <c r="W978" s="706" t="n"/>
      <c r="X978" s="706" t="n"/>
      <c r="Y978" s="706" t="n">
        <v>750000</v>
      </c>
      <c r="Z978" s="706" t="n"/>
      <c r="AA978" s="706" t="n">
        <v>750000</v>
      </c>
      <c r="AB978" s="706" t="inlineStr">
        <is>
          <t>Arby's — Fast Food [Dark]; src: Retail_Sales_Cleaned</t>
        </is>
      </c>
      <c r="AC978" s="706" t="inlineStr">
        <is>
          <t>39-363-05-110</t>
        </is>
      </c>
      <c r="AD978" s="706" t="n"/>
      <c r="AE978" s="706" t="n"/>
      <c r="AF978" s="706" t="n"/>
      <c r="AG978" s="706" t="n"/>
      <c r="AH978" s="706" t="n"/>
      <c r="AI978" s="706">
        <f>IF(AND($E978=Subj_OccCode,Subj_BldgSF&gt;0,ABS($L978-Subj_BldgSF)&lt;=Subj_BldgSF*Subj_SizeTol),ABS($L978-Subj_BldgSF),NA())</f>
        <v/>
      </c>
      <c r="AJ978" s="706">
        <f>IF(ISNA(AI978),NA(),AI978+ROW()/10000000)</f>
        <v/>
      </c>
      <c r="AK978" s="706">
        <f>IF(AND(ISNUMBER($N978),$N978&gt;0,ISNUMBER($Y978)),$Y978/$N978,"")</f>
        <v/>
      </c>
      <c r="AL978" s="706" t="n"/>
      <c r="AM978" s="706" t="n"/>
      <c r="AN978" s="706" t="n"/>
    </row>
    <row r="979">
      <c r="A979" s="706" t="n">
        <v>8</v>
      </c>
      <c r="B979" s="706" t="n">
        <v>975</v>
      </c>
      <c r="C979" s="706" t="n"/>
      <c r="D979" s="706" t="inlineStr">
        <is>
          <t>9875 W REMINGTON PL</t>
        </is>
      </c>
      <c r="E979" s="706" t="n">
        <v>410</v>
      </c>
      <c r="F979" s="706" t="inlineStr">
        <is>
          <t>LITTLETON</t>
        </is>
      </c>
      <c r="G979" s="706" t="n"/>
      <c r="H979" s="706">
        <f>Y979/J979</f>
        <v/>
      </c>
      <c r="I979" s="707" t="n">
        <v>44183</v>
      </c>
      <c r="J979" s="706" t="n">
        <v>8692</v>
      </c>
      <c r="K979" s="706" t="n"/>
      <c r="L979" s="706" t="n">
        <v>8692</v>
      </c>
      <c r="M979" s="706" t="n">
        <v>2002</v>
      </c>
      <c r="N979" s="706" t="n"/>
      <c r="O979" s="706" t="n"/>
      <c r="P979" s="706" t="n"/>
      <c r="Q979" s="706" t="n"/>
      <c r="R979" s="706" t="n"/>
      <c r="S979" s="706" t="n">
        <v>49223</v>
      </c>
      <c r="T979" s="706">
        <f>S979/J979</f>
        <v/>
      </c>
      <c r="U979" s="706" t="n"/>
      <c r="V979" s="706" t="n"/>
      <c r="W979" s="706" t="n"/>
      <c r="X979" s="706" t="n"/>
      <c r="Y979" s="706" t="n">
        <v>2960000</v>
      </c>
      <c r="Z979" s="706" t="n"/>
      <c r="AA979" s="706" t="n">
        <v>2960000</v>
      </c>
      <c r="AB979" s="706" t="inlineStr">
        <is>
          <t>Big O Tires — Auto Service; src: Retail_Sales_Cleaned</t>
        </is>
      </c>
      <c r="AC979" s="706" t="inlineStr">
        <is>
          <t>69-032-03-008</t>
        </is>
      </c>
      <c r="AD979" s="706" t="n"/>
      <c r="AE979" s="706" t="n"/>
      <c r="AF979" s="706" t="n"/>
      <c r="AG979" s="706" t="n"/>
      <c r="AH979" s="706" t="n"/>
      <c r="AI979" s="706">
        <f>IF(AND($E979=Subj_OccCode,Subj_BldgSF&gt;0,ABS($L979-Subj_BldgSF)&lt;=Subj_BldgSF*Subj_SizeTol),ABS($L979-Subj_BldgSF),NA())</f>
        <v/>
      </c>
      <c r="AJ979" s="706">
        <f>IF(ISNA(AI979),NA(),AI979+ROW()/10000000)</f>
        <v/>
      </c>
      <c r="AK979" s="706">
        <f>IF(AND(ISNUMBER($N979),$N979&gt;0,ISNUMBER($Y979)),$Y979/$N979,"")</f>
        <v/>
      </c>
      <c r="AL979" s="706" t="n"/>
      <c r="AM979" s="706" t="n"/>
      <c r="AN979" s="706" t="n"/>
    </row>
    <row r="980">
      <c r="A980" s="706" t="n">
        <v>8</v>
      </c>
      <c r="B980" s="706" t="n">
        <v>976</v>
      </c>
      <c r="C980" s="706" t="n"/>
      <c r="D980" s="706" t="inlineStr">
        <is>
          <t>320 S UNION BLVD</t>
        </is>
      </c>
      <c r="E980" s="706" t="n">
        <v>410</v>
      </c>
      <c r="F980" s="706" t="inlineStr">
        <is>
          <t>DENVER</t>
        </is>
      </c>
      <c r="G980" s="706" t="n"/>
      <c r="H980" s="706">
        <f>Y980/J980</f>
        <v/>
      </c>
      <c r="I980" s="707" t="n">
        <v>44557</v>
      </c>
      <c r="J980" s="706" t="n">
        <v>3813</v>
      </c>
      <c r="K980" s="706" t="n"/>
      <c r="L980" s="706" t="n">
        <v>3813</v>
      </c>
      <c r="M980" s="706" t="n">
        <v>1981</v>
      </c>
      <c r="N980" s="706" t="n"/>
      <c r="O980" s="706" t="n"/>
      <c r="P980" s="706" t="n"/>
      <c r="Q980" s="706" t="n"/>
      <c r="R980" s="706" t="n"/>
      <c r="S980" s="706" t="n">
        <v>16988</v>
      </c>
      <c r="T980" s="706">
        <f>S980/J980</f>
        <v/>
      </c>
      <c r="U980" s="706" t="n"/>
      <c r="V980" s="706" t="n"/>
      <c r="W980" s="706" t="n"/>
      <c r="X980" s="706" t="n"/>
      <c r="Y980" s="706" t="n">
        <v>1100000</v>
      </c>
      <c r="Z980" s="706" t="n"/>
      <c r="AA980" s="706" t="n">
        <v>1100000</v>
      </c>
      <c r="AB980" s="706" t="inlineStr">
        <is>
          <t>Big O Tires — Auto Service; Purchase By Tenant; src: Retail_Sales_Cleaned</t>
        </is>
      </c>
      <c r="AC980" s="706" t="inlineStr">
        <is>
          <t>49-171-00-002</t>
        </is>
      </c>
      <c r="AD980" s="706" t="n"/>
      <c r="AE980" s="706" t="n"/>
      <c r="AF980" s="706" t="n"/>
      <c r="AG980" s="706" t="n"/>
      <c r="AH980" s="706" t="n"/>
      <c r="AI980" s="706">
        <f>IF(AND($E980=Subj_OccCode,Subj_BldgSF&gt;0,ABS($L980-Subj_BldgSF)&lt;=Subj_BldgSF*Subj_SizeTol),ABS($L980-Subj_BldgSF),NA())</f>
        <v/>
      </c>
      <c r="AJ980" s="706">
        <f>IF(ISNA(AI980),NA(),AI980+ROW()/10000000)</f>
        <v/>
      </c>
      <c r="AK980" s="706">
        <f>IF(AND(ISNUMBER($N980),$N980&gt;0,ISNUMBER($Y980)),$Y980/$N980,"")</f>
        <v/>
      </c>
      <c r="AL980" s="706" t="n"/>
      <c r="AM980" s="706" t="n"/>
      <c r="AN980" s="706" t="n"/>
    </row>
    <row r="981">
      <c r="A981" s="706" t="n">
        <v>8</v>
      </c>
      <c r="B981" s="706" t="n">
        <v>977</v>
      </c>
      <c r="C981" s="706" t="n"/>
      <c r="D981" s="706" t="inlineStr">
        <is>
          <t>26237 CONIFER RD</t>
        </is>
      </c>
      <c r="E981" s="706" t="n">
        <v>410</v>
      </c>
      <c r="F981" s="706" t="inlineStr">
        <is>
          <t>CONIFER</t>
        </is>
      </c>
      <c r="G981" s="706" t="n"/>
      <c r="H981" s="706">
        <f>Y981/J981</f>
        <v/>
      </c>
      <c r="I981" s="707" t="n">
        <v>44910</v>
      </c>
      <c r="J981" s="706" t="n">
        <v>3960</v>
      </c>
      <c r="K981" s="706" t="n"/>
      <c r="L981" s="706" t="n">
        <v>3960</v>
      </c>
      <c r="M981" s="706" t="n">
        <v>2002</v>
      </c>
      <c r="N981" s="706" t="n"/>
      <c r="O981" s="706" t="n"/>
      <c r="P981" s="706" t="n"/>
      <c r="Q981" s="706" t="n"/>
      <c r="R981" s="706" t="n"/>
      <c r="S981" s="706" t="n">
        <v>28305</v>
      </c>
      <c r="T981" s="706">
        <f>S981/J981</f>
        <v/>
      </c>
      <c r="U981" s="706" t="n"/>
      <c r="V981" s="706" t="n"/>
      <c r="W981" s="706" t="n"/>
      <c r="X981" s="706" t="n"/>
      <c r="Y981" s="706" t="n">
        <v>2559200</v>
      </c>
      <c r="Z981" s="706" t="n"/>
      <c r="AA981" s="706" t="n">
        <v>2559200</v>
      </c>
      <c r="AB981" s="706" t="inlineStr">
        <is>
          <t>Big O Tires — Auto Service; src: Retail_Sales_Cleaned</t>
        </is>
      </c>
      <c r="AC981" s="706" t="inlineStr">
        <is>
          <t>61-114-14-003</t>
        </is>
      </c>
      <c r="AD981" s="706" t="n"/>
      <c r="AE981" s="706" t="n"/>
      <c r="AF981" s="706" t="n"/>
      <c r="AG981" s="706" t="n"/>
      <c r="AH981" s="706" t="n"/>
      <c r="AI981" s="706">
        <f>IF(AND($E981=Subj_OccCode,Subj_BldgSF&gt;0,ABS($L981-Subj_BldgSF)&lt;=Subj_BldgSF*Subj_SizeTol),ABS($L981-Subj_BldgSF),NA())</f>
        <v/>
      </c>
      <c r="AJ981" s="706">
        <f>IF(ISNA(AI981),NA(),AI981+ROW()/10000000)</f>
        <v/>
      </c>
      <c r="AK981" s="706">
        <f>IF(AND(ISNUMBER($N981),$N981&gt;0,ISNUMBER($Y981)),$Y981/$N981,"")</f>
        <v/>
      </c>
      <c r="AL981" s="706" t="n"/>
      <c r="AM981" s="706" t="n"/>
      <c r="AN981" s="706" t="n"/>
    </row>
    <row r="982">
      <c r="A982" s="706" t="n">
        <v>8</v>
      </c>
      <c r="B982" s="706" t="n">
        <v>978</v>
      </c>
      <c r="C982" s="706" t="n"/>
      <c r="D982" s="706" t="inlineStr">
        <is>
          <t>7425 W 52ND AVE</t>
        </is>
      </c>
      <c r="E982" s="706" t="n">
        <v>410</v>
      </c>
      <c r="F982" s="706" t="inlineStr">
        <is>
          <t>ARVADA</t>
        </is>
      </c>
      <c r="G982" s="706" t="n"/>
      <c r="H982" s="706">
        <f>Y982/J982</f>
        <v/>
      </c>
      <c r="I982" s="707" t="n">
        <v>45505</v>
      </c>
      <c r="J982" s="706" t="n">
        <v>6978</v>
      </c>
      <c r="K982" s="706" t="n"/>
      <c r="L982" s="706" t="n">
        <v>6978</v>
      </c>
      <c r="M982" s="706" t="n">
        <v>1995</v>
      </c>
      <c r="N982" s="706" t="n"/>
      <c r="O982" s="706" t="n"/>
      <c r="P982" s="706" t="n"/>
      <c r="Q982" s="706" t="n"/>
      <c r="R982" s="706" t="n"/>
      <c r="S982" s="706" t="n">
        <v>27442</v>
      </c>
      <c r="T982" s="706">
        <f>S982/J982</f>
        <v/>
      </c>
      <c r="U982" s="706" t="n"/>
      <c r="V982" s="706" t="n"/>
      <c r="W982" s="706" t="n"/>
      <c r="X982" s="706" t="n"/>
      <c r="Y982" s="706" t="n">
        <v>2300000</v>
      </c>
      <c r="Z982" s="706" t="n"/>
      <c r="AA982" s="706" t="n">
        <v>2300000</v>
      </c>
      <c r="AB982" s="706" t="inlineStr">
        <is>
          <t>Big O Tires — Auto Service; src: Retail_Sales_Cleaned</t>
        </is>
      </c>
      <c r="AC982" s="706" t="inlineStr">
        <is>
          <t>39-141-14-006</t>
        </is>
      </c>
      <c r="AD982" s="706" t="n"/>
      <c r="AE982" s="706" t="n"/>
      <c r="AF982" s="706" t="n"/>
      <c r="AG982" s="706" t="n"/>
      <c r="AH982" s="706" t="n"/>
      <c r="AI982" s="706">
        <f>IF(AND($E982=Subj_OccCode,Subj_BldgSF&gt;0,ABS($L982-Subj_BldgSF)&lt;=Subj_BldgSF*Subj_SizeTol),ABS($L982-Subj_BldgSF),NA())</f>
        <v/>
      </c>
      <c r="AJ982" s="706">
        <f>IF(ISNA(AI982),NA(),AI982+ROW()/10000000)</f>
        <v/>
      </c>
      <c r="AK982" s="706">
        <f>IF(AND(ISNUMBER($N982),$N982&gt;0,ISNUMBER($Y982)),$Y982/$N982,"")</f>
        <v/>
      </c>
      <c r="AL982" s="706" t="n"/>
      <c r="AM982" s="706" t="n"/>
      <c r="AN982" s="706" t="n"/>
    </row>
    <row r="983">
      <c r="A983" s="706" t="n">
        <v>8</v>
      </c>
      <c r="B983" s="706" t="n">
        <v>979</v>
      </c>
      <c r="C983" s="706" t="n"/>
      <c r="D983" s="706" t="inlineStr">
        <is>
          <t>9269 SHERIDAN BLVD</t>
        </is>
      </c>
      <c r="E983" s="706" t="n">
        <v>349</v>
      </c>
      <c r="F983" s="706" t="inlineStr">
        <is>
          <t>WESTMINSTER</t>
        </is>
      </c>
      <c r="G983" s="706" t="n"/>
      <c r="H983" s="706">
        <f>Y983/J983</f>
        <v/>
      </c>
      <c r="I983" s="707" t="n">
        <v>45418</v>
      </c>
      <c r="J983" s="706" t="n">
        <v>3385</v>
      </c>
      <c r="K983" s="706" t="n"/>
      <c r="L983" s="706" t="n">
        <v>3385</v>
      </c>
      <c r="M983" s="706" t="n">
        <v>1995</v>
      </c>
      <c r="N983" s="706" t="n"/>
      <c r="O983" s="706" t="n"/>
      <c r="P983" s="706" t="n"/>
      <c r="Q983" s="706" t="n"/>
      <c r="R983" s="706" t="n"/>
      <c r="S983" s="706" t="n">
        <v>42689</v>
      </c>
      <c r="T983" s="706">
        <f>S983/J983</f>
        <v/>
      </c>
      <c r="U983" s="706" t="n"/>
      <c r="V983" s="706" t="n"/>
      <c r="W983" s="706" t="n"/>
      <c r="X983" s="706" t="n"/>
      <c r="Y983" s="706" t="n">
        <v>1380000</v>
      </c>
      <c r="Z983" s="706" t="n"/>
      <c r="AA983" s="706" t="n">
        <v>1380000</v>
      </c>
      <c r="AB983" s="706" t="inlineStr">
        <is>
          <t>Boston Market — Fast Food; src: Retail_Sales_Cleaned</t>
        </is>
      </c>
      <c r="AC983" s="706" t="inlineStr">
        <is>
          <t>29-241-06-007</t>
        </is>
      </c>
      <c r="AD983" s="706" t="n"/>
      <c r="AE983" s="706" t="n"/>
      <c r="AF983" s="706" t="n"/>
      <c r="AG983" s="706" t="n"/>
      <c r="AH983" s="706" t="n"/>
      <c r="AI983" s="706">
        <f>IF(AND($E983=Subj_OccCode,Subj_BldgSF&gt;0,ABS($L983-Subj_BldgSF)&lt;=Subj_BldgSF*Subj_SizeTol),ABS($L983-Subj_BldgSF),NA())</f>
        <v/>
      </c>
      <c r="AJ983" s="706">
        <f>IF(ISNA(AI983),NA(),AI983+ROW()/10000000)</f>
        <v/>
      </c>
      <c r="AK983" s="706">
        <f>IF(AND(ISNUMBER($N983),$N983&gt;0,ISNUMBER($Y983)),$Y983/$N983,"")</f>
        <v/>
      </c>
      <c r="AL983" s="706" t="n"/>
      <c r="AM983" s="706" t="n"/>
      <c r="AN983" s="706" t="n"/>
    </row>
    <row r="984">
      <c r="A984" s="706" t="n">
        <v>8</v>
      </c>
      <c r="B984" s="706" t="n">
        <v>980</v>
      </c>
      <c r="C984" s="706" t="n"/>
      <c r="D984" s="706" t="inlineStr">
        <is>
          <t>9965 W REMINGTON PL</t>
        </is>
      </c>
      <c r="E984" s="706" t="n">
        <v>410</v>
      </c>
      <c r="F984" s="706" t="inlineStr">
        <is>
          <t>LITTLETON</t>
        </is>
      </c>
      <c r="G984" s="706" t="n"/>
      <c r="H984" s="706">
        <f>Y984/J984</f>
        <v/>
      </c>
      <c r="I984" s="707" t="n">
        <v>44434</v>
      </c>
      <c r="J984" s="706" t="n">
        <v>5540</v>
      </c>
      <c r="K984" s="706" t="n"/>
      <c r="L984" s="706" t="n">
        <v>5540</v>
      </c>
      <c r="M984" s="706" t="n">
        <v>2005</v>
      </c>
      <c r="N984" s="706" t="n"/>
      <c r="O984" s="706" t="n"/>
      <c r="P984" s="706" t="n"/>
      <c r="Q984" s="706" t="n"/>
      <c r="R984" s="706" t="n"/>
      <c r="S984" s="706" t="n">
        <v>49179</v>
      </c>
      <c r="T984" s="706">
        <f>S984/J984</f>
        <v/>
      </c>
      <c r="U984" s="706" t="n"/>
      <c r="V984" s="706" t="n"/>
      <c r="W984" s="706" t="n"/>
      <c r="X984" s="706" t="n"/>
      <c r="Y984" s="706" t="n">
        <v>2975000</v>
      </c>
      <c r="Z984" s="706" t="n"/>
      <c r="AA984" s="706" t="n">
        <v>2975000</v>
      </c>
      <c r="AB984" s="706" t="inlineStr">
        <is>
          <t>Brakes Plus — Auto Service; Investment Triple Net; src: Retail_Sales_Cleaned</t>
        </is>
      </c>
      <c r="AC984" s="706" t="inlineStr">
        <is>
          <t>69-032-03-013</t>
        </is>
      </c>
      <c r="AD984" s="706" t="n"/>
      <c r="AE984" s="706" t="n"/>
      <c r="AF984" s="706" t="n"/>
      <c r="AG984" s="706" t="n"/>
      <c r="AH984" s="706" t="n"/>
      <c r="AI984" s="706">
        <f>IF(AND($E984=Subj_OccCode,Subj_BldgSF&gt;0,ABS($L984-Subj_BldgSF)&lt;=Subj_BldgSF*Subj_SizeTol),ABS($L984-Subj_BldgSF),NA())</f>
        <v/>
      </c>
      <c r="AJ984" s="706">
        <f>IF(ISNA(AI984),NA(),AI984+ROW()/10000000)</f>
        <v/>
      </c>
      <c r="AK984" s="706">
        <f>IF(AND(ISNUMBER($N984),$N984&gt;0,ISNUMBER($Y984)),$Y984/$N984,"")</f>
        <v/>
      </c>
      <c r="AL984" s="706" t="n"/>
      <c r="AM984" s="706" t="n"/>
      <c r="AN984" s="706" t="n"/>
    </row>
    <row r="985">
      <c r="A985" s="706" t="n">
        <v>8</v>
      </c>
      <c r="B985" s="706" t="n">
        <v>981</v>
      </c>
      <c r="C985" s="706" t="n"/>
      <c r="D985" s="706" t="inlineStr">
        <is>
          <t>5061 S JELLISON WAY</t>
        </is>
      </c>
      <c r="E985" s="706" t="n">
        <v>349</v>
      </c>
      <c r="F985" s="706" t="inlineStr">
        <is>
          <t>LITTLETON</t>
        </is>
      </c>
      <c r="G985" s="706" t="n"/>
      <c r="H985" s="706">
        <f>Y985/J985</f>
        <v/>
      </c>
      <c r="I985" s="707" t="n">
        <v>43192</v>
      </c>
      <c r="J985" s="706" t="n">
        <v>2757</v>
      </c>
      <c r="K985" s="706" t="n"/>
      <c r="L985" s="706" t="n">
        <v>2757</v>
      </c>
      <c r="M985" s="706" t="n">
        <v>1987</v>
      </c>
      <c r="N985" s="706" t="n"/>
      <c r="O985" s="706" t="n"/>
      <c r="P985" s="706" t="n"/>
      <c r="Q985" s="706" t="n"/>
      <c r="R985" s="706" t="n"/>
      <c r="S985" s="706" t="n">
        <v>32191</v>
      </c>
      <c r="T985" s="706">
        <f>S985/J985</f>
        <v/>
      </c>
      <c r="U985" s="706" t="n"/>
      <c r="V985" s="706" t="n"/>
      <c r="W985" s="706" t="n"/>
      <c r="X985" s="706" t="n"/>
      <c r="Y985" s="706" t="n">
        <v>1080000</v>
      </c>
      <c r="Z985" s="706" t="n"/>
      <c r="AA985" s="706" t="n">
        <v>1080000</v>
      </c>
      <c r="AB985" s="706" t="inlineStr">
        <is>
          <t>Burger King — Fast Food [Old Sale]; src: Retail_Sales_Cleaned</t>
        </is>
      </c>
      <c r="AC985" s="706" t="inlineStr">
        <is>
          <t>59-103-02-004</t>
        </is>
      </c>
      <c r="AD985" s="706" t="n"/>
      <c r="AE985" s="706" t="n"/>
      <c r="AF985" s="706" t="n"/>
      <c r="AG985" s="706" t="n"/>
      <c r="AH985" s="706" t="n"/>
      <c r="AI985" s="706">
        <f>IF(AND($E985=Subj_OccCode,Subj_BldgSF&gt;0,ABS($L985-Subj_BldgSF)&lt;=Subj_BldgSF*Subj_SizeTol),ABS($L985-Subj_BldgSF),NA())</f>
        <v/>
      </c>
      <c r="AJ985" s="706">
        <f>IF(ISNA(AI985),NA(),AI985+ROW()/10000000)</f>
        <v/>
      </c>
      <c r="AK985" s="706">
        <f>IF(AND(ISNUMBER($N985),$N985&gt;0,ISNUMBER($Y985)),$Y985/$N985,"")</f>
        <v/>
      </c>
      <c r="AL985" s="706" t="n"/>
      <c r="AM985" s="706" t="n"/>
      <c r="AN985" s="706" t="n"/>
    </row>
    <row r="986">
      <c r="A986" s="706" t="n">
        <v>8</v>
      </c>
      <c r="B986" s="706" t="n">
        <v>982</v>
      </c>
      <c r="C986" s="706" t="n"/>
      <c r="D986" s="706" t="inlineStr">
        <is>
          <t>3800 WADSWORTH BLVD</t>
        </is>
      </c>
      <c r="E986" s="706" t="n">
        <v>349</v>
      </c>
      <c r="F986" s="706" t="inlineStr">
        <is>
          <t>WHEAT RIDGE</t>
        </is>
      </c>
      <c r="G986" s="706" t="n"/>
      <c r="H986" s="706">
        <f>Y986/J986</f>
        <v/>
      </c>
      <c r="I986" s="707" t="n">
        <v>43381</v>
      </c>
      <c r="J986" s="706" t="n">
        <v>3303</v>
      </c>
      <c r="K986" s="706" t="n"/>
      <c r="L986" s="706" t="n">
        <v>3303</v>
      </c>
      <c r="M986" s="706" t="n">
        <v>2003</v>
      </c>
      <c r="N986" s="706" t="n"/>
      <c r="O986" s="706" t="n"/>
      <c r="P986" s="706" t="n"/>
      <c r="Q986" s="706" t="n"/>
      <c r="R986" s="706" t="n"/>
      <c r="S986" s="706" t="n">
        <v>24829</v>
      </c>
      <c r="T986" s="706">
        <f>S986/J986</f>
        <v/>
      </c>
      <c r="U986" s="706" t="n"/>
      <c r="V986" s="706" t="n"/>
      <c r="W986" s="706" t="n"/>
      <c r="X986" s="706" t="n"/>
      <c r="Y986" s="706" t="n">
        <v>1209622</v>
      </c>
      <c r="Z986" s="706" t="n"/>
      <c r="AA986" s="706" t="n">
        <v>1209622</v>
      </c>
      <c r="AB986" s="706" t="inlineStr">
        <is>
          <t>Burger King — Fast Food [Old Sale]; src: Retail_Sales_Cleaned</t>
        </is>
      </c>
      <c r="AC986" s="706" t="inlineStr">
        <is>
          <t>39-234-04-023</t>
        </is>
      </c>
      <c r="AD986" s="706" t="n"/>
      <c r="AE986" s="706" t="n"/>
      <c r="AF986" s="706" t="n"/>
      <c r="AG986" s="706" t="n"/>
      <c r="AH986" s="706" t="n"/>
      <c r="AI986" s="706">
        <f>IF(AND($E986=Subj_OccCode,Subj_BldgSF&gt;0,ABS($L986-Subj_BldgSF)&lt;=Subj_BldgSF*Subj_SizeTol),ABS($L986-Subj_BldgSF),NA())</f>
        <v/>
      </c>
      <c r="AJ986" s="706">
        <f>IF(ISNA(AI986),NA(),AI986+ROW()/10000000)</f>
        <v/>
      </c>
      <c r="AK986" s="706">
        <f>IF(AND(ISNUMBER($N986),$N986&gt;0,ISNUMBER($Y986)),$Y986/$N986,"")</f>
        <v/>
      </c>
      <c r="AL986" s="706" t="n"/>
      <c r="AM986" s="706" t="n"/>
      <c r="AN986" s="706" t="n"/>
    </row>
    <row r="987">
      <c r="A987" s="706" t="n">
        <v>8</v>
      </c>
      <c r="B987" s="706" t="n">
        <v>983</v>
      </c>
      <c r="C987" s="706" t="n"/>
      <c r="D987" s="706" t="inlineStr">
        <is>
          <t>651 16TH ST</t>
        </is>
      </c>
      <c r="E987" s="706" t="n">
        <v>349</v>
      </c>
      <c r="F987" s="706" t="inlineStr">
        <is>
          <t>GOLDEN</t>
        </is>
      </c>
      <c r="G987" s="706" t="n"/>
      <c r="H987" s="706">
        <f>Y987/J987</f>
        <v/>
      </c>
      <c r="I987" s="707" t="n">
        <v>43888</v>
      </c>
      <c r="J987" s="706" t="n">
        <v>2596</v>
      </c>
      <c r="K987" s="706" t="n"/>
      <c r="L987" s="706" t="n">
        <v>2596</v>
      </c>
      <c r="M987" s="706" t="n">
        <v>1988</v>
      </c>
      <c r="N987" s="706" t="n"/>
      <c r="O987" s="706" t="n"/>
      <c r="P987" s="706" t="n"/>
      <c r="Q987" s="706" t="n"/>
      <c r="R987" s="706" t="n"/>
      <c r="S987" s="706" t="n">
        <v>23522</v>
      </c>
      <c r="T987" s="706">
        <f>S987/J987</f>
        <v/>
      </c>
      <c r="U987" s="706" t="n"/>
      <c r="V987" s="706" t="n"/>
      <c r="W987" s="706" t="n"/>
      <c r="X987" s="706" t="n"/>
      <c r="Y987" s="706" t="n">
        <v>1780000</v>
      </c>
      <c r="Z987" s="706" t="n"/>
      <c r="AA987" s="706" t="n">
        <v>1780000</v>
      </c>
      <c r="AB987" s="706" t="inlineStr">
        <is>
          <t>Burger King — Fast Food; Investment Triple Net; src: Retail_Sales_Cleaned</t>
        </is>
      </c>
      <c r="AC987" s="706" t="inlineStr">
        <is>
          <t>30-342-12-001</t>
        </is>
      </c>
      <c r="AD987" s="706" t="n"/>
      <c r="AE987" s="706" t="n"/>
      <c r="AF987" s="706" t="n"/>
      <c r="AG987" s="706" t="n"/>
      <c r="AH987" s="706" t="n"/>
      <c r="AI987" s="706">
        <f>IF(AND($E987=Subj_OccCode,Subj_BldgSF&gt;0,ABS($L987-Subj_BldgSF)&lt;=Subj_BldgSF*Subj_SizeTol),ABS($L987-Subj_BldgSF),NA())</f>
        <v/>
      </c>
      <c r="AJ987" s="706">
        <f>IF(ISNA(AI987),NA(),AI987+ROW()/10000000)</f>
        <v/>
      </c>
      <c r="AK987" s="706">
        <f>IF(AND(ISNUMBER($N987),$N987&gt;0,ISNUMBER($Y987)),$Y987/$N987,"")</f>
        <v/>
      </c>
      <c r="AL987" s="706" t="n"/>
      <c r="AM987" s="706" t="n"/>
      <c r="AN987" s="706" t="n"/>
    </row>
    <row r="988">
      <c r="A988" s="706" t="n">
        <v>8</v>
      </c>
      <c r="B988" s="706" t="n">
        <v>984</v>
      </c>
      <c r="C988" s="706" t="n"/>
      <c r="D988" s="706" t="inlineStr">
        <is>
          <t>6435 W COLFAX AVE</t>
        </is>
      </c>
      <c r="E988" s="706" t="n">
        <v>349</v>
      </c>
      <c r="F988" s="706" t="inlineStr">
        <is>
          <t>DENVER</t>
        </is>
      </c>
      <c r="G988" s="706" t="n"/>
      <c r="H988" s="706">
        <f>Y988/J988</f>
        <v/>
      </c>
      <c r="I988" s="707" t="n">
        <v>44406</v>
      </c>
      <c r="J988" s="706" t="n">
        <v>3431</v>
      </c>
      <c r="K988" s="706" t="n"/>
      <c r="L988" s="706" t="n">
        <v>3431</v>
      </c>
      <c r="M988" s="706" t="n">
        <v>1999</v>
      </c>
      <c r="N988" s="706" t="n"/>
      <c r="O988" s="706" t="n"/>
      <c r="P988" s="706" t="n"/>
      <c r="Q988" s="706" t="n"/>
      <c r="R988" s="706" t="n"/>
      <c r="S988" s="706" t="n">
        <v>33106</v>
      </c>
      <c r="T988" s="706">
        <f>S988/J988</f>
        <v/>
      </c>
      <c r="U988" s="706" t="n"/>
      <c r="V988" s="706" t="n"/>
      <c r="W988" s="706" t="n"/>
      <c r="X988" s="706" t="n"/>
      <c r="Y988" s="706" t="n">
        <v>2421100</v>
      </c>
      <c r="Z988" s="706" t="n"/>
      <c r="AA988" s="706" t="n">
        <v>2421100</v>
      </c>
      <c r="AB988" s="706" t="inlineStr">
        <is>
          <t>Burger King — Fast Food; src: Retail_Sales_Cleaned</t>
        </is>
      </c>
      <c r="AC988" s="706" t="inlineStr">
        <is>
          <t>39-363-05-108</t>
        </is>
      </c>
      <c r="AD988" s="706" t="n"/>
      <c r="AE988" s="706" t="n"/>
      <c r="AF988" s="706" t="n"/>
      <c r="AG988" s="706" t="n"/>
      <c r="AH988" s="706" t="n"/>
      <c r="AI988" s="706">
        <f>IF(AND($E988=Subj_OccCode,Subj_BldgSF&gt;0,ABS($L988-Subj_BldgSF)&lt;=Subj_BldgSF*Subj_SizeTol),ABS($L988-Subj_BldgSF),NA())</f>
        <v/>
      </c>
      <c r="AJ988" s="706">
        <f>IF(ISNA(AI988),NA(),AI988+ROW()/10000000)</f>
        <v/>
      </c>
      <c r="AK988" s="706">
        <f>IF(AND(ISNUMBER($N988),$N988&gt;0,ISNUMBER($Y988)),$Y988/$N988,"")</f>
        <v/>
      </c>
      <c r="AL988" s="706" t="n"/>
      <c r="AM988" s="706" t="n"/>
      <c r="AN988" s="706" t="n"/>
    </row>
    <row r="989">
      <c r="A989" s="706" t="n">
        <v>8</v>
      </c>
      <c r="B989" s="706" t="n">
        <v>985</v>
      </c>
      <c r="C989" s="706" t="n"/>
      <c r="D989" s="706" t="inlineStr">
        <is>
          <t>8557 HOLMAN CT</t>
        </is>
      </c>
      <c r="E989" s="706" t="n">
        <v>353</v>
      </c>
      <c r="F989" s="706" t="inlineStr">
        <is>
          <t>ARVADA</t>
        </is>
      </c>
      <c r="G989" s="706" t="n"/>
      <c r="H989" s="706">
        <f>Y989/J989</f>
        <v/>
      </c>
      <c r="I989" s="707" t="n">
        <v>44726</v>
      </c>
      <c r="J989" s="706" t="n">
        <v>14600</v>
      </c>
      <c r="K989" s="706" t="n"/>
      <c r="L989" s="706" t="n">
        <v>14600</v>
      </c>
      <c r="M989" s="706" t="n">
        <v>2022</v>
      </c>
      <c r="N989" s="706" t="n"/>
      <c r="O989" s="706" t="n"/>
      <c r="P989" s="706" t="n"/>
      <c r="Q989" s="706" t="n"/>
      <c r="R989" s="706" t="n"/>
      <c r="S989" s="706" t="n">
        <v>95832</v>
      </c>
      <c r="T989" s="706">
        <f>S989/J989</f>
        <v/>
      </c>
      <c r="U989" s="706" t="n"/>
      <c r="V989" s="706" t="n"/>
      <c r="W989" s="706" t="n"/>
      <c r="X989" s="706" t="n"/>
      <c r="Y989" s="706" t="n">
        <v>10229200</v>
      </c>
      <c r="Z989" s="706" t="n"/>
      <c r="AA989" s="706" t="n">
        <v>10229200</v>
      </c>
      <c r="AB989" s="706" t="inlineStr">
        <is>
          <t>CVS — Drugstore; Investment Triple Net; src: Retail_Sales_Cleaned</t>
        </is>
      </c>
      <c r="AC989" s="706" t="inlineStr">
        <is>
          <t>29-302-27-004</t>
        </is>
      </c>
      <c r="AD989" s="706" t="n"/>
      <c r="AE989" s="706" t="n"/>
      <c r="AF989" s="706" t="n"/>
      <c r="AG989" s="706" t="n"/>
      <c r="AH989" s="706" t="n"/>
      <c r="AI989" s="706">
        <f>IF(AND($E989=Subj_OccCode,Subj_BldgSF&gt;0,ABS($L989-Subj_BldgSF)&lt;=Subj_BldgSF*Subj_SizeTol),ABS($L989-Subj_BldgSF),NA())</f>
        <v/>
      </c>
      <c r="AJ989" s="706">
        <f>IF(ISNA(AI989),NA(),AI989+ROW()/10000000)</f>
        <v/>
      </c>
      <c r="AK989" s="706">
        <f>IF(AND(ISNUMBER($N989),$N989&gt;0,ISNUMBER($Y989)),$Y989/$N989,"")</f>
        <v/>
      </c>
      <c r="AL989" s="706" t="n"/>
      <c r="AM989" s="706" t="n"/>
      <c r="AN989" s="706" t="n"/>
    </row>
    <row r="990">
      <c r="A990" s="706" t="n">
        <v>8</v>
      </c>
      <c r="B990" s="706" t="n">
        <v>986</v>
      </c>
      <c r="C990" s="706" t="n"/>
      <c r="D990" s="706" t="inlineStr">
        <is>
          <t>7401 W 92ND AVE</t>
        </is>
      </c>
      <c r="E990" s="706" t="n">
        <v>350</v>
      </c>
      <c r="F990" s="706" t="inlineStr">
        <is>
          <t>WESTMINSTER</t>
        </is>
      </c>
      <c r="G990" s="706" t="n"/>
      <c r="H990" s="706">
        <f>Y990/J990</f>
        <v/>
      </c>
      <c r="I990" s="707" t="n">
        <v>45239</v>
      </c>
      <c r="J990" s="706" t="n">
        <v>6248</v>
      </c>
      <c r="K990" s="706" t="n"/>
      <c r="L990" s="706" t="n">
        <v>6248</v>
      </c>
      <c r="M990" s="706" t="n">
        <v>1996</v>
      </c>
      <c r="N990" s="706" t="n"/>
      <c r="O990" s="706" t="n"/>
      <c r="P990" s="706" t="n"/>
      <c r="Q990" s="706" t="n"/>
      <c r="R990" s="706" t="n"/>
      <c r="S990" s="706" t="n">
        <v>61028</v>
      </c>
      <c r="T990" s="706">
        <f>S990/J990</f>
        <v/>
      </c>
      <c r="U990" s="706" t="n"/>
      <c r="V990" s="706" t="n"/>
      <c r="W990" s="706" t="n"/>
      <c r="X990" s="706" t="n"/>
      <c r="Y990" s="706" t="n">
        <v>3000000</v>
      </c>
      <c r="Z990" s="706" t="n"/>
      <c r="AA990" s="706" t="n">
        <v>3000000</v>
      </c>
      <c r="AB990" s="706" t="inlineStr">
        <is>
          <t>Carrabba's Italian Grill — Retail Center; src: Retail_Sales_Cleaned</t>
        </is>
      </c>
      <c r="AC990" s="706" t="inlineStr">
        <is>
          <t>29-231-07-008</t>
        </is>
      </c>
      <c r="AD990" s="706" t="n"/>
      <c r="AE990" s="706" t="n"/>
      <c r="AF990" s="706" t="n"/>
      <c r="AG990" s="706" t="n"/>
      <c r="AH990" s="706" t="n"/>
      <c r="AI990" s="706">
        <f>IF(AND($E990=Subj_OccCode,Subj_BldgSF&gt;0,ABS($L990-Subj_BldgSF)&lt;=Subj_BldgSF*Subj_SizeTol),ABS($L990-Subj_BldgSF),NA())</f>
        <v/>
      </c>
      <c r="AJ990" s="706">
        <f>IF(ISNA(AI990),NA(),AI990+ROW()/10000000)</f>
        <v/>
      </c>
      <c r="AK990" s="706">
        <f>IF(AND(ISNUMBER($N990),$N990&gt;0,ISNUMBER($Y990)),$Y990/$N990,"")</f>
        <v/>
      </c>
      <c r="AL990" s="706" t="n"/>
      <c r="AM990" s="706" t="n"/>
      <c r="AN990" s="706" t="n"/>
    </row>
    <row r="991">
      <c r="A991" s="706" t="n">
        <v>8</v>
      </c>
      <c r="B991" s="706" t="n">
        <v>987</v>
      </c>
      <c r="C991" s="706" t="n"/>
      <c r="D991" s="706" t="inlineStr">
        <is>
          <t>5236 WADSWORTH BYP</t>
        </is>
      </c>
      <c r="E991" s="706" t="n">
        <v>349</v>
      </c>
      <c r="F991" s="706" t="inlineStr">
        <is>
          <t>ARVADA</t>
        </is>
      </c>
      <c r="G991" s="706" t="n"/>
      <c r="H991" s="706">
        <f>Y991/J991</f>
        <v/>
      </c>
      <c r="I991" s="707" t="n">
        <v>44028</v>
      </c>
      <c r="J991" s="706" t="n">
        <v>4396</v>
      </c>
      <c r="K991" s="706" t="n"/>
      <c r="L991" s="706" t="n">
        <v>4396</v>
      </c>
      <c r="M991" s="706" t="n">
        <v>2012</v>
      </c>
      <c r="N991" s="706" t="n"/>
      <c r="O991" s="706" t="n"/>
      <c r="P991" s="706" t="n"/>
      <c r="Q991" s="706" t="n"/>
      <c r="R991" s="706" t="n"/>
      <c r="S991" s="706" t="n">
        <v>18295</v>
      </c>
      <c r="T991" s="706">
        <f>S991/J991</f>
        <v/>
      </c>
      <c r="U991" s="706" t="n"/>
      <c r="V991" s="706" t="n"/>
      <c r="W991" s="706" t="n"/>
      <c r="X991" s="706" t="n"/>
      <c r="Y991" s="706" t="n">
        <v>2590000</v>
      </c>
      <c r="Z991" s="706" t="n"/>
      <c r="AA991" s="706" t="n">
        <v>2590000</v>
      </c>
      <c r="AB991" s="706" t="inlineStr">
        <is>
          <t>Chick-fil-A — Fast Food [Paired Sale]; 1031 Exchange,Investment Triple Net; src: Retail_Sales_Cleaned</t>
        </is>
      </c>
      <c r="AC991" s="706" t="inlineStr">
        <is>
          <t>39-141-14-002</t>
        </is>
      </c>
      <c r="AD991" s="706" t="n"/>
      <c r="AE991" s="706" t="n"/>
      <c r="AF991" s="706" t="n"/>
      <c r="AG991" s="706" t="n"/>
      <c r="AH991" s="706" t="n"/>
      <c r="AI991" s="706">
        <f>IF(AND($E991=Subj_OccCode,Subj_BldgSF&gt;0,ABS($L991-Subj_BldgSF)&lt;=Subj_BldgSF*Subj_SizeTol),ABS($L991-Subj_BldgSF),NA())</f>
        <v/>
      </c>
      <c r="AJ991" s="706">
        <f>IF(ISNA(AI991),NA(),AI991+ROW()/10000000)</f>
        <v/>
      </c>
      <c r="AK991" s="706">
        <f>IF(AND(ISNUMBER($N991),$N991&gt;0,ISNUMBER($Y991)),$Y991/$N991,"")</f>
        <v/>
      </c>
      <c r="AL991" s="706" t="n"/>
      <c r="AM991" s="706" t="n"/>
      <c r="AN991" s="706" t="n"/>
    </row>
    <row r="992">
      <c r="A992" s="706" t="n">
        <v>8</v>
      </c>
      <c r="B992" s="706" t="n">
        <v>988</v>
      </c>
      <c r="C992" s="706" t="n"/>
      <c r="D992" s="706" t="inlineStr">
        <is>
          <t>5236 WADSWORTH BYP</t>
        </is>
      </c>
      <c r="E992" s="706" t="n">
        <v>349</v>
      </c>
      <c r="F992" s="706" t="inlineStr">
        <is>
          <t>ARVADA</t>
        </is>
      </c>
      <c r="G992" s="706" t="n"/>
      <c r="H992" s="706">
        <f>Y992/J992</f>
        <v/>
      </c>
      <c r="I992" s="707" t="n">
        <v>44830</v>
      </c>
      <c r="J992" s="706" t="n">
        <v>4396</v>
      </c>
      <c r="K992" s="706" t="n"/>
      <c r="L992" s="706" t="n">
        <v>4396</v>
      </c>
      <c r="M992" s="706" t="n">
        <v>2012</v>
      </c>
      <c r="N992" s="706" t="n"/>
      <c r="O992" s="706" t="n"/>
      <c r="P992" s="706" t="n"/>
      <c r="Q992" s="706" t="n"/>
      <c r="R992" s="706" t="n"/>
      <c r="S992" s="706" t="n">
        <v>18295</v>
      </c>
      <c r="T992" s="706">
        <f>S992/J992</f>
        <v/>
      </c>
      <c r="U992" s="706" t="n"/>
      <c r="V992" s="706" t="n"/>
      <c r="W992" s="706" t="n"/>
      <c r="X992" s="706" t="n"/>
      <c r="Y992" s="706" t="n">
        <v>2950000</v>
      </c>
      <c r="Z992" s="706" t="n"/>
      <c r="AA992" s="706" t="n">
        <v>2950000</v>
      </c>
      <c r="AB992" s="706" t="inlineStr">
        <is>
          <t>Chick-fil-A — Fast Food; Investment Triple Net; src: Retail_Sales_Cleaned</t>
        </is>
      </c>
      <c r="AC992" s="706" t="inlineStr">
        <is>
          <t>39-141-14-002</t>
        </is>
      </c>
      <c r="AD992" s="706" t="n"/>
      <c r="AE992" s="706" t="n"/>
      <c r="AF992" s="706" t="n"/>
      <c r="AG992" s="706" t="n"/>
      <c r="AH992" s="706" t="n"/>
      <c r="AI992" s="706">
        <f>IF(AND($E992=Subj_OccCode,Subj_BldgSF&gt;0,ABS($L992-Subj_BldgSF)&lt;=Subj_BldgSF*Subj_SizeTol),ABS($L992-Subj_BldgSF),NA())</f>
        <v/>
      </c>
      <c r="AJ992" s="706">
        <f>IF(ISNA(AI992),NA(),AI992+ROW()/10000000)</f>
        <v/>
      </c>
      <c r="AK992" s="706">
        <f>IF(AND(ISNUMBER($N992),$N992&gt;0,ISNUMBER($Y992)),$Y992/$N992,"")</f>
        <v/>
      </c>
      <c r="AL992" s="706" t="n"/>
      <c r="AM992" s="706" t="n"/>
      <c r="AN992" s="706" t="n"/>
    </row>
    <row r="993">
      <c r="A993" s="706" t="n">
        <v>8</v>
      </c>
      <c r="B993" s="706" t="n">
        <v>989</v>
      </c>
      <c r="C993" s="706" t="n"/>
      <c r="D993" s="706" t="inlineStr">
        <is>
          <t>8515 W 100TH AVE</t>
        </is>
      </c>
      <c r="E993" s="706" t="n">
        <v>410</v>
      </c>
      <c r="F993" s="706" t="inlineStr">
        <is>
          <t>WESTMINSTER</t>
        </is>
      </c>
      <c r="G993" s="706" t="n"/>
      <c r="H993" s="706">
        <f>Y993/J993</f>
        <v/>
      </c>
      <c r="I993" s="707" t="n">
        <v>43445</v>
      </c>
      <c r="J993" s="706" t="n">
        <v>4000</v>
      </c>
      <c r="K993" s="706" t="n"/>
      <c r="L993" s="706" t="n">
        <v>4000</v>
      </c>
      <c r="M993" s="706" t="n">
        <v>2018</v>
      </c>
      <c r="N993" s="706" t="n"/>
      <c r="O993" s="706" t="n"/>
      <c r="P993" s="706" t="n"/>
      <c r="Q993" s="706" t="n"/>
      <c r="R993" s="706" t="n"/>
      <c r="S993" s="706" t="n">
        <v>38333</v>
      </c>
      <c r="T993" s="706">
        <f>S993/J993</f>
        <v/>
      </c>
      <c r="U993" s="706" t="n"/>
      <c r="V993" s="706" t="n"/>
      <c r="W993" s="706" t="n"/>
      <c r="X993" s="706" t="n"/>
      <c r="Y993" s="706" t="n">
        <v>3065000</v>
      </c>
      <c r="Z993" s="706" t="n"/>
      <c r="AA993" s="706" t="n">
        <v>3065000</v>
      </c>
      <c r="AB993" s="706" t="inlineStr">
        <is>
          <t>Christian Brothers Automotive — Auto Service [Old Sale]; src: Retail_Sales_Cleaned</t>
        </is>
      </c>
      <c r="AC993" s="706" t="inlineStr">
        <is>
          <t>29-151-01-048</t>
        </is>
      </c>
      <c r="AD993" s="706" t="n"/>
      <c r="AE993" s="706" t="n"/>
      <c r="AF993" s="706" t="n"/>
      <c r="AG993" s="706" t="n"/>
      <c r="AH993" s="706" t="n"/>
      <c r="AI993" s="706">
        <f>IF(AND($E993=Subj_OccCode,Subj_BldgSF&gt;0,ABS($L993-Subj_BldgSF)&lt;=Subj_BldgSF*Subj_SizeTol),ABS($L993-Subj_BldgSF),NA())</f>
        <v/>
      </c>
      <c r="AJ993" s="706">
        <f>IF(ISNA(AI993),NA(),AI993+ROW()/10000000)</f>
        <v/>
      </c>
      <c r="AK993" s="706">
        <f>IF(AND(ISNUMBER($N993),$N993&gt;0,ISNUMBER($Y993)),$Y993/$N993,"")</f>
        <v/>
      </c>
      <c r="AL993" s="706" t="n"/>
      <c r="AM993" s="706" t="n"/>
      <c r="AN993" s="706" t="n"/>
    </row>
    <row r="994">
      <c r="A994" s="706" t="n">
        <v>8</v>
      </c>
      <c r="B994" s="706" t="n">
        <v>990</v>
      </c>
      <c r="C994" s="706" t="n"/>
      <c r="D994" s="706" t="inlineStr">
        <is>
          <t>3865 KIPLING ST</t>
        </is>
      </c>
      <c r="E994" s="706" t="n">
        <v>410</v>
      </c>
      <c r="F994" s="706" t="inlineStr">
        <is>
          <t>WHEAT RIDGE</t>
        </is>
      </c>
      <c r="G994" s="706" t="n"/>
      <c r="H994" s="706">
        <f>Y994/J994</f>
        <v/>
      </c>
      <c r="I994" s="707" t="n">
        <v>45330</v>
      </c>
      <c r="J994" s="706" t="n">
        <v>5637</v>
      </c>
      <c r="K994" s="706" t="n"/>
      <c r="L994" s="706" t="n">
        <v>5637</v>
      </c>
      <c r="M994" s="706" t="n">
        <v>2022</v>
      </c>
      <c r="N994" s="706" t="n"/>
      <c r="O994" s="706" t="n"/>
      <c r="P994" s="706" t="n"/>
      <c r="Q994" s="706" t="n"/>
      <c r="R994" s="706" t="n"/>
      <c r="S994" s="706" t="n">
        <v>42121</v>
      </c>
      <c r="T994" s="706">
        <f>S994/J994</f>
        <v/>
      </c>
      <c r="U994" s="706" t="n"/>
      <c r="V994" s="706" t="n"/>
      <c r="W994" s="706" t="n"/>
      <c r="X994" s="706" t="n"/>
      <c r="Y994" s="706" t="n">
        <v>3995000</v>
      </c>
      <c r="Z994" s="706" t="n"/>
      <c r="AA994" s="706" t="n">
        <v>3995000</v>
      </c>
      <c r="AB994" s="706" t="inlineStr">
        <is>
          <t>Christian Brothers Automotive — Auto Service; src: Retail_Sales_Cleaned</t>
        </is>
      </c>
      <c r="AC994" s="706" t="inlineStr">
        <is>
          <t>39-214-13-018</t>
        </is>
      </c>
      <c r="AD994" s="706" t="n"/>
      <c r="AE994" s="706" t="n"/>
      <c r="AF994" s="706" t="n"/>
      <c r="AG994" s="706" t="n"/>
      <c r="AH994" s="706" t="n"/>
      <c r="AI994" s="706">
        <f>IF(AND($E994=Subj_OccCode,Subj_BldgSF&gt;0,ABS($L994-Subj_BldgSF)&lt;=Subj_BldgSF*Subj_SizeTol),ABS($L994-Subj_BldgSF),NA())</f>
        <v/>
      </c>
      <c r="AJ994" s="706">
        <f>IF(ISNA(AI994),NA(),AI994+ROW()/10000000)</f>
        <v/>
      </c>
      <c r="AK994" s="706">
        <f>IF(AND(ISNUMBER($N994),$N994&gt;0,ISNUMBER($Y994)),$Y994/$N994,"")</f>
        <v/>
      </c>
      <c r="AL994" s="706" t="n"/>
      <c r="AM994" s="706" t="n"/>
      <c r="AN994" s="706" t="n"/>
    </row>
    <row r="995">
      <c r="A995" s="706" t="n">
        <v>8</v>
      </c>
      <c r="B995" s="706" t="n">
        <v>991</v>
      </c>
      <c r="C995" s="706" t="n"/>
      <c r="D995" s="706" t="inlineStr">
        <is>
          <t>5828 S SWADLEY CT</t>
        </is>
      </c>
      <c r="E995" s="706" t="n">
        <v>410</v>
      </c>
      <c r="F995" s="706" t="inlineStr">
        <is>
          <t>LITTLETON</t>
        </is>
      </c>
      <c r="G995" s="706" t="n"/>
      <c r="H995" s="706">
        <f>Y995/J995</f>
        <v/>
      </c>
      <c r="I995" s="707" t="n">
        <v>45383</v>
      </c>
      <c r="J995" s="706" t="n">
        <v>4920</v>
      </c>
      <c r="K995" s="706" t="n"/>
      <c r="L995" s="706" t="n">
        <v>4920</v>
      </c>
      <c r="M995" s="706" t="n">
        <v>2016</v>
      </c>
      <c r="N995" s="706" t="n"/>
      <c r="O995" s="706" t="n"/>
      <c r="P995" s="706" t="n"/>
      <c r="Q995" s="706" t="n"/>
      <c r="R995" s="706" t="n"/>
      <c r="S995" s="706" t="n">
        <v>31363</v>
      </c>
      <c r="T995" s="706">
        <f>S995/J995</f>
        <v/>
      </c>
      <c r="U995" s="706" t="n"/>
      <c r="V995" s="706" t="n"/>
      <c r="W995" s="706" t="n"/>
      <c r="X995" s="706" t="n"/>
      <c r="Y995" s="706" t="n">
        <v>3085000</v>
      </c>
      <c r="Z995" s="706" t="n"/>
      <c r="AA995" s="706" t="n">
        <v>3085000</v>
      </c>
      <c r="AB995" s="706" t="inlineStr">
        <is>
          <t>Christian Brothers Automotive — Auto Service; src: Retail_Sales_Cleaned</t>
        </is>
      </c>
      <c r="AC995" s="706" t="inlineStr">
        <is>
          <t>59-174-12-001</t>
        </is>
      </c>
      <c r="AD995" s="706" t="n"/>
      <c r="AE995" s="706" t="n"/>
      <c r="AF995" s="706" t="n"/>
      <c r="AG995" s="706" t="n"/>
      <c r="AH995" s="706" t="n"/>
      <c r="AI995" s="706">
        <f>IF(AND($E995=Subj_OccCode,Subj_BldgSF&gt;0,ABS($L995-Subj_BldgSF)&lt;=Subj_BldgSF*Subj_SizeTol),ABS($L995-Subj_BldgSF),NA())</f>
        <v/>
      </c>
      <c r="AJ995" s="706">
        <f>IF(ISNA(AI995),NA(),AI995+ROW()/10000000)</f>
        <v/>
      </c>
      <c r="AK995" s="706">
        <f>IF(AND(ISNUMBER($N995),$N995&gt;0,ISNUMBER($Y995)),$Y995/$N995,"")</f>
        <v/>
      </c>
      <c r="AL995" s="706" t="n"/>
      <c r="AM995" s="706" t="n"/>
      <c r="AN995" s="706" t="n"/>
    </row>
    <row r="996">
      <c r="A996" s="706" t="n">
        <v>8</v>
      </c>
      <c r="B996" s="706" t="n">
        <v>992</v>
      </c>
      <c r="C996" s="706" t="n"/>
      <c r="D996" s="706" t="inlineStr">
        <is>
          <t>6790 W 38TH AVE</t>
        </is>
      </c>
      <c r="E996" s="706" t="n">
        <v>349</v>
      </c>
      <c r="F996" s="706" t="inlineStr">
        <is>
          <t>WHEAT RIDGE</t>
        </is>
      </c>
      <c r="G996" s="706" t="n"/>
      <c r="H996" s="706">
        <f>Y996/J996</f>
        <v/>
      </c>
      <c r="I996" s="707" t="n">
        <v>43054</v>
      </c>
      <c r="J996" s="706" t="n">
        <v>1906</v>
      </c>
      <c r="K996" s="706" t="n"/>
      <c r="L996" s="706" t="n">
        <v>1906</v>
      </c>
      <c r="M996" s="706" t="n">
        <v>1966</v>
      </c>
      <c r="N996" s="706" t="n"/>
      <c r="O996" s="706" t="n"/>
      <c r="P996" s="706" t="n"/>
      <c r="Q996" s="706" t="n"/>
      <c r="R996" s="706" t="n"/>
      <c r="S996" s="706" t="n">
        <v>13840</v>
      </c>
      <c r="T996" s="706">
        <f>S996/J996</f>
        <v/>
      </c>
      <c r="U996" s="706" t="n"/>
      <c r="V996" s="706" t="n"/>
      <c r="W996" s="706" t="n"/>
      <c r="X996" s="706" t="n"/>
      <c r="Y996" s="706" t="n">
        <v>600000</v>
      </c>
      <c r="Z996" s="706" t="n"/>
      <c r="AA996" s="706" t="n">
        <v>600000</v>
      </c>
      <c r="AB996" s="706" t="inlineStr">
        <is>
          <t>Dairy Queen — Fast Food [Old Sale]; src: Retail_Sales_Cleaned</t>
        </is>
      </c>
      <c r="AC996" s="706" t="inlineStr">
        <is>
          <t>39-252-05-035</t>
        </is>
      </c>
      <c r="AD996" s="706" t="n"/>
      <c r="AE996" s="706" t="n"/>
      <c r="AF996" s="706" t="n"/>
      <c r="AG996" s="706" t="n"/>
      <c r="AH996" s="706" t="n"/>
      <c r="AI996" s="706">
        <f>IF(AND($E996=Subj_OccCode,Subj_BldgSF&gt;0,ABS($L996-Subj_BldgSF)&lt;=Subj_BldgSF*Subj_SizeTol),ABS($L996-Subj_BldgSF),NA())</f>
        <v/>
      </c>
      <c r="AJ996" s="706">
        <f>IF(ISNA(AI996),NA(),AI996+ROW()/10000000)</f>
        <v/>
      </c>
      <c r="AK996" s="706">
        <f>IF(AND(ISNUMBER($N996),$N996&gt;0,ISNUMBER($Y996)),$Y996/$N996,"")</f>
        <v/>
      </c>
      <c r="AL996" s="706" t="n"/>
      <c r="AM996" s="706" t="n"/>
      <c r="AN996" s="706" t="n"/>
    </row>
    <row r="997">
      <c r="A997" s="706" t="n">
        <v>8</v>
      </c>
      <c r="B997" s="706" t="n">
        <v>993</v>
      </c>
      <c r="C997" s="706" t="n"/>
      <c r="D997" s="706" t="inlineStr">
        <is>
          <t>8025 W BOWLES AVE</t>
        </is>
      </c>
      <c r="E997" s="706" t="n">
        <v>414</v>
      </c>
      <c r="F997" s="706" t="inlineStr">
        <is>
          <t>LITTLETON</t>
        </is>
      </c>
      <c r="G997" s="706" t="n"/>
      <c r="H997" s="706">
        <f>Y997/J997</f>
        <v/>
      </c>
      <c r="I997" s="707" t="n">
        <v>45019</v>
      </c>
      <c r="J997" s="706" t="n">
        <v>5665</v>
      </c>
      <c r="K997" s="706" t="n"/>
      <c r="L997" s="706" t="n">
        <v>5665</v>
      </c>
      <c r="M997" s="706" t="n">
        <v>1996</v>
      </c>
      <c r="N997" s="706" t="n"/>
      <c r="O997" s="706" t="n"/>
      <c r="P997" s="706" t="n"/>
      <c r="Q997" s="706" t="n"/>
      <c r="R997" s="706" t="n"/>
      <c r="S997" s="706" t="n">
        <v>40337</v>
      </c>
      <c r="T997" s="706">
        <f>S997/J997</f>
        <v/>
      </c>
      <c r="U997" s="706" t="n"/>
      <c r="V997" s="706" t="n"/>
      <c r="W997" s="706" t="n"/>
      <c r="X997" s="706" t="n"/>
      <c r="Y997" s="706" t="n">
        <v>1275000</v>
      </c>
      <c r="Z997" s="706" t="n"/>
      <c r="AA997" s="706" t="n">
        <v>1275000</v>
      </c>
      <c r="AB997" s="706" t="inlineStr">
        <is>
          <t>Dark - Frmr Ruby Tuesday — Retail Center; src: Retail_Sales_Cleaned</t>
        </is>
      </c>
      <c r="AC997" s="706" t="inlineStr">
        <is>
          <t>59-143-01-012</t>
        </is>
      </c>
      <c r="AD997" s="706" t="n"/>
      <c r="AE997" s="706" t="n"/>
      <c r="AF997" s="706" t="n"/>
      <c r="AG997" s="706" t="n"/>
      <c r="AH997" s="706" t="n"/>
      <c r="AI997" s="706">
        <f>IF(AND($E997=Subj_OccCode,Subj_BldgSF&gt;0,ABS($L997-Subj_BldgSF)&lt;=Subj_BldgSF*Subj_SizeTol),ABS($L997-Subj_BldgSF),NA())</f>
        <v/>
      </c>
      <c r="AJ997" s="706">
        <f>IF(ISNA(AI997),NA(),AI997+ROW()/10000000)</f>
        <v/>
      </c>
      <c r="AK997" s="706">
        <f>IF(AND(ISNUMBER($N997),$N997&gt;0,ISNUMBER($Y997)),$Y997/$N997,"")</f>
        <v/>
      </c>
      <c r="AL997" s="706" t="n"/>
      <c r="AM997" s="706" t="n"/>
      <c r="AN997" s="706" t="n"/>
    </row>
    <row r="998">
      <c r="A998" s="706" t="n">
        <v>8</v>
      </c>
      <c r="B998" s="706" t="n">
        <v>994</v>
      </c>
      <c r="C998" s="706" t="n"/>
      <c r="D998" s="706" t="inlineStr">
        <is>
          <t>10081 W BOWLES AVE</t>
        </is>
      </c>
      <c r="E998" s="706" t="n">
        <v>446</v>
      </c>
      <c r="F998" s="706" t="inlineStr">
        <is>
          <t>LITTLETON</t>
        </is>
      </c>
      <c r="G998" s="706" t="n"/>
      <c r="H998" s="706">
        <f>Y998/J998</f>
        <v/>
      </c>
      <c r="I998" s="707" t="n">
        <v>45526</v>
      </c>
      <c r="J998" s="706" t="n">
        <v>45485</v>
      </c>
      <c r="K998" s="706" t="n"/>
      <c r="L998" s="706" t="n">
        <v>45485</v>
      </c>
      <c r="M998" s="706" t="n">
        <v>1981</v>
      </c>
      <c r="N998" s="706" t="n"/>
      <c r="O998" s="706" t="n"/>
      <c r="P998" s="706" t="n"/>
      <c r="Q998" s="706" t="n"/>
      <c r="R998" s="706" t="n"/>
      <c r="S998" s="706" t="n">
        <v>163350</v>
      </c>
      <c r="T998" s="706">
        <f>S998/J998</f>
        <v/>
      </c>
      <c r="U998" s="706" t="n"/>
      <c r="V998" s="706" t="n"/>
      <c r="W998" s="706" t="n"/>
      <c r="X998" s="706" t="n"/>
      <c r="Y998" s="706" t="n">
        <v>4460000</v>
      </c>
      <c r="Z998" s="706" t="n"/>
      <c r="AA998" s="706" t="n">
        <v>4460000</v>
      </c>
      <c r="AB998" s="706" t="inlineStr">
        <is>
          <t>Dark Grocery — Supermarket [Dark]; Deferred Maintenance; src: Retail_Sales_Cleaned</t>
        </is>
      </c>
      <c r="AC998" s="706" t="inlineStr">
        <is>
          <t>59-164-12-066</t>
        </is>
      </c>
      <c r="AD998" s="706" t="n"/>
      <c r="AE998" s="706" t="n"/>
      <c r="AF998" s="706" t="n"/>
      <c r="AG998" s="706" t="n"/>
      <c r="AH998" s="706" t="n"/>
      <c r="AI998" s="706">
        <f>IF(AND($E998=Subj_OccCode,Subj_BldgSF&gt;0,ABS($L998-Subj_BldgSF)&lt;=Subj_BldgSF*Subj_SizeTol),ABS($L998-Subj_BldgSF),NA())</f>
        <v/>
      </c>
      <c r="AJ998" s="706">
        <f>IF(ISNA(AI998),NA(),AI998+ROW()/10000000)</f>
        <v/>
      </c>
      <c r="AK998" s="706">
        <f>IF(AND(ISNUMBER($N998),$N998&gt;0,ISNUMBER($Y998)),$Y998/$N998,"")</f>
        <v/>
      </c>
      <c r="AL998" s="706" t="n"/>
      <c r="AM998" s="706" t="n"/>
      <c r="AN998" s="706" t="n"/>
    </row>
    <row r="999">
      <c r="A999" s="706" t="n">
        <v>8</v>
      </c>
      <c r="B999" s="706" t="n">
        <v>995</v>
      </c>
      <c r="C999" s="706" t="n"/>
      <c r="D999" s="706" t="inlineStr">
        <is>
          <t>43 UNION BLVD</t>
        </is>
      </c>
      <c r="E999" s="706" t="n">
        <v>349</v>
      </c>
      <c r="F999" s="706" t="inlineStr">
        <is>
          <t>LAKEWOOD</t>
        </is>
      </c>
      <c r="G999" s="706" t="n"/>
      <c r="H999" s="706">
        <f>Y999/J999</f>
        <v/>
      </c>
      <c r="I999" s="707" t="n">
        <v>44158</v>
      </c>
      <c r="J999" s="706" t="n">
        <v>2226</v>
      </c>
      <c r="K999" s="706" t="n"/>
      <c r="L999" s="706" t="n">
        <v>2226</v>
      </c>
      <c r="M999" s="706" t="n">
        <v>1979</v>
      </c>
      <c r="N999" s="706" t="n"/>
      <c r="O999" s="706" t="n"/>
      <c r="P999" s="706" t="n"/>
      <c r="Q999" s="706" t="n"/>
      <c r="R999" s="706" t="n"/>
      <c r="S999" s="706" t="n">
        <v>27181</v>
      </c>
      <c r="T999" s="706">
        <f>S999/J999</f>
        <v/>
      </c>
      <c r="U999" s="706" t="n"/>
      <c r="V999" s="706" t="n"/>
      <c r="W999" s="706" t="n"/>
      <c r="X999" s="706" t="n"/>
      <c r="Y999" s="706" t="n">
        <v>2724000</v>
      </c>
      <c r="Z999" s="706" t="n"/>
      <c r="AA999" s="706" t="n">
        <v>2724000</v>
      </c>
      <c r="AB999" s="706" t="inlineStr">
        <is>
          <t>Del Taco — Fast Food; src: Retail_Sales_Cleaned</t>
        </is>
      </c>
      <c r="AC999" s="706" t="inlineStr">
        <is>
          <t>49-084-02-009</t>
        </is>
      </c>
      <c r="AD999" s="706" t="n"/>
      <c r="AE999" s="706" t="n"/>
      <c r="AF999" s="706" t="n"/>
      <c r="AG999" s="706" t="n"/>
      <c r="AH999" s="706" t="n"/>
      <c r="AI999" s="706">
        <f>IF(AND($E999=Subj_OccCode,Subj_BldgSF&gt;0,ABS($L999-Subj_BldgSF)&lt;=Subj_BldgSF*Subj_SizeTol),ABS($L999-Subj_BldgSF),NA())</f>
        <v/>
      </c>
      <c r="AJ999" s="706">
        <f>IF(ISNA(AI999),NA(),AI999+ROW()/10000000)</f>
        <v/>
      </c>
      <c r="AK999" s="706">
        <f>IF(AND(ISNUMBER($N999),$N999&gt;0,ISNUMBER($Y999)),$Y999/$N999,"")</f>
        <v/>
      </c>
      <c r="AL999" s="706" t="n"/>
      <c r="AM999" s="706" t="n"/>
      <c r="AN999" s="706" t="n"/>
    </row>
    <row r="1000">
      <c r="A1000" s="706" t="n">
        <v>8</v>
      </c>
      <c r="B1000" s="706" t="n">
        <v>996</v>
      </c>
      <c r="C1000" s="706" t="n"/>
      <c r="D1000" s="706" t="inlineStr">
        <is>
          <t>6915 W 38TH AVE</t>
        </is>
      </c>
      <c r="E1000" s="706" t="n">
        <v>325</v>
      </c>
      <c r="F1000" s="706" t="inlineStr">
        <is>
          <t>WHEAT RIDGE</t>
        </is>
      </c>
      <c r="G1000" s="706" t="n"/>
      <c r="H1000" s="706">
        <f>Y1000/J1000</f>
        <v/>
      </c>
      <c r="I1000" s="707" t="n">
        <v>44886</v>
      </c>
      <c r="J1000" s="706" t="n">
        <v>6681</v>
      </c>
      <c r="K1000" s="706" t="n"/>
      <c r="L1000" s="706" t="n">
        <v>6681</v>
      </c>
      <c r="M1000" s="706" t="n">
        <v>1946</v>
      </c>
      <c r="N1000" s="706" t="n"/>
      <c r="O1000" s="706" t="n"/>
      <c r="P1000" s="706" t="n"/>
      <c r="Q1000" s="706" t="n"/>
      <c r="R1000" s="706" t="n"/>
      <c r="S1000" s="706" t="n">
        <v>18339</v>
      </c>
      <c r="T1000" s="706">
        <f>S1000/J1000</f>
        <v/>
      </c>
      <c r="U1000" s="706" t="n"/>
      <c r="V1000" s="706" t="n"/>
      <c r="W1000" s="706" t="n"/>
      <c r="X1000" s="706" t="n"/>
      <c r="Y1000" s="706" t="n">
        <v>1928000</v>
      </c>
      <c r="Z1000" s="706" t="n"/>
      <c r="AA1000" s="706" t="n">
        <v>1928000</v>
      </c>
      <c r="AB1000" s="706" t="inlineStr">
        <is>
          <t>Denvers Quality Automotive — Auto Service; src: Retail_Sales_Cleaned</t>
        </is>
      </c>
      <c r="AC1000" s="706" t="inlineStr">
        <is>
          <t>39-234-10-035</t>
        </is>
      </c>
      <c r="AD1000" s="706" t="n"/>
      <c r="AE1000" s="706" t="n"/>
      <c r="AF1000" s="706" t="n"/>
      <c r="AG1000" s="706" t="n"/>
      <c r="AH1000" s="706" t="n"/>
      <c r="AI1000" s="706">
        <f>IF(AND($E1000=Subj_OccCode,Subj_BldgSF&gt;0,ABS($L1000-Subj_BldgSF)&lt;=Subj_BldgSF*Subj_SizeTol),ABS($L1000-Subj_BldgSF),NA())</f>
        <v/>
      </c>
      <c r="AJ1000" s="706">
        <f>IF(ISNA(AI1000),NA(),AI1000+ROW()/10000000)</f>
        <v/>
      </c>
      <c r="AK1000" s="706">
        <f>IF(AND(ISNUMBER($N1000),$N1000&gt;0,ISNUMBER($Y1000)),$Y1000/$N1000,"")</f>
        <v/>
      </c>
      <c r="AL1000" s="706" t="n"/>
      <c r="AM1000" s="706" t="n"/>
      <c r="AN1000" s="706" t="n"/>
    </row>
    <row r="1001">
      <c r="A1001" s="706" t="n">
        <v>8</v>
      </c>
      <c r="B1001" s="706" t="n">
        <v>997</v>
      </c>
      <c r="C1001" s="706" t="n"/>
      <c r="D1001" s="706" t="inlineStr">
        <is>
          <t>10855 US HWY 285</t>
        </is>
      </c>
      <c r="E1001" s="706" t="n">
        <v>349</v>
      </c>
      <c r="F1001" s="706" t="inlineStr">
        <is>
          <t>CONIFER</t>
        </is>
      </c>
      <c r="G1001" s="706" t="n"/>
      <c r="H1001" s="706">
        <f>Y1001/J1001</f>
        <v/>
      </c>
      <c r="I1001" s="707" t="n">
        <v>44222</v>
      </c>
      <c r="J1001" s="706" t="n">
        <v>824</v>
      </c>
      <c r="K1001" s="706" t="n"/>
      <c r="L1001" s="706" t="n">
        <v>824</v>
      </c>
      <c r="M1001" s="706" t="n">
        <v>2020</v>
      </c>
      <c r="N1001" s="706" t="n"/>
      <c r="O1001" s="706" t="n"/>
      <c r="P1001" s="706" t="n"/>
      <c r="Q1001" s="706" t="n"/>
      <c r="R1001" s="706" t="n"/>
      <c r="S1001" s="706" t="n">
        <v>31799</v>
      </c>
      <c r="T1001" s="706">
        <f>S1001/J1001</f>
        <v/>
      </c>
      <c r="U1001" s="706" t="n"/>
      <c r="V1001" s="706" t="n"/>
      <c r="W1001" s="706" t="n"/>
      <c r="X1001" s="706" t="n"/>
      <c r="Y1001" s="706" t="n">
        <v>2130000</v>
      </c>
      <c r="Z1001" s="706" t="n"/>
      <c r="AA1001" s="706" t="n">
        <v>2130000</v>
      </c>
      <c r="AB1001" s="706" t="inlineStr">
        <is>
          <t>Dutch Bros — Coffee; Investment Triple Net; src: Retail_Sales_Cleaned</t>
        </is>
      </c>
      <c r="AC1001" s="706" t="inlineStr">
        <is>
          <t>61-231-02-006</t>
        </is>
      </c>
      <c r="AD1001" s="706" t="n"/>
      <c r="AE1001" s="706" t="n"/>
      <c r="AF1001" s="706" t="n"/>
      <c r="AG1001" s="706" t="n"/>
      <c r="AH1001" s="706" t="n"/>
      <c r="AI1001" s="706">
        <f>IF(AND($E1001=Subj_OccCode,Subj_BldgSF&gt;0,ABS($L1001-Subj_BldgSF)&lt;=Subj_BldgSF*Subj_SizeTol),ABS($L1001-Subj_BldgSF),NA())</f>
        <v/>
      </c>
      <c r="AJ1001" s="706">
        <f>IF(ISNA(AI1001),NA(),AI1001+ROW()/10000000)</f>
        <v/>
      </c>
      <c r="AK1001" s="706">
        <f>IF(AND(ISNUMBER($N1001),$N1001&gt;0,ISNUMBER($Y1001)),$Y1001/$N1001,"")</f>
        <v/>
      </c>
      <c r="AL1001" s="706" t="n"/>
      <c r="AM1001" s="706" t="n"/>
      <c r="AN1001" s="706" t="n"/>
    </row>
    <row r="1002">
      <c r="A1002" s="706" t="n">
        <v>8</v>
      </c>
      <c r="B1002" s="706" t="n">
        <v>998</v>
      </c>
      <c r="C1002" s="706" t="n"/>
      <c r="D1002" s="706" t="inlineStr">
        <is>
          <t>3805 WADSWORTH BLVD</t>
        </is>
      </c>
      <c r="E1002" s="706" t="n">
        <v>410</v>
      </c>
      <c r="F1002" s="706" t="inlineStr">
        <is>
          <t>WHEAT RIDGE</t>
        </is>
      </c>
      <c r="G1002" s="706" t="n"/>
      <c r="H1002" s="706">
        <f>Y1002/J1002</f>
        <v/>
      </c>
      <c r="I1002" s="707" t="n">
        <v>44020</v>
      </c>
      <c r="J1002" s="706" t="n">
        <v>4400</v>
      </c>
      <c r="K1002" s="706" t="n"/>
      <c r="L1002" s="706" t="n">
        <v>4400</v>
      </c>
      <c r="M1002" s="706" t="n">
        <v>1985</v>
      </c>
      <c r="N1002" s="706" t="n"/>
      <c r="O1002" s="706" t="n"/>
      <c r="P1002" s="706" t="n"/>
      <c r="Q1002" s="706" t="n"/>
      <c r="R1002" s="706" t="n"/>
      <c r="S1002" s="706" t="n">
        <v>19340</v>
      </c>
      <c r="T1002" s="706">
        <f>S1002/J1002</f>
        <v/>
      </c>
      <c r="U1002" s="706" t="n"/>
      <c r="V1002" s="706" t="n"/>
      <c r="W1002" s="706" t="n"/>
      <c r="X1002" s="706" t="n"/>
      <c r="Y1002" s="706" t="n">
        <v>1500000</v>
      </c>
      <c r="Z1002" s="706" t="n"/>
      <c r="AA1002" s="706" t="n">
        <v>1500000</v>
      </c>
      <c r="AB1002" s="706" t="inlineStr">
        <is>
          <t>Firestone — Auto Service; Redevelopment Project; src: Retail_Sales_Cleaned</t>
        </is>
      </c>
      <c r="AC1002" s="706" t="inlineStr">
        <is>
          <t>39-233-00-047</t>
        </is>
      </c>
      <c r="AD1002" s="706" t="n"/>
      <c r="AE1002" s="706" t="n"/>
      <c r="AF1002" s="706" t="n"/>
      <c r="AG1002" s="706" t="n"/>
      <c r="AH1002" s="706" t="n"/>
      <c r="AI1002" s="706">
        <f>IF(AND($E1002=Subj_OccCode,Subj_BldgSF&gt;0,ABS($L1002-Subj_BldgSF)&lt;=Subj_BldgSF*Subj_SizeTol),ABS($L1002-Subj_BldgSF),NA())</f>
        <v/>
      </c>
      <c r="AJ1002" s="706">
        <f>IF(ISNA(AI1002),NA(),AI1002+ROW()/10000000)</f>
        <v/>
      </c>
      <c r="AK1002" s="706">
        <f>IF(AND(ISNUMBER($N1002),$N1002&gt;0,ISNUMBER($Y1002)),$Y1002/$N1002,"")</f>
        <v/>
      </c>
      <c r="AL1002" s="706" t="n"/>
      <c r="AM1002" s="706" t="n"/>
      <c r="AN1002" s="706" t="n"/>
    </row>
    <row r="1003">
      <c r="A1003" s="706" t="n">
        <v>8</v>
      </c>
      <c r="B1003" s="706" t="n">
        <v>999</v>
      </c>
      <c r="C1003" s="706" t="n"/>
      <c r="D1003" s="706" t="inlineStr">
        <is>
          <t>1139 S ALKIRE ST</t>
        </is>
      </c>
      <c r="E1003" s="706" t="n">
        <v>426</v>
      </c>
      <c r="F1003" s="706" t="inlineStr">
        <is>
          <t>LAKEWOOD</t>
        </is>
      </c>
      <c r="G1003" s="706" t="n"/>
      <c r="H1003" s="706">
        <f>Y1003/J1003</f>
        <v/>
      </c>
      <c r="I1003" s="707" t="n">
        <v>43840</v>
      </c>
      <c r="J1003" s="706" t="n">
        <v>4995</v>
      </c>
      <c r="K1003" s="706" t="n"/>
      <c r="L1003" s="706" t="n">
        <v>4995</v>
      </c>
      <c r="M1003" s="706" t="n">
        <v>1983</v>
      </c>
      <c r="N1003" s="706" t="n"/>
      <c r="O1003" s="706" t="n"/>
      <c r="P1003" s="706" t="n"/>
      <c r="Q1003" s="706" t="n"/>
      <c r="R1003" s="706" t="n"/>
      <c r="S1003" s="706" t="n">
        <v>66647</v>
      </c>
      <c r="T1003" s="706">
        <f>S1003/J1003</f>
        <v/>
      </c>
      <c r="U1003" s="706" t="n"/>
      <c r="V1003" s="706" t="n"/>
      <c r="W1003" s="706" t="n"/>
      <c r="X1003" s="706" t="n"/>
      <c r="Y1003" s="706" t="n">
        <v>1085000</v>
      </c>
      <c r="Z1003" s="706" t="n"/>
      <c r="AA1003" s="706" t="n">
        <v>1085000</v>
      </c>
      <c r="AB1003" s="706" t="inlineStr">
        <is>
          <t>Global Village International Preschool — Daycare; src: Retail_Sales_Cleaned</t>
        </is>
      </c>
      <c r="AC1003" s="706" t="inlineStr">
        <is>
          <t>49-191-02-004</t>
        </is>
      </c>
      <c r="AD1003" s="706" t="n"/>
      <c r="AE1003" s="706" t="n"/>
      <c r="AF1003" s="706" t="n"/>
      <c r="AG1003" s="706" t="n"/>
      <c r="AH1003" s="706" t="n"/>
      <c r="AI1003" s="706">
        <f>IF(AND($E1003=Subj_OccCode,Subj_BldgSF&gt;0,ABS($L1003-Subj_BldgSF)&lt;=Subj_BldgSF*Subj_SizeTol),ABS($L1003-Subj_BldgSF),NA())</f>
        <v/>
      </c>
      <c r="AJ1003" s="706">
        <f>IF(ISNA(AI1003),NA(),AI1003+ROW()/10000000)</f>
        <v/>
      </c>
      <c r="AK1003" s="706">
        <f>IF(AND(ISNUMBER($N1003),$N1003&gt;0,ISNUMBER($Y1003)),$Y1003/$N1003,"")</f>
        <v/>
      </c>
      <c r="AL1003" s="706" t="n"/>
      <c r="AM1003" s="706" t="n"/>
      <c r="AN1003" s="706" t="n"/>
    </row>
    <row r="1004">
      <c r="A1004" s="706" t="n">
        <v>8</v>
      </c>
      <c r="B1004" s="706" t="n">
        <v>1000</v>
      </c>
      <c r="C1004" s="706" t="n"/>
      <c r="D1004" s="706" t="inlineStr">
        <is>
          <t>7762 QUAKER ST</t>
        </is>
      </c>
      <c r="E1004" s="706" t="n">
        <v>426</v>
      </c>
      <c r="F1004" s="706" t="inlineStr">
        <is>
          <t>ARVADA</t>
        </is>
      </c>
      <c r="G1004" s="706" t="n"/>
      <c r="H1004" s="706">
        <f>Y1004/J1004</f>
        <v/>
      </c>
      <c r="I1004" s="707" t="n">
        <v>45085</v>
      </c>
      <c r="J1004" s="706" t="n">
        <v>2899</v>
      </c>
      <c r="K1004" s="706" t="n"/>
      <c r="L1004" s="706" t="n">
        <v>2899</v>
      </c>
      <c r="M1004" s="706" t="n">
        <v>1975</v>
      </c>
      <c r="N1004" s="706" t="n"/>
      <c r="O1004" s="706" t="n"/>
      <c r="P1004" s="706" t="n"/>
      <c r="Q1004" s="706" t="n"/>
      <c r="R1004" s="706" t="n"/>
      <c r="S1004" s="706" t="n">
        <v>41382</v>
      </c>
      <c r="T1004" s="706">
        <f>S1004/J1004</f>
        <v/>
      </c>
      <c r="U1004" s="706" t="n"/>
      <c r="V1004" s="706" t="n"/>
      <c r="W1004" s="706" t="n"/>
      <c r="X1004" s="706" t="n"/>
      <c r="Y1004" s="706" t="n">
        <v>1000000</v>
      </c>
      <c r="Z1004" s="706" t="n"/>
      <c r="AA1004" s="706" t="n">
        <v>1000000</v>
      </c>
      <c r="AB1004" s="706" t="inlineStr">
        <is>
          <t>Happy Valley Children'S Ranch — Daycare; src: Retail_Sales_Cleaned</t>
        </is>
      </c>
      <c r="AC1004" s="706" t="inlineStr">
        <is>
          <t>20-362-01-053</t>
        </is>
      </c>
      <c r="AD1004" s="706" t="n"/>
      <c r="AE1004" s="706" t="n"/>
      <c r="AF1004" s="706" t="n"/>
      <c r="AG1004" s="706" t="n"/>
      <c r="AH1004" s="706" t="n"/>
      <c r="AI1004" s="706">
        <f>IF(AND($E1004=Subj_OccCode,Subj_BldgSF&gt;0,ABS($L1004-Subj_BldgSF)&lt;=Subj_BldgSF*Subj_SizeTol),ABS($L1004-Subj_BldgSF),NA())</f>
        <v/>
      </c>
      <c r="AJ1004" s="706">
        <f>IF(ISNA(AI1004),NA(),AI1004+ROW()/10000000)</f>
        <v/>
      </c>
      <c r="AK1004" s="706">
        <f>IF(AND(ISNUMBER($N1004),$N1004&gt;0,ISNUMBER($Y1004)),$Y1004/$N1004,"")</f>
        <v/>
      </c>
      <c r="AL1004" s="706" t="n"/>
      <c r="AM1004" s="706" t="n"/>
      <c r="AN1004" s="706" t="n"/>
    </row>
    <row r="1005">
      <c r="A1005" s="706" t="n">
        <v>8</v>
      </c>
      <c r="B1005" s="706" t="n">
        <v>1001</v>
      </c>
      <c r="C1005" s="706" t="n"/>
      <c r="D1005" s="706" t="inlineStr">
        <is>
          <t>11851 US HIGHWAY 285 ST</t>
        </is>
      </c>
      <c r="E1005" s="706" t="n">
        <v>325</v>
      </c>
      <c r="F1005" s="706" t="inlineStr">
        <is>
          <t>CONIFER</t>
        </is>
      </c>
      <c r="G1005" s="706" t="n"/>
      <c r="H1005" s="706">
        <f>Y1005/J1005</f>
        <v/>
      </c>
      <c r="I1005" s="707" t="n">
        <v>44618</v>
      </c>
      <c r="J1005" s="706" t="n">
        <v>2768</v>
      </c>
      <c r="K1005" s="706" t="n"/>
      <c r="L1005" s="706" t="n">
        <v>2768</v>
      </c>
      <c r="M1005" s="706" t="n">
        <v>1978</v>
      </c>
      <c r="N1005" s="706" t="n"/>
      <c r="O1005" s="706" t="n"/>
      <c r="P1005" s="706" t="n"/>
      <c r="Q1005" s="706" t="n"/>
      <c r="R1005" s="706" t="n"/>
      <c r="S1005" s="706" t="n">
        <v>47480</v>
      </c>
      <c r="T1005" s="706">
        <f>S1005/J1005</f>
        <v/>
      </c>
      <c r="U1005" s="706" t="n"/>
      <c r="V1005" s="706" t="n"/>
      <c r="W1005" s="706" t="n"/>
      <c r="X1005" s="706" t="n"/>
      <c r="Y1005" s="706" t="n">
        <v>1200000</v>
      </c>
      <c r="Z1005" s="706" t="n"/>
      <c r="AA1005" s="706" t="n">
        <v>1200000</v>
      </c>
      <c r="AB1005" s="706" t="inlineStr">
        <is>
          <t>Je Autoworks — Auto Service; Business Value Included; src: Retail_Sales_Cleaned</t>
        </is>
      </c>
      <c r="AC1005" s="706" t="inlineStr">
        <is>
          <t>61-272-01-010</t>
        </is>
      </c>
      <c r="AD1005" s="706" t="n"/>
      <c r="AE1005" s="706" t="n"/>
      <c r="AF1005" s="706" t="n"/>
      <c r="AG1005" s="706" t="n"/>
      <c r="AH1005" s="706" t="n"/>
      <c r="AI1005" s="706">
        <f>IF(AND($E1005=Subj_OccCode,Subj_BldgSF&gt;0,ABS($L1005-Subj_BldgSF)&lt;=Subj_BldgSF*Subj_SizeTol),ABS($L1005-Subj_BldgSF),NA())</f>
        <v/>
      </c>
      <c r="AJ1005" s="706">
        <f>IF(ISNA(AI1005),NA(),AI1005+ROW()/10000000)</f>
        <v/>
      </c>
      <c r="AK1005" s="706">
        <f>IF(AND(ISNUMBER($N1005),$N1005&gt;0,ISNUMBER($Y1005)),$Y1005/$N1005,"")</f>
        <v/>
      </c>
      <c r="AL1005" s="706" t="n"/>
      <c r="AM1005" s="706" t="n"/>
      <c r="AN1005" s="706" t="n"/>
    </row>
    <row r="1006">
      <c r="A1006" s="706" t="n">
        <v>8</v>
      </c>
      <c r="B1006" s="706" t="n">
        <v>1002</v>
      </c>
      <c r="C1006" s="706" t="n"/>
      <c r="D1006" s="706" t="inlineStr">
        <is>
          <t>8164 S KIPLING PKY</t>
        </is>
      </c>
      <c r="E1006" s="706" t="n">
        <v>349</v>
      </c>
      <c r="F1006" s="706" t="inlineStr">
        <is>
          <t>LITTLETON</t>
        </is>
      </c>
      <c r="G1006" s="706" t="n"/>
      <c r="H1006" s="706">
        <f>Y1006/J1006</f>
        <v/>
      </c>
      <c r="I1006" s="707" t="n">
        <v>43003</v>
      </c>
      <c r="J1006" s="706" t="n">
        <v>2874</v>
      </c>
      <c r="K1006" s="706" t="n"/>
      <c r="L1006" s="706" t="n">
        <v>2874</v>
      </c>
      <c r="M1006" s="706" t="n">
        <v>2004</v>
      </c>
      <c r="N1006" s="706" t="n"/>
      <c r="O1006" s="706" t="n"/>
      <c r="P1006" s="706" t="n"/>
      <c r="Q1006" s="706" t="n"/>
      <c r="R1006" s="706" t="n"/>
      <c r="S1006" s="706" t="n">
        <v>37462</v>
      </c>
      <c r="T1006" s="706">
        <f>S1006/J1006</f>
        <v/>
      </c>
      <c r="U1006" s="706" t="n"/>
      <c r="V1006" s="706" t="n"/>
      <c r="W1006" s="706" t="n"/>
      <c r="X1006" s="706" t="n"/>
      <c r="Y1006" s="706" t="n">
        <v>1024809</v>
      </c>
      <c r="Z1006" s="706" t="n"/>
      <c r="AA1006" s="706" t="n">
        <v>1024809</v>
      </c>
      <c r="AB1006" s="706" t="inlineStr">
        <is>
          <t>KFC / Taco Bell — Fast Food [Old Sale]; src: Retail_Sales_Cleaned</t>
        </is>
      </c>
      <c r="AC1006" s="706" t="inlineStr">
        <is>
          <t>59-343-13-007</t>
        </is>
      </c>
      <c r="AD1006" s="706" t="n"/>
      <c r="AE1006" s="706" t="n"/>
      <c r="AF1006" s="706" t="n"/>
      <c r="AG1006" s="706" t="n"/>
      <c r="AH1006" s="706" t="n"/>
      <c r="AI1006" s="706">
        <f>IF(AND($E1006=Subj_OccCode,Subj_BldgSF&gt;0,ABS($L1006-Subj_BldgSF)&lt;=Subj_BldgSF*Subj_SizeTol),ABS($L1006-Subj_BldgSF),NA())</f>
        <v/>
      </c>
      <c r="AJ1006" s="706">
        <f>IF(ISNA(AI1006),NA(),AI1006+ROW()/10000000)</f>
        <v/>
      </c>
      <c r="AK1006" s="706">
        <f>IF(AND(ISNUMBER($N1006),$N1006&gt;0,ISNUMBER($Y1006)),$Y1006/$N1006,"")</f>
        <v/>
      </c>
      <c r="AL1006" s="706" t="n"/>
      <c r="AM1006" s="706" t="n"/>
      <c r="AN1006" s="706" t="n"/>
    </row>
    <row r="1007">
      <c r="A1007" s="706" t="n">
        <v>8</v>
      </c>
      <c r="B1007" s="706" t="n">
        <v>1003</v>
      </c>
      <c r="C1007" s="706" t="n"/>
      <c r="D1007" s="706" t="inlineStr">
        <is>
          <t>8471 CHURCH RANCH BLVD</t>
        </is>
      </c>
      <c r="E1007" s="706" t="n">
        <v>349</v>
      </c>
      <c r="F1007" s="706" t="inlineStr">
        <is>
          <t>WESTMINSTER</t>
        </is>
      </c>
      <c r="G1007" s="706" t="n"/>
      <c r="H1007" s="706">
        <f>Y1007/J1007</f>
        <v/>
      </c>
      <c r="I1007" s="707" t="n">
        <v>44888</v>
      </c>
      <c r="J1007" s="706" t="n">
        <v>3917</v>
      </c>
      <c r="K1007" s="706" t="n"/>
      <c r="L1007" s="706" t="n">
        <v>3917</v>
      </c>
      <c r="M1007" s="706" t="n">
        <v>2000</v>
      </c>
      <c r="N1007" s="706" t="n"/>
      <c r="O1007" s="706" t="n"/>
      <c r="P1007" s="706" t="n"/>
      <c r="Q1007" s="706" t="n"/>
      <c r="R1007" s="706" t="n"/>
      <c r="S1007" s="706" t="n">
        <v>39640</v>
      </c>
      <c r="T1007" s="706">
        <f>S1007/J1007</f>
        <v/>
      </c>
      <c r="U1007" s="706" t="n"/>
      <c r="V1007" s="706" t="n"/>
      <c r="W1007" s="706" t="n"/>
      <c r="X1007" s="706" t="n"/>
      <c r="Y1007" s="706" t="n">
        <v>1348000</v>
      </c>
      <c r="Z1007" s="706" t="n"/>
      <c r="AA1007" s="706" t="n">
        <v>1348000</v>
      </c>
      <c r="AB1007" s="706" t="inlineStr">
        <is>
          <t>KFC / Taco Bell — Fast Food; src: Retail_Sales_Cleaned</t>
        </is>
      </c>
      <c r="AC1007" s="706" t="inlineStr">
        <is>
          <t>29-151-01-032</t>
        </is>
      </c>
      <c r="AD1007" s="706" t="n"/>
      <c r="AE1007" s="706" t="n"/>
      <c r="AF1007" s="706" t="n"/>
      <c r="AG1007" s="706" t="n"/>
      <c r="AH1007" s="706" t="n"/>
      <c r="AI1007" s="706">
        <f>IF(AND($E1007=Subj_OccCode,Subj_BldgSF&gt;0,ABS($L1007-Subj_BldgSF)&lt;=Subj_BldgSF*Subj_SizeTol),ABS($L1007-Subj_BldgSF),NA())</f>
        <v/>
      </c>
      <c r="AJ1007" s="706">
        <f>IF(ISNA(AI1007),NA(),AI1007+ROW()/10000000)</f>
        <v/>
      </c>
      <c r="AK1007" s="706">
        <f>IF(AND(ISNUMBER($N1007),$N1007&gt;0,ISNUMBER($Y1007)),$Y1007/$N1007,"")</f>
        <v/>
      </c>
      <c r="AL1007" s="706" t="n"/>
      <c r="AM1007" s="706" t="n"/>
      <c r="AN1007" s="706" t="n"/>
    </row>
    <row r="1008">
      <c r="A1008" s="706" t="n">
        <v>8</v>
      </c>
      <c r="B1008" s="706" t="n">
        <v>1004</v>
      </c>
      <c r="C1008" s="706" t="n"/>
      <c r="D1008" s="706" t="inlineStr">
        <is>
          <t>6560 W KEN CARYL</t>
        </is>
      </c>
      <c r="E1008" s="706" t="n">
        <v>426</v>
      </c>
      <c r="F1008" s="706" t="inlineStr">
        <is>
          <t>LITTLETON</t>
        </is>
      </c>
      <c r="G1008" s="706" t="n"/>
      <c r="H1008" s="706">
        <f>Y1008/J1008</f>
        <v/>
      </c>
      <c r="I1008" s="707" t="n">
        <v>44560</v>
      </c>
      <c r="J1008" s="706" t="n">
        <v>10571</v>
      </c>
      <c r="K1008" s="706" t="n"/>
      <c r="L1008" s="706" t="n">
        <v>10571</v>
      </c>
      <c r="M1008" s="706" t="n">
        <v>2021</v>
      </c>
      <c r="N1008" s="706" t="n"/>
      <c r="O1008" s="706" t="n"/>
      <c r="P1008" s="706" t="n"/>
      <c r="Q1008" s="706" t="n"/>
      <c r="R1008" s="706" t="n"/>
      <c r="S1008" s="706" t="n">
        <v>67082</v>
      </c>
      <c r="T1008" s="706">
        <f>S1008/J1008</f>
        <v/>
      </c>
      <c r="U1008" s="706" t="n"/>
      <c r="V1008" s="706" t="n"/>
      <c r="W1008" s="706" t="n"/>
      <c r="X1008" s="706" t="n"/>
      <c r="Y1008" s="706" t="n">
        <v>5400000</v>
      </c>
      <c r="Z1008" s="706" t="n"/>
      <c r="AA1008" s="706" t="n">
        <v>5400000</v>
      </c>
      <c r="AB1008" s="706" t="inlineStr">
        <is>
          <t>Kiddie Academy — Daycare; src: Retail_Sales_Cleaned</t>
        </is>
      </c>
      <c r="AC1008" s="706" t="inlineStr">
        <is>
          <t>59-362-03-017</t>
        </is>
      </c>
      <c r="AD1008" s="706" t="n"/>
      <c r="AE1008" s="706" t="n"/>
      <c r="AF1008" s="706" t="n"/>
      <c r="AG1008" s="706" t="n"/>
      <c r="AH1008" s="706" t="n"/>
      <c r="AI1008" s="706">
        <f>IF(AND($E1008=Subj_OccCode,Subj_BldgSF&gt;0,ABS($L1008-Subj_BldgSF)&lt;=Subj_BldgSF*Subj_SizeTol),ABS($L1008-Subj_BldgSF),NA())</f>
        <v/>
      </c>
      <c r="AJ1008" s="706">
        <f>IF(ISNA(AI1008),NA(),AI1008+ROW()/10000000)</f>
        <v/>
      </c>
      <c r="AK1008" s="706">
        <f>IF(AND(ISNUMBER($N1008),$N1008&gt;0,ISNUMBER($Y1008)),$Y1008/$N1008,"")</f>
        <v/>
      </c>
      <c r="AL1008" s="706" t="n"/>
      <c r="AM1008" s="706" t="n"/>
      <c r="AN1008" s="706" t="n"/>
    </row>
    <row r="1009">
      <c r="A1009" s="706" t="n">
        <v>8</v>
      </c>
      <c r="B1009" s="706" t="n">
        <v>1005</v>
      </c>
      <c r="C1009" s="706" t="n"/>
      <c r="D1009" s="706" t="inlineStr">
        <is>
          <t>6000 W GRANT RANCH BLVD</t>
        </is>
      </c>
      <c r="E1009" s="706" t="n">
        <v>426</v>
      </c>
      <c r="F1009" s="706" t="inlineStr">
        <is>
          <t>LITTLETON</t>
        </is>
      </c>
      <c r="G1009" s="706" t="n"/>
      <c r="H1009" s="706">
        <f>Y1009/J1009</f>
        <v/>
      </c>
      <c r="I1009" s="707" t="n">
        <v>44012</v>
      </c>
      <c r="J1009" s="706" t="n">
        <v>10400</v>
      </c>
      <c r="K1009" s="706" t="n"/>
      <c r="L1009" s="706" t="n">
        <v>10400</v>
      </c>
      <c r="M1009" s="706" t="n">
        <v>1999</v>
      </c>
      <c r="N1009" s="706" t="n"/>
      <c r="O1009" s="706" t="n"/>
      <c r="P1009" s="706" t="n"/>
      <c r="Q1009" s="706" t="n"/>
      <c r="R1009" s="706" t="n"/>
      <c r="S1009" s="706" t="n">
        <v>41818</v>
      </c>
      <c r="T1009" s="706">
        <f>S1009/J1009</f>
        <v/>
      </c>
      <c r="U1009" s="706" t="n"/>
      <c r="V1009" s="706" t="n"/>
      <c r="W1009" s="706" t="n"/>
      <c r="X1009" s="706" t="n"/>
      <c r="Y1009" s="706" t="n">
        <v>2100000</v>
      </c>
      <c r="Z1009" s="706" t="n"/>
      <c r="AA1009" s="706" t="n">
        <v>2100000</v>
      </c>
      <c r="AB1009" s="706" t="inlineStr">
        <is>
          <t>KinderCare — Daycare; 1031 Exchange,Bulk/Portfolio Sale,Investment Triple Net; src: Retail_Sales_Cleaned</t>
        </is>
      </c>
      <c r="AC1009" s="706" t="inlineStr">
        <is>
          <t>59-134-04-004</t>
        </is>
      </c>
      <c r="AD1009" s="706" t="n"/>
      <c r="AE1009" s="706" t="n"/>
      <c r="AF1009" s="706" t="n"/>
      <c r="AG1009" s="706" t="n"/>
      <c r="AH1009" s="706" t="n"/>
      <c r="AI1009" s="706">
        <f>IF(AND($E1009=Subj_OccCode,Subj_BldgSF&gt;0,ABS($L1009-Subj_BldgSF)&lt;=Subj_BldgSF*Subj_SizeTol),ABS($L1009-Subj_BldgSF),NA())</f>
        <v/>
      </c>
      <c r="AJ1009" s="706">
        <f>IF(ISNA(AI1009),NA(),AI1009+ROW()/10000000)</f>
        <v/>
      </c>
      <c r="AK1009" s="706">
        <f>IF(AND(ISNUMBER($N1009),$N1009&gt;0,ISNUMBER($Y1009)),$Y1009/$N1009,"")</f>
        <v/>
      </c>
      <c r="AL1009" s="706" t="n"/>
      <c r="AM1009" s="706" t="n"/>
      <c r="AN1009" s="706" t="n"/>
    </row>
    <row r="1010">
      <c r="A1010" s="706" t="n">
        <v>8</v>
      </c>
      <c r="B1010" s="706" t="n">
        <v>1006</v>
      </c>
      <c r="C1010" s="706" t="n"/>
      <c r="D1010" s="706" t="inlineStr">
        <is>
          <t>14449 W 63RD PL</t>
        </is>
      </c>
      <c r="E1010" s="706" t="n">
        <v>426</v>
      </c>
      <c r="F1010" s="706" t="inlineStr">
        <is>
          <t>ARVADA</t>
        </is>
      </c>
      <c r="G1010" s="706" t="n"/>
      <c r="H1010" s="706">
        <f>Y1010/J1010</f>
        <v/>
      </c>
      <c r="I1010" s="707" t="n">
        <v>44063</v>
      </c>
      <c r="J1010" s="706" t="n">
        <v>10934</v>
      </c>
      <c r="K1010" s="706" t="n"/>
      <c r="L1010" s="706" t="n">
        <v>10934</v>
      </c>
      <c r="M1010" s="706" t="n">
        <v>1999</v>
      </c>
      <c r="N1010" s="706" t="n"/>
      <c r="O1010" s="706" t="n"/>
      <c r="P1010" s="706" t="n"/>
      <c r="Q1010" s="706" t="n"/>
      <c r="R1010" s="706" t="n"/>
      <c r="S1010" s="706" t="n">
        <v>62726</v>
      </c>
      <c r="T1010" s="706">
        <f>S1010/J1010</f>
        <v/>
      </c>
      <c r="U1010" s="706" t="n"/>
      <c r="V1010" s="706" t="n"/>
      <c r="W1010" s="706" t="n"/>
      <c r="X1010" s="706" t="n"/>
      <c r="Y1010" s="706" t="n">
        <v>4150000</v>
      </c>
      <c r="Z1010" s="706" t="n"/>
      <c r="AA1010" s="706" t="n">
        <v>4150000</v>
      </c>
      <c r="AB1010" s="706" t="inlineStr">
        <is>
          <t>KinderCare — Daycare; Investment Triple Net; src: Retail_Sales_Cleaned</t>
        </is>
      </c>
      <c r="AC1010" s="706" t="inlineStr">
        <is>
          <t>39-072-01-017</t>
        </is>
      </c>
      <c r="AD1010" s="706" t="n"/>
      <c r="AE1010" s="706" t="n"/>
      <c r="AF1010" s="706" t="n"/>
      <c r="AG1010" s="706" t="n"/>
      <c r="AH1010" s="706" t="n"/>
      <c r="AI1010" s="706">
        <f>IF(AND($E1010=Subj_OccCode,Subj_BldgSF&gt;0,ABS($L1010-Subj_BldgSF)&lt;=Subj_BldgSF*Subj_SizeTol),ABS($L1010-Subj_BldgSF),NA())</f>
        <v/>
      </c>
      <c r="AJ1010" s="706">
        <f>IF(ISNA(AI1010),NA(),AI1010+ROW()/10000000)</f>
        <v/>
      </c>
      <c r="AK1010" s="706">
        <f>IF(AND(ISNUMBER($N1010),$N1010&gt;0,ISNUMBER($Y1010)),$Y1010/$N1010,"")</f>
        <v/>
      </c>
      <c r="AL1010" s="706" t="n"/>
      <c r="AM1010" s="706" t="n"/>
      <c r="AN1010" s="706" t="n"/>
    </row>
    <row r="1011">
      <c r="A1011" s="706" t="n">
        <v>8</v>
      </c>
      <c r="B1011" s="706" t="n">
        <v>1007</v>
      </c>
      <c r="C1011" s="706" t="n"/>
      <c r="D1011" s="706" t="inlineStr">
        <is>
          <t>7395 CHURCH RANCH BLVD</t>
        </is>
      </c>
      <c r="E1011" s="706" t="n">
        <v>426</v>
      </c>
      <c r="F1011" s="706" t="inlineStr">
        <is>
          <t>WESTMINSTER</t>
        </is>
      </c>
      <c r="G1011" s="706" t="n"/>
      <c r="H1011" s="706">
        <f>Y1011/J1011</f>
        <v/>
      </c>
      <c r="I1011" s="707" t="n">
        <v>44439</v>
      </c>
      <c r="J1011" s="706" t="n">
        <v>10334</v>
      </c>
      <c r="K1011" s="706" t="n"/>
      <c r="L1011" s="706" t="n">
        <v>10334</v>
      </c>
      <c r="M1011" s="706" t="n">
        <v>1996</v>
      </c>
      <c r="N1011" s="706" t="n"/>
      <c r="O1011" s="706" t="n"/>
      <c r="P1011" s="706" t="n"/>
      <c r="Q1011" s="706" t="n"/>
      <c r="R1011" s="706" t="n"/>
      <c r="S1011" s="706" t="n">
        <v>63598</v>
      </c>
      <c r="T1011" s="706">
        <f>S1011/J1011</f>
        <v/>
      </c>
      <c r="U1011" s="706" t="n"/>
      <c r="V1011" s="706" t="n"/>
      <c r="W1011" s="706" t="n"/>
      <c r="X1011" s="706" t="n"/>
      <c r="Y1011" s="706" t="n">
        <v>3400000</v>
      </c>
      <c r="Z1011" s="706" t="n"/>
      <c r="AA1011" s="706" t="n">
        <v>3400000</v>
      </c>
      <c r="AB1011" s="706" t="inlineStr">
        <is>
          <t>KinderCare — Daycare; Investment Triple Net; src: Retail_Sales_Cleaned</t>
        </is>
      </c>
      <c r="AC1011" s="706" t="inlineStr">
        <is>
          <t>29-141-02-008</t>
        </is>
      </c>
      <c r="AD1011" s="706" t="n"/>
      <c r="AE1011" s="706" t="n"/>
      <c r="AF1011" s="706" t="n"/>
      <c r="AG1011" s="706" t="n"/>
      <c r="AH1011" s="706" t="n"/>
      <c r="AI1011" s="706">
        <f>IF(AND($E1011=Subj_OccCode,Subj_BldgSF&gt;0,ABS($L1011-Subj_BldgSF)&lt;=Subj_BldgSF*Subj_SizeTol),ABS($L1011-Subj_BldgSF),NA())</f>
        <v/>
      </c>
      <c r="AJ1011" s="706">
        <f>IF(ISNA(AI1011),NA(),AI1011+ROW()/10000000)</f>
        <v/>
      </c>
      <c r="AK1011" s="706">
        <f>IF(AND(ISNUMBER($N1011),$N1011&gt;0,ISNUMBER($Y1011)),$Y1011/$N1011,"")</f>
        <v/>
      </c>
      <c r="AL1011" s="706" t="n"/>
      <c r="AM1011" s="706" t="n"/>
      <c r="AN1011" s="706" t="n"/>
    </row>
    <row r="1012">
      <c r="A1012" s="706" t="n">
        <v>8</v>
      </c>
      <c r="B1012" s="706" t="n">
        <v>1008</v>
      </c>
      <c r="C1012" s="706" t="n"/>
      <c r="D1012" s="706" t="inlineStr">
        <is>
          <t>1990 KIPLING ST</t>
        </is>
      </c>
      <c r="E1012" s="706" t="n">
        <v>325</v>
      </c>
      <c r="F1012" s="706" t="inlineStr">
        <is>
          <t>LAKEWOOD</t>
        </is>
      </c>
      <c r="G1012" s="706" t="n"/>
      <c r="H1012" s="706">
        <f>Y1012/J1012</f>
        <v/>
      </c>
      <c r="I1012" s="707" t="n">
        <v>44802</v>
      </c>
      <c r="J1012" s="706" t="n">
        <v>1462</v>
      </c>
      <c r="K1012" s="706" t="n"/>
      <c r="L1012" s="706" t="n">
        <v>1462</v>
      </c>
      <c r="M1012" s="706" t="n">
        <v>1962</v>
      </c>
      <c r="N1012" s="706" t="n"/>
      <c r="O1012" s="706" t="n"/>
      <c r="P1012" s="706" t="n"/>
      <c r="Q1012" s="706" t="n"/>
      <c r="R1012" s="706" t="n"/>
      <c r="S1012" s="706" t="n">
        <v>16553</v>
      </c>
      <c r="T1012" s="706">
        <f>S1012/J1012</f>
        <v/>
      </c>
      <c r="U1012" s="706" t="n"/>
      <c r="V1012" s="706" t="n"/>
      <c r="W1012" s="706" t="n"/>
      <c r="X1012" s="706" t="n"/>
      <c r="Y1012" s="706" t="n">
        <v>775000</v>
      </c>
      <c r="Z1012" s="706" t="n"/>
      <c r="AA1012" s="706" t="n">
        <v>775000</v>
      </c>
      <c r="AB1012" s="706" t="inlineStr">
        <is>
          <t>L &amp; R Automotive Inc — Auto Service; Business Value Included; src: Retail_Sales_Cleaned</t>
        </is>
      </c>
      <c r="AC1012" s="706" t="inlineStr">
        <is>
          <t>39-343-06-003</t>
        </is>
      </c>
      <c r="AD1012" s="706" t="n"/>
      <c r="AE1012" s="706" t="n"/>
      <c r="AF1012" s="706" t="n"/>
      <c r="AG1012" s="706" t="n"/>
      <c r="AH1012" s="706" t="n"/>
      <c r="AI1012" s="706">
        <f>IF(AND($E1012=Subj_OccCode,Subj_BldgSF&gt;0,ABS($L1012-Subj_BldgSF)&lt;=Subj_BldgSF*Subj_SizeTol),ABS($L1012-Subj_BldgSF),NA())</f>
        <v/>
      </c>
      <c r="AJ1012" s="706">
        <f>IF(ISNA(AI1012),NA(),AI1012+ROW()/10000000)</f>
        <v/>
      </c>
      <c r="AK1012" s="706">
        <f>IF(AND(ISNUMBER($N1012),$N1012&gt;0,ISNUMBER($Y1012)),$Y1012/$N1012,"")</f>
        <v/>
      </c>
      <c r="AL1012" s="706" t="n"/>
      <c r="AM1012" s="706" t="n"/>
      <c r="AN1012" s="706" t="n"/>
    </row>
    <row r="1013">
      <c r="A1013" s="706" t="n">
        <v>8</v>
      </c>
      <c r="B1013" s="706" t="n">
        <v>1009</v>
      </c>
      <c r="C1013" s="706" t="n"/>
      <c r="D1013" s="706" t="inlineStr">
        <is>
          <t>10005 W COLFAX AVE</t>
        </is>
      </c>
      <c r="E1013" s="706" t="n">
        <v>325</v>
      </c>
      <c r="F1013" s="706" t="inlineStr">
        <is>
          <t>LAKEWOOD</t>
        </is>
      </c>
      <c r="G1013" s="706" t="n"/>
      <c r="H1013" s="706">
        <f>Y1013/J1013</f>
        <v/>
      </c>
      <c r="I1013" s="707" t="n">
        <v>44208</v>
      </c>
      <c r="J1013" s="706" t="n">
        <v>1631</v>
      </c>
      <c r="K1013" s="706" t="n"/>
      <c r="L1013" s="706" t="n">
        <v>1631</v>
      </c>
      <c r="M1013" s="706" t="n">
        <v>1969</v>
      </c>
      <c r="N1013" s="706" t="n"/>
      <c r="O1013" s="706" t="n"/>
      <c r="P1013" s="706" t="n"/>
      <c r="Q1013" s="706" t="n"/>
      <c r="R1013" s="706" t="n"/>
      <c r="S1013" s="706" t="n">
        <v>17772</v>
      </c>
      <c r="T1013" s="706">
        <f>S1013/J1013</f>
        <v/>
      </c>
      <c r="U1013" s="706" t="n"/>
      <c r="V1013" s="706" t="n"/>
      <c r="W1013" s="706" t="n"/>
      <c r="X1013" s="706" t="n"/>
      <c r="Y1013" s="706" t="n">
        <v>1080000</v>
      </c>
      <c r="Z1013" s="706" t="n"/>
      <c r="AA1013" s="706" t="n">
        <v>1080000</v>
      </c>
      <c r="AB1013" s="706" t="inlineStr">
        <is>
          <t>Lakewood Auto Electric — Auto Service; src: Retail_Sales_Cleaned</t>
        </is>
      </c>
      <c r="AC1013" s="706" t="inlineStr">
        <is>
          <t>39-334-00-026</t>
        </is>
      </c>
      <c r="AD1013" s="706" t="n"/>
      <c r="AE1013" s="706" t="n"/>
      <c r="AF1013" s="706" t="n"/>
      <c r="AG1013" s="706" t="n"/>
      <c r="AH1013" s="706" t="n"/>
      <c r="AI1013" s="706">
        <f>IF(AND($E1013=Subj_OccCode,Subj_BldgSF&gt;0,ABS($L1013-Subj_BldgSF)&lt;=Subj_BldgSF*Subj_SizeTol),ABS($L1013-Subj_BldgSF),NA())</f>
        <v/>
      </c>
      <c r="AJ1013" s="706">
        <f>IF(ISNA(AI1013),NA(),AI1013+ROW()/10000000)</f>
        <v/>
      </c>
      <c r="AK1013" s="706">
        <f>IF(AND(ISNUMBER($N1013),$N1013&gt;0,ISNUMBER($Y1013)),$Y1013/$N1013,"")</f>
        <v/>
      </c>
      <c r="AL1013" s="706" t="n"/>
      <c r="AM1013" s="706" t="n"/>
      <c r="AN1013" s="706" t="n"/>
    </row>
    <row r="1014">
      <c r="A1014" s="706" t="n">
        <v>8</v>
      </c>
      <c r="B1014" s="706" t="n">
        <v>1010</v>
      </c>
      <c r="C1014" s="706" t="n"/>
      <c r="D1014" s="706" t="inlineStr">
        <is>
          <t>105 S SHERIDAN BLVD</t>
        </is>
      </c>
      <c r="E1014" s="706" t="n">
        <v>353</v>
      </c>
      <c r="F1014" s="706" t="inlineStr">
        <is>
          <t>DENVER</t>
        </is>
      </c>
      <c r="G1014" s="706" t="n"/>
      <c r="H1014" s="706">
        <f>Y1014/J1014</f>
        <v/>
      </c>
      <c r="I1014" s="707" t="n">
        <v>44523</v>
      </c>
      <c r="J1014" s="706" t="n">
        <v>7702</v>
      </c>
      <c r="K1014" s="706" t="n"/>
      <c r="L1014" s="706" t="n">
        <v>7702</v>
      </c>
      <c r="M1014" s="706" t="n">
        <v>1985</v>
      </c>
      <c r="N1014" s="706" t="n"/>
      <c r="O1014" s="706" t="n"/>
      <c r="P1014" s="706" t="n"/>
      <c r="Q1014" s="706" t="n"/>
      <c r="R1014" s="706" t="n"/>
      <c r="S1014" s="706" t="n">
        <v>13504</v>
      </c>
      <c r="T1014" s="706">
        <f>S1014/J1014</f>
        <v/>
      </c>
      <c r="U1014" s="706" t="n"/>
      <c r="V1014" s="706" t="n"/>
      <c r="W1014" s="706" t="n"/>
      <c r="X1014" s="706" t="n"/>
      <c r="Y1014" s="706" t="n">
        <v>1711458</v>
      </c>
      <c r="Z1014" s="706" t="n"/>
      <c r="AA1014" s="706" t="n">
        <v>1711458</v>
      </c>
      <c r="AB1014" s="706" t="inlineStr">
        <is>
          <t>O'Reilly Auto Parts — Auto Parts; src: Retail_Sales_Cleaned</t>
        </is>
      </c>
      <c r="AC1014" s="706" t="inlineStr">
        <is>
          <t>49-124-27-009</t>
        </is>
      </c>
      <c r="AD1014" s="706" t="n"/>
      <c r="AE1014" s="706" t="n"/>
      <c r="AF1014" s="706" t="n"/>
      <c r="AG1014" s="706" t="n"/>
      <c r="AH1014" s="706" t="n"/>
      <c r="AI1014" s="706">
        <f>IF(AND($E1014=Subj_OccCode,Subj_BldgSF&gt;0,ABS($L1014-Subj_BldgSF)&lt;=Subj_BldgSF*Subj_SizeTol),ABS($L1014-Subj_BldgSF),NA())</f>
        <v/>
      </c>
      <c r="AJ1014" s="706">
        <f>IF(ISNA(AI1014),NA(),AI1014+ROW()/10000000)</f>
        <v/>
      </c>
      <c r="AK1014" s="706">
        <f>IF(AND(ISNUMBER($N1014),$N1014&gt;0,ISNUMBER($Y1014)),$Y1014/$N1014,"")</f>
        <v/>
      </c>
      <c r="AL1014" s="706" t="n"/>
      <c r="AM1014" s="706" t="n"/>
      <c r="AN1014" s="706" t="n"/>
    </row>
    <row r="1015">
      <c r="A1015" s="706" t="n">
        <v>8</v>
      </c>
      <c r="B1015" s="706" t="n">
        <v>1011</v>
      </c>
      <c r="C1015" s="706" t="n"/>
      <c r="D1015" s="706" t="inlineStr">
        <is>
          <t>5807 W COLFAX AVE</t>
        </is>
      </c>
      <c r="E1015" s="706" t="n">
        <v>353</v>
      </c>
      <c r="F1015" s="706" t="inlineStr">
        <is>
          <t>LAKEWOOD</t>
        </is>
      </c>
      <c r="G1015" s="706" t="n"/>
      <c r="H1015" s="706">
        <f>Y1015/J1015</f>
        <v/>
      </c>
      <c r="I1015" s="707" t="n">
        <v>44638</v>
      </c>
      <c r="J1015" s="706" t="n">
        <v>6160</v>
      </c>
      <c r="K1015" s="706" t="n"/>
      <c r="L1015" s="706" t="n">
        <v>6160</v>
      </c>
      <c r="M1015" s="706" t="n">
        <v>1998</v>
      </c>
      <c r="N1015" s="706" t="n"/>
      <c r="O1015" s="706" t="n"/>
      <c r="P1015" s="706" t="n"/>
      <c r="Q1015" s="706" t="n"/>
      <c r="R1015" s="706" t="n"/>
      <c r="S1015" s="706" t="n">
        <v>33106</v>
      </c>
      <c r="T1015" s="706">
        <f>S1015/J1015</f>
        <v/>
      </c>
      <c r="U1015" s="706" t="n"/>
      <c r="V1015" s="706" t="n"/>
      <c r="W1015" s="706" t="n"/>
      <c r="X1015" s="706" t="n"/>
      <c r="Y1015" s="706" t="n">
        <v>2795000</v>
      </c>
      <c r="Z1015" s="706" t="n"/>
      <c r="AA1015" s="706" t="n">
        <v>2795000</v>
      </c>
      <c r="AB1015" s="706" t="inlineStr">
        <is>
          <t>O'Reilly Auto Parts — Auto Parts; Investment Triple Net; src: Retail_Sales_Cleaned</t>
        </is>
      </c>
      <c r="AC1015" s="706" t="inlineStr">
        <is>
          <t>39-364-00-011</t>
        </is>
      </c>
      <c r="AD1015" s="706" t="n"/>
      <c r="AE1015" s="706" t="n"/>
      <c r="AF1015" s="706" t="n"/>
      <c r="AG1015" s="706" t="n"/>
      <c r="AH1015" s="706" t="n"/>
      <c r="AI1015" s="706">
        <f>IF(AND($E1015=Subj_OccCode,Subj_BldgSF&gt;0,ABS($L1015-Subj_BldgSF)&lt;=Subj_BldgSF*Subj_SizeTol),ABS($L1015-Subj_BldgSF),NA())</f>
        <v/>
      </c>
      <c r="AJ1015" s="706">
        <f>IF(ISNA(AI1015),NA(),AI1015+ROW()/10000000)</f>
        <v/>
      </c>
      <c r="AK1015" s="706">
        <f>IF(AND(ISNUMBER($N1015),$N1015&gt;0,ISNUMBER($Y1015)),$Y1015/$N1015,"")</f>
        <v/>
      </c>
      <c r="AL1015" s="706" t="n"/>
      <c r="AM1015" s="706" t="n"/>
      <c r="AN1015" s="706" t="n"/>
    </row>
    <row r="1016">
      <c r="A1016" s="706" t="n">
        <v>8</v>
      </c>
      <c r="B1016" s="706" t="n">
        <v>1012</v>
      </c>
      <c r="C1016" s="706" t="n"/>
      <c r="D1016" s="706" t="inlineStr">
        <is>
          <t>8461 CHURCH RANCH BLVD</t>
        </is>
      </c>
      <c r="E1016" s="706" t="n">
        <v>349</v>
      </c>
      <c r="F1016" s="706" t="inlineStr">
        <is>
          <t>WESTMINSTER</t>
        </is>
      </c>
      <c r="G1016" s="706" t="n"/>
      <c r="H1016" s="706">
        <f>Y1016/J1016</f>
        <v/>
      </c>
      <c r="I1016" s="707" t="n">
        <v>44431</v>
      </c>
      <c r="J1016" s="706" t="n">
        <v>3500</v>
      </c>
      <c r="K1016" s="706" t="n"/>
      <c r="L1016" s="706" t="n">
        <v>3500</v>
      </c>
      <c r="M1016" s="706" t="n">
        <v>2000</v>
      </c>
      <c r="N1016" s="706" t="n"/>
      <c r="O1016" s="706" t="n"/>
      <c r="P1016" s="706" t="n"/>
      <c r="Q1016" s="706" t="n"/>
      <c r="R1016" s="706" t="n"/>
      <c r="S1016" s="706" t="n">
        <v>20909</v>
      </c>
      <c r="T1016" s="706">
        <f>S1016/J1016</f>
        <v/>
      </c>
      <c r="U1016" s="706" t="n"/>
      <c r="V1016" s="706" t="n"/>
      <c r="W1016" s="706" t="n"/>
      <c r="X1016" s="706" t="n"/>
      <c r="Y1016" s="706" t="n">
        <v>1150000</v>
      </c>
      <c r="Z1016" s="706" t="n"/>
      <c r="AA1016" s="706" t="n">
        <v>1150000</v>
      </c>
      <c r="AB1016" s="706" t="inlineStr">
        <is>
          <t>Panda Express — Fast Food; src: Retail_Sales_Cleaned</t>
        </is>
      </c>
      <c r="AC1016" s="706" t="inlineStr">
        <is>
          <t>29-151-01-033</t>
        </is>
      </c>
      <c r="AD1016" s="706" t="n"/>
      <c r="AE1016" s="706" t="n"/>
      <c r="AF1016" s="706" t="n"/>
      <c r="AG1016" s="706" t="n"/>
      <c r="AH1016" s="706" t="n"/>
      <c r="AI1016" s="706">
        <f>IF(AND($E1016=Subj_OccCode,Subj_BldgSF&gt;0,ABS($L1016-Subj_BldgSF)&lt;=Subj_BldgSF*Subj_SizeTol),ABS($L1016-Subj_BldgSF),NA())</f>
        <v/>
      </c>
      <c r="AJ1016" s="706">
        <f>IF(ISNA(AI1016),NA(),AI1016+ROW()/10000000)</f>
        <v/>
      </c>
      <c r="AK1016" s="706">
        <f>IF(AND(ISNUMBER($N1016),$N1016&gt;0,ISNUMBER($Y1016)),$Y1016/$N1016,"")</f>
        <v/>
      </c>
      <c r="AL1016" s="706" t="n"/>
      <c r="AM1016" s="706" t="n"/>
      <c r="AN1016" s="706" t="n"/>
    </row>
    <row r="1017">
      <c r="A1017" s="706" t="n">
        <v>8</v>
      </c>
      <c r="B1017" s="706" t="n">
        <v>1013</v>
      </c>
      <c r="C1017" s="706" t="n"/>
      <c r="D1017" s="706" t="inlineStr">
        <is>
          <t>1899 S SHERIDAN BLVD</t>
        </is>
      </c>
      <c r="E1017" s="706" t="n">
        <v>410</v>
      </c>
      <c r="F1017" s="706" t="inlineStr">
        <is>
          <t>DENVER</t>
        </is>
      </c>
      <c r="G1017" s="706" t="n"/>
      <c r="H1017" s="706">
        <f>Y1017/J1017</f>
        <v/>
      </c>
      <c r="I1017" s="707" t="n">
        <v>44971</v>
      </c>
      <c r="J1017" s="706" t="n">
        <v>1773</v>
      </c>
      <c r="K1017" s="706" t="n"/>
      <c r="L1017" s="706" t="n">
        <v>1773</v>
      </c>
      <c r="M1017" s="706" t="n">
        <v>1962</v>
      </c>
      <c r="N1017" s="706" t="n"/>
      <c r="O1017" s="706" t="n"/>
      <c r="P1017" s="706" t="n"/>
      <c r="Q1017" s="706" t="n"/>
      <c r="R1017" s="706" t="n"/>
      <c r="S1017" s="706" t="n">
        <v>17293</v>
      </c>
      <c r="T1017" s="706">
        <f>S1017/J1017</f>
        <v/>
      </c>
      <c r="U1017" s="706" t="n"/>
      <c r="V1017" s="706" t="n"/>
      <c r="W1017" s="706" t="n"/>
      <c r="X1017" s="706" t="n"/>
      <c r="Y1017" s="706" t="n">
        <v>510000</v>
      </c>
      <c r="Z1017" s="706" t="n"/>
      <c r="AA1017" s="706" t="n">
        <v>510000</v>
      </c>
      <c r="AB1017" s="706" t="inlineStr">
        <is>
          <t>Peerless Tires — Auto Service; src: Retail_Sales_Cleaned</t>
        </is>
      </c>
      <c r="AC1017" s="706" t="inlineStr">
        <is>
          <t>49-244-00-025</t>
        </is>
      </c>
      <c r="AD1017" s="706" t="n"/>
      <c r="AE1017" s="706" t="n"/>
      <c r="AF1017" s="706" t="n"/>
      <c r="AG1017" s="706" t="n"/>
      <c r="AH1017" s="706" t="n"/>
      <c r="AI1017" s="706">
        <f>IF(AND($E1017=Subj_OccCode,Subj_BldgSF&gt;0,ABS($L1017-Subj_BldgSF)&lt;=Subj_BldgSF*Subj_SizeTol),ABS($L1017-Subj_BldgSF),NA())</f>
        <v/>
      </c>
      <c r="AJ1017" s="706">
        <f>IF(ISNA(AI1017),NA(),AI1017+ROW()/10000000)</f>
        <v/>
      </c>
      <c r="AK1017" s="706">
        <f>IF(AND(ISNUMBER($N1017),$N1017&gt;0,ISNUMBER($Y1017)),$Y1017/$N1017,"")</f>
        <v/>
      </c>
      <c r="AL1017" s="706" t="n"/>
      <c r="AM1017" s="706" t="n"/>
      <c r="AN1017" s="706" t="n"/>
    </row>
    <row r="1018">
      <c r="A1018" s="706" t="n">
        <v>8</v>
      </c>
      <c r="B1018" s="706" t="n">
        <v>1014</v>
      </c>
      <c r="C1018" s="706" t="n"/>
      <c r="D1018" s="706" t="inlineStr">
        <is>
          <t>7525 W 44TH AVE</t>
        </is>
      </c>
      <c r="E1018" s="706" t="n">
        <v>410</v>
      </c>
      <c r="F1018" s="706" t="inlineStr">
        <is>
          <t>WHEAT RIDGE</t>
        </is>
      </c>
      <c r="G1018" s="706" t="n"/>
      <c r="H1018" s="706">
        <f>Y1018/J1018</f>
        <v/>
      </c>
      <c r="I1018" s="707" t="n">
        <v>44739</v>
      </c>
      <c r="J1018" s="706" t="n">
        <v>26756</v>
      </c>
      <c r="K1018" s="706" t="n"/>
      <c r="L1018" s="706" t="n">
        <v>26756</v>
      </c>
      <c r="M1018" s="706" t="n">
        <v>1972</v>
      </c>
      <c r="N1018" s="706" t="n"/>
      <c r="O1018" s="706" t="n"/>
      <c r="P1018" s="706" t="n"/>
      <c r="Q1018" s="706" t="n"/>
      <c r="R1018" s="706" t="n"/>
      <c r="S1018" s="706" t="n">
        <v>113974</v>
      </c>
      <c r="T1018" s="706">
        <f>S1018/J1018</f>
        <v/>
      </c>
      <c r="U1018" s="706" t="n"/>
      <c r="V1018" s="706" t="n"/>
      <c r="W1018" s="706" t="n"/>
      <c r="X1018" s="706" t="n"/>
      <c r="Y1018" s="706" t="n">
        <v>3200000</v>
      </c>
      <c r="Z1018" s="706" t="n"/>
      <c r="AA1018" s="706" t="n">
        <v>3200000</v>
      </c>
      <c r="AB1018" s="706" t="inlineStr">
        <is>
          <t>Pep Boys — Auto Service; src: Retail_Sales_Cleaned</t>
        </is>
      </c>
      <c r="AC1018" s="706" t="inlineStr">
        <is>
          <t>39-231-12-005</t>
        </is>
      </c>
      <c r="AD1018" s="706" t="n"/>
      <c r="AE1018" s="706" t="n"/>
      <c r="AF1018" s="706" t="n"/>
      <c r="AG1018" s="706" t="n"/>
      <c r="AH1018" s="706" t="n"/>
      <c r="AI1018" s="706">
        <f>IF(AND($E1018=Subj_OccCode,Subj_BldgSF&gt;0,ABS($L1018-Subj_BldgSF)&lt;=Subj_BldgSF*Subj_SizeTol),ABS($L1018-Subj_BldgSF),NA())</f>
        <v/>
      </c>
      <c r="AJ1018" s="706">
        <f>IF(ISNA(AI1018),NA(),AI1018+ROW()/10000000)</f>
        <v/>
      </c>
      <c r="AK1018" s="706">
        <f>IF(AND(ISNUMBER($N1018),$N1018&gt;0,ISNUMBER($Y1018)),$Y1018/$N1018,"")</f>
        <v/>
      </c>
      <c r="AL1018" s="706" t="n"/>
      <c r="AM1018" s="706" t="n"/>
      <c r="AN1018" s="706" t="n"/>
    </row>
    <row r="1019">
      <c r="A1019" s="706" t="n">
        <v>8</v>
      </c>
      <c r="B1019" s="706" t="n">
        <v>1015</v>
      </c>
      <c r="C1019" s="706" t="n"/>
      <c r="D1019" s="706" t="inlineStr">
        <is>
          <t>4395 XENON ST</t>
        </is>
      </c>
      <c r="E1019" s="706" t="n">
        <v>325</v>
      </c>
      <c r="F1019" s="706" t="inlineStr">
        <is>
          <t>WHEAT RIDGE</t>
        </is>
      </c>
      <c r="G1019" s="706" t="n"/>
      <c r="H1019" s="706">
        <f>Y1019/J1019</f>
        <v/>
      </c>
      <c r="I1019" s="707" t="n">
        <v>45180</v>
      </c>
      <c r="J1019" s="706" t="n">
        <v>8182</v>
      </c>
      <c r="K1019" s="706" t="n"/>
      <c r="L1019" s="706" t="n">
        <v>8182</v>
      </c>
      <c r="M1019" s="706" t="n">
        <v>2011</v>
      </c>
      <c r="N1019" s="706" t="n"/>
      <c r="O1019" s="706" t="n"/>
      <c r="P1019" s="706" t="n"/>
      <c r="Q1019" s="706" t="n"/>
      <c r="R1019" s="706" t="n"/>
      <c r="S1019" s="706" t="n">
        <v>23522</v>
      </c>
      <c r="T1019" s="706">
        <f>S1019/J1019</f>
        <v/>
      </c>
      <c r="U1019" s="706" t="n"/>
      <c r="V1019" s="706" t="n"/>
      <c r="W1019" s="706" t="n"/>
      <c r="X1019" s="706" t="n"/>
      <c r="Y1019" s="706" t="n">
        <v>2650000</v>
      </c>
      <c r="Z1019" s="706" t="n"/>
      <c r="AA1019" s="706" t="n">
        <v>2650000</v>
      </c>
      <c r="AB1019" s="706" t="inlineStr">
        <is>
          <t>Performance Wise — Auto Service; src: Retail_Sales_Cleaned</t>
        </is>
      </c>
      <c r="AC1019" s="706" t="inlineStr">
        <is>
          <t>39-202-00-012</t>
        </is>
      </c>
      <c r="AD1019" s="706" t="n"/>
      <c r="AE1019" s="706" t="n"/>
      <c r="AF1019" s="706" t="n"/>
      <c r="AG1019" s="706" t="n"/>
      <c r="AH1019" s="706" t="n"/>
      <c r="AI1019" s="706">
        <f>IF(AND($E1019=Subj_OccCode,Subj_BldgSF&gt;0,ABS($L1019-Subj_BldgSF)&lt;=Subj_BldgSF*Subj_SizeTol),ABS($L1019-Subj_BldgSF),NA())</f>
        <v/>
      </c>
      <c r="AJ1019" s="706">
        <f>IF(ISNA(AI1019),NA(),AI1019+ROW()/10000000)</f>
        <v/>
      </c>
      <c r="AK1019" s="706">
        <f>IF(AND(ISNUMBER($N1019),$N1019&gt;0,ISNUMBER($Y1019)),$Y1019/$N1019,"")</f>
        <v/>
      </c>
      <c r="AL1019" s="706" t="n"/>
      <c r="AM1019" s="706" t="n"/>
      <c r="AN1019" s="706" t="n"/>
    </row>
    <row r="1020">
      <c r="A1020" s="706" t="n">
        <v>8</v>
      </c>
      <c r="B1020" s="706" t="n">
        <v>1016</v>
      </c>
      <c r="C1020" s="706" t="n"/>
      <c r="D1020" s="706" t="inlineStr">
        <is>
          <t>10131 W BOWLES AVE</t>
        </is>
      </c>
      <c r="E1020" s="706" t="n">
        <v>349</v>
      </c>
      <c r="F1020" s="706" t="inlineStr">
        <is>
          <t>LITTLETON</t>
        </is>
      </c>
      <c r="G1020" s="706" t="n"/>
      <c r="H1020" s="706">
        <f>Y1020/J1020</f>
        <v/>
      </c>
      <c r="I1020" s="707" t="n">
        <v>44152</v>
      </c>
      <c r="J1020" s="706" t="n">
        <v>2819</v>
      </c>
      <c r="K1020" s="706" t="n"/>
      <c r="L1020" s="706" t="n">
        <v>2819</v>
      </c>
      <c r="M1020" s="706" t="n">
        <v>1990</v>
      </c>
      <c r="N1020" s="706" t="n"/>
      <c r="O1020" s="706" t="n"/>
      <c r="P1020" s="706" t="n"/>
      <c r="Q1020" s="706" t="n"/>
      <c r="R1020" s="706" t="n"/>
      <c r="S1020" s="706" t="n">
        <v>15246</v>
      </c>
      <c r="T1020" s="706">
        <f>S1020/J1020</f>
        <v/>
      </c>
      <c r="U1020" s="706" t="n"/>
      <c r="V1020" s="706" t="n"/>
      <c r="W1020" s="706" t="n"/>
      <c r="X1020" s="706" t="n"/>
      <c r="Y1020" s="706" t="n">
        <v>760000</v>
      </c>
      <c r="Z1020" s="706" t="n"/>
      <c r="AA1020" s="706" t="n">
        <v>760000</v>
      </c>
      <c r="AB1020" s="706" t="inlineStr">
        <is>
          <t>Pizza Hut — Fast Food; src: Retail_Sales_Cleaned</t>
        </is>
      </c>
      <c r="AC1020" s="706" t="inlineStr">
        <is>
          <t>59-164-12-002</t>
        </is>
      </c>
      <c r="AD1020" s="706" t="n"/>
      <c r="AE1020" s="706" t="n"/>
      <c r="AF1020" s="706" t="n"/>
      <c r="AG1020" s="706" t="n"/>
      <c r="AH1020" s="706" t="n"/>
      <c r="AI1020" s="706">
        <f>IF(AND($E1020=Subj_OccCode,Subj_BldgSF&gt;0,ABS($L1020-Subj_BldgSF)&lt;=Subj_BldgSF*Subj_SizeTol),ABS($L1020-Subj_BldgSF),NA())</f>
        <v/>
      </c>
      <c r="AJ1020" s="706">
        <f>IF(ISNA(AI1020),NA(),AI1020+ROW()/10000000)</f>
        <v/>
      </c>
      <c r="AK1020" s="706">
        <f>IF(AND(ISNUMBER($N1020),$N1020&gt;0,ISNUMBER($Y1020)),$Y1020/$N1020,"")</f>
        <v/>
      </c>
      <c r="AL1020" s="706" t="n"/>
      <c r="AM1020" s="706" t="n"/>
      <c r="AN1020" s="706" t="n"/>
    </row>
    <row r="1021">
      <c r="A1021" s="706" t="n">
        <v>8</v>
      </c>
      <c r="B1021" s="706" t="n">
        <v>1017</v>
      </c>
      <c r="C1021" s="706" t="n"/>
      <c r="D1021" s="706" t="inlineStr">
        <is>
          <t>3395 S KIPLING PKY</t>
        </is>
      </c>
      <c r="E1021" s="706" t="n">
        <v>426</v>
      </c>
      <c r="F1021" s="706" t="inlineStr">
        <is>
          <t>LAKEWOOD</t>
        </is>
      </c>
      <c r="G1021" s="706" t="n"/>
      <c r="H1021" s="706">
        <f>Y1021/J1021</f>
        <v/>
      </c>
      <c r="I1021" s="707" t="n">
        <v>44013</v>
      </c>
      <c r="J1021" s="706" t="n">
        <v>10300</v>
      </c>
      <c r="K1021" s="706" t="n"/>
      <c r="L1021" s="706" t="n">
        <v>10300</v>
      </c>
      <c r="M1021" s="706" t="n">
        <v>2005</v>
      </c>
      <c r="N1021" s="706" t="n"/>
      <c r="O1021" s="706" t="n"/>
      <c r="P1021" s="706" t="n"/>
      <c r="Q1021" s="706" t="n"/>
      <c r="R1021" s="706" t="n"/>
      <c r="S1021" s="706" t="n">
        <v>147048</v>
      </c>
      <c r="T1021" s="706">
        <f>S1021/J1021</f>
        <v/>
      </c>
      <c r="U1021" s="706" t="n"/>
      <c r="V1021" s="706" t="n"/>
      <c r="W1021" s="706" t="n"/>
      <c r="X1021" s="706" t="n"/>
      <c r="Y1021" s="706" t="n">
        <v>4800000</v>
      </c>
      <c r="Z1021" s="706" t="n"/>
      <c r="AA1021" s="706" t="n">
        <v>4800000</v>
      </c>
      <c r="AB1021" s="706" t="inlineStr">
        <is>
          <t>Primrose School — Daycare; Business Value Included; src: Retail_Sales_Cleaned</t>
        </is>
      </c>
      <c r="AC1021" s="706" t="inlineStr">
        <is>
          <t>49-334-00-005</t>
        </is>
      </c>
      <c r="AD1021" s="706" t="n"/>
      <c r="AE1021" s="706" t="n"/>
      <c r="AF1021" s="706" t="n"/>
      <c r="AG1021" s="706" t="n"/>
      <c r="AH1021" s="706" t="n"/>
      <c r="AI1021" s="706">
        <f>IF(AND($E1021=Subj_OccCode,Subj_BldgSF&gt;0,ABS($L1021-Subj_BldgSF)&lt;=Subj_BldgSF*Subj_SizeTol),ABS($L1021-Subj_BldgSF),NA())</f>
        <v/>
      </c>
      <c r="AJ1021" s="706">
        <f>IF(ISNA(AI1021),NA(),AI1021+ROW()/10000000)</f>
        <v/>
      </c>
      <c r="AK1021" s="706">
        <f>IF(AND(ISNUMBER($N1021),$N1021&gt;0,ISNUMBER($Y1021)),$Y1021/$N1021,"")</f>
        <v/>
      </c>
      <c r="AL1021" s="706" t="n"/>
      <c r="AM1021" s="706" t="n"/>
      <c r="AN1021" s="706" t="n"/>
    </row>
    <row r="1022">
      <c r="A1022" s="706" t="n">
        <v>8</v>
      </c>
      <c r="B1022" s="706" t="n">
        <v>1018</v>
      </c>
      <c r="C1022" s="706" t="n"/>
      <c r="D1022" s="706" t="inlineStr">
        <is>
          <t>6060 S DEVINNEY WAY</t>
        </is>
      </c>
      <c r="E1022" s="706" t="n">
        <v>426</v>
      </c>
      <c r="F1022" s="706" t="inlineStr">
        <is>
          <t>LITTLETON</t>
        </is>
      </c>
      <c r="G1022" s="706" t="n"/>
      <c r="H1022" s="706">
        <f>Y1022/J1022</f>
        <v/>
      </c>
      <c r="I1022" s="707" t="n">
        <v>44383</v>
      </c>
      <c r="J1022" s="706" t="n">
        <v>9398</v>
      </c>
      <c r="K1022" s="706" t="n"/>
      <c r="L1022" s="706" t="n">
        <v>9398</v>
      </c>
      <c r="M1022" s="706" t="n">
        <v>2001</v>
      </c>
      <c r="N1022" s="706" t="n"/>
      <c r="O1022" s="706" t="n"/>
      <c r="P1022" s="706" t="n"/>
      <c r="Q1022" s="706" t="n"/>
      <c r="R1022" s="706" t="n"/>
      <c r="S1022" s="706" t="n">
        <v>57064</v>
      </c>
      <c r="T1022" s="706">
        <f>S1022/J1022</f>
        <v/>
      </c>
      <c r="U1022" s="706" t="n"/>
      <c r="V1022" s="706" t="n"/>
      <c r="W1022" s="706" t="n"/>
      <c r="X1022" s="706" t="n"/>
      <c r="Y1022" s="706" t="n">
        <v>3000000</v>
      </c>
      <c r="Z1022" s="706" t="n"/>
      <c r="AA1022" s="706" t="n">
        <v>3000000</v>
      </c>
      <c r="AB1022" s="706" t="inlineStr">
        <is>
          <t>Primrose School — Daycare; src: Retail_Sales_Cleaned</t>
        </is>
      </c>
      <c r="AC1022" s="706" t="inlineStr">
        <is>
          <t>59-191-01-009</t>
        </is>
      </c>
      <c r="AD1022" s="706" t="n"/>
      <c r="AE1022" s="706" t="n"/>
      <c r="AF1022" s="706" t="n"/>
      <c r="AG1022" s="706" t="n"/>
      <c r="AH1022" s="706" t="n"/>
      <c r="AI1022" s="706">
        <f>IF(AND($E1022=Subj_OccCode,Subj_BldgSF&gt;0,ABS($L1022-Subj_BldgSF)&lt;=Subj_BldgSF*Subj_SizeTol),ABS($L1022-Subj_BldgSF),NA())</f>
        <v/>
      </c>
      <c r="AJ1022" s="706">
        <f>IF(ISNA(AI1022),NA(),AI1022+ROW()/10000000)</f>
        <v/>
      </c>
      <c r="AK1022" s="706">
        <f>IF(AND(ISNUMBER($N1022),$N1022&gt;0,ISNUMBER($Y1022)),$Y1022/$N1022,"")</f>
        <v/>
      </c>
      <c r="AL1022" s="706" t="n"/>
      <c r="AM1022" s="706" t="n"/>
      <c r="AN1022" s="706" t="n"/>
    </row>
    <row r="1023">
      <c r="A1023" s="706" t="n">
        <v>8</v>
      </c>
      <c r="B1023" s="706" t="n">
        <v>1019</v>
      </c>
      <c r="C1023" s="706" t="n"/>
      <c r="D1023" s="706" t="inlineStr">
        <is>
          <t>3395 S KIPLING PKY</t>
        </is>
      </c>
      <c r="E1023" s="706" t="n">
        <v>426</v>
      </c>
      <c r="F1023" s="706" t="inlineStr">
        <is>
          <t>LAKEWOOD</t>
        </is>
      </c>
      <c r="G1023" s="706" t="n"/>
      <c r="H1023" s="706">
        <f>Y1023/J1023</f>
        <v/>
      </c>
      <c r="I1023" s="707" t="n">
        <v>44816</v>
      </c>
      <c r="J1023" s="706" t="n">
        <v>10300</v>
      </c>
      <c r="K1023" s="706" t="n"/>
      <c r="L1023" s="706" t="n">
        <v>10300</v>
      </c>
      <c r="M1023" s="706" t="n">
        <v>2005</v>
      </c>
      <c r="N1023" s="706" t="n"/>
      <c r="O1023" s="706" t="n"/>
      <c r="P1023" s="706" t="n"/>
      <c r="Q1023" s="706" t="n"/>
      <c r="R1023" s="706" t="n"/>
      <c r="S1023" s="706" t="n">
        <v>147048</v>
      </c>
      <c r="T1023" s="706">
        <f>S1023/J1023</f>
        <v/>
      </c>
      <c r="U1023" s="706" t="n"/>
      <c r="V1023" s="706" t="n"/>
      <c r="W1023" s="706" t="n"/>
      <c r="X1023" s="706" t="n"/>
      <c r="Y1023" s="706" t="n">
        <v>5500000</v>
      </c>
      <c r="Z1023" s="706" t="n"/>
      <c r="AA1023" s="706" t="n">
        <v>5500000</v>
      </c>
      <c r="AB1023" s="706" t="inlineStr">
        <is>
          <t>Primrose School — Daycare; Business Value Included; src: Retail_Sales_Cleaned</t>
        </is>
      </c>
      <c r="AC1023" s="706" t="inlineStr">
        <is>
          <t>49-334-00-005</t>
        </is>
      </c>
      <c r="AD1023" s="706" t="n"/>
      <c r="AE1023" s="706" t="n"/>
      <c r="AF1023" s="706" t="n"/>
      <c r="AG1023" s="706" t="n"/>
      <c r="AH1023" s="706" t="n"/>
      <c r="AI1023" s="706">
        <f>IF(AND($E1023=Subj_OccCode,Subj_BldgSF&gt;0,ABS($L1023-Subj_BldgSF)&lt;=Subj_BldgSF*Subj_SizeTol),ABS($L1023-Subj_BldgSF),NA())</f>
        <v/>
      </c>
      <c r="AJ1023" s="706">
        <f>IF(ISNA(AI1023),NA(),AI1023+ROW()/10000000)</f>
        <v/>
      </c>
      <c r="AK1023" s="706">
        <f>IF(AND(ISNUMBER($N1023),$N1023&gt;0,ISNUMBER($Y1023)),$Y1023/$N1023,"")</f>
        <v/>
      </c>
      <c r="AL1023" s="706" t="n"/>
      <c r="AM1023" s="706" t="n"/>
      <c r="AN1023" s="706" t="n"/>
    </row>
    <row r="1024">
      <c r="A1024" s="706" t="n">
        <v>8</v>
      </c>
      <c r="B1024" s="706" t="n">
        <v>1020</v>
      </c>
      <c r="C1024" s="706" t="n"/>
      <c r="D1024" s="706" t="inlineStr">
        <is>
          <t>16395 W 64TH AVE</t>
        </is>
      </c>
      <c r="E1024" s="706" t="n">
        <v>426</v>
      </c>
      <c r="F1024" s="706" t="inlineStr">
        <is>
          <t>ARVADA</t>
        </is>
      </c>
      <c r="G1024" s="706" t="n"/>
      <c r="H1024" s="706">
        <f>Y1024/J1024</f>
        <v/>
      </c>
      <c r="I1024" s="707" t="n">
        <v>45159</v>
      </c>
      <c r="J1024" s="706" t="n">
        <v>8971</v>
      </c>
      <c r="K1024" s="706" t="n"/>
      <c r="L1024" s="706" t="n">
        <v>8971</v>
      </c>
      <c r="M1024" s="706" t="n">
        <v>2001</v>
      </c>
      <c r="N1024" s="706" t="n"/>
      <c r="O1024" s="706" t="n"/>
      <c r="P1024" s="706" t="n"/>
      <c r="Q1024" s="706" t="n"/>
      <c r="R1024" s="706" t="n"/>
      <c r="S1024" s="706" t="n">
        <v>63955</v>
      </c>
      <c r="T1024" s="706">
        <f>S1024/J1024</f>
        <v/>
      </c>
      <c r="U1024" s="706" t="n"/>
      <c r="V1024" s="706" t="n"/>
      <c r="W1024" s="706" t="n"/>
      <c r="X1024" s="706" t="n"/>
      <c r="Y1024" s="706" t="n">
        <v>3300000</v>
      </c>
      <c r="Z1024" s="706" t="n"/>
      <c r="AA1024" s="706" t="n">
        <v>3300000</v>
      </c>
      <c r="AB1024" s="706" t="inlineStr">
        <is>
          <t>Primrose School — Daycare; src: Retail_Sales_Cleaned</t>
        </is>
      </c>
      <c r="AC1024" s="706" t="inlineStr">
        <is>
          <t>30-013-13-006</t>
        </is>
      </c>
      <c r="AD1024" s="706" t="n"/>
      <c r="AE1024" s="706" t="n"/>
      <c r="AF1024" s="706" t="n"/>
      <c r="AG1024" s="706" t="n"/>
      <c r="AH1024" s="706" t="n"/>
      <c r="AI1024" s="706">
        <f>IF(AND($E1024=Subj_OccCode,Subj_BldgSF&gt;0,ABS($L1024-Subj_BldgSF)&lt;=Subj_BldgSF*Subj_SizeTol),ABS($L1024-Subj_BldgSF),NA())</f>
        <v/>
      </c>
      <c r="AJ1024" s="706">
        <f>IF(ISNA(AI1024),NA(),AI1024+ROW()/10000000)</f>
        <v/>
      </c>
      <c r="AK1024" s="706">
        <f>IF(AND(ISNUMBER($N1024),$N1024&gt;0,ISNUMBER($Y1024)),$Y1024/$N1024,"")</f>
        <v/>
      </c>
      <c r="AL1024" s="706" t="n"/>
      <c r="AM1024" s="706" t="n"/>
      <c r="AN1024" s="706" t="n"/>
    </row>
    <row r="1025">
      <c r="A1025" s="706" t="n">
        <v>8</v>
      </c>
      <c r="B1025" s="706" t="n">
        <v>1021</v>
      </c>
      <c r="C1025" s="706" t="n"/>
      <c r="D1025" s="706" t="inlineStr">
        <is>
          <t>5060 S WADSWORTH WAY</t>
        </is>
      </c>
      <c r="E1025" s="706" t="n">
        <v>349</v>
      </c>
      <c r="F1025" s="706" t="inlineStr">
        <is>
          <t>LAKEWOOD</t>
        </is>
      </c>
      <c r="G1025" s="706" t="n"/>
      <c r="H1025" s="706">
        <f>Y1025/J1025</f>
        <v/>
      </c>
      <c r="I1025" s="707" t="n">
        <v>45245</v>
      </c>
      <c r="J1025" s="706" t="n">
        <v>3400</v>
      </c>
      <c r="K1025" s="706" t="n"/>
      <c r="L1025" s="706" t="n">
        <v>3400</v>
      </c>
      <c r="M1025" s="706" t="n">
        <v>2020</v>
      </c>
      <c r="N1025" s="706" t="n"/>
      <c r="O1025" s="706" t="n"/>
      <c r="P1025" s="706" t="n"/>
      <c r="Q1025" s="706" t="n"/>
      <c r="R1025" s="706" t="n"/>
      <c r="S1025" s="706" t="n">
        <v>36678</v>
      </c>
      <c r="T1025" s="706">
        <f>S1025/J1025</f>
        <v/>
      </c>
      <c r="U1025" s="706" t="n"/>
      <c r="V1025" s="706" t="n"/>
      <c r="W1025" s="706" t="n"/>
      <c r="X1025" s="706" t="n"/>
      <c r="Y1025" s="706" t="n">
        <v>3333000</v>
      </c>
      <c r="Z1025" s="706" t="n"/>
      <c r="AA1025" s="706" t="n">
        <v>3333000</v>
      </c>
      <c r="AB1025" s="706" t="inlineStr">
        <is>
          <t>Raising Cane's — Fast Food; src: Retail_Sales_Cleaned</t>
        </is>
      </c>
      <c r="AC1025" s="706" t="inlineStr">
        <is>
          <t>59-113-01-013</t>
        </is>
      </c>
      <c r="AD1025" s="706" t="n"/>
      <c r="AE1025" s="706" t="n"/>
      <c r="AF1025" s="706" t="n"/>
      <c r="AG1025" s="706" t="n"/>
      <c r="AH1025" s="706" t="n"/>
      <c r="AI1025" s="706">
        <f>IF(AND($E1025=Subj_OccCode,Subj_BldgSF&gt;0,ABS($L1025-Subj_BldgSF)&lt;=Subj_BldgSF*Subj_SizeTol),ABS($L1025-Subj_BldgSF),NA())</f>
        <v/>
      </c>
      <c r="AJ1025" s="706">
        <f>IF(ISNA(AI1025),NA(),AI1025+ROW()/10000000)</f>
        <v/>
      </c>
      <c r="AK1025" s="706">
        <f>IF(AND(ISNUMBER($N1025),$N1025&gt;0,ISNUMBER($Y1025)),$Y1025/$N1025,"")</f>
        <v/>
      </c>
      <c r="AL1025" s="706" t="n"/>
      <c r="AM1025" s="706" t="n"/>
      <c r="AN1025" s="706" t="n"/>
    </row>
    <row r="1026">
      <c r="A1026" s="706" t="n">
        <v>8</v>
      </c>
      <c r="B1026" s="706" t="n">
        <v>1022</v>
      </c>
      <c r="C1026" s="706" t="n"/>
      <c r="D1026" s="706" t="inlineStr">
        <is>
          <t>4455 WADSWORTH BLVD</t>
        </is>
      </c>
      <c r="E1026" s="706" t="n">
        <v>353</v>
      </c>
      <c r="F1026" s="706" t="inlineStr">
        <is>
          <t>WHEAT RIDGE</t>
        </is>
      </c>
      <c r="G1026" s="706" t="n"/>
      <c r="H1026" s="706">
        <f>Y1026/J1026</f>
        <v/>
      </c>
      <c r="I1026" s="707" t="n">
        <v>44719</v>
      </c>
      <c r="J1026" s="706" t="n">
        <v>7738</v>
      </c>
      <c r="K1026" s="706" t="n"/>
      <c r="L1026" s="706" t="n">
        <v>7738</v>
      </c>
      <c r="M1026" s="706" t="n">
        <v>1974</v>
      </c>
      <c r="N1026" s="706" t="n"/>
      <c r="O1026" s="706" t="n"/>
      <c r="P1026" s="706" t="n"/>
      <c r="Q1026" s="706" t="n"/>
      <c r="R1026" s="706" t="n"/>
      <c r="S1026" s="706" t="n">
        <v>65471</v>
      </c>
      <c r="T1026" s="706">
        <f>S1026/J1026</f>
        <v/>
      </c>
      <c r="U1026" s="706" t="n"/>
      <c r="V1026" s="706" t="n"/>
      <c r="W1026" s="706" t="n"/>
      <c r="X1026" s="706" t="n"/>
      <c r="Y1026" s="706" t="n">
        <v>6125000</v>
      </c>
      <c r="Z1026" s="706" t="n"/>
      <c r="AA1026" s="706" t="n">
        <v>6125000</v>
      </c>
      <c r="AB1026" s="706" t="inlineStr">
        <is>
          <t>Red Lobster — Retail Center; src: Retail_Sales_Cleaned</t>
        </is>
      </c>
      <c r="AC1026" s="706" t="inlineStr">
        <is>
          <t>39-232-00-018</t>
        </is>
      </c>
      <c r="AD1026" s="706" t="n"/>
      <c r="AE1026" s="706" t="n"/>
      <c r="AF1026" s="706" t="n"/>
      <c r="AG1026" s="706" t="n"/>
      <c r="AH1026" s="706" t="n"/>
      <c r="AI1026" s="706">
        <f>IF(AND($E1026=Subj_OccCode,Subj_BldgSF&gt;0,ABS($L1026-Subj_BldgSF)&lt;=Subj_BldgSF*Subj_SizeTol),ABS($L1026-Subj_BldgSF),NA())</f>
        <v/>
      </c>
      <c r="AJ1026" s="706">
        <f>IF(ISNA(AI1026),NA(),AI1026+ROW()/10000000)</f>
        <v/>
      </c>
      <c r="AK1026" s="706">
        <f>IF(AND(ISNUMBER($N1026),$N1026&gt;0,ISNUMBER($Y1026)),$Y1026/$N1026,"")</f>
        <v/>
      </c>
      <c r="AL1026" s="706" t="n"/>
      <c r="AM1026" s="706" t="n"/>
      <c r="AN1026" s="706" t="n"/>
    </row>
    <row r="1027">
      <c r="A1027" s="706" t="n">
        <v>8</v>
      </c>
      <c r="B1027" s="706" t="n">
        <v>1023</v>
      </c>
      <c r="C1027" s="706" t="n"/>
      <c r="D1027" s="706" t="inlineStr">
        <is>
          <t>810 S WADSWORTH BLVD</t>
        </is>
      </c>
      <c r="E1027" s="706" t="n">
        <v>353</v>
      </c>
      <c r="F1027" s="706" t="inlineStr">
        <is>
          <t>LAKEWOOD</t>
        </is>
      </c>
      <c r="G1027" s="706" t="n"/>
      <c r="H1027" s="706">
        <f>Y1027/J1027</f>
        <v/>
      </c>
      <c r="I1027" s="707" t="n">
        <v>45176</v>
      </c>
      <c r="J1027" s="706" t="n">
        <v>7104</v>
      </c>
      <c r="K1027" s="706" t="n"/>
      <c r="L1027" s="706" t="n">
        <v>7104</v>
      </c>
      <c r="M1027" s="706" t="n">
        <v>1966</v>
      </c>
      <c r="N1027" s="706" t="n"/>
      <c r="O1027" s="706" t="n"/>
      <c r="P1027" s="706" t="n"/>
      <c r="Q1027" s="706" t="n"/>
      <c r="R1027" s="706" t="n"/>
      <c r="S1027" s="706" t="n">
        <v>85813</v>
      </c>
      <c r="T1027" s="706">
        <f>S1027/J1027</f>
        <v/>
      </c>
      <c r="U1027" s="706" t="n"/>
      <c r="V1027" s="706" t="n"/>
      <c r="W1027" s="706" t="n"/>
      <c r="X1027" s="706" t="n"/>
      <c r="Y1027" s="706" t="n">
        <v>4975000</v>
      </c>
      <c r="Z1027" s="706" t="n"/>
      <c r="AA1027" s="706" t="n">
        <v>4975000</v>
      </c>
      <c r="AB1027" s="706" t="inlineStr">
        <is>
          <t>Red Lobster — Retail Center; Investment Triple Net; src: Retail_Sales_Cleaned</t>
        </is>
      </c>
      <c r="AC1027" s="706" t="inlineStr">
        <is>
          <t>49-144-03-001</t>
        </is>
      </c>
      <c r="AD1027" s="706" t="n"/>
      <c r="AE1027" s="706" t="n"/>
      <c r="AF1027" s="706" t="n"/>
      <c r="AG1027" s="706" t="n"/>
      <c r="AH1027" s="706" t="n"/>
      <c r="AI1027" s="706">
        <f>IF(AND($E1027=Subj_OccCode,Subj_BldgSF&gt;0,ABS($L1027-Subj_BldgSF)&lt;=Subj_BldgSF*Subj_SizeTol),ABS($L1027-Subj_BldgSF),NA())</f>
        <v/>
      </c>
      <c r="AJ1027" s="706">
        <f>IF(ISNA(AI1027),NA(),AI1027+ROW()/10000000)</f>
        <v/>
      </c>
      <c r="AK1027" s="706">
        <f>IF(AND(ISNUMBER($N1027),$N1027&gt;0,ISNUMBER($Y1027)),$Y1027/$N1027,"")</f>
        <v/>
      </c>
      <c r="AL1027" s="706" t="n"/>
      <c r="AM1027" s="706" t="n"/>
      <c r="AN1027" s="706" t="n"/>
    </row>
    <row r="1028">
      <c r="A1028" s="706" t="n">
        <v>8</v>
      </c>
      <c r="B1028" s="706" t="n">
        <v>1024</v>
      </c>
      <c r="C1028" s="706" t="n"/>
      <c r="D1028" s="706" t="inlineStr">
        <is>
          <t>3244 S WADSWORTH BLVD</t>
        </is>
      </c>
      <c r="E1028" s="706" t="n">
        <v>353</v>
      </c>
      <c r="F1028" s="706" t="inlineStr">
        <is>
          <t>LAKEWOOD</t>
        </is>
      </c>
      <c r="G1028" s="706" t="n"/>
      <c r="H1028" s="706">
        <f>Y1028/J1028</f>
        <v/>
      </c>
      <c r="I1028" s="707" t="n">
        <v>45356</v>
      </c>
      <c r="J1028" s="706" t="n">
        <v>4598</v>
      </c>
      <c r="K1028" s="706" t="n"/>
      <c r="L1028" s="706" t="n">
        <v>4598</v>
      </c>
      <c r="M1028" s="706" t="n">
        <v>2017</v>
      </c>
      <c r="N1028" s="706" t="n"/>
      <c r="O1028" s="706" t="n"/>
      <c r="P1028" s="706" t="n"/>
      <c r="Q1028" s="706" t="n"/>
      <c r="R1028" s="706" t="n"/>
      <c r="S1028" s="706" t="n">
        <v>28837</v>
      </c>
      <c r="T1028" s="706">
        <f>S1028/J1028</f>
        <v/>
      </c>
      <c r="U1028" s="706" t="n"/>
      <c r="V1028" s="706" t="n"/>
      <c r="W1028" s="706" t="n"/>
      <c r="X1028" s="706" t="n"/>
      <c r="Y1028" s="706" t="n">
        <v>2655600</v>
      </c>
      <c r="Z1028" s="706" t="n"/>
      <c r="AA1028" s="706" t="n">
        <v>2655600</v>
      </c>
      <c r="AB1028" s="706" t="inlineStr">
        <is>
          <t>Red Robin — Retail Center; Bulk/Portfolio Sale,Sale Leaseback; src: Retail_Sales_Cleaned</t>
        </is>
      </c>
      <c r="AC1028" s="706" t="inlineStr">
        <is>
          <t>49-354-06-002</t>
        </is>
      </c>
      <c r="AD1028" s="706" t="n"/>
      <c r="AE1028" s="706" t="n"/>
      <c r="AF1028" s="706" t="n"/>
      <c r="AG1028" s="706" t="n"/>
      <c r="AH1028" s="706" t="n"/>
      <c r="AI1028" s="706">
        <f>IF(AND($E1028=Subj_OccCode,Subj_BldgSF&gt;0,ABS($L1028-Subj_BldgSF)&lt;=Subj_BldgSF*Subj_SizeTol),ABS($L1028-Subj_BldgSF),NA())</f>
        <v/>
      </c>
      <c r="AJ1028" s="706">
        <f>IF(ISNA(AI1028),NA(),AI1028+ROW()/10000000)</f>
        <v/>
      </c>
      <c r="AK1028" s="706">
        <f>IF(AND(ISNUMBER($N1028),$N1028&gt;0,ISNUMBER($Y1028)),$Y1028/$N1028,"")</f>
        <v/>
      </c>
      <c r="AL1028" s="706" t="n"/>
      <c r="AM1028" s="706" t="n"/>
      <c r="AN1028" s="706" t="n"/>
    </row>
    <row r="1029">
      <c r="A1029" s="706" t="n">
        <v>8</v>
      </c>
      <c r="B1029" s="706" t="n">
        <v>1025</v>
      </c>
      <c r="C1029" s="706" t="n"/>
      <c r="D1029" s="706" t="inlineStr">
        <is>
          <t>1301 S SHERIDAN BLVD</t>
        </is>
      </c>
      <c r="E1029" s="706" t="n">
        <v>325</v>
      </c>
      <c r="F1029" s="706" t="inlineStr">
        <is>
          <t>LAKEWOOD</t>
        </is>
      </c>
      <c r="G1029" s="706" t="n"/>
      <c r="H1029" s="706">
        <f>Y1029/J1029</f>
        <v/>
      </c>
      <c r="I1029" s="707" t="n">
        <v>44067</v>
      </c>
      <c r="J1029" s="706" t="n">
        <v>2927</v>
      </c>
      <c r="K1029" s="706" t="n"/>
      <c r="L1029" s="706" t="n">
        <v>2927</v>
      </c>
      <c r="M1029" s="706" t="n">
        <v>1975</v>
      </c>
      <c r="N1029" s="706" t="n"/>
      <c r="O1029" s="706" t="n"/>
      <c r="P1029" s="706" t="n"/>
      <c r="Q1029" s="706" t="n"/>
      <c r="R1029" s="706" t="n"/>
      <c r="S1029" s="706" t="n">
        <v>12402</v>
      </c>
      <c r="T1029" s="706">
        <f>S1029/J1029</f>
        <v/>
      </c>
      <c r="U1029" s="706" t="n"/>
      <c r="V1029" s="706" t="n"/>
      <c r="W1029" s="706" t="n"/>
      <c r="X1029" s="706" t="n"/>
      <c r="Y1029" s="706" t="n">
        <v>810000</v>
      </c>
      <c r="Z1029" s="706" t="n"/>
      <c r="AA1029" s="706" t="n">
        <v>810000</v>
      </c>
      <c r="AB1029" s="706" t="inlineStr">
        <is>
          <t>Shell Rapid Lube — Auto Service; src: Retail_Sales_Cleaned</t>
        </is>
      </c>
      <c r="AC1029" s="706" t="inlineStr">
        <is>
          <t>49-241-20-001</t>
        </is>
      </c>
      <c r="AD1029" s="706" t="n"/>
      <c r="AE1029" s="706" t="n"/>
      <c r="AF1029" s="706" t="n"/>
      <c r="AG1029" s="706" t="n"/>
      <c r="AH1029" s="706" t="n"/>
      <c r="AI1029" s="706">
        <f>IF(AND($E1029=Subj_OccCode,Subj_BldgSF&gt;0,ABS($L1029-Subj_BldgSF)&lt;=Subj_BldgSF*Subj_SizeTol),ABS($L1029-Subj_BldgSF),NA())</f>
        <v/>
      </c>
      <c r="AJ1029" s="706">
        <f>IF(ISNA(AI1029),NA(),AI1029+ROW()/10000000)</f>
        <v/>
      </c>
      <c r="AK1029" s="706">
        <f>IF(AND(ISNUMBER($N1029),$N1029&gt;0,ISNUMBER($Y1029)),$Y1029/$N1029,"")</f>
        <v/>
      </c>
      <c r="AL1029" s="706" t="n"/>
      <c r="AM1029" s="706" t="n"/>
      <c r="AN1029" s="706" t="n"/>
    </row>
    <row r="1030">
      <c r="A1030" s="706" t="n">
        <v>8</v>
      </c>
      <c r="B1030" s="706" t="n">
        <v>1026</v>
      </c>
      <c r="C1030" s="706" t="n"/>
      <c r="D1030" s="706" t="inlineStr">
        <is>
          <t>3777-3785 KIPLING ST</t>
        </is>
      </c>
      <c r="E1030" s="706" t="n">
        <v>446</v>
      </c>
      <c r="F1030" s="706" t="inlineStr">
        <is>
          <t>WHEAT RIDGE</t>
        </is>
      </c>
      <c r="G1030" s="706" t="n"/>
      <c r="H1030" s="706">
        <f>Y1030/J1030</f>
        <v/>
      </c>
      <c r="I1030" s="707" t="n">
        <v>44592</v>
      </c>
      <c r="J1030" s="706" t="n">
        <v>27058</v>
      </c>
      <c r="K1030" s="706" t="n"/>
      <c r="L1030" s="706" t="n">
        <v>27058</v>
      </c>
      <c r="M1030" s="706" t="n">
        <v>2015</v>
      </c>
      <c r="N1030" s="706" t="n"/>
      <c r="O1030" s="706" t="n"/>
      <c r="P1030" s="706" t="n"/>
      <c r="Q1030" s="706" t="n"/>
      <c r="R1030" s="706" t="n"/>
      <c r="S1030" s="706" t="n">
        <v>106378</v>
      </c>
      <c r="T1030" s="706">
        <f>S1030/J1030</f>
        <v/>
      </c>
      <c r="U1030" s="706" t="n"/>
      <c r="V1030" s="706" t="n"/>
      <c r="W1030" s="706" t="n"/>
      <c r="X1030" s="706" t="n"/>
      <c r="Y1030" s="706" t="n">
        <v>11366725</v>
      </c>
      <c r="Z1030" s="706" t="n"/>
      <c r="AA1030" s="706" t="n">
        <v>11366725</v>
      </c>
      <c r="AB1030" s="706" t="inlineStr">
        <is>
          <t>Sprouts — Supermarket; Investment Triple Net; src: Retail_Sales_Cleaned</t>
        </is>
      </c>
      <c r="AC1030" s="706" t="inlineStr">
        <is>
          <t>39-281-00-002</t>
        </is>
      </c>
      <c r="AD1030" s="706" t="n"/>
      <c r="AE1030" s="706" t="n"/>
      <c r="AF1030" s="706" t="n"/>
      <c r="AG1030" s="706" t="n"/>
      <c r="AH1030" s="706" t="n"/>
      <c r="AI1030" s="706">
        <f>IF(AND($E1030=Subj_OccCode,Subj_BldgSF&gt;0,ABS($L1030-Subj_BldgSF)&lt;=Subj_BldgSF*Subj_SizeTol),ABS($L1030-Subj_BldgSF),NA())</f>
        <v/>
      </c>
      <c r="AJ1030" s="706">
        <f>IF(ISNA(AI1030),NA(),AI1030+ROW()/10000000)</f>
        <v/>
      </c>
      <c r="AK1030" s="706">
        <f>IF(AND(ISNUMBER($N1030),$N1030&gt;0,ISNUMBER($Y1030)),$Y1030/$N1030,"")</f>
        <v/>
      </c>
      <c r="AL1030" s="706" t="n"/>
      <c r="AM1030" s="706" t="n"/>
      <c r="AN1030" s="706" t="n"/>
    </row>
    <row r="1031">
      <c r="A1031" s="706" t="n">
        <v>8</v>
      </c>
      <c r="B1031" s="706" t="n">
        <v>1027</v>
      </c>
      <c r="C1031" s="706" t="n"/>
      <c r="D1031" s="706" t="inlineStr">
        <is>
          <t>15050 W 64TH AVE</t>
        </is>
      </c>
      <c r="E1031" s="706" t="n">
        <v>446</v>
      </c>
      <c r="F1031" s="706" t="inlineStr">
        <is>
          <t>ARVADA</t>
        </is>
      </c>
      <c r="G1031" s="706" t="n"/>
      <c r="H1031" s="706">
        <f>Y1031/J1031</f>
        <v/>
      </c>
      <c r="I1031" s="707" t="n">
        <v>45238</v>
      </c>
      <c r="J1031" s="706" t="n">
        <v>28000</v>
      </c>
      <c r="K1031" s="706" t="n"/>
      <c r="L1031" s="706" t="n">
        <v>28000</v>
      </c>
      <c r="M1031" s="706" t="n">
        <v>2017</v>
      </c>
      <c r="N1031" s="706" t="n"/>
      <c r="O1031" s="706" t="n"/>
      <c r="P1031" s="706" t="n"/>
      <c r="Q1031" s="706" t="n"/>
      <c r="R1031" s="706" t="n"/>
      <c r="S1031" s="706" t="n">
        <v>130680</v>
      </c>
      <c r="T1031" s="706">
        <f>S1031/J1031</f>
        <v/>
      </c>
      <c r="U1031" s="706" t="n"/>
      <c r="V1031" s="706" t="n"/>
      <c r="W1031" s="706" t="n"/>
      <c r="X1031" s="706" t="n"/>
      <c r="Y1031" s="706" t="n">
        <v>10900000</v>
      </c>
      <c r="Z1031" s="706" t="n"/>
      <c r="AA1031" s="706" t="n">
        <v>10900000</v>
      </c>
      <c r="AB1031" s="706" t="inlineStr">
        <is>
          <t>Sprouts — Supermarket; Investment Triple Net; src: Retail_Sales_Cleaned</t>
        </is>
      </c>
      <c r="AC1031" s="706" t="inlineStr">
        <is>
          <t>30-121-02-001</t>
        </is>
      </c>
      <c r="AD1031" s="706" t="n"/>
      <c r="AE1031" s="706" t="n"/>
      <c r="AF1031" s="706" t="n"/>
      <c r="AG1031" s="706" t="n"/>
      <c r="AH1031" s="706" t="n"/>
      <c r="AI1031" s="706">
        <f>IF(AND($E1031=Subj_OccCode,Subj_BldgSF&gt;0,ABS($L1031-Subj_BldgSF)&lt;=Subj_BldgSF*Subj_SizeTol),ABS($L1031-Subj_BldgSF),NA())</f>
        <v/>
      </c>
      <c r="AJ1031" s="706">
        <f>IF(ISNA(AI1031),NA(),AI1031+ROW()/10000000)</f>
        <v/>
      </c>
      <c r="AK1031" s="706">
        <f>IF(AND(ISNUMBER($N1031),$N1031&gt;0,ISNUMBER($Y1031)),$Y1031/$N1031,"")</f>
        <v/>
      </c>
      <c r="AL1031" s="706" t="n"/>
      <c r="AM1031" s="706" t="n"/>
      <c r="AN1031" s="706" t="n"/>
    </row>
    <row r="1032">
      <c r="A1032" s="706" t="n">
        <v>8</v>
      </c>
      <c r="B1032" s="706" t="n">
        <v>1028</v>
      </c>
      <c r="C1032" s="706" t="n"/>
      <c r="D1032" s="706" t="inlineStr">
        <is>
          <t>26724 CONIFER TOWN CENTER DR</t>
        </is>
      </c>
      <c r="E1032" s="706" t="n">
        <v>349</v>
      </c>
      <c r="F1032" s="706" t="inlineStr">
        <is>
          <t>CONIFER</t>
        </is>
      </c>
      <c r="G1032" s="706" t="n"/>
      <c r="H1032" s="706">
        <f>Y1032/J1032</f>
        <v/>
      </c>
      <c r="I1032" s="707" t="n">
        <v>43166</v>
      </c>
      <c r="J1032" s="706" t="n">
        <v>2000</v>
      </c>
      <c r="K1032" s="706" t="n"/>
      <c r="L1032" s="706" t="n">
        <v>2000</v>
      </c>
      <c r="M1032" s="706" t="n">
        <v>2007</v>
      </c>
      <c r="N1032" s="706" t="n"/>
      <c r="O1032" s="706" t="n"/>
      <c r="P1032" s="706" t="n"/>
      <c r="Q1032" s="706" t="n"/>
      <c r="R1032" s="706" t="n"/>
      <c r="S1032" s="706" t="n">
        <v>38768</v>
      </c>
      <c r="T1032" s="706">
        <f>S1032/J1032</f>
        <v/>
      </c>
      <c r="U1032" s="706" t="n"/>
      <c r="V1032" s="706" t="n"/>
      <c r="W1032" s="706" t="n"/>
      <c r="X1032" s="706" t="n"/>
      <c r="Y1032" s="706" t="n">
        <v>1532500</v>
      </c>
      <c r="Z1032" s="706" t="n"/>
      <c r="AA1032" s="706" t="n">
        <v>1532500</v>
      </c>
      <c r="AB1032" s="706" t="inlineStr">
        <is>
          <t>Starbucks — Coffee [Out of Time Frame]; 1031 Exchange,Investment Triple Net; src: Retail_Sales_Cleaned</t>
        </is>
      </c>
      <c r="AC1032" s="706" t="inlineStr">
        <is>
          <t>61-144-01-031</t>
        </is>
      </c>
      <c r="AD1032" s="706" t="n"/>
      <c r="AE1032" s="706" t="n"/>
      <c r="AF1032" s="706" t="n"/>
      <c r="AG1032" s="706" t="n"/>
      <c r="AH1032" s="706" t="n"/>
      <c r="AI1032" s="706">
        <f>IF(AND($E1032=Subj_OccCode,Subj_BldgSF&gt;0,ABS($L1032-Subj_BldgSF)&lt;=Subj_BldgSF*Subj_SizeTol),ABS($L1032-Subj_BldgSF),NA())</f>
        <v/>
      </c>
      <c r="AJ1032" s="706">
        <f>IF(ISNA(AI1032),NA(),AI1032+ROW()/10000000)</f>
        <v/>
      </c>
      <c r="AK1032" s="706">
        <f>IF(AND(ISNUMBER($N1032),$N1032&gt;0,ISNUMBER($Y1032)),$Y1032/$N1032,"")</f>
        <v/>
      </c>
      <c r="AL1032" s="706" t="n"/>
      <c r="AM1032" s="706" t="n"/>
      <c r="AN1032" s="706" t="n"/>
    </row>
    <row r="1033">
      <c r="A1033" s="706" t="n">
        <v>8</v>
      </c>
      <c r="B1033" s="706" t="n">
        <v>1029</v>
      </c>
      <c r="C1033" s="706" t="n"/>
      <c r="D1033" s="706" t="inlineStr">
        <is>
          <t>8830 INDIANA ST</t>
        </is>
      </c>
      <c r="E1033" s="706" t="n">
        <v>349</v>
      </c>
      <c r="F1033" s="706" t="inlineStr">
        <is>
          <t>ARVADA</t>
        </is>
      </c>
      <c r="G1033" s="706" t="n"/>
      <c r="H1033" s="706">
        <f>Y1033/J1033</f>
        <v/>
      </c>
      <c r="I1033" s="707" t="n">
        <v>43424</v>
      </c>
      <c r="J1033" s="706" t="n">
        <v>2349</v>
      </c>
      <c r="K1033" s="706" t="n"/>
      <c r="L1033" s="706" t="n">
        <v>2349</v>
      </c>
      <c r="M1033" s="706" t="n">
        <v>2018</v>
      </c>
      <c r="N1033" s="706" t="n"/>
      <c r="O1033" s="706" t="n"/>
      <c r="P1033" s="706" t="n"/>
      <c r="Q1033" s="706" t="n"/>
      <c r="R1033" s="706" t="n"/>
      <c r="S1033" s="706" t="n">
        <v>38333</v>
      </c>
      <c r="T1033" s="706">
        <f>S1033/J1033</f>
        <v/>
      </c>
      <c r="U1033" s="706" t="n"/>
      <c r="V1033" s="706" t="n"/>
      <c r="W1033" s="706" t="n"/>
      <c r="X1033" s="706" t="n"/>
      <c r="Y1033" s="706" t="n">
        <v>2275000</v>
      </c>
      <c r="Z1033" s="706" t="n"/>
      <c r="AA1033" s="706" t="n">
        <v>2275000</v>
      </c>
      <c r="AB1033" s="706" t="inlineStr">
        <is>
          <t>Starbucks — Coffee [Out of Time Frame]; src: Retail_Sales_Cleaned</t>
        </is>
      </c>
      <c r="AC1033" s="706" t="inlineStr">
        <is>
          <t>29-193-06-121</t>
        </is>
      </c>
      <c r="AD1033" s="706" t="n"/>
      <c r="AE1033" s="706" t="n"/>
      <c r="AF1033" s="706" t="n"/>
      <c r="AG1033" s="706" t="n"/>
      <c r="AH1033" s="706" t="n"/>
      <c r="AI1033" s="706">
        <f>IF(AND($E1033=Subj_OccCode,Subj_BldgSF&gt;0,ABS($L1033-Subj_BldgSF)&lt;=Subj_BldgSF*Subj_SizeTol),ABS($L1033-Subj_BldgSF),NA())</f>
        <v/>
      </c>
      <c r="AJ1033" s="706">
        <f>IF(ISNA(AI1033),NA(),AI1033+ROW()/10000000)</f>
        <v/>
      </c>
      <c r="AK1033" s="706">
        <f>IF(AND(ISNUMBER($N1033),$N1033&gt;0,ISNUMBER($Y1033)),$Y1033/$N1033,"")</f>
        <v/>
      </c>
      <c r="AL1033" s="706" t="n"/>
      <c r="AM1033" s="706" t="n"/>
      <c r="AN1033" s="706" t="n"/>
    </row>
    <row r="1034">
      <c r="A1034" s="706" t="n">
        <v>8</v>
      </c>
      <c r="B1034" s="706" t="n">
        <v>1030</v>
      </c>
      <c r="C1034" s="706" t="n"/>
      <c r="D1034" s="706" t="inlineStr">
        <is>
          <t>11571 W KEN CARYL AVE</t>
        </is>
      </c>
      <c r="E1034" s="706" t="n">
        <v>349</v>
      </c>
      <c r="F1034" s="706" t="inlineStr">
        <is>
          <t>LITTLETON</t>
        </is>
      </c>
      <c r="G1034" s="706" t="n"/>
      <c r="H1034" s="706">
        <f>Y1034/J1034</f>
        <v/>
      </c>
      <c r="I1034" s="707" t="n">
        <v>44512</v>
      </c>
      <c r="J1034" s="706" t="n">
        <v>3879</v>
      </c>
      <c r="K1034" s="706" t="n"/>
      <c r="L1034" s="706" t="n">
        <v>3879</v>
      </c>
      <c r="M1034" s="706" t="n">
        <v>2021</v>
      </c>
      <c r="N1034" s="706" t="n"/>
      <c r="O1034" s="706" t="n"/>
      <c r="P1034" s="706" t="n"/>
      <c r="Q1034" s="706" t="n"/>
      <c r="R1034" s="706" t="n"/>
      <c r="S1034" s="706" t="n">
        <v>40946</v>
      </c>
      <c r="T1034" s="706">
        <f>S1034/J1034</f>
        <v/>
      </c>
      <c r="U1034" s="706" t="n"/>
      <c r="V1034" s="706" t="n"/>
      <c r="W1034" s="706" t="n"/>
      <c r="X1034" s="706" t="n"/>
      <c r="Y1034" s="706" t="n">
        <v>3080000</v>
      </c>
      <c r="Z1034" s="706" t="n"/>
      <c r="AA1034" s="706" t="n">
        <v>3080000</v>
      </c>
      <c r="AB1034" s="706" t="inlineStr">
        <is>
          <t>Starbucks — Coffee; src: Retail_Sales_Cleaned</t>
        </is>
      </c>
      <c r="AC1034" s="706" t="inlineStr">
        <is>
          <t>59-283-12-417</t>
        </is>
      </c>
      <c r="AD1034" s="706" t="n"/>
      <c r="AE1034" s="706" t="n"/>
      <c r="AF1034" s="706" t="n"/>
      <c r="AG1034" s="706" t="n"/>
      <c r="AH1034" s="706" t="n"/>
      <c r="AI1034" s="706">
        <f>IF(AND($E1034=Subj_OccCode,Subj_BldgSF&gt;0,ABS($L1034-Subj_BldgSF)&lt;=Subj_BldgSF*Subj_SizeTol),ABS($L1034-Subj_BldgSF),NA())</f>
        <v/>
      </c>
      <c r="AJ1034" s="706">
        <f>IF(ISNA(AI1034),NA(),AI1034+ROW()/10000000)</f>
        <v/>
      </c>
      <c r="AK1034" s="706">
        <f>IF(AND(ISNUMBER($N1034),$N1034&gt;0,ISNUMBER($Y1034)),$Y1034/$N1034,"")</f>
        <v/>
      </c>
      <c r="AL1034" s="706" t="n"/>
      <c r="AM1034" s="706" t="n"/>
      <c r="AN1034" s="706" t="n"/>
    </row>
    <row r="1035">
      <c r="A1035" s="706" t="n">
        <v>8</v>
      </c>
      <c r="B1035" s="706" t="n">
        <v>1031</v>
      </c>
      <c r="C1035" s="706" t="n"/>
      <c r="D1035" s="706" t="inlineStr">
        <is>
          <t>3795 KIPLING ST</t>
        </is>
      </c>
      <c r="E1035" s="706" t="n">
        <v>349</v>
      </c>
      <c r="F1035" s="706" t="inlineStr">
        <is>
          <t>WHEAT RIDGE</t>
        </is>
      </c>
      <c r="G1035" s="706" t="n"/>
      <c r="H1035" s="706">
        <f>Y1035/J1035</f>
        <v/>
      </c>
      <c r="I1035" s="707" t="n">
        <v>44592</v>
      </c>
      <c r="J1035" s="706" t="n">
        <v>2420</v>
      </c>
      <c r="K1035" s="706" t="n"/>
      <c r="L1035" s="706" t="n">
        <v>2420</v>
      </c>
      <c r="M1035" s="706" t="n">
        <v>2015</v>
      </c>
      <c r="N1035" s="706" t="n"/>
      <c r="O1035" s="706" t="n"/>
      <c r="P1035" s="706" t="n"/>
      <c r="Q1035" s="706" t="n"/>
      <c r="R1035" s="706" t="n"/>
      <c r="S1035" s="706" t="n">
        <v>12502</v>
      </c>
      <c r="T1035" s="706">
        <f>S1035/J1035</f>
        <v/>
      </c>
      <c r="U1035" s="706" t="n"/>
      <c r="V1035" s="706" t="n"/>
      <c r="W1035" s="706" t="n"/>
      <c r="X1035" s="706" t="n"/>
      <c r="Y1035" s="706" t="n">
        <v>1733275</v>
      </c>
      <c r="Z1035" s="706" t="n"/>
      <c r="AA1035" s="706" t="n">
        <v>1733275</v>
      </c>
      <c r="AB1035" s="706" t="inlineStr">
        <is>
          <t>Starbucks — Coffee; Investment Triple Net; src: Retail_Sales_Cleaned</t>
        </is>
      </c>
      <c r="AC1035" s="706" t="inlineStr">
        <is>
          <t>39-281-12-020</t>
        </is>
      </c>
      <c r="AD1035" s="706" t="n"/>
      <c r="AE1035" s="706" t="n"/>
      <c r="AF1035" s="706" t="n"/>
      <c r="AG1035" s="706" t="n"/>
      <c r="AH1035" s="706" t="n"/>
      <c r="AI1035" s="706">
        <f>IF(AND($E1035=Subj_OccCode,Subj_BldgSF&gt;0,ABS($L1035-Subj_BldgSF)&lt;=Subj_BldgSF*Subj_SizeTol),ABS($L1035-Subj_BldgSF),NA())</f>
        <v/>
      </c>
      <c r="AJ1035" s="706">
        <f>IF(ISNA(AI1035),NA(),AI1035+ROW()/10000000)</f>
        <v/>
      </c>
      <c r="AK1035" s="706">
        <f>IF(AND(ISNUMBER($N1035),$N1035&gt;0,ISNUMBER($Y1035)),$Y1035/$N1035,"")</f>
        <v/>
      </c>
      <c r="AL1035" s="706" t="n"/>
      <c r="AM1035" s="706" t="n"/>
      <c r="AN1035" s="706" t="n"/>
    </row>
    <row r="1036">
      <c r="A1036" s="706" t="n">
        <v>8</v>
      </c>
      <c r="B1036" s="706" t="n">
        <v>1032</v>
      </c>
      <c r="C1036" s="706" t="n"/>
      <c r="D1036" s="706" t="inlineStr">
        <is>
          <t>26724 CONIFER TOWN CENTER DR</t>
        </is>
      </c>
      <c r="E1036" s="706" t="n">
        <v>349</v>
      </c>
      <c r="F1036" s="706" t="inlineStr">
        <is>
          <t>CONIFER</t>
        </is>
      </c>
      <c r="G1036" s="706" t="n"/>
      <c r="H1036" s="706">
        <f>Y1036/J1036</f>
        <v/>
      </c>
      <c r="I1036" s="707" t="n">
        <v>45062</v>
      </c>
      <c r="J1036" s="706" t="n">
        <v>2000</v>
      </c>
      <c r="K1036" s="706" t="n"/>
      <c r="L1036" s="706" t="n">
        <v>2000</v>
      </c>
      <c r="M1036" s="706" t="n">
        <v>2007</v>
      </c>
      <c r="N1036" s="706" t="n"/>
      <c r="O1036" s="706" t="n"/>
      <c r="P1036" s="706" t="n"/>
      <c r="Q1036" s="706" t="n"/>
      <c r="R1036" s="706" t="n"/>
      <c r="S1036" s="706" t="n">
        <v>0.89</v>
      </c>
      <c r="T1036" s="706">
        <f>S1036/J1036</f>
        <v/>
      </c>
      <c r="U1036" s="706" t="n"/>
      <c r="V1036" s="706" t="n"/>
      <c r="W1036" s="706" t="n"/>
      <c r="X1036" s="706" t="n"/>
      <c r="Y1036" s="706" t="n">
        <v>1620000</v>
      </c>
      <c r="Z1036" s="706" t="n"/>
      <c r="AA1036" s="706" t="n">
        <v>1620000</v>
      </c>
      <c r="AB1036" s="706" t="inlineStr">
        <is>
          <t>Starbucks — Coffee; src: Retail_Sales_Cleaned</t>
        </is>
      </c>
      <c r="AC1036" s="706" t="inlineStr">
        <is>
          <t>61-144-01-031</t>
        </is>
      </c>
      <c r="AD1036" s="706" t="n"/>
      <c r="AE1036" s="706" t="n"/>
      <c r="AF1036" s="706" t="n"/>
      <c r="AG1036" s="706" t="n"/>
      <c r="AH1036" s="706" t="n"/>
      <c r="AI1036" s="706">
        <f>IF(AND($E1036=Subj_OccCode,Subj_BldgSF&gt;0,ABS($L1036-Subj_BldgSF)&lt;=Subj_BldgSF*Subj_SizeTol),ABS($L1036-Subj_BldgSF),NA())</f>
        <v/>
      </c>
      <c r="AJ1036" s="706">
        <f>IF(ISNA(AI1036),NA(),AI1036+ROW()/10000000)</f>
        <v/>
      </c>
      <c r="AK1036" s="706">
        <f>IF(AND(ISNUMBER($N1036),$N1036&gt;0,ISNUMBER($Y1036)),$Y1036/$N1036,"")</f>
        <v/>
      </c>
      <c r="AL1036" s="706" t="n"/>
      <c r="AM1036" s="706" t="n"/>
      <c r="AN1036" s="706" t="n"/>
    </row>
    <row r="1037">
      <c r="A1037" s="706" t="n">
        <v>8</v>
      </c>
      <c r="B1037" s="706" t="n">
        <v>1033</v>
      </c>
      <c r="C1037" s="706" t="n"/>
      <c r="D1037" s="706" t="inlineStr">
        <is>
          <t>10057 W PROGRESS AVE</t>
        </is>
      </c>
      <c r="E1037" s="706" t="n">
        <v>349</v>
      </c>
      <c r="F1037" s="706" t="inlineStr">
        <is>
          <t>LITTLETON</t>
        </is>
      </c>
      <c r="G1037" s="706" t="n"/>
      <c r="H1037" s="706">
        <f>Y1037/J1037</f>
        <v/>
      </c>
      <c r="I1037" s="707" t="n">
        <v>45190</v>
      </c>
      <c r="J1037" s="706" t="n">
        <v>2225</v>
      </c>
      <c r="K1037" s="706" t="n"/>
      <c r="L1037" s="706" t="n">
        <v>2225</v>
      </c>
      <c r="M1037" s="706" t="n">
        <v>2022</v>
      </c>
      <c r="N1037" s="706" t="n"/>
      <c r="O1037" s="706" t="n"/>
      <c r="P1037" s="706" t="n"/>
      <c r="Q1037" s="706" t="n"/>
      <c r="R1037" s="706" t="n"/>
      <c r="S1037" s="706" t="n">
        <v>54014</v>
      </c>
      <c r="T1037" s="706">
        <f>S1037/J1037</f>
        <v/>
      </c>
      <c r="U1037" s="706" t="n"/>
      <c r="V1037" s="706" t="n"/>
      <c r="W1037" s="706" t="n"/>
      <c r="X1037" s="706" t="n"/>
      <c r="Y1037" s="706" t="n">
        <v>2818000</v>
      </c>
      <c r="Z1037" s="706" t="n"/>
      <c r="AA1037" s="706" t="n">
        <v>2818000</v>
      </c>
      <c r="AB1037" s="706" t="inlineStr">
        <is>
          <t>Starbucks — Coffee; Investment Triple Net; src: Retail_Sales_Cleaned</t>
        </is>
      </c>
      <c r="AC1037" s="706" t="inlineStr">
        <is>
          <t>59-161-01-008</t>
        </is>
      </c>
      <c r="AD1037" s="706" t="n"/>
      <c r="AE1037" s="706" t="n"/>
      <c r="AF1037" s="706" t="n"/>
      <c r="AG1037" s="706" t="n"/>
      <c r="AH1037" s="706" t="n"/>
      <c r="AI1037" s="706">
        <f>IF(AND($E1037=Subj_OccCode,Subj_BldgSF&gt;0,ABS($L1037-Subj_BldgSF)&lt;=Subj_BldgSF*Subj_SizeTol),ABS($L1037-Subj_BldgSF),NA())</f>
        <v/>
      </c>
      <c r="AJ1037" s="706">
        <f>IF(ISNA(AI1037),NA(),AI1037+ROW()/10000000)</f>
        <v/>
      </c>
      <c r="AK1037" s="706">
        <f>IF(AND(ISNUMBER($N1037),$N1037&gt;0,ISNUMBER($Y1037)),$Y1037/$N1037,"")</f>
        <v/>
      </c>
      <c r="AL1037" s="706" t="n"/>
      <c r="AM1037" s="706" t="n"/>
      <c r="AN1037" s="706" t="n"/>
    </row>
    <row r="1038">
      <c r="A1038" s="706" t="n">
        <v>8</v>
      </c>
      <c r="B1038" s="706" t="n">
        <v>1034</v>
      </c>
      <c r="C1038" s="706" t="n"/>
      <c r="D1038" s="706" t="inlineStr">
        <is>
          <t>5790 W 29TH AVE</t>
        </is>
      </c>
      <c r="E1038" s="706" t="n">
        <v>325</v>
      </c>
      <c r="F1038" s="706" t="inlineStr">
        <is>
          <t>WHEAT RIDGE</t>
        </is>
      </c>
      <c r="G1038" s="706" t="n"/>
      <c r="H1038" s="706">
        <f>Y1038/J1038</f>
        <v/>
      </c>
      <c r="I1038" s="707" t="n">
        <v>44776</v>
      </c>
      <c r="J1038" s="706" t="n">
        <v>1274</v>
      </c>
      <c r="K1038" s="706" t="n"/>
      <c r="L1038" s="706" t="n">
        <v>1274</v>
      </c>
      <c r="M1038" s="706" t="n">
        <v>1951</v>
      </c>
      <c r="N1038" s="706" t="n"/>
      <c r="O1038" s="706" t="n"/>
      <c r="P1038" s="706" t="n"/>
      <c r="Q1038" s="706" t="n"/>
      <c r="R1038" s="706" t="n"/>
      <c r="S1038" s="706" t="n">
        <v>13286</v>
      </c>
      <c r="T1038" s="706">
        <f>S1038/J1038</f>
        <v/>
      </c>
      <c r="U1038" s="706" t="n"/>
      <c r="V1038" s="706" t="n"/>
      <c r="W1038" s="706" t="n"/>
      <c r="X1038" s="706" t="n"/>
      <c r="Y1038" s="706" t="n">
        <v>1200000</v>
      </c>
      <c r="Z1038" s="706" t="n"/>
      <c r="AA1038" s="706" t="n">
        <v>1200000</v>
      </c>
      <c r="AB1038" s="706" t="inlineStr">
        <is>
          <t>Stat Automotive — Auto Service; src: Retail_Sales_Cleaned</t>
        </is>
      </c>
      <c r="AC1038" s="706" t="inlineStr">
        <is>
          <t>39-254-20-018</t>
        </is>
      </c>
      <c r="AD1038" s="706" t="n"/>
      <c r="AE1038" s="706" t="n"/>
      <c r="AF1038" s="706" t="n"/>
      <c r="AG1038" s="706" t="n"/>
      <c r="AH1038" s="706" t="n"/>
      <c r="AI1038" s="706">
        <f>IF(AND($E1038=Subj_OccCode,Subj_BldgSF&gt;0,ABS($L1038-Subj_BldgSF)&lt;=Subj_BldgSF*Subj_SizeTol),ABS($L1038-Subj_BldgSF),NA())</f>
        <v/>
      </c>
      <c r="AJ1038" s="706">
        <f>IF(ISNA(AI1038),NA(),AI1038+ROW()/10000000)</f>
        <v/>
      </c>
      <c r="AK1038" s="706">
        <f>IF(AND(ISNUMBER($N1038),$N1038&gt;0,ISNUMBER($Y1038)),$Y1038/$N1038,"")</f>
        <v/>
      </c>
      <c r="AL1038" s="706" t="n"/>
      <c r="AM1038" s="706" t="n"/>
      <c r="AN1038" s="706" t="n"/>
    </row>
    <row r="1039">
      <c r="A1039" s="706" t="n">
        <v>8</v>
      </c>
      <c r="B1039" s="706" t="n">
        <v>1035</v>
      </c>
      <c r="C1039" s="706" t="n"/>
      <c r="D1039" s="706" t="inlineStr">
        <is>
          <t>10670 BRADFORD RD</t>
        </is>
      </c>
      <c r="E1039" s="706" t="n">
        <v>426</v>
      </c>
      <c r="F1039" s="706" t="inlineStr">
        <is>
          <t>LITTLETON</t>
        </is>
      </c>
      <c r="G1039" s="706" t="n"/>
      <c r="H1039" s="706">
        <f>Y1039/J1039</f>
        <v/>
      </c>
      <c r="I1039" s="707" t="n">
        <v>43866</v>
      </c>
      <c r="J1039" s="706" t="n">
        <v>9852</v>
      </c>
      <c r="K1039" s="706" t="n"/>
      <c r="L1039" s="706" t="n">
        <v>9852</v>
      </c>
      <c r="M1039" s="706" t="n">
        <v>1996</v>
      </c>
      <c r="N1039" s="706" t="n"/>
      <c r="O1039" s="706" t="n"/>
      <c r="P1039" s="706" t="n"/>
      <c r="Q1039" s="706" t="n"/>
      <c r="R1039" s="706" t="n"/>
      <c r="S1039" s="706" t="n">
        <v>45738</v>
      </c>
      <c r="T1039" s="706">
        <f>S1039/J1039</f>
        <v/>
      </c>
      <c r="U1039" s="706" t="n"/>
      <c r="V1039" s="706" t="n"/>
      <c r="W1039" s="706" t="n"/>
      <c r="X1039" s="706" t="n"/>
      <c r="Y1039" s="706" t="n">
        <v>4000000</v>
      </c>
      <c r="Z1039" s="706" t="n"/>
      <c r="AA1039" s="706" t="n">
        <v>4000000</v>
      </c>
      <c r="AB1039" s="706" t="inlineStr">
        <is>
          <t>Stepping Stones Learning Center — Daycare; src: Retail_Sales_Cleaned</t>
        </is>
      </c>
      <c r="AC1039" s="706" t="inlineStr">
        <is>
          <t>59-334-11-023</t>
        </is>
      </c>
      <c r="AD1039" s="706" t="n"/>
      <c r="AE1039" s="706" t="n"/>
      <c r="AF1039" s="706" t="n"/>
      <c r="AG1039" s="706" t="n"/>
      <c r="AH1039" s="706" t="n"/>
      <c r="AI1039" s="706">
        <f>IF(AND($E1039=Subj_OccCode,Subj_BldgSF&gt;0,ABS($L1039-Subj_BldgSF)&lt;=Subj_BldgSF*Subj_SizeTol),ABS($L1039-Subj_BldgSF),NA())</f>
        <v/>
      </c>
      <c r="AJ1039" s="706">
        <f>IF(ISNA(AI1039),NA(),AI1039+ROW()/10000000)</f>
        <v/>
      </c>
      <c r="AK1039" s="706">
        <f>IF(AND(ISNUMBER($N1039),$N1039&gt;0,ISNUMBER($Y1039)),$Y1039/$N1039,"")</f>
        <v/>
      </c>
      <c r="AL1039" s="706" t="n"/>
      <c r="AM1039" s="706" t="n"/>
      <c r="AN1039" s="706" t="n"/>
    </row>
    <row r="1040">
      <c r="A1040" s="706" t="n">
        <v>8</v>
      </c>
      <c r="B1040" s="706" t="n">
        <v>1036</v>
      </c>
      <c r="C1040" s="706" t="n"/>
      <c r="D1040" s="706" t="inlineStr">
        <is>
          <t>9987 WADSWORTH PKY</t>
        </is>
      </c>
      <c r="E1040" s="706" t="n">
        <v>349</v>
      </c>
      <c r="F1040" s="706" t="inlineStr">
        <is>
          <t>WESTMINSTER</t>
        </is>
      </c>
      <c r="G1040" s="706" t="n"/>
      <c r="H1040" s="706">
        <f>Y1040/J1040</f>
        <v/>
      </c>
      <c r="I1040" s="707" t="n">
        <v>43515</v>
      </c>
      <c r="J1040" s="706" t="n">
        <v>1500</v>
      </c>
      <c r="K1040" s="706" t="n"/>
      <c r="L1040" s="706" t="n">
        <v>1500</v>
      </c>
      <c r="M1040" s="706" t="n">
        <v>1993</v>
      </c>
      <c r="N1040" s="706" t="n"/>
      <c r="O1040" s="706" t="n"/>
      <c r="P1040" s="706" t="n"/>
      <c r="Q1040" s="706" t="n"/>
      <c r="R1040" s="706" t="n"/>
      <c r="S1040" s="706" t="n">
        <v>15725</v>
      </c>
      <c r="T1040" s="706">
        <f>S1040/J1040</f>
        <v/>
      </c>
      <c r="U1040" s="706" t="n"/>
      <c r="V1040" s="706" t="n"/>
      <c r="W1040" s="706" t="n"/>
      <c r="X1040" s="706" t="n"/>
      <c r="Y1040" s="706" t="n">
        <v>1050000</v>
      </c>
      <c r="Z1040" s="706" t="n"/>
      <c r="AA1040" s="706" t="n">
        <v>1050000</v>
      </c>
      <c r="AB1040" s="706" t="inlineStr">
        <is>
          <t>Subway — Fast Food [Old Sale]; 1031 Exchange,Investment Triple Net; src: Retail_Sales_Cleaned</t>
        </is>
      </c>
      <c r="AC1040" s="706" t="inlineStr">
        <is>
          <t>29-154-01-006</t>
        </is>
      </c>
      <c r="AD1040" s="706" t="n"/>
      <c r="AE1040" s="706" t="n"/>
      <c r="AF1040" s="706" t="n"/>
      <c r="AG1040" s="706" t="n"/>
      <c r="AH1040" s="706" t="n"/>
      <c r="AI1040" s="706">
        <f>IF(AND($E1040=Subj_OccCode,Subj_BldgSF&gt;0,ABS($L1040-Subj_BldgSF)&lt;=Subj_BldgSF*Subj_SizeTol),ABS($L1040-Subj_BldgSF),NA())</f>
        <v/>
      </c>
      <c r="AJ1040" s="706">
        <f>IF(ISNA(AI1040),NA(),AI1040+ROW()/10000000)</f>
        <v/>
      </c>
      <c r="AK1040" s="706">
        <f>IF(AND(ISNUMBER($N1040),$N1040&gt;0,ISNUMBER($Y1040)),$Y1040/$N1040,"")</f>
        <v/>
      </c>
      <c r="AL1040" s="706" t="n"/>
      <c r="AM1040" s="706" t="n"/>
      <c r="AN1040" s="706" t="n"/>
    </row>
    <row r="1041">
      <c r="A1041" s="706" t="n">
        <v>8</v>
      </c>
      <c r="B1041" s="706" t="n">
        <v>1037</v>
      </c>
      <c r="C1041" s="706" t="n"/>
      <c r="D1041" s="706" t="inlineStr">
        <is>
          <t>5700 W ALAMEDA AVE</t>
        </is>
      </c>
      <c r="E1041" s="706" t="n">
        <v>325</v>
      </c>
      <c r="F1041" s="706" t="inlineStr">
        <is>
          <t>DENVER</t>
        </is>
      </c>
      <c r="G1041" s="706" t="n"/>
      <c r="H1041" s="706">
        <f>Y1041/J1041</f>
        <v/>
      </c>
      <c r="I1041" s="707" t="n">
        <v>44032</v>
      </c>
      <c r="J1041" s="706" t="n">
        <v>5720</v>
      </c>
      <c r="K1041" s="706" t="n"/>
      <c r="L1041" s="706" t="n">
        <v>5720</v>
      </c>
      <c r="M1041" s="706" t="n">
        <v>1974</v>
      </c>
      <c r="N1041" s="706" t="n"/>
      <c r="O1041" s="706" t="n"/>
      <c r="P1041" s="706" t="n"/>
      <c r="Q1041" s="706" t="n"/>
      <c r="R1041" s="706" t="n"/>
      <c r="S1041" s="706" t="n">
        <v>15682</v>
      </c>
      <c r="T1041" s="706">
        <f>S1041/J1041</f>
        <v/>
      </c>
      <c r="U1041" s="706" t="n"/>
      <c r="V1041" s="706" t="n"/>
      <c r="W1041" s="706" t="n"/>
      <c r="X1041" s="706" t="n"/>
      <c r="Y1041" s="706" t="n">
        <v>1410000</v>
      </c>
      <c r="Z1041" s="706" t="n"/>
      <c r="AA1041" s="706" t="n">
        <v>1410000</v>
      </c>
      <c r="AB1041" s="706" t="inlineStr">
        <is>
          <t>Super Low Price Auto Glass — Auto Service; Business Value Included; src: Retail_Sales_Cleaned</t>
        </is>
      </c>
      <c r="AC1041" s="706" t="inlineStr">
        <is>
          <t>49-131-00-008</t>
        </is>
      </c>
      <c r="AD1041" s="706" t="n"/>
      <c r="AE1041" s="706" t="n"/>
      <c r="AF1041" s="706" t="n"/>
      <c r="AG1041" s="706" t="n"/>
      <c r="AH1041" s="706" t="n"/>
      <c r="AI1041" s="706">
        <f>IF(AND($E1041=Subj_OccCode,Subj_BldgSF&gt;0,ABS($L1041-Subj_BldgSF)&lt;=Subj_BldgSF*Subj_SizeTol),ABS($L1041-Subj_BldgSF),NA())</f>
        <v/>
      </c>
      <c r="AJ1041" s="706">
        <f>IF(ISNA(AI1041),NA(),AI1041+ROW()/10000000)</f>
        <v/>
      </c>
      <c r="AK1041" s="706">
        <f>IF(AND(ISNUMBER($N1041),$N1041&gt;0,ISNUMBER($Y1041)),$Y1041/$N1041,"")</f>
        <v/>
      </c>
      <c r="AL1041" s="706" t="n"/>
      <c r="AM1041" s="706" t="n"/>
      <c r="AN1041" s="706" t="n"/>
    </row>
    <row r="1042">
      <c r="A1042" s="706" t="n">
        <v>8</v>
      </c>
      <c r="B1042" s="706" t="n">
        <v>1038</v>
      </c>
      <c r="C1042" s="706" t="n"/>
      <c r="D1042" s="706" t="inlineStr">
        <is>
          <t>5260 WADSWORTH BYP</t>
        </is>
      </c>
      <c r="E1042" s="706" t="n">
        <v>349</v>
      </c>
      <c r="F1042" s="706" t="inlineStr">
        <is>
          <t>ARVADA</t>
        </is>
      </c>
      <c r="G1042" s="706" t="n"/>
      <c r="H1042" s="706">
        <f>Y1042/J1042</f>
        <v/>
      </c>
      <c r="I1042" s="707" t="n">
        <v>43593</v>
      </c>
      <c r="J1042" s="706" t="n">
        <v>2240</v>
      </c>
      <c r="K1042" s="706" t="n"/>
      <c r="L1042" s="706" t="n">
        <v>2240</v>
      </c>
      <c r="M1042" s="706" t="n">
        <v>1987</v>
      </c>
      <c r="N1042" s="706" t="n"/>
      <c r="O1042" s="706" t="n"/>
      <c r="P1042" s="706" t="n"/>
      <c r="Q1042" s="706" t="n"/>
      <c r="R1042" s="706" t="n"/>
      <c r="S1042" s="706" t="n">
        <v>29185</v>
      </c>
      <c r="T1042" s="706">
        <f>S1042/J1042</f>
        <v/>
      </c>
      <c r="U1042" s="706" t="n"/>
      <c r="V1042" s="706" t="n"/>
      <c r="W1042" s="706" t="n"/>
      <c r="X1042" s="706" t="n"/>
      <c r="Y1042" s="706" t="n">
        <v>1238479</v>
      </c>
      <c r="Z1042" s="706" t="n"/>
      <c r="AA1042" s="706" t="n">
        <v>1238479</v>
      </c>
      <c r="AB1042" s="706" t="inlineStr">
        <is>
          <t>Taco Bell — Fast Food [Old Sale]; src: Retail_Sales_Cleaned</t>
        </is>
      </c>
      <c r="AC1042" s="706" t="inlineStr">
        <is>
          <t>39-141-14-001</t>
        </is>
      </c>
      <c r="AD1042" s="706" t="n"/>
      <c r="AE1042" s="706" t="n"/>
      <c r="AF1042" s="706" t="n"/>
      <c r="AG1042" s="706" t="n"/>
      <c r="AH1042" s="706" t="n"/>
      <c r="AI1042" s="706">
        <f>IF(AND($E1042=Subj_OccCode,Subj_BldgSF&gt;0,ABS($L1042-Subj_BldgSF)&lt;=Subj_BldgSF*Subj_SizeTol),ABS($L1042-Subj_BldgSF),NA())</f>
        <v/>
      </c>
      <c r="AJ1042" s="706">
        <f>IF(ISNA(AI1042),NA(),AI1042+ROW()/10000000)</f>
        <v/>
      </c>
      <c r="AK1042" s="706">
        <f>IF(AND(ISNUMBER($N1042),$N1042&gt;0,ISNUMBER($Y1042)),$Y1042/$N1042,"")</f>
        <v/>
      </c>
      <c r="AL1042" s="706" t="n"/>
      <c r="AM1042" s="706" t="n"/>
      <c r="AN1042" s="706" t="n"/>
    </row>
    <row r="1043">
      <c r="A1043" s="706" t="n">
        <v>8</v>
      </c>
      <c r="B1043" s="706" t="n">
        <v>1039</v>
      </c>
      <c r="C1043" s="706" t="n"/>
      <c r="D1043" s="706" t="inlineStr">
        <is>
          <t>5260 WADSWORTH BYP</t>
        </is>
      </c>
      <c r="E1043" s="706" t="n">
        <v>349</v>
      </c>
      <c r="F1043" s="706" t="inlineStr">
        <is>
          <t>ARVADA</t>
        </is>
      </c>
      <c r="G1043" s="706" t="n"/>
      <c r="H1043" s="706">
        <f>Y1043/J1043</f>
        <v/>
      </c>
      <c r="I1043" s="707" t="n">
        <v>44014</v>
      </c>
      <c r="J1043" s="706" t="n">
        <v>2240</v>
      </c>
      <c r="K1043" s="706" t="n"/>
      <c r="L1043" s="706" t="n">
        <v>2240</v>
      </c>
      <c r="M1043" s="706" t="n">
        <v>1987</v>
      </c>
      <c r="N1043" s="706" t="n"/>
      <c r="O1043" s="706" t="n"/>
      <c r="P1043" s="706" t="n"/>
      <c r="Q1043" s="706" t="n"/>
      <c r="R1043" s="706" t="n"/>
      <c r="S1043" s="706" t="n">
        <v>29185</v>
      </c>
      <c r="T1043" s="706">
        <f>S1043/J1043</f>
        <v/>
      </c>
      <c r="U1043" s="706" t="n"/>
      <c r="V1043" s="706" t="n"/>
      <c r="W1043" s="706" t="n"/>
      <c r="X1043" s="706" t="n"/>
      <c r="Y1043" s="706" t="n">
        <v>2700000</v>
      </c>
      <c r="Z1043" s="706" t="n"/>
      <c r="AA1043" s="706" t="n">
        <v>2700000</v>
      </c>
      <c r="AB1043" s="706" t="inlineStr">
        <is>
          <t>Taco Bell — Fast Food; 1031 Exchange,Investment Triple Net; src: Retail_Sales_Cleaned</t>
        </is>
      </c>
      <c r="AC1043" s="706" t="inlineStr">
        <is>
          <t>39-141-14-001</t>
        </is>
      </c>
      <c r="AD1043" s="706" t="n"/>
      <c r="AE1043" s="706" t="n"/>
      <c r="AF1043" s="706" t="n"/>
      <c r="AG1043" s="706" t="n"/>
      <c r="AH1043" s="706" t="n"/>
      <c r="AI1043" s="706">
        <f>IF(AND($E1043=Subj_OccCode,Subj_BldgSF&gt;0,ABS($L1043-Subj_BldgSF)&lt;=Subj_BldgSF*Subj_SizeTol),ABS($L1043-Subj_BldgSF),NA())</f>
        <v/>
      </c>
      <c r="AJ1043" s="706">
        <f>IF(ISNA(AI1043),NA(),AI1043+ROW()/10000000)</f>
        <v/>
      </c>
      <c r="AK1043" s="706">
        <f>IF(AND(ISNUMBER($N1043),$N1043&gt;0,ISNUMBER($Y1043)),$Y1043/$N1043,"")</f>
        <v/>
      </c>
      <c r="AL1043" s="706" t="n"/>
      <c r="AM1043" s="706" t="n"/>
      <c r="AN1043" s="706" t="n"/>
    </row>
    <row r="1044">
      <c r="A1044" s="706" t="n">
        <v>8</v>
      </c>
      <c r="B1044" s="706" t="n">
        <v>1040</v>
      </c>
      <c r="C1044" s="706" t="n"/>
      <c r="D1044" s="706" t="inlineStr">
        <is>
          <t>30850 STAGECOACH BLVD</t>
        </is>
      </c>
      <c r="E1044" s="706" t="n">
        <v>349</v>
      </c>
      <c r="F1044" s="706" t="inlineStr">
        <is>
          <t>EVERGREEN</t>
        </is>
      </c>
      <c r="G1044" s="706" t="n"/>
      <c r="H1044" s="706">
        <f>Y1044/J1044</f>
        <v/>
      </c>
      <c r="I1044" s="707" t="n">
        <v>44215</v>
      </c>
      <c r="J1044" s="706" t="n">
        <v>2187</v>
      </c>
      <c r="K1044" s="706" t="n"/>
      <c r="L1044" s="706" t="n">
        <v>2187</v>
      </c>
      <c r="M1044" s="706" t="n">
        <v>1997</v>
      </c>
      <c r="N1044" s="706" t="n"/>
      <c r="O1044" s="706" t="n"/>
      <c r="P1044" s="706" t="n"/>
      <c r="Q1044" s="706" t="n"/>
      <c r="R1044" s="706" t="n"/>
      <c r="S1044" s="706" t="n">
        <v>51836</v>
      </c>
      <c r="T1044" s="706">
        <f>S1044/J1044</f>
        <v/>
      </c>
      <c r="U1044" s="706" t="n"/>
      <c r="V1044" s="706" t="n"/>
      <c r="W1044" s="706" t="n"/>
      <c r="X1044" s="706" t="n"/>
      <c r="Y1044" s="706" t="n">
        <v>1875000</v>
      </c>
      <c r="Z1044" s="706" t="n"/>
      <c r="AA1044" s="706" t="n">
        <v>1875000</v>
      </c>
      <c r="AB1044" s="706" t="inlineStr">
        <is>
          <t>Taco Bell — Fast Food; src: Retail_Sales_Cleaned</t>
        </is>
      </c>
      <c r="AC1044" s="706" t="inlineStr">
        <is>
          <t>41-333-17-007</t>
        </is>
      </c>
      <c r="AD1044" s="706" t="n"/>
      <c r="AE1044" s="706" t="n"/>
      <c r="AF1044" s="706" t="n"/>
      <c r="AG1044" s="706" t="n"/>
      <c r="AH1044" s="706" t="n"/>
      <c r="AI1044" s="706">
        <f>IF(AND($E1044=Subj_OccCode,Subj_BldgSF&gt;0,ABS($L1044-Subj_BldgSF)&lt;=Subj_BldgSF*Subj_SizeTol),ABS($L1044-Subj_BldgSF),NA())</f>
        <v/>
      </c>
      <c r="AJ1044" s="706">
        <f>IF(ISNA(AI1044),NA(),AI1044+ROW()/10000000)</f>
        <v/>
      </c>
      <c r="AK1044" s="706">
        <f>IF(AND(ISNUMBER($N1044),$N1044&gt;0,ISNUMBER($Y1044)),$Y1044/$N1044,"")</f>
        <v/>
      </c>
      <c r="AL1044" s="706" t="n"/>
      <c r="AM1044" s="706" t="n"/>
      <c r="AN1044" s="706" t="n"/>
    </row>
    <row r="1045">
      <c r="A1045" s="706" t="n">
        <v>8</v>
      </c>
      <c r="B1045" s="706" t="n">
        <v>1041</v>
      </c>
      <c r="C1045" s="706" t="n"/>
      <c r="D1045" s="706" t="inlineStr">
        <is>
          <t>3790 CHASE ST</t>
        </is>
      </c>
      <c r="E1045" s="706" t="n">
        <v>426</v>
      </c>
      <c r="F1045" s="706" t="inlineStr">
        <is>
          <t>WHEAT RIDGE</t>
        </is>
      </c>
      <c r="G1045" s="706" t="n"/>
      <c r="H1045" s="706">
        <f>Y1045/J1045</f>
        <v/>
      </c>
      <c r="I1045" s="707" t="n">
        <v>43839</v>
      </c>
      <c r="J1045" s="706" t="n">
        <v>3240</v>
      </c>
      <c r="K1045" s="706" t="n"/>
      <c r="L1045" s="706" t="n">
        <v>3240</v>
      </c>
      <c r="M1045" s="706" t="n">
        <v>1981</v>
      </c>
      <c r="N1045" s="706" t="n"/>
      <c r="O1045" s="706" t="n"/>
      <c r="P1045" s="706" t="n"/>
      <c r="Q1045" s="706" t="n"/>
      <c r="R1045" s="706" t="n"/>
      <c r="S1045" s="706" t="n">
        <v>13500</v>
      </c>
      <c r="T1045" s="706">
        <f>S1045/J1045</f>
        <v/>
      </c>
      <c r="U1045" s="706" t="n"/>
      <c r="V1045" s="706" t="n"/>
      <c r="W1045" s="706" t="n"/>
      <c r="X1045" s="706" t="n"/>
      <c r="Y1045" s="706" t="n">
        <v>837500</v>
      </c>
      <c r="Z1045" s="706" t="n"/>
      <c r="AA1045" s="706" t="n">
        <v>837500</v>
      </c>
      <c r="AB1045" s="706" t="inlineStr">
        <is>
          <t>Tiny Hearts Academy — Daycare; Business Value Included; src: Retail_Sales_Cleaned</t>
        </is>
      </c>
      <c r="AC1045" s="706" t="inlineStr">
        <is>
          <t>39-251-03-028</t>
        </is>
      </c>
      <c r="AD1045" s="706" t="n"/>
      <c r="AE1045" s="706" t="n"/>
      <c r="AF1045" s="706" t="n"/>
      <c r="AG1045" s="706" t="n"/>
      <c r="AH1045" s="706" t="n"/>
      <c r="AI1045" s="706">
        <f>IF(AND($E1045=Subj_OccCode,Subj_BldgSF&gt;0,ABS($L1045-Subj_BldgSF)&lt;=Subj_BldgSF*Subj_SizeTol),ABS($L1045-Subj_BldgSF),NA())</f>
        <v/>
      </c>
      <c r="AJ1045" s="706">
        <f>IF(ISNA(AI1045),NA(),AI1045+ROW()/10000000)</f>
        <v/>
      </c>
      <c r="AK1045" s="706">
        <f>IF(AND(ISNUMBER($N1045),$N1045&gt;0,ISNUMBER($Y1045)),$Y1045/$N1045,"")</f>
        <v/>
      </c>
      <c r="AL1045" s="706" t="n"/>
      <c r="AM1045" s="706" t="n"/>
      <c r="AN1045" s="706" t="n"/>
    </row>
    <row r="1046">
      <c r="A1046" s="706" t="n">
        <v>8</v>
      </c>
      <c r="B1046" s="706" t="n">
        <v>1042</v>
      </c>
      <c r="C1046" s="706" t="n"/>
      <c r="D1046" s="706" t="inlineStr">
        <is>
          <t>5325 OLDE WADSWORTH BLVD</t>
        </is>
      </c>
      <c r="E1046" s="706" t="n">
        <v>410</v>
      </c>
      <c r="F1046" s="706" t="inlineStr">
        <is>
          <t>ARVADA</t>
        </is>
      </c>
      <c r="G1046" s="706" t="n"/>
      <c r="H1046" s="706">
        <f>Y1046/J1046</f>
        <v/>
      </c>
      <c r="I1046" s="707" t="n">
        <v>44106</v>
      </c>
      <c r="J1046" s="706" t="n">
        <v>4681</v>
      </c>
      <c r="K1046" s="706" t="n"/>
      <c r="L1046" s="706" t="n">
        <v>4681</v>
      </c>
      <c r="M1046" s="706" t="n">
        <v>2001</v>
      </c>
      <c r="N1046" s="706" t="n"/>
      <c r="O1046" s="706" t="n"/>
      <c r="P1046" s="706" t="n"/>
      <c r="Q1046" s="706" t="n"/>
      <c r="R1046" s="706" t="n"/>
      <c r="S1046" s="706" t="n">
        <v>20473</v>
      </c>
      <c r="T1046" s="706">
        <f>S1046/J1046</f>
        <v/>
      </c>
      <c r="U1046" s="706" t="n"/>
      <c r="V1046" s="706" t="n"/>
      <c r="W1046" s="706" t="n"/>
      <c r="X1046" s="706" t="n"/>
      <c r="Y1046" s="706" t="n">
        <v>1150000</v>
      </c>
      <c r="Z1046" s="706" t="n"/>
      <c r="AA1046" s="706" t="n">
        <v>1150000</v>
      </c>
      <c r="AB1046" s="706" t="inlineStr">
        <is>
          <t>Tires Plus — Auto Service; src: Retail_Sales_Cleaned</t>
        </is>
      </c>
      <c r="AC1046" s="706" t="inlineStr">
        <is>
          <t>39-142-08-014</t>
        </is>
      </c>
      <c r="AD1046" s="706" t="n"/>
      <c r="AE1046" s="706" t="n"/>
      <c r="AF1046" s="706" t="n"/>
      <c r="AG1046" s="706" t="n"/>
      <c r="AH1046" s="706" t="n"/>
      <c r="AI1046" s="706">
        <f>IF(AND($E1046=Subj_OccCode,Subj_BldgSF&gt;0,ABS($L1046-Subj_BldgSF)&lt;=Subj_BldgSF*Subj_SizeTol),ABS($L1046-Subj_BldgSF),NA())</f>
        <v/>
      </c>
      <c r="AJ1046" s="706">
        <f>IF(ISNA(AI1046),NA(),AI1046+ROW()/10000000)</f>
        <v/>
      </c>
      <c r="AK1046" s="706">
        <f>IF(AND(ISNUMBER($N1046),$N1046&gt;0,ISNUMBER($Y1046)),$Y1046/$N1046,"")</f>
        <v/>
      </c>
      <c r="AL1046" s="706" t="n"/>
      <c r="AM1046" s="706" t="n"/>
      <c r="AN1046" s="706" t="n"/>
    </row>
    <row r="1047">
      <c r="A1047" s="706" t="n">
        <v>8</v>
      </c>
      <c r="B1047" s="706" t="n">
        <v>1043</v>
      </c>
      <c r="C1047" s="706" t="n"/>
      <c r="D1047" s="706" t="inlineStr">
        <is>
          <t>12301 W CENTER AVE</t>
        </is>
      </c>
      <c r="E1047" s="706" t="n">
        <v>325</v>
      </c>
      <c r="F1047" s="706" t="inlineStr">
        <is>
          <t>LAKEWOOD</t>
        </is>
      </c>
      <c r="G1047" s="706" t="n"/>
      <c r="H1047" s="706">
        <f>Y1047/J1047</f>
        <v/>
      </c>
      <c r="I1047" s="707" t="n">
        <v>44649</v>
      </c>
      <c r="J1047" s="706" t="n">
        <v>3678</v>
      </c>
      <c r="K1047" s="706" t="n"/>
      <c r="L1047" s="706" t="n">
        <v>3678</v>
      </c>
      <c r="M1047" s="706" t="n">
        <v>1985</v>
      </c>
      <c r="N1047" s="706" t="n"/>
      <c r="O1047" s="706" t="n"/>
      <c r="P1047" s="706" t="n"/>
      <c r="Q1047" s="706" t="n"/>
      <c r="R1047" s="706" t="n"/>
      <c r="S1047" s="706" t="n">
        <v>27530</v>
      </c>
      <c r="T1047" s="706">
        <f>S1047/J1047</f>
        <v/>
      </c>
      <c r="U1047" s="706" t="n"/>
      <c r="V1047" s="706" t="n"/>
      <c r="W1047" s="706" t="n"/>
      <c r="X1047" s="706" t="n"/>
      <c r="Y1047" s="706" t="n">
        <v>950000</v>
      </c>
      <c r="Z1047" s="706" t="n"/>
      <c r="AA1047" s="706" t="n">
        <v>950000</v>
      </c>
      <c r="AB1047" s="706" t="inlineStr">
        <is>
          <t>True Automotive — Auto Service; src: Retail_Sales_Cleaned</t>
        </is>
      </c>
      <c r="AC1047" s="706" t="inlineStr">
        <is>
          <t>49-171-07-011</t>
        </is>
      </c>
      <c r="AD1047" s="706" t="n"/>
      <c r="AE1047" s="706" t="n"/>
      <c r="AF1047" s="706" t="n"/>
      <c r="AG1047" s="706" t="n"/>
      <c r="AH1047" s="706" t="n"/>
      <c r="AI1047" s="706">
        <f>IF(AND($E1047=Subj_OccCode,Subj_BldgSF&gt;0,ABS($L1047-Subj_BldgSF)&lt;=Subj_BldgSF*Subj_SizeTol),ABS($L1047-Subj_BldgSF),NA())</f>
        <v/>
      </c>
      <c r="AJ1047" s="706">
        <f>IF(ISNA(AI1047),NA(),AI1047+ROW()/10000000)</f>
        <v/>
      </c>
      <c r="AK1047" s="706">
        <f>IF(AND(ISNUMBER($N1047),$N1047&gt;0,ISNUMBER($Y1047)),$Y1047/$N1047,"")</f>
        <v/>
      </c>
      <c r="AL1047" s="706" t="n"/>
      <c r="AM1047" s="706" t="n"/>
      <c r="AN1047" s="706" t="n"/>
    </row>
    <row r="1048">
      <c r="A1048" s="706" t="n">
        <v>8</v>
      </c>
      <c r="B1048" s="706" t="n">
        <v>1044</v>
      </c>
      <c r="C1048" s="706" t="n"/>
      <c r="D1048" s="706" t="inlineStr">
        <is>
          <t>7930 WADSWORTH BLVD</t>
        </is>
      </c>
      <c r="E1048" s="706" t="n">
        <v>353</v>
      </c>
      <c r="F1048" s="706" t="inlineStr">
        <is>
          <t>ARVADA</t>
        </is>
      </c>
      <c r="G1048" s="706" t="n"/>
      <c r="H1048" s="706">
        <f>Y1048/J1048</f>
        <v/>
      </c>
      <c r="I1048" s="707" t="n">
        <v>44649</v>
      </c>
      <c r="J1048" s="706" t="n">
        <v>14570</v>
      </c>
      <c r="K1048" s="706" t="n"/>
      <c r="L1048" s="706" t="n">
        <v>14570</v>
      </c>
      <c r="M1048" s="706" t="n">
        <v>2009</v>
      </c>
      <c r="N1048" s="706" t="n"/>
      <c r="O1048" s="706" t="n"/>
      <c r="P1048" s="706" t="n"/>
      <c r="Q1048" s="706" t="n"/>
      <c r="R1048" s="706" t="n"/>
      <c r="S1048" s="706" t="n">
        <v>121968</v>
      </c>
      <c r="T1048" s="706">
        <f>S1048/J1048</f>
        <v/>
      </c>
      <c r="U1048" s="706" t="n"/>
      <c r="V1048" s="706" t="n"/>
      <c r="W1048" s="706" t="n"/>
      <c r="X1048" s="706" t="n"/>
      <c r="Y1048" s="706" t="n">
        <v>9200000</v>
      </c>
      <c r="Z1048" s="706" t="n"/>
      <c r="AA1048" s="706" t="n">
        <v>9200000</v>
      </c>
      <c r="AB1048" s="706" t="inlineStr">
        <is>
          <t>Walgreen's — Drugstore; src: Retail_Sales_Cleaned</t>
        </is>
      </c>
      <c r="AC1048" s="706" t="inlineStr">
        <is>
          <t>29-351-03-016</t>
        </is>
      </c>
      <c r="AD1048" s="706" t="n"/>
      <c r="AE1048" s="706" t="n"/>
      <c r="AF1048" s="706" t="n"/>
      <c r="AG1048" s="706" t="n"/>
      <c r="AH1048" s="706" t="n"/>
      <c r="AI1048" s="706">
        <f>IF(AND($E1048=Subj_OccCode,Subj_BldgSF&gt;0,ABS($L1048-Subj_BldgSF)&lt;=Subj_BldgSF*Subj_SizeTol),ABS($L1048-Subj_BldgSF),NA())</f>
        <v/>
      </c>
      <c r="AJ1048" s="706">
        <f>IF(ISNA(AI1048),NA(),AI1048+ROW()/10000000)</f>
        <v/>
      </c>
      <c r="AK1048" s="706">
        <f>IF(AND(ISNUMBER($N1048),$N1048&gt;0,ISNUMBER($Y1048)),$Y1048/$N1048,"")</f>
        <v/>
      </c>
      <c r="AL1048" s="706" t="n"/>
      <c r="AM1048" s="706" t="n"/>
      <c r="AN1048" s="706" t="n"/>
    </row>
    <row r="1049">
      <c r="A1049" s="706" t="n">
        <v>8</v>
      </c>
      <c r="B1049" s="706" t="n">
        <v>1045</v>
      </c>
      <c r="C1049" s="706" t="n"/>
      <c r="D1049" s="706" t="inlineStr">
        <is>
          <t>6395 SHERIDAN BLVD</t>
        </is>
      </c>
      <c r="E1049" s="706" t="n">
        <v>353</v>
      </c>
      <c r="F1049" s="706" t="inlineStr">
        <is>
          <t>ARVADA</t>
        </is>
      </c>
      <c r="G1049" s="706" t="n"/>
      <c r="H1049" s="706">
        <f>Y1049/J1049</f>
        <v/>
      </c>
      <c r="I1049" s="707" t="n">
        <v>44690</v>
      </c>
      <c r="J1049" s="706" t="n">
        <v>13500</v>
      </c>
      <c r="K1049" s="706" t="n"/>
      <c r="L1049" s="706" t="n">
        <v>13500</v>
      </c>
      <c r="M1049" s="706" t="n">
        <v>1995</v>
      </c>
      <c r="N1049" s="706" t="n"/>
      <c r="O1049" s="706" t="n"/>
      <c r="P1049" s="706" t="n"/>
      <c r="Q1049" s="706" t="n"/>
      <c r="R1049" s="706" t="n"/>
      <c r="S1049" s="706" t="n">
        <v>64904</v>
      </c>
      <c r="T1049" s="706">
        <f>S1049/J1049</f>
        <v/>
      </c>
      <c r="U1049" s="706" t="n"/>
      <c r="V1049" s="706" t="n"/>
      <c r="W1049" s="706" t="n"/>
      <c r="X1049" s="706" t="n"/>
      <c r="Y1049" s="706" t="n">
        <v>3175000</v>
      </c>
      <c r="Z1049" s="706" t="n"/>
      <c r="AA1049" s="706" t="n">
        <v>3175000</v>
      </c>
      <c r="AB1049" s="706" t="inlineStr">
        <is>
          <t>Walgreens — Drugstore; 1031 Exchange; src: Retail_Sales_Cleaned</t>
        </is>
      </c>
      <c r="AC1049" s="706" t="inlineStr">
        <is>
          <t>39-121-22-001</t>
        </is>
      </c>
      <c r="AD1049" s="706" t="n"/>
      <c r="AE1049" s="706" t="n"/>
      <c r="AF1049" s="706" t="n"/>
      <c r="AG1049" s="706" t="n"/>
      <c r="AH1049" s="706" t="n"/>
      <c r="AI1049" s="706">
        <f>IF(AND($E1049=Subj_OccCode,Subj_BldgSF&gt;0,ABS($L1049-Subj_BldgSF)&lt;=Subj_BldgSF*Subj_SizeTol),ABS($L1049-Subj_BldgSF),NA())</f>
        <v/>
      </c>
      <c r="AJ1049" s="706">
        <f>IF(ISNA(AI1049),NA(),AI1049+ROW()/10000000)</f>
        <v/>
      </c>
      <c r="AK1049" s="706">
        <f>IF(AND(ISNUMBER($N1049),$N1049&gt;0,ISNUMBER($Y1049)),$Y1049/$N1049,"")</f>
        <v/>
      </c>
      <c r="AL1049" s="706" t="n"/>
      <c r="AM1049" s="706" t="n"/>
      <c r="AN1049" s="706" t="n"/>
    </row>
    <row r="1050">
      <c r="A1050" s="706" t="n">
        <v>8</v>
      </c>
      <c r="B1050" s="706" t="n">
        <v>1046</v>
      </c>
      <c r="C1050" s="706" t="n"/>
      <c r="D1050" s="706" t="inlineStr">
        <is>
          <t>3510 EVERGREEN PKY</t>
        </is>
      </c>
      <c r="E1050" s="706" t="n">
        <v>353</v>
      </c>
      <c r="F1050" s="706" t="inlineStr">
        <is>
          <t>EVERGREEN</t>
        </is>
      </c>
      <c r="G1050" s="706" t="n"/>
      <c r="H1050" s="706">
        <f>Y1050/J1050</f>
        <v/>
      </c>
      <c r="I1050" s="707" t="n">
        <v>44907</v>
      </c>
      <c r="J1050" s="706" t="n">
        <v>11317</v>
      </c>
      <c r="K1050" s="706" t="n"/>
      <c r="L1050" s="706" t="n">
        <v>11317</v>
      </c>
      <c r="M1050" s="706" t="n">
        <v>2007</v>
      </c>
      <c r="N1050" s="706" t="n"/>
      <c r="O1050" s="706" t="n"/>
      <c r="P1050" s="706" t="n"/>
      <c r="Q1050" s="706" t="n"/>
      <c r="R1050" s="706" t="n"/>
      <c r="S1050" s="706" t="n">
        <v>63075</v>
      </c>
      <c r="T1050" s="706">
        <f>S1050/J1050</f>
        <v/>
      </c>
      <c r="U1050" s="706" t="n"/>
      <c r="V1050" s="706" t="n"/>
      <c r="W1050" s="706" t="n"/>
      <c r="X1050" s="706" t="n"/>
      <c r="Y1050" s="706" t="n">
        <v>5137300</v>
      </c>
      <c r="Z1050" s="706" t="n"/>
      <c r="AA1050" s="706" t="n">
        <v>5137300</v>
      </c>
      <c r="AB1050" s="706" t="inlineStr">
        <is>
          <t>Walgreens — Drugstore; src: Retail_Sales_Cleaned</t>
        </is>
      </c>
      <c r="AC1050" s="706" t="inlineStr">
        <is>
          <t>41-333-12-002</t>
        </is>
      </c>
      <c r="AD1050" s="706" t="n"/>
      <c r="AE1050" s="706" t="n"/>
      <c r="AF1050" s="706" t="n"/>
      <c r="AG1050" s="706" t="n"/>
      <c r="AH1050" s="706" t="n"/>
      <c r="AI1050" s="706">
        <f>IF(AND($E1050=Subj_OccCode,Subj_BldgSF&gt;0,ABS($L1050-Subj_BldgSF)&lt;=Subj_BldgSF*Subj_SizeTol),ABS($L1050-Subj_BldgSF),NA())</f>
        <v/>
      </c>
      <c r="AJ1050" s="706">
        <f>IF(ISNA(AI1050),NA(),AI1050+ROW()/10000000)</f>
        <v/>
      </c>
      <c r="AK1050" s="706">
        <f>IF(AND(ISNUMBER($N1050),$N1050&gt;0,ISNUMBER($Y1050)),$Y1050/$N1050,"")</f>
        <v/>
      </c>
      <c r="AL1050" s="706" t="n"/>
      <c r="AM1050" s="706" t="n"/>
      <c r="AN1050" s="706" t="n"/>
    </row>
    <row r="1051">
      <c r="A1051" s="706" t="n">
        <v>8</v>
      </c>
      <c r="B1051" s="706" t="n">
        <v>1047</v>
      </c>
      <c r="C1051" s="706" t="n"/>
      <c r="D1051" s="706" t="inlineStr">
        <is>
          <t>7807 W JEWELL AVE</t>
        </is>
      </c>
      <c r="E1051" s="706" t="n">
        <v>349</v>
      </c>
      <c r="F1051" s="706" t="inlineStr">
        <is>
          <t>LAKEWOOD</t>
        </is>
      </c>
      <c r="G1051" s="706" t="n"/>
      <c r="H1051" s="706">
        <f>Y1051/J1051</f>
        <v/>
      </c>
      <c r="I1051" s="707" t="n">
        <v>44546</v>
      </c>
      <c r="J1051" s="706" t="n">
        <v>2149</v>
      </c>
      <c r="K1051" s="706" t="n"/>
      <c r="L1051" s="706" t="n">
        <v>2149</v>
      </c>
      <c r="M1051" s="706" t="n">
        <v>1985</v>
      </c>
      <c r="N1051" s="706" t="n"/>
      <c r="O1051" s="706" t="n"/>
      <c r="P1051" s="706" t="n"/>
      <c r="Q1051" s="706" t="n"/>
      <c r="R1051" s="706" t="n"/>
      <c r="S1051" s="706" t="n">
        <v>13809</v>
      </c>
      <c r="T1051" s="706">
        <f>S1051/J1051</f>
        <v/>
      </c>
      <c r="U1051" s="706" t="n"/>
      <c r="V1051" s="706" t="n"/>
      <c r="W1051" s="706" t="n"/>
      <c r="X1051" s="706" t="n"/>
      <c r="Y1051" s="706" t="n">
        <v>1275271</v>
      </c>
      <c r="Z1051" s="706" t="n"/>
      <c r="AA1051" s="706" t="n">
        <v>1275271</v>
      </c>
      <c r="AB1051" s="706" t="inlineStr">
        <is>
          <t>Wendy's — Fast Food; src: Retail_Sales_Cleaned</t>
        </is>
      </c>
      <c r="AC1051" s="706" t="inlineStr">
        <is>
          <t>49-233-00-013</t>
        </is>
      </c>
      <c r="AD1051" s="706" t="n"/>
      <c r="AE1051" s="706" t="n"/>
      <c r="AF1051" s="706" t="n"/>
      <c r="AG1051" s="706" t="n"/>
      <c r="AH1051" s="706" t="n"/>
      <c r="AI1051" s="706">
        <f>IF(AND($E1051=Subj_OccCode,Subj_BldgSF&gt;0,ABS($L1051-Subj_BldgSF)&lt;=Subj_BldgSF*Subj_SizeTol),ABS($L1051-Subj_BldgSF),NA())</f>
        <v/>
      </c>
      <c r="AJ1051" s="706">
        <f>IF(ISNA(AI1051),NA(),AI1051+ROW()/10000000)</f>
        <v/>
      </c>
      <c r="AK1051" s="706">
        <f>IF(AND(ISNUMBER($N1051),$N1051&gt;0,ISNUMBER($Y1051)),$Y1051/$N1051,"")</f>
        <v/>
      </c>
      <c r="AL1051" s="706" t="n"/>
      <c r="AM1051" s="706" t="n"/>
      <c r="AN1051" s="706" t="n"/>
    </row>
    <row r="1052">
      <c r="A1052" s="706" t="n">
        <v>8</v>
      </c>
      <c r="B1052" s="706" t="n">
        <v>1048</v>
      </c>
      <c r="C1052" s="706" t="n"/>
      <c r="D1052" s="706" t="inlineStr">
        <is>
          <t>1810 S COLLEGE AVE</t>
        </is>
      </c>
      <c r="E1052" s="706" t="n">
        <v>325</v>
      </c>
      <c r="F1052" s="706" t="inlineStr">
        <is>
          <t>FORT COLLINS</t>
        </is>
      </c>
      <c r="G1052" s="706" t="n"/>
      <c r="H1052" s="706">
        <f>Y1052/J1052</f>
        <v/>
      </c>
      <c r="I1052" s="707" t="n">
        <v>44043</v>
      </c>
      <c r="J1052" s="706" t="n">
        <v>3990</v>
      </c>
      <c r="K1052" s="706" t="n"/>
      <c r="L1052" s="706" t="n">
        <v>3990</v>
      </c>
      <c r="M1052" s="706" t="n">
        <v>1994</v>
      </c>
      <c r="N1052" s="706" t="n"/>
      <c r="O1052" s="706" t="n"/>
      <c r="P1052" s="706" t="n"/>
      <c r="Q1052" s="706" t="n"/>
      <c r="R1052" s="706" t="n"/>
      <c r="S1052" s="706" t="n">
        <v>18731</v>
      </c>
      <c r="T1052" s="706">
        <f>S1052/J1052</f>
        <v/>
      </c>
      <c r="U1052" s="706" t="n"/>
      <c r="V1052" s="706" t="n"/>
      <c r="W1052" s="706" t="n"/>
      <c r="X1052" s="706" t="n"/>
      <c r="Y1052" s="706" t="n">
        <v>1400000</v>
      </c>
      <c r="Z1052" s="706" t="n"/>
      <c r="AA1052" s="706" t="n">
        <v>1400000</v>
      </c>
      <c r="AB1052" s="706" t="inlineStr">
        <is>
          <t>Best Western Transmission — Auto Service; src: Retail_Sales_Cleaned</t>
        </is>
      </c>
      <c r="AC1052" s="706" t="inlineStr">
        <is>
          <t>97242-25-003</t>
        </is>
      </c>
      <c r="AD1052" s="706" t="n"/>
      <c r="AE1052" s="706" t="n"/>
      <c r="AF1052" s="706" t="n"/>
      <c r="AG1052" s="706" t="n"/>
      <c r="AH1052" s="706" t="n"/>
      <c r="AI1052" s="706">
        <f>IF(AND($E1052=Subj_OccCode,Subj_BldgSF&gt;0,ABS($L1052-Subj_BldgSF)&lt;=Subj_BldgSF*Subj_SizeTol),ABS($L1052-Subj_BldgSF),NA())</f>
        <v/>
      </c>
      <c r="AJ1052" s="706">
        <f>IF(ISNA(AI1052),NA(),AI1052+ROW()/10000000)</f>
        <v/>
      </c>
      <c r="AK1052" s="706">
        <f>IF(AND(ISNUMBER($N1052),$N1052&gt;0,ISNUMBER($Y1052)),$Y1052/$N1052,"")</f>
        <v/>
      </c>
      <c r="AL1052" s="706" t="n"/>
      <c r="AM1052" s="706" t="n"/>
      <c r="AN1052" s="706" t="n"/>
    </row>
    <row r="1053">
      <c r="A1053" s="706" t="n">
        <v>8</v>
      </c>
      <c r="B1053" s="706" t="n">
        <v>1049</v>
      </c>
      <c r="C1053" s="706" t="n"/>
      <c r="D1053" s="706" t="inlineStr">
        <is>
          <t>3216 N GARFIELD AVE</t>
        </is>
      </c>
      <c r="E1053" s="706" t="n">
        <v>325</v>
      </c>
      <c r="F1053" s="706" t="inlineStr">
        <is>
          <t>LOVELAND</t>
        </is>
      </c>
      <c r="G1053" s="706" t="n"/>
      <c r="H1053" s="706">
        <f>Y1053/J1053</f>
        <v/>
      </c>
      <c r="I1053" s="707" t="n">
        <v>44273</v>
      </c>
      <c r="J1053" s="706" t="n">
        <v>4000</v>
      </c>
      <c r="K1053" s="706" t="n"/>
      <c r="L1053" s="706" t="n">
        <v>4000</v>
      </c>
      <c r="M1053" s="706" t="n">
        <v>1988</v>
      </c>
      <c r="N1053" s="706" t="n"/>
      <c r="O1053" s="706" t="n"/>
      <c r="P1053" s="706" t="n"/>
      <c r="Q1053" s="706" t="n"/>
      <c r="R1053" s="706" t="n"/>
      <c r="S1053" s="706" t="n">
        <v>19166</v>
      </c>
      <c r="T1053" s="706">
        <f>S1053/J1053</f>
        <v/>
      </c>
      <c r="U1053" s="706" t="n"/>
      <c r="V1053" s="706" t="n"/>
      <c r="W1053" s="706" t="n"/>
      <c r="X1053" s="706" t="n"/>
      <c r="Y1053" s="706" t="n">
        <v>1175000</v>
      </c>
      <c r="Z1053" s="706" t="n"/>
      <c r="AA1053" s="706" t="n">
        <v>1175000</v>
      </c>
      <c r="AB1053" s="706" t="inlineStr">
        <is>
          <t>Bg Automotive — Auto Service; src: Retail_Sales_Cleaned</t>
        </is>
      </c>
      <c r="AC1053" s="706" t="inlineStr">
        <is>
          <t>95013-96-003</t>
        </is>
      </c>
      <c r="AD1053" s="706" t="n"/>
      <c r="AE1053" s="706" t="n"/>
      <c r="AF1053" s="706" t="n"/>
      <c r="AG1053" s="706" t="n"/>
      <c r="AH1053" s="706" t="n"/>
      <c r="AI1053" s="706">
        <f>IF(AND($E1053=Subj_OccCode,Subj_BldgSF&gt;0,ABS($L1053-Subj_BldgSF)&lt;=Subj_BldgSF*Subj_SizeTol),ABS($L1053-Subj_BldgSF),NA())</f>
        <v/>
      </c>
      <c r="AJ1053" s="706">
        <f>IF(ISNA(AI1053),NA(),AI1053+ROW()/10000000)</f>
        <v/>
      </c>
      <c r="AK1053" s="706">
        <f>IF(AND(ISNUMBER($N1053),$N1053&gt;0,ISNUMBER($Y1053)),$Y1053/$N1053,"")</f>
        <v/>
      </c>
      <c r="AL1053" s="706" t="n"/>
      <c r="AM1053" s="706" t="n"/>
      <c r="AN1053" s="706" t="n"/>
    </row>
    <row r="1054">
      <c r="A1054" s="706" t="n">
        <v>8</v>
      </c>
      <c r="B1054" s="706" t="n">
        <v>1050</v>
      </c>
      <c r="C1054" s="706" t="n"/>
      <c r="D1054" s="706" t="inlineStr">
        <is>
          <t>1633 RAVEN AVE</t>
        </is>
      </c>
      <c r="E1054" s="706" t="n">
        <v>410</v>
      </c>
      <c r="F1054" s="706" t="inlineStr">
        <is>
          <t>ESTES PARK</t>
        </is>
      </c>
      <c r="G1054" s="706" t="n"/>
      <c r="H1054" s="706">
        <f>Y1054/J1054</f>
        <v/>
      </c>
      <c r="I1054" s="707" t="n">
        <v>44006</v>
      </c>
      <c r="J1054" s="706" t="n">
        <v>3960</v>
      </c>
      <c r="K1054" s="706" t="n"/>
      <c r="L1054" s="706" t="n">
        <v>3960</v>
      </c>
      <c r="M1054" s="706" t="n">
        <v>1994</v>
      </c>
      <c r="N1054" s="706" t="n"/>
      <c r="O1054" s="706" t="n"/>
      <c r="P1054" s="706" t="n"/>
      <c r="Q1054" s="706" t="n"/>
      <c r="R1054" s="706" t="n"/>
      <c r="S1054" s="706" t="n">
        <v>24394</v>
      </c>
      <c r="T1054" s="706">
        <f>S1054/J1054</f>
        <v/>
      </c>
      <c r="U1054" s="706" t="n"/>
      <c r="V1054" s="706" t="n"/>
      <c r="W1054" s="706" t="n"/>
      <c r="X1054" s="706" t="n"/>
      <c r="Y1054" s="706" t="n">
        <v>600000</v>
      </c>
      <c r="Z1054" s="706" t="n"/>
      <c r="AA1054" s="706" t="n">
        <v>600000</v>
      </c>
      <c r="AB1054" s="706" t="inlineStr">
        <is>
          <t>Big O Tires — Auto Service [Old Sale]; src: Retail_Sales_Cleaned</t>
        </is>
      </c>
      <c r="AC1054" s="706" t="inlineStr">
        <is>
          <t>25203-37-001</t>
        </is>
      </c>
      <c r="AD1054" s="706" t="n"/>
      <c r="AE1054" s="706" t="n"/>
      <c r="AF1054" s="706" t="n"/>
      <c r="AG1054" s="706" t="n"/>
      <c r="AH1054" s="706" t="n"/>
      <c r="AI1054" s="706">
        <f>IF(AND($E1054=Subj_OccCode,Subj_BldgSF&gt;0,ABS($L1054-Subj_BldgSF)&lt;=Subj_BldgSF*Subj_SizeTol),ABS($L1054-Subj_BldgSF),NA())</f>
        <v/>
      </c>
      <c r="AJ1054" s="706">
        <f>IF(ISNA(AI1054),NA(),AI1054+ROW()/10000000)</f>
        <v/>
      </c>
      <c r="AK1054" s="706">
        <f>IF(AND(ISNUMBER($N1054),$N1054&gt;0,ISNUMBER($Y1054)),$Y1054/$N1054,"")</f>
        <v/>
      </c>
      <c r="AL1054" s="706" t="n"/>
      <c r="AM1054" s="706" t="n"/>
      <c r="AN1054" s="706" t="n"/>
    </row>
    <row r="1055">
      <c r="A1055" s="706" t="n">
        <v>8</v>
      </c>
      <c r="B1055" s="706" t="n">
        <v>1051</v>
      </c>
      <c r="C1055" s="706" t="n"/>
      <c r="D1055" s="706" t="inlineStr">
        <is>
          <t>4820 LARIMER PKY</t>
        </is>
      </c>
      <c r="E1055" s="706" t="n">
        <v>410</v>
      </c>
      <c r="F1055" s="706" t="inlineStr">
        <is>
          <t>JOHNSTOWN</t>
        </is>
      </c>
      <c r="G1055" s="706" t="n"/>
      <c r="H1055" s="706">
        <f>Y1055/J1055</f>
        <v/>
      </c>
      <c r="I1055" s="707" t="n">
        <v>43875</v>
      </c>
      <c r="J1055" s="706" t="n">
        <v>3766</v>
      </c>
      <c r="K1055" s="706" t="n"/>
      <c r="L1055" s="706" t="n">
        <v>3766</v>
      </c>
      <c r="M1055" s="706" t="n">
        <v>2018</v>
      </c>
      <c r="N1055" s="706" t="n"/>
      <c r="O1055" s="706" t="n"/>
      <c r="P1055" s="706" t="n"/>
      <c r="Q1055" s="706" t="n"/>
      <c r="R1055" s="706" t="n"/>
      <c r="S1055" s="706" t="n">
        <v>43525</v>
      </c>
      <c r="T1055" s="706">
        <f>S1055/J1055</f>
        <v/>
      </c>
      <c r="U1055" s="706" t="n"/>
      <c r="V1055" s="706" t="n"/>
      <c r="W1055" s="706" t="n"/>
      <c r="X1055" s="706" t="n"/>
      <c r="Y1055" s="706" t="n">
        <v>3181000</v>
      </c>
      <c r="Z1055" s="706" t="n"/>
      <c r="AA1055" s="706" t="n">
        <v>3181000</v>
      </c>
      <c r="AB1055" s="706" t="inlineStr">
        <is>
          <t>Brakes Plus — Auto Service; src: Retail_Sales_Cleaned</t>
        </is>
      </c>
      <c r="AC1055" s="706" t="inlineStr">
        <is>
          <t>85142-32-001</t>
        </is>
      </c>
      <c r="AD1055" s="706" t="n"/>
      <c r="AE1055" s="706" t="n"/>
      <c r="AF1055" s="706" t="n"/>
      <c r="AG1055" s="706" t="n"/>
      <c r="AH1055" s="706" t="n"/>
      <c r="AI1055" s="706">
        <f>IF(AND($E1055=Subj_OccCode,Subj_BldgSF&gt;0,ABS($L1055-Subj_BldgSF)&lt;=Subj_BldgSF*Subj_SizeTol),ABS($L1055-Subj_BldgSF),NA())</f>
        <v/>
      </c>
      <c r="AJ1055" s="706">
        <f>IF(ISNA(AI1055),NA(),AI1055+ROW()/10000000)</f>
        <v/>
      </c>
      <c r="AK1055" s="706">
        <f>IF(AND(ISNUMBER($N1055),$N1055&gt;0,ISNUMBER($Y1055)),$Y1055/$N1055,"")</f>
        <v/>
      </c>
      <c r="AL1055" s="706" t="n"/>
      <c r="AM1055" s="706" t="n"/>
      <c r="AN1055" s="706" t="n"/>
    </row>
    <row r="1056">
      <c r="A1056" s="706" t="n">
        <v>8</v>
      </c>
      <c r="B1056" s="706" t="n">
        <v>1052</v>
      </c>
      <c r="C1056" s="706" t="n"/>
      <c r="D1056" s="706" t="inlineStr">
        <is>
          <t>5688 N GARFIELD AVE</t>
        </is>
      </c>
      <c r="E1056" s="706" t="n">
        <v>349</v>
      </c>
      <c r="F1056" s="706" t="inlineStr">
        <is>
          <t>LOVELAND</t>
        </is>
      </c>
      <c r="G1056" s="706" t="n"/>
      <c r="H1056" s="706">
        <f>Y1056/J1056</f>
        <v/>
      </c>
      <c r="I1056" s="707" t="n">
        <v>44287</v>
      </c>
      <c r="J1056" s="706" t="n">
        <v>3475</v>
      </c>
      <c r="K1056" s="706" t="n"/>
      <c r="L1056" s="706" t="n">
        <v>3475</v>
      </c>
      <c r="M1056" s="706" t="n">
        <v>2019</v>
      </c>
      <c r="N1056" s="706" t="n"/>
      <c r="O1056" s="706" t="n"/>
      <c r="P1056" s="706" t="n"/>
      <c r="Q1056" s="706" t="n"/>
      <c r="R1056" s="706" t="n"/>
      <c r="S1056" s="706" t="n">
        <v>52272</v>
      </c>
      <c r="T1056" s="706">
        <f>S1056/J1056</f>
        <v/>
      </c>
      <c r="U1056" s="706" t="n"/>
      <c r="V1056" s="706" t="n"/>
      <c r="W1056" s="706" t="n"/>
      <c r="X1056" s="706" t="n"/>
      <c r="Y1056" s="706" t="n">
        <v>2647058</v>
      </c>
      <c r="Z1056" s="706" t="n"/>
      <c r="AA1056" s="706" t="n">
        <v>2647058</v>
      </c>
      <c r="AB1056" s="706" t="inlineStr">
        <is>
          <t>Burger King — Fast Food; Investment Triple Net; src: Retail_Sales_Cleaned</t>
        </is>
      </c>
      <c r="AC1056" s="706" t="inlineStr">
        <is>
          <t>96362-19-002</t>
        </is>
      </c>
      <c r="AD1056" s="706" t="n"/>
      <c r="AE1056" s="706" t="n"/>
      <c r="AF1056" s="706" t="n"/>
      <c r="AG1056" s="706" t="n"/>
      <c r="AH1056" s="706" t="n"/>
      <c r="AI1056" s="706">
        <f>IF(AND($E1056=Subj_OccCode,Subj_BldgSF&gt;0,ABS($L1056-Subj_BldgSF)&lt;=Subj_BldgSF*Subj_SizeTol),ABS($L1056-Subj_BldgSF),NA())</f>
        <v/>
      </c>
      <c r="AJ1056" s="706">
        <f>IF(ISNA(AI1056),NA(),AI1056+ROW()/10000000)</f>
        <v/>
      </c>
      <c r="AK1056" s="706">
        <f>IF(AND(ISNUMBER($N1056),$N1056&gt;0,ISNUMBER($Y1056)),$Y1056/$N1056,"")</f>
        <v/>
      </c>
      <c r="AL1056" s="706" t="n"/>
      <c r="AM1056" s="706" t="n"/>
      <c r="AN1056" s="706" t="n"/>
    </row>
    <row r="1057">
      <c r="A1057" s="706" t="n">
        <v>8</v>
      </c>
      <c r="B1057" s="706" t="n">
        <v>1053</v>
      </c>
      <c r="C1057" s="706" t="n"/>
      <c r="D1057" s="706" t="inlineStr">
        <is>
          <t>4140 CLYDESDALE PKY</t>
        </is>
      </c>
      <c r="E1057" s="706" t="n">
        <v>349</v>
      </c>
      <c r="F1057" s="706" t="inlineStr">
        <is>
          <t>LOVELAND</t>
        </is>
      </c>
      <c r="G1057" s="706" t="n"/>
      <c r="H1057" s="706">
        <f>Y1057/J1057</f>
        <v/>
      </c>
      <c r="I1057" s="707" t="n">
        <v>43213</v>
      </c>
      <c r="J1057" s="706" t="n">
        <v>2700</v>
      </c>
      <c r="K1057" s="706" t="n"/>
      <c r="L1057" s="706" t="n">
        <v>2700</v>
      </c>
      <c r="M1057" s="706" t="n">
        <v>2006</v>
      </c>
      <c r="N1057" s="706" t="n"/>
      <c r="O1057" s="706" t="n"/>
      <c r="P1057" s="706" t="n"/>
      <c r="Q1057" s="706" t="n"/>
      <c r="R1057" s="706" t="n"/>
      <c r="S1057" s="706" t="n">
        <v>32234</v>
      </c>
      <c r="T1057" s="706">
        <f>S1057/J1057</f>
        <v/>
      </c>
      <c r="U1057" s="706" t="n"/>
      <c r="V1057" s="706" t="n"/>
      <c r="W1057" s="706" t="n"/>
      <c r="X1057" s="706" t="n"/>
      <c r="Y1057" s="706" t="n">
        <v>2225000</v>
      </c>
      <c r="Z1057" s="706" t="n"/>
      <c r="AA1057" s="706" t="n">
        <v>2225000</v>
      </c>
      <c r="AB1057" s="706" t="inlineStr">
        <is>
          <t>Carl's Jr — Fast Food [Old Sale]; src: Retail_Sales_Cleaned</t>
        </is>
      </c>
      <c r="AC1057" s="706" t="inlineStr">
        <is>
          <t>85031-16-005</t>
        </is>
      </c>
      <c r="AD1057" s="706" t="n"/>
      <c r="AE1057" s="706" t="n"/>
      <c r="AF1057" s="706" t="n"/>
      <c r="AG1057" s="706" t="n"/>
      <c r="AH1057" s="706" t="n"/>
      <c r="AI1057" s="706">
        <f>IF(AND($E1057=Subj_OccCode,Subj_BldgSF&gt;0,ABS($L1057-Subj_BldgSF)&lt;=Subj_BldgSF*Subj_SizeTol),ABS($L1057-Subj_BldgSF),NA())</f>
        <v/>
      </c>
      <c r="AJ1057" s="706">
        <f>IF(ISNA(AI1057),NA(),AI1057+ROW()/10000000)</f>
        <v/>
      </c>
      <c r="AK1057" s="706">
        <f>IF(AND(ISNUMBER($N1057),$N1057&gt;0,ISNUMBER($Y1057)),$Y1057/$N1057,"")</f>
        <v/>
      </c>
      <c r="AL1057" s="706" t="n"/>
      <c r="AM1057" s="706" t="n"/>
      <c r="AN1057" s="706" t="n"/>
    </row>
    <row r="1058">
      <c r="A1058" s="706" t="n">
        <v>8</v>
      </c>
      <c r="B1058" s="706" t="n">
        <v>1054</v>
      </c>
      <c r="C1058" s="706" t="n"/>
      <c r="D1058" s="706" t="inlineStr">
        <is>
          <t>1212 OAKRIDGE DR</t>
        </is>
      </c>
      <c r="E1058" s="706" t="n">
        <v>350</v>
      </c>
      <c r="F1058" s="706" t="inlineStr">
        <is>
          <t>FORT COLLINS</t>
        </is>
      </c>
      <c r="G1058" s="706" t="n"/>
      <c r="H1058" s="706">
        <f>Y1058/J1058</f>
        <v/>
      </c>
      <c r="I1058" s="707" t="n">
        <v>45379</v>
      </c>
      <c r="J1058" s="706" t="n">
        <v>5324</v>
      </c>
      <c r="K1058" s="706" t="n"/>
      <c r="L1058" s="706" t="n">
        <v>5324</v>
      </c>
      <c r="M1058" s="706" t="n">
        <v>1996</v>
      </c>
      <c r="N1058" s="706" t="n"/>
      <c r="O1058" s="706" t="n"/>
      <c r="P1058" s="706" t="n"/>
      <c r="Q1058" s="706" t="n"/>
      <c r="R1058" s="706" t="n"/>
      <c r="S1058" s="706" t="n">
        <v>61419</v>
      </c>
      <c r="T1058" s="706">
        <f>S1058/J1058</f>
        <v/>
      </c>
      <c r="U1058" s="706" t="n"/>
      <c r="V1058" s="706" t="n"/>
      <c r="W1058" s="706" t="n"/>
      <c r="X1058" s="706" t="n"/>
      <c r="Y1058" s="706" t="n">
        <v>2383000</v>
      </c>
      <c r="Z1058" s="706" t="n"/>
      <c r="AA1058" s="706" t="n">
        <v>2383000</v>
      </c>
      <c r="AB1058" s="706" t="inlineStr">
        <is>
          <t>Carrabba's Italian Grill — Retail Center; Investment Triple Net; src: Retail_Sales_Cleaned</t>
        </is>
      </c>
      <c r="AC1058" s="706" t="inlineStr">
        <is>
          <t>86062-55-002</t>
        </is>
      </c>
      <c r="AD1058" s="706" t="n"/>
      <c r="AE1058" s="706" t="n"/>
      <c r="AF1058" s="706" t="n"/>
      <c r="AG1058" s="706" t="n"/>
      <c r="AH1058" s="706" t="n"/>
      <c r="AI1058" s="706">
        <f>IF(AND($E1058=Subj_OccCode,Subj_BldgSF&gt;0,ABS($L1058-Subj_BldgSF)&lt;=Subj_BldgSF*Subj_SizeTol),ABS($L1058-Subj_BldgSF),NA())</f>
        <v/>
      </c>
      <c r="AJ1058" s="706">
        <f>IF(ISNA(AI1058),NA(),AI1058+ROW()/10000000)</f>
        <v/>
      </c>
      <c r="AK1058" s="706">
        <f>IF(AND(ISNUMBER($N1058),$N1058&gt;0,ISNUMBER($Y1058)),$Y1058/$N1058,"")</f>
        <v/>
      </c>
      <c r="AL1058" s="706" t="n"/>
      <c r="AM1058" s="706" t="n"/>
      <c r="AN1058" s="706" t="n"/>
    </row>
    <row r="1059">
      <c r="A1059" s="706" t="n">
        <v>8</v>
      </c>
      <c r="B1059" s="706" t="n">
        <v>1055</v>
      </c>
      <c r="C1059" s="706" t="n"/>
      <c r="D1059" s="706" t="inlineStr">
        <is>
          <t>1500 ACADEMY CT</t>
        </is>
      </c>
      <c r="E1059" s="706" t="n">
        <v>410</v>
      </c>
      <c r="F1059" s="706" t="inlineStr">
        <is>
          <t>FORT COLLINS</t>
        </is>
      </c>
      <c r="G1059" s="706" t="n"/>
      <c r="H1059" s="706">
        <f>Y1059/J1059</f>
        <v/>
      </c>
      <c r="I1059" s="707" t="n">
        <v>43811</v>
      </c>
      <c r="J1059" s="706" t="n">
        <v>5016</v>
      </c>
      <c r="K1059" s="706" t="n"/>
      <c r="L1059" s="706" t="n">
        <v>5016</v>
      </c>
      <c r="M1059" s="706" t="n">
        <v>2018</v>
      </c>
      <c r="N1059" s="706" t="n"/>
      <c r="O1059" s="706" t="n"/>
      <c r="P1059" s="706" t="n"/>
      <c r="Q1059" s="706" t="n"/>
      <c r="R1059" s="706" t="n"/>
      <c r="S1059" s="706" t="n">
        <v>50094</v>
      </c>
      <c r="T1059" s="706">
        <f>S1059/J1059</f>
        <v/>
      </c>
      <c r="U1059" s="706" t="n"/>
      <c r="V1059" s="706" t="n"/>
      <c r="W1059" s="706" t="n"/>
      <c r="X1059" s="706" t="n"/>
      <c r="Y1059" s="706" t="n">
        <v>3386163</v>
      </c>
      <c r="Z1059" s="706" t="n"/>
      <c r="AA1059" s="706" t="n">
        <v>3386163</v>
      </c>
      <c r="AB1059" s="706" t="inlineStr">
        <is>
          <t>Christian Brothers Automotive — Auto Service; src: Retail_Sales_Cleaned</t>
        </is>
      </c>
      <c r="AC1059" s="706" t="inlineStr">
        <is>
          <t>87184-13-001</t>
        </is>
      </c>
      <c r="AD1059" s="706" t="n"/>
      <c r="AE1059" s="706" t="n"/>
      <c r="AF1059" s="706" t="n"/>
      <c r="AG1059" s="706" t="n"/>
      <c r="AH1059" s="706" t="n"/>
      <c r="AI1059" s="706">
        <f>IF(AND($E1059=Subj_OccCode,Subj_BldgSF&gt;0,ABS($L1059-Subj_BldgSF)&lt;=Subj_BldgSF*Subj_SizeTol),ABS($L1059-Subj_BldgSF),NA())</f>
        <v/>
      </c>
      <c r="AJ1059" s="706">
        <f>IF(ISNA(AI1059),NA(),AI1059+ROW()/10000000)</f>
        <v/>
      </c>
      <c r="AK1059" s="706">
        <f>IF(AND(ISNUMBER($N1059),$N1059&gt;0,ISNUMBER($Y1059)),$Y1059/$N1059,"")</f>
        <v/>
      </c>
      <c r="AL1059" s="706" t="n"/>
      <c r="AM1059" s="706" t="n"/>
      <c r="AN1059" s="706" t="n"/>
    </row>
    <row r="1060">
      <c r="A1060" s="706" t="n">
        <v>8</v>
      </c>
      <c r="B1060" s="706" t="n">
        <v>1056</v>
      </c>
      <c r="C1060" s="706" t="n"/>
      <c r="D1060" s="706" t="inlineStr">
        <is>
          <t>5542 N GARFIELD AVE</t>
        </is>
      </c>
      <c r="E1060" s="706" t="n">
        <v>410</v>
      </c>
      <c r="F1060" s="706" t="inlineStr">
        <is>
          <t>LOVELAND</t>
        </is>
      </c>
      <c r="G1060" s="706" t="n"/>
      <c r="H1060" s="706">
        <f>Y1060/J1060</f>
        <v/>
      </c>
      <c r="I1060" s="707" t="n">
        <v>44216</v>
      </c>
      <c r="J1060" s="706" t="n">
        <v>4896</v>
      </c>
      <c r="K1060" s="706" t="n"/>
      <c r="L1060" s="706" t="n">
        <v>4896</v>
      </c>
      <c r="M1060" s="706" t="n">
        <v>2018</v>
      </c>
      <c r="N1060" s="706" t="n"/>
      <c r="O1060" s="706" t="n"/>
      <c r="P1060" s="706" t="n"/>
      <c r="Q1060" s="706" t="n"/>
      <c r="R1060" s="706" t="n"/>
      <c r="S1060" s="706" t="n">
        <v>36233</v>
      </c>
      <c r="T1060" s="706">
        <f>S1060/J1060</f>
        <v/>
      </c>
      <c r="U1060" s="706" t="n"/>
      <c r="V1060" s="706" t="n"/>
      <c r="W1060" s="706" t="n"/>
      <c r="X1060" s="706" t="n"/>
      <c r="Y1060" s="706" t="n">
        <v>3300000</v>
      </c>
      <c r="Z1060" s="706" t="n"/>
      <c r="AA1060" s="706" t="n">
        <v>3300000</v>
      </c>
      <c r="AB1060" s="706" t="inlineStr">
        <is>
          <t>Christian Brothers Automotive — Auto Service; Investment Triple Net; src: Retail_Sales_Cleaned</t>
        </is>
      </c>
      <c r="AC1060" s="706" t="inlineStr">
        <is>
          <t>96362-19-001</t>
        </is>
      </c>
      <c r="AD1060" s="706" t="n"/>
      <c r="AE1060" s="706" t="n"/>
      <c r="AF1060" s="706" t="n"/>
      <c r="AG1060" s="706" t="n"/>
      <c r="AH1060" s="706" t="n"/>
      <c r="AI1060" s="706">
        <f>IF(AND($E1060=Subj_OccCode,Subj_BldgSF&gt;0,ABS($L1060-Subj_BldgSF)&lt;=Subj_BldgSF*Subj_SizeTol),ABS($L1060-Subj_BldgSF),NA())</f>
        <v/>
      </c>
      <c r="AJ1060" s="706">
        <f>IF(ISNA(AI1060),NA(),AI1060+ROW()/10000000)</f>
        <v/>
      </c>
      <c r="AK1060" s="706">
        <f>IF(AND(ISNUMBER($N1060),$N1060&gt;0,ISNUMBER($Y1060)),$Y1060/$N1060,"")</f>
        <v/>
      </c>
      <c r="AL1060" s="706" t="n"/>
      <c r="AM1060" s="706" t="n"/>
      <c r="AN1060" s="706" t="n"/>
    </row>
    <row r="1061">
      <c r="A1061" s="706" t="n">
        <v>8</v>
      </c>
      <c r="B1061" s="706" t="n">
        <v>1057</v>
      </c>
      <c r="C1061" s="706" t="n"/>
      <c r="D1061" s="706" t="inlineStr">
        <is>
          <t>1161 MOUNTAIN AVE</t>
        </is>
      </c>
      <c r="E1061" s="706" t="n">
        <v>410</v>
      </c>
      <c r="F1061" s="706" t="inlineStr">
        <is>
          <t>BERTHOUD</t>
        </is>
      </c>
      <c r="G1061" s="706" t="n"/>
      <c r="H1061" s="706">
        <f>Y1061/J1061</f>
        <v/>
      </c>
      <c r="I1061" s="707" t="n">
        <v>45288</v>
      </c>
      <c r="J1061" s="706" t="n">
        <v>5222</v>
      </c>
      <c r="K1061" s="706" t="n"/>
      <c r="L1061" s="706" t="n">
        <v>5222</v>
      </c>
      <c r="M1061" s="706" t="n">
        <v>2023</v>
      </c>
      <c r="N1061" s="706" t="n"/>
      <c r="O1061" s="706" t="n"/>
      <c r="P1061" s="706" t="n"/>
      <c r="Q1061" s="706" t="n"/>
      <c r="R1061" s="706" t="n"/>
      <c r="S1061" s="706" t="n">
        <v>82975</v>
      </c>
      <c r="T1061" s="706">
        <f>S1061/J1061</f>
        <v/>
      </c>
      <c r="U1061" s="706" t="n"/>
      <c r="V1061" s="706" t="n"/>
      <c r="W1061" s="706" t="n"/>
      <c r="X1061" s="706" t="n"/>
      <c r="Y1061" s="706" t="n">
        <v>4175000</v>
      </c>
      <c r="Z1061" s="706" t="n"/>
      <c r="AA1061" s="706" t="n">
        <v>4175000</v>
      </c>
      <c r="AB1061" s="706" t="inlineStr">
        <is>
          <t>Christian Brothers Automotive — Auto Service; src: Retail_Sales_Cleaned</t>
        </is>
      </c>
      <c r="AC1061" s="706" t="inlineStr">
        <is>
          <t>94232-29-001</t>
        </is>
      </c>
      <c r="AD1061" s="706" t="n"/>
      <c r="AE1061" s="706" t="n"/>
      <c r="AF1061" s="706" t="n"/>
      <c r="AG1061" s="706" t="n"/>
      <c r="AH1061" s="706" t="n"/>
      <c r="AI1061" s="706">
        <f>IF(AND($E1061=Subj_OccCode,Subj_BldgSF&gt;0,ABS($L1061-Subj_BldgSF)&lt;=Subj_BldgSF*Subj_SizeTol),ABS($L1061-Subj_BldgSF),NA())</f>
        <v/>
      </c>
      <c r="AJ1061" s="706">
        <f>IF(ISNA(AI1061),NA(),AI1061+ROW()/10000000)</f>
        <v/>
      </c>
      <c r="AK1061" s="706">
        <f>IF(AND(ISNUMBER($N1061),$N1061&gt;0,ISNUMBER($Y1061)),$Y1061/$N1061,"")</f>
        <v/>
      </c>
      <c r="AL1061" s="706" t="n"/>
      <c r="AM1061" s="706" t="n"/>
      <c r="AN1061" s="706" t="n"/>
    </row>
    <row r="1062">
      <c r="A1062" s="706" t="n">
        <v>8</v>
      </c>
      <c r="B1062" s="706" t="n">
        <v>1058</v>
      </c>
      <c r="C1062" s="706" t="n"/>
      <c r="D1062" s="706" t="inlineStr">
        <is>
          <t>900 MORAINE AVE</t>
        </is>
      </c>
      <c r="E1062" s="706" t="n">
        <v>446</v>
      </c>
      <c r="F1062" s="706" t="inlineStr">
        <is>
          <t>ESTES PARK</t>
        </is>
      </c>
      <c r="G1062" s="706" t="n"/>
      <c r="H1062" s="706">
        <f>Y1062/J1062</f>
        <v/>
      </c>
      <c r="I1062" s="707" t="n">
        <v>44167</v>
      </c>
      <c r="J1062" s="706" t="n">
        <v>35639</v>
      </c>
      <c r="K1062" s="706" t="n"/>
      <c r="L1062" s="706" t="n">
        <v>35639</v>
      </c>
      <c r="M1062" s="706" t="n">
        <v>1978</v>
      </c>
      <c r="N1062" s="706" t="n"/>
      <c r="O1062" s="706" t="n"/>
      <c r="P1062" s="706" t="n"/>
      <c r="Q1062" s="706" t="n"/>
      <c r="R1062" s="706" t="n"/>
      <c r="S1062" s="706" t="n">
        <v>242194</v>
      </c>
      <c r="T1062" s="706">
        <f>S1062/J1062</f>
        <v/>
      </c>
      <c r="U1062" s="706" t="n"/>
      <c r="V1062" s="706" t="n"/>
      <c r="W1062" s="706" t="n"/>
      <c r="X1062" s="706" t="n"/>
      <c r="Y1062" s="706" t="n">
        <v>5200000</v>
      </c>
      <c r="Z1062" s="706" t="n"/>
      <c r="AA1062" s="706" t="n">
        <v>5200000</v>
      </c>
      <c r="AB1062" s="706" t="inlineStr">
        <is>
          <t>Country Market — Supermarket; src: Retail_Sales_Cleaned</t>
        </is>
      </c>
      <c r="AC1062" s="706" t="inlineStr">
        <is>
          <t>35352-00-007</t>
        </is>
      </c>
      <c r="AD1062" s="706" t="n"/>
      <c r="AE1062" s="706" t="n"/>
      <c r="AF1062" s="706" t="n"/>
      <c r="AG1062" s="706" t="n"/>
      <c r="AH1062" s="706" t="n"/>
      <c r="AI1062" s="706">
        <f>IF(AND($E1062=Subj_OccCode,Subj_BldgSF&gt;0,ABS($L1062-Subj_BldgSF)&lt;=Subj_BldgSF*Subj_SizeTol),ABS($L1062-Subj_BldgSF),NA())</f>
        <v/>
      </c>
      <c r="AJ1062" s="706">
        <f>IF(ISNA(AI1062),NA(),AI1062+ROW()/10000000)</f>
        <v/>
      </c>
      <c r="AK1062" s="706">
        <f>IF(AND(ISNUMBER($N1062),$N1062&gt;0,ISNUMBER($Y1062)),$Y1062/$N1062,"")</f>
        <v/>
      </c>
      <c r="AL1062" s="706" t="n"/>
      <c r="AM1062" s="706" t="n"/>
      <c r="AN1062" s="706" t="n"/>
    </row>
    <row r="1063">
      <c r="A1063" s="706" t="n">
        <v>8</v>
      </c>
      <c r="B1063" s="706" t="n">
        <v>1059</v>
      </c>
      <c r="C1063" s="706" t="n"/>
      <c r="D1063" s="706" t="inlineStr">
        <is>
          <t>2880 E HARMONY RD</t>
        </is>
      </c>
      <c r="E1063" s="706" t="n">
        <v>414</v>
      </c>
      <c r="F1063" s="706" t="inlineStr">
        <is>
          <t>FORT COLLINS</t>
        </is>
      </c>
      <c r="G1063" s="706" t="n"/>
      <c r="H1063" s="706">
        <f>Y1063/J1063</f>
        <v/>
      </c>
      <c r="I1063" s="707" t="n">
        <v>45517</v>
      </c>
      <c r="J1063" s="706" t="n">
        <v>6607</v>
      </c>
      <c r="K1063" s="706" t="n"/>
      <c r="L1063" s="706" t="n">
        <v>6607</v>
      </c>
      <c r="M1063" s="706" t="n">
        <v>2009</v>
      </c>
      <c r="N1063" s="706" t="n"/>
      <c r="O1063" s="706" t="n"/>
      <c r="P1063" s="706" t="n"/>
      <c r="Q1063" s="706" t="n"/>
      <c r="R1063" s="706" t="n"/>
      <c r="S1063" s="706" t="n">
        <v>70132</v>
      </c>
      <c r="T1063" s="706">
        <f>S1063/J1063</f>
        <v/>
      </c>
      <c r="U1063" s="706" t="n"/>
      <c r="V1063" s="706" t="n"/>
      <c r="W1063" s="706" t="n"/>
      <c r="X1063" s="706" t="n"/>
      <c r="Y1063" s="706" t="n">
        <v>2400000</v>
      </c>
      <c r="Z1063" s="706" t="n"/>
      <c r="AA1063" s="706" t="n">
        <v>2400000</v>
      </c>
      <c r="AB1063" s="706" t="inlineStr">
        <is>
          <t>Dark Sale - Frmr Famous Daves — Retail Center; src: Retail_Sales_Cleaned</t>
        </is>
      </c>
      <c r="AC1063" s="706" t="inlineStr">
        <is>
          <t>87324-07-007</t>
        </is>
      </c>
      <c r="AD1063" s="706" t="n"/>
      <c r="AE1063" s="706" t="n"/>
      <c r="AF1063" s="706" t="n"/>
      <c r="AG1063" s="706" t="n"/>
      <c r="AH1063" s="706" t="n"/>
      <c r="AI1063" s="706">
        <f>IF(AND($E1063=Subj_OccCode,Subj_BldgSF&gt;0,ABS($L1063-Subj_BldgSF)&lt;=Subj_BldgSF*Subj_SizeTol),ABS($L1063-Subj_BldgSF),NA())</f>
        <v/>
      </c>
      <c r="AJ1063" s="706">
        <f>IF(ISNA(AI1063),NA(),AI1063+ROW()/10000000)</f>
        <v/>
      </c>
      <c r="AK1063" s="706">
        <f>IF(AND(ISNUMBER($N1063),$N1063&gt;0,ISNUMBER($Y1063)),$Y1063/$N1063,"")</f>
        <v/>
      </c>
      <c r="AL1063" s="706" t="n"/>
      <c r="AM1063" s="706" t="n"/>
      <c r="AN1063" s="706" t="n"/>
    </row>
    <row r="1064">
      <c r="A1064" s="706" t="n">
        <v>8</v>
      </c>
      <c r="B1064" s="706" t="n">
        <v>1060</v>
      </c>
      <c r="C1064" s="706" t="n"/>
      <c r="D1064" s="706" t="inlineStr">
        <is>
          <t>451 STANLEY AVE</t>
        </is>
      </c>
      <c r="E1064" s="706" t="n">
        <v>319</v>
      </c>
      <c r="F1064" s="706" t="inlineStr">
        <is>
          <t>ESTES PARK</t>
        </is>
      </c>
      <c r="G1064" s="706" t="n"/>
      <c r="H1064" s="706">
        <f>Y1064/J1064</f>
        <v/>
      </c>
      <c r="I1064" s="707" t="n">
        <v>43119</v>
      </c>
      <c r="J1064" s="706" t="n">
        <v>8900</v>
      </c>
      <c r="K1064" s="706" t="n"/>
      <c r="L1064" s="706" t="n">
        <v>8900</v>
      </c>
      <c r="M1064" s="706" t="n">
        <v>2017</v>
      </c>
      <c r="N1064" s="706" t="n"/>
      <c r="O1064" s="706" t="n"/>
      <c r="P1064" s="706" t="n"/>
      <c r="Q1064" s="706" t="n"/>
      <c r="R1064" s="706" t="n"/>
      <c r="S1064" s="706" t="n">
        <v>71630</v>
      </c>
      <c r="T1064" s="706">
        <f>S1064/J1064</f>
        <v/>
      </c>
      <c r="U1064" s="706" t="n"/>
      <c r="V1064" s="706" t="n"/>
      <c r="W1064" s="706" t="n"/>
      <c r="X1064" s="706" t="n"/>
      <c r="Y1064" s="706" t="n">
        <v>2885000</v>
      </c>
      <c r="Z1064" s="706" t="n"/>
      <c r="AA1064" s="706" t="n">
        <v>2885000</v>
      </c>
      <c r="AB1064" s="706" t="inlineStr">
        <is>
          <t>Dollar General — Dollar Store [Out of Time Frame]; Investment Triple Net; src: Retail_Sales_Cleaned</t>
        </is>
      </c>
      <c r="AC1064" s="706" t="inlineStr">
        <is>
          <t>25303-57-002</t>
        </is>
      </c>
      <c r="AD1064" s="706" t="n"/>
      <c r="AE1064" s="706" t="n"/>
      <c r="AF1064" s="706" t="n"/>
      <c r="AG1064" s="706" t="n"/>
      <c r="AH1064" s="706" t="n"/>
      <c r="AI1064" s="706">
        <f>IF(AND($E1064=Subj_OccCode,Subj_BldgSF&gt;0,ABS($L1064-Subj_BldgSF)&lt;=Subj_BldgSF*Subj_SizeTol),ABS($L1064-Subj_BldgSF),NA())</f>
        <v/>
      </c>
      <c r="AJ1064" s="706">
        <f>IF(ISNA(AI1064),NA(),AI1064+ROW()/10000000)</f>
        <v/>
      </c>
      <c r="AK1064" s="706">
        <f>IF(AND(ISNUMBER($N1064),$N1064&gt;0,ISNUMBER($Y1064)),$Y1064/$N1064,"")</f>
        <v/>
      </c>
      <c r="AL1064" s="706" t="n"/>
      <c r="AM1064" s="706" t="n"/>
      <c r="AN1064" s="706" t="n"/>
    </row>
    <row r="1065">
      <c r="A1065" s="706" t="n">
        <v>8</v>
      </c>
      <c r="B1065" s="706" t="n">
        <v>1061</v>
      </c>
      <c r="C1065" s="706" t="inlineStr">
        <is>
          <t>R0411566</t>
        </is>
      </c>
      <c r="D1065" s="706" t="inlineStr">
        <is>
          <t>1398 S WILSON AVE</t>
        </is>
      </c>
      <c r="E1065" s="706" t="n">
        <v>319</v>
      </c>
      <c r="F1065" s="706" t="inlineStr">
        <is>
          <t>LOVELAND</t>
        </is>
      </c>
      <c r="G1065" s="706" t="n"/>
      <c r="H1065" s="706">
        <f>Y1065/J1065</f>
        <v/>
      </c>
      <c r="I1065" s="707" t="n">
        <v>44965</v>
      </c>
      <c r="J1065" s="706" t="n">
        <v>9660</v>
      </c>
      <c r="K1065" s="706" t="n"/>
      <c r="L1065" s="706" t="n">
        <v>9660</v>
      </c>
      <c r="M1065" s="706" t="n">
        <v>2022</v>
      </c>
      <c r="N1065" s="706" t="n"/>
      <c r="O1065" s="706" t="n"/>
      <c r="P1065" s="706" t="n"/>
      <c r="Q1065" s="706" t="n"/>
      <c r="R1065" s="706" t="n"/>
      <c r="S1065" s="706" t="n">
        <v>59677</v>
      </c>
      <c r="T1065" s="706">
        <f>S1065/J1065</f>
        <v/>
      </c>
      <c r="U1065" s="706" t="n"/>
      <c r="V1065" s="706" t="n"/>
      <c r="W1065" s="706" t="n"/>
      <c r="X1065" s="706" t="n"/>
      <c r="Y1065" s="706" t="n">
        <v>2700000</v>
      </c>
      <c r="Z1065" s="706" t="n"/>
      <c r="AA1065" s="706" t="n">
        <v>2700000</v>
      </c>
      <c r="AB1065" s="706" t="inlineStr">
        <is>
          <t>Dollar General — Dollar Store; Investment Triple Net; src: Retail_Sales_Cleaned</t>
        </is>
      </c>
      <c r="AC1065" s="706" t="inlineStr">
        <is>
          <t>R0411566</t>
        </is>
      </c>
      <c r="AD1065" s="706" t="n"/>
      <c r="AE1065" s="706" t="n"/>
      <c r="AF1065" s="706" t="n"/>
      <c r="AG1065" s="706" t="n"/>
      <c r="AH1065" s="706" t="n"/>
      <c r="AI1065" s="706">
        <f>IF(AND($E1065=Subj_OccCode,Subj_BldgSF&gt;0,ABS($L1065-Subj_BldgSF)&lt;=Subj_BldgSF*Subj_SizeTol),ABS($L1065-Subj_BldgSF),NA())</f>
        <v/>
      </c>
      <c r="AJ1065" s="706">
        <f>IF(ISNA(AI1065),NA(),AI1065+ROW()/10000000)</f>
        <v/>
      </c>
      <c r="AK1065" s="706">
        <f>IF(AND(ISNUMBER($N1065),$N1065&gt;0,ISNUMBER($Y1065)),$Y1065/$N1065,"")</f>
        <v/>
      </c>
      <c r="AL1065" s="706" t="n"/>
      <c r="AM1065" s="706" t="n"/>
      <c r="AN1065" s="706" t="n"/>
    </row>
    <row r="1066">
      <c r="A1066" s="706" t="n">
        <v>8</v>
      </c>
      <c r="B1066" s="706" t="n">
        <v>1062</v>
      </c>
      <c r="C1066" s="706" t="inlineStr">
        <is>
          <t>R1641685</t>
        </is>
      </c>
      <c r="D1066" s="706" t="inlineStr">
        <is>
          <t>7590 5TH ST</t>
        </is>
      </c>
      <c r="E1066" s="706" t="n">
        <v>319</v>
      </c>
      <c r="F1066" s="706" t="inlineStr">
        <is>
          <t>WELLINGTON</t>
        </is>
      </c>
      <c r="G1066" s="706" t="n"/>
      <c r="H1066" s="706">
        <f>Y1066/J1066</f>
        <v/>
      </c>
      <c r="I1066" s="707" t="n">
        <v>44986</v>
      </c>
      <c r="J1066" s="706" t="n">
        <v>9100</v>
      </c>
      <c r="K1066" s="706" t="n"/>
      <c r="L1066" s="706" t="n">
        <v>9100</v>
      </c>
      <c r="M1066" s="706" t="n">
        <v>2021</v>
      </c>
      <c r="N1066" s="706" t="n"/>
      <c r="O1066" s="706" t="n"/>
      <c r="P1066" s="706" t="n"/>
      <c r="Q1066" s="706" t="n"/>
      <c r="R1066" s="706" t="n"/>
      <c r="S1066" s="706" t="n">
        <v>77101</v>
      </c>
      <c r="T1066" s="706">
        <f>S1066/J1066</f>
        <v/>
      </c>
      <c r="U1066" s="706" t="n"/>
      <c r="V1066" s="706" t="n"/>
      <c r="W1066" s="706" t="n"/>
      <c r="X1066" s="706" t="n"/>
      <c r="Y1066" s="706" t="n">
        <v>2712588</v>
      </c>
      <c r="Z1066" s="706" t="n"/>
      <c r="AA1066" s="706" t="n">
        <v>2712588</v>
      </c>
      <c r="AB1066" s="706" t="inlineStr">
        <is>
          <t>Dollar General — Dollar Store; Investment Triple Net; src: Retail_Sales_Cleaned</t>
        </is>
      </c>
      <c r="AC1066" s="706" t="inlineStr">
        <is>
          <t>R1641685</t>
        </is>
      </c>
      <c r="AD1066" s="706" t="n"/>
      <c r="AE1066" s="706" t="n"/>
      <c r="AF1066" s="706" t="n"/>
      <c r="AG1066" s="706" t="n"/>
      <c r="AH1066" s="706" t="n"/>
      <c r="AI1066" s="706">
        <f>IF(AND($E1066=Subj_OccCode,Subj_BldgSF&gt;0,ABS($L1066-Subj_BldgSF)&lt;=Subj_BldgSF*Subj_SizeTol),ABS($L1066-Subj_BldgSF),NA())</f>
        <v/>
      </c>
      <c r="AJ1066" s="706">
        <f>IF(ISNA(AI1066),NA(),AI1066+ROW()/10000000)</f>
        <v/>
      </c>
      <c r="AK1066" s="706">
        <f>IF(AND(ISNUMBER($N1066),$N1066&gt;0,ISNUMBER($Y1066)),$Y1066/$N1066,"")</f>
        <v/>
      </c>
      <c r="AL1066" s="706" t="n"/>
      <c r="AM1066" s="706" t="n"/>
      <c r="AN1066" s="706" t="n"/>
    </row>
    <row r="1067">
      <c r="A1067" s="706" t="n">
        <v>8</v>
      </c>
      <c r="B1067" s="706" t="n">
        <v>1063</v>
      </c>
      <c r="C1067" s="706" t="n"/>
      <c r="D1067" s="706" t="inlineStr">
        <is>
          <t>125 W 43RD ST</t>
        </is>
      </c>
      <c r="E1067" s="706" t="n">
        <v>349</v>
      </c>
      <c r="F1067" s="706" t="inlineStr">
        <is>
          <t>LOVELAND</t>
        </is>
      </c>
      <c r="G1067" s="706" t="n"/>
      <c r="H1067" s="706">
        <f>Y1067/J1067</f>
        <v/>
      </c>
      <c r="I1067" s="707" t="n">
        <v>44372</v>
      </c>
      <c r="J1067" s="706" t="n">
        <v>777</v>
      </c>
      <c r="K1067" s="706" t="n"/>
      <c r="L1067" s="706" t="n">
        <v>777</v>
      </c>
      <c r="M1067" s="706" t="n">
        <v>2016</v>
      </c>
      <c r="N1067" s="706" t="n"/>
      <c r="O1067" s="706" t="n"/>
      <c r="P1067" s="706" t="n"/>
      <c r="Q1067" s="706" t="n"/>
      <c r="R1067" s="706" t="n"/>
      <c r="S1067" s="706" t="n">
        <v>51932</v>
      </c>
      <c r="T1067" s="706">
        <f>S1067/J1067</f>
        <v/>
      </c>
      <c r="U1067" s="706" t="n"/>
      <c r="V1067" s="706" t="n"/>
      <c r="W1067" s="706" t="n"/>
      <c r="X1067" s="706" t="n"/>
      <c r="Y1067" s="706" t="n">
        <v>2040000</v>
      </c>
      <c r="Z1067" s="706" t="n"/>
      <c r="AA1067" s="706" t="n">
        <v>2040000</v>
      </c>
      <c r="AB1067" s="706" t="inlineStr">
        <is>
          <t>Dutch Bros — Coffee; src: Retail_Sales_Cleaned</t>
        </is>
      </c>
      <c r="AC1067" s="706" t="inlineStr">
        <is>
          <t>96354-76-002</t>
        </is>
      </c>
      <c r="AD1067" s="706" t="n"/>
      <c r="AE1067" s="706" t="n"/>
      <c r="AF1067" s="706" t="n"/>
      <c r="AG1067" s="706" t="n"/>
      <c r="AH1067" s="706" t="n"/>
      <c r="AI1067" s="706">
        <f>IF(AND($E1067=Subj_OccCode,Subj_BldgSF&gt;0,ABS($L1067-Subj_BldgSF)&lt;=Subj_BldgSF*Subj_SizeTol),ABS($L1067-Subj_BldgSF),NA())</f>
        <v/>
      </c>
      <c r="AJ1067" s="706">
        <f>IF(ISNA(AI1067),NA(),AI1067+ROW()/10000000)</f>
        <v/>
      </c>
      <c r="AK1067" s="706">
        <f>IF(AND(ISNUMBER($N1067),$N1067&gt;0,ISNUMBER($Y1067)),$Y1067/$N1067,"")</f>
        <v/>
      </c>
      <c r="AL1067" s="706" t="n"/>
      <c r="AM1067" s="706" t="n"/>
      <c r="AN1067" s="706" t="n"/>
    </row>
    <row r="1068">
      <c r="A1068" s="706" t="n">
        <v>8</v>
      </c>
      <c r="B1068" s="706" t="n">
        <v>1064</v>
      </c>
      <c r="C1068" s="706" t="n"/>
      <c r="D1068" s="706" t="inlineStr">
        <is>
          <t>432 12TH ST</t>
        </is>
      </c>
      <c r="E1068" s="706" t="n">
        <v>349</v>
      </c>
      <c r="F1068" s="706" t="inlineStr">
        <is>
          <t>FORT COLLINS</t>
        </is>
      </c>
      <c r="G1068" s="706" t="n"/>
      <c r="H1068" s="706">
        <f>Y1068/J1068</f>
        <v/>
      </c>
      <c r="I1068" s="707" t="n">
        <v>44676</v>
      </c>
      <c r="J1068" s="706" t="n">
        <v>476</v>
      </c>
      <c r="K1068" s="706" t="n"/>
      <c r="L1068" s="706" t="n">
        <v>476</v>
      </c>
      <c r="M1068" s="706" t="n">
        <v>2004</v>
      </c>
      <c r="N1068" s="706" t="n"/>
      <c r="O1068" s="706" t="n"/>
      <c r="P1068" s="706" t="n"/>
      <c r="Q1068" s="706" t="n"/>
      <c r="R1068" s="706" t="n"/>
      <c r="S1068" s="706" t="n">
        <v>10414</v>
      </c>
      <c r="T1068" s="706">
        <f>S1068/J1068</f>
        <v/>
      </c>
      <c r="U1068" s="706" t="n"/>
      <c r="V1068" s="706" t="n"/>
      <c r="W1068" s="706" t="n"/>
      <c r="X1068" s="706" t="n"/>
      <c r="Y1068" s="706" t="n">
        <v>775000</v>
      </c>
      <c r="Z1068" s="706" t="n"/>
      <c r="AA1068" s="706" t="n">
        <v>775000</v>
      </c>
      <c r="AB1068" s="706" t="inlineStr">
        <is>
          <t>Empty - Future Ziggi's — Coffee; src: Retail_Sales_Cleaned</t>
        </is>
      </c>
      <c r="AC1068" s="706" t="inlineStr">
        <is>
          <t>87073-43-003</t>
        </is>
      </c>
      <c r="AD1068" s="706" t="n"/>
      <c r="AE1068" s="706" t="n"/>
      <c r="AF1068" s="706" t="n"/>
      <c r="AG1068" s="706" t="n"/>
      <c r="AH1068" s="706" t="n"/>
      <c r="AI1068" s="706">
        <f>IF(AND($E1068=Subj_OccCode,Subj_BldgSF&gt;0,ABS($L1068-Subj_BldgSF)&lt;=Subj_BldgSF*Subj_SizeTol),ABS($L1068-Subj_BldgSF),NA())</f>
        <v/>
      </c>
      <c r="AJ1068" s="706">
        <f>IF(ISNA(AI1068),NA(),AI1068+ROW()/10000000)</f>
        <v/>
      </c>
      <c r="AK1068" s="706">
        <f>IF(AND(ISNUMBER($N1068),$N1068&gt;0,ISNUMBER($Y1068)),$Y1068/$N1068,"")</f>
        <v/>
      </c>
      <c r="AL1068" s="706" t="n"/>
      <c r="AM1068" s="706" t="n"/>
      <c r="AN1068" s="706" t="n"/>
    </row>
    <row r="1069">
      <c r="A1069" s="706" t="n">
        <v>8</v>
      </c>
      <c r="B1069" s="706" t="n">
        <v>1065</v>
      </c>
      <c r="C1069" s="706" t="n"/>
      <c r="D1069" s="706" t="inlineStr">
        <is>
          <t>1505 ROCKY MOUNTAIN AVE</t>
        </is>
      </c>
      <c r="E1069" s="706" t="n">
        <v>414</v>
      </c>
      <c r="F1069" s="706" t="inlineStr">
        <is>
          <t>LOVELAND</t>
        </is>
      </c>
      <c r="G1069" s="706" t="n"/>
      <c r="H1069" s="706">
        <f>Y1069/J1069</f>
        <v/>
      </c>
      <c r="I1069" s="707" t="n">
        <v>43684</v>
      </c>
      <c r="J1069" s="706" t="n">
        <v>5576</v>
      </c>
      <c r="K1069" s="706" t="n"/>
      <c r="L1069" s="706" t="n">
        <v>5576</v>
      </c>
      <c r="M1069" s="706" t="n">
        <v>2001</v>
      </c>
      <c r="N1069" s="706" t="n"/>
      <c r="O1069" s="706" t="n"/>
      <c r="P1069" s="706" t="n"/>
      <c r="Q1069" s="706" t="n"/>
      <c r="R1069" s="706" t="n"/>
      <c r="S1069" s="706" t="n">
        <v>56192</v>
      </c>
      <c r="T1069" s="706">
        <f>S1069/J1069</f>
        <v/>
      </c>
      <c r="U1069" s="706" t="n"/>
      <c r="V1069" s="706" t="n"/>
      <c r="W1069" s="706" t="n"/>
      <c r="X1069" s="706" t="n"/>
      <c r="Y1069" s="706" t="n">
        <v>1655000</v>
      </c>
      <c r="Z1069" s="706" t="n"/>
      <c r="AA1069" s="706" t="n">
        <v>1655000</v>
      </c>
      <c r="AB1069" s="706" t="inlineStr">
        <is>
          <t>FORMER BLACK EYED PEA, NOW Buffalo Wild Wings — Retail Center; src: Retail_Sales_Cleaned</t>
        </is>
      </c>
      <c r="AC1069" s="706" t="inlineStr">
        <is>
          <t>85094-09-004</t>
        </is>
      </c>
      <c r="AD1069" s="706" t="n"/>
      <c r="AE1069" s="706" t="n"/>
      <c r="AF1069" s="706" t="n"/>
      <c r="AG1069" s="706" t="n"/>
      <c r="AH1069" s="706" t="n"/>
      <c r="AI1069" s="706">
        <f>IF(AND($E1069=Subj_OccCode,Subj_BldgSF&gt;0,ABS($L1069-Subj_BldgSF)&lt;=Subj_BldgSF*Subj_SizeTol),ABS($L1069-Subj_BldgSF),NA())</f>
        <v/>
      </c>
      <c r="AJ1069" s="706">
        <f>IF(ISNA(AI1069),NA(),AI1069+ROW()/10000000)</f>
        <v/>
      </c>
      <c r="AK1069" s="706">
        <f>IF(AND(ISNUMBER($N1069),$N1069&gt;0,ISNUMBER($Y1069)),$Y1069/$N1069,"")</f>
        <v/>
      </c>
      <c r="AL1069" s="706" t="n"/>
      <c r="AM1069" s="706" t="n"/>
      <c r="AN1069" s="706" t="n"/>
    </row>
    <row r="1070">
      <c r="A1070" s="706" t="n">
        <v>8</v>
      </c>
      <c r="B1070" s="706" t="n">
        <v>1066</v>
      </c>
      <c r="C1070" s="706" t="n"/>
      <c r="D1070" s="706" t="inlineStr">
        <is>
          <t>4636 S MASON ST</t>
        </is>
      </c>
      <c r="E1070" s="706" t="n">
        <v>410</v>
      </c>
      <c r="F1070" s="706" t="inlineStr">
        <is>
          <t>FORT COLLINS</t>
        </is>
      </c>
      <c r="G1070" s="706" t="n"/>
      <c r="H1070" s="706">
        <f>Y1070/J1070</f>
        <v/>
      </c>
      <c r="I1070" s="707" t="n">
        <v>43174</v>
      </c>
      <c r="J1070" s="706" t="n">
        <v>10000</v>
      </c>
      <c r="K1070" s="706" t="n"/>
      <c r="L1070" s="706" t="n">
        <v>10000</v>
      </c>
      <c r="M1070" s="706" t="n">
        <v>1995</v>
      </c>
      <c r="N1070" s="706" t="n"/>
      <c r="O1070" s="706" t="n"/>
      <c r="P1070" s="706" t="n"/>
      <c r="Q1070" s="706" t="n"/>
      <c r="R1070" s="706" t="n"/>
      <c r="S1070" s="706" t="n">
        <v>41730</v>
      </c>
      <c r="T1070" s="706">
        <f>S1070/J1070</f>
        <v/>
      </c>
      <c r="U1070" s="706" t="n"/>
      <c r="V1070" s="706" t="n"/>
      <c r="W1070" s="706" t="n"/>
      <c r="X1070" s="706" t="n"/>
      <c r="Y1070" s="706" t="n">
        <v>2352887</v>
      </c>
      <c r="Z1070" s="706" t="n"/>
      <c r="AA1070" s="706" t="n">
        <v>2352887</v>
      </c>
      <c r="AB1070" s="706" t="inlineStr">
        <is>
          <t>Firestone — Auto Service [Old Sale]; 1031 Exchange; src: Retail_Sales_Cleaned</t>
        </is>
      </c>
      <c r="AC1070" s="706" t="inlineStr">
        <is>
          <t>96021-14-001</t>
        </is>
      </c>
      <c r="AD1070" s="706" t="n"/>
      <c r="AE1070" s="706" t="n"/>
      <c r="AF1070" s="706" t="n"/>
      <c r="AG1070" s="706" t="n"/>
      <c r="AH1070" s="706" t="n"/>
      <c r="AI1070" s="706">
        <f>IF(AND($E1070=Subj_OccCode,Subj_BldgSF&gt;0,ABS($L1070-Subj_BldgSF)&lt;=Subj_BldgSF*Subj_SizeTol),ABS($L1070-Subj_BldgSF),NA())</f>
        <v/>
      </c>
      <c r="AJ1070" s="706">
        <f>IF(ISNA(AI1070),NA(),AI1070+ROW()/10000000)</f>
        <v/>
      </c>
      <c r="AK1070" s="706">
        <f>IF(AND(ISNUMBER($N1070),$N1070&gt;0,ISNUMBER($Y1070)),$Y1070/$N1070,"")</f>
        <v/>
      </c>
      <c r="AL1070" s="706" t="n"/>
      <c r="AM1070" s="706" t="n"/>
      <c r="AN1070" s="706" t="n"/>
    </row>
    <row r="1071">
      <c r="A1071" s="706" t="n">
        <v>8</v>
      </c>
      <c r="B1071" s="706" t="n">
        <v>1067</v>
      </c>
      <c r="C1071" s="706" t="n"/>
      <c r="D1071" s="706" t="inlineStr">
        <is>
          <t>1383 SCULPTOR DR</t>
        </is>
      </c>
      <c r="E1071" s="706" t="n">
        <v>410</v>
      </c>
      <c r="F1071" s="706" t="inlineStr">
        <is>
          <t>LOVELAND</t>
        </is>
      </c>
      <c r="G1071" s="706" t="n"/>
      <c r="H1071" s="706">
        <f>Y1071/J1071</f>
        <v/>
      </c>
      <c r="I1071" s="707" t="n">
        <v>43263</v>
      </c>
      <c r="J1071" s="706" t="n">
        <v>7704</v>
      </c>
      <c r="K1071" s="706" t="n"/>
      <c r="L1071" s="706" t="n">
        <v>7704</v>
      </c>
      <c r="M1071" s="706" t="n">
        <v>2012</v>
      </c>
      <c r="N1071" s="706" t="n"/>
      <c r="O1071" s="706" t="n"/>
      <c r="P1071" s="706" t="n"/>
      <c r="Q1071" s="706" t="n"/>
      <c r="R1071" s="706" t="n"/>
      <c r="S1071" s="706" t="n">
        <v>70132</v>
      </c>
      <c r="T1071" s="706">
        <f>S1071/J1071</f>
        <v/>
      </c>
      <c r="U1071" s="706" t="n"/>
      <c r="V1071" s="706" t="n"/>
      <c r="W1071" s="706" t="n"/>
      <c r="X1071" s="706" t="n"/>
      <c r="Y1071" s="706" t="n">
        <v>2301622</v>
      </c>
      <c r="Z1071" s="706" t="n"/>
      <c r="AA1071" s="706" t="n">
        <v>2301622</v>
      </c>
      <c r="AB1071" s="706" t="inlineStr">
        <is>
          <t>Firestone — Auto Service [Old Sale]; Bulk/Portfolio Sale,Purchase By Tenant; src: Retail_Sales_Cleaned</t>
        </is>
      </c>
      <c r="AC1071" s="706" t="inlineStr">
        <is>
          <t>85172-16-002</t>
        </is>
      </c>
      <c r="AD1071" s="706" t="n"/>
      <c r="AE1071" s="706" t="n"/>
      <c r="AF1071" s="706" t="n"/>
      <c r="AG1071" s="706" t="n"/>
      <c r="AH1071" s="706" t="n"/>
      <c r="AI1071" s="706">
        <f>IF(AND($E1071=Subj_OccCode,Subj_BldgSF&gt;0,ABS($L1071-Subj_BldgSF)&lt;=Subj_BldgSF*Subj_SizeTol),ABS($L1071-Subj_BldgSF),NA())</f>
        <v/>
      </c>
      <c r="AJ1071" s="706">
        <f>IF(ISNA(AI1071),NA(),AI1071+ROW()/10000000)</f>
        <v/>
      </c>
      <c r="AK1071" s="706">
        <f>IF(AND(ISNUMBER($N1071),$N1071&gt;0,ISNUMBER($Y1071)),$Y1071/$N1071,"")</f>
        <v/>
      </c>
      <c r="AL1071" s="706" t="n"/>
      <c r="AM1071" s="706" t="n"/>
      <c r="AN1071" s="706" t="n"/>
    </row>
    <row r="1072">
      <c r="A1072" s="706" t="n">
        <v>8</v>
      </c>
      <c r="B1072" s="706" t="n">
        <v>1068</v>
      </c>
      <c r="C1072" s="706" t="n"/>
      <c r="D1072" s="706" t="inlineStr">
        <is>
          <t>4305 FAIRGROUNDS AVE</t>
        </is>
      </c>
      <c r="E1072" s="706" t="n">
        <v>353</v>
      </c>
      <c r="F1072" s="706" t="inlineStr">
        <is>
          <t>WINDSOR</t>
        </is>
      </c>
      <c r="G1072" s="706" t="n"/>
      <c r="H1072" s="706">
        <f>Y1072/J1072</f>
        <v/>
      </c>
      <c r="I1072" s="707" t="n">
        <v>45307</v>
      </c>
      <c r="J1072" s="706" t="n">
        <v>5245</v>
      </c>
      <c r="K1072" s="706" t="n"/>
      <c r="L1072" s="706" t="n">
        <v>5245</v>
      </c>
      <c r="M1072" s="706" t="n">
        <v>2018</v>
      </c>
      <c r="N1072" s="706" t="n"/>
      <c r="O1072" s="706" t="n"/>
      <c r="P1072" s="706" t="n"/>
      <c r="Q1072" s="706" t="n"/>
      <c r="R1072" s="706" t="n"/>
      <c r="S1072" s="706" t="n">
        <v>59242</v>
      </c>
      <c r="T1072" s="706">
        <f>S1072/J1072</f>
        <v/>
      </c>
      <c r="U1072" s="706" t="n"/>
      <c r="V1072" s="706" t="n"/>
      <c r="W1072" s="706" t="n"/>
      <c r="X1072" s="706" t="n"/>
      <c r="Y1072" s="706" t="n">
        <v>4050000</v>
      </c>
      <c r="Z1072" s="706" t="n"/>
      <c r="AA1072" s="706" t="n">
        <v>4050000</v>
      </c>
      <c r="AB1072" s="706" t="inlineStr">
        <is>
          <t>Fuzzy'S Tacos — Retail Center; Investment Triple Net,Sale Leaseback; src: Retail_Sales_Cleaned</t>
        </is>
      </c>
      <c r="AC1072" s="706" t="inlineStr">
        <is>
          <t>86353-17-002</t>
        </is>
      </c>
      <c r="AD1072" s="706" t="n"/>
      <c r="AE1072" s="706" t="n"/>
      <c r="AF1072" s="706" t="n"/>
      <c r="AG1072" s="706" t="n"/>
      <c r="AH1072" s="706" t="n"/>
      <c r="AI1072" s="706">
        <f>IF(AND($E1072=Subj_OccCode,Subj_BldgSF&gt;0,ABS($L1072-Subj_BldgSF)&lt;=Subj_BldgSF*Subj_SizeTol),ABS($L1072-Subj_BldgSF),NA())</f>
        <v/>
      </c>
      <c r="AJ1072" s="706">
        <f>IF(ISNA(AI1072),NA(),AI1072+ROW()/10000000)</f>
        <v/>
      </c>
      <c r="AK1072" s="706">
        <f>IF(AND(ISNUMBER($N1072),$N1072&gt;0,ISNUMBER($Y1072)),$Y1072/$N1072,"")</f>
        <v/>
      </c>
      <c r="AL1072" s="706" t="n"/>
      <c r="AM1072" s="706" t="n"/>
      <c r="AN1072" s="706" t="n"/>
    </row>
    <row r="1073">
      <c r="A1073" s="706" t="n">
        <v>8</v>
      </c>
      <c r="B1073" s="706" t="n">
        <v>1069</v>
      </c>
      <c r="C1073" s="706" t="n"/>
      <c r="D1073" s="706" t="inlineStr">
        <is>
          <t>1425 S LINCOLN AVE</t>
        </is>
      </c>
      <c r="E1073" s="706" t="n">
        <v>410</v>
      </c>
      <c r="F1073" s="706" t="inlineStr">
        <is>
          <t>LOVELAND</t>
        </is>
      </c>
      <c r="G1073" s="706" t="n"/>
      <c r="H1073" s="706">
        <f>Y1073/J1073</f>
        <v/>
      </c>
      <c r="I1073" s="707" t="n">
        <v>45127</v>
      </c>
      <c r="J1073" s="706" t="n">
        <v>11100</v>
      </c>
      <c r="K1073" s="706" t="n"/>
      <c r="L1073" s="706" t="n">
        <v>11100</v>
      </c>
      <c r="M1073" s="706" t="n">
        <v>1962</v>
      </c>
      <c r="N1073" s="706" t="n"/>
      <c r="O1073" s="706" t="n"/>
      <c r="P1073" s="706" t="n"/>
      <c r="Q1073" s="706" t="n"/>
      <c r="R1073" s="706" t="n"/>
      <c r="S1073" s="706" t="n">
        <v>102802</v>
      </c>
      <c r="T1073" s="706">
        <f>S1073/J1073</f>
        <v/>
      </c>
      <c r="U1073" s="706" t="n"/>
      <c r="V1073" s="706" t="n"/>
      <c r="W1073" s="706" t="n"/>
      <c r="X1073" s="706" t="n"/>
      <c r="Y1073" s="706" t="n">
        <v>2500000</v>
      </c>
      <c r="Z1073" s="706" t="n"/>
      <c r="AA1073" s="706" t="n">
        <v>2500000</v>
      </c>
      <c r="AB1073" s="706" t="inlineStr">
        <is>
          <t>Gerber Collision — Auto Service; src: Retail_Sales_Cleaned</t>
        </is>
      </c>
      <c r="AC1073" s="706" t="inlineStr">
        <is>
          <t>95252-00-014</t>
        </is>
      </c>
      <c r="AD1073" s="706" t="n"/>
      <c r="AE1073" s="706" t="n"/>
      <c r="AF1073" s="706" t="n"/>
      <c r="AG1073" s="706" t="n"/>
      <c r="AH1073" s="706" t="n"/>
      <c r="AI1073" s="706">
        <f>IF(AND($E1073=Subj_OccCode,Subj_BldgSF&gt;0,ABS($L1073-Subj_BldgSF)&lt;=Subj_BldgSF*Subj_SizeTol),ABS($L1073-Subj_BldgSF),NA())</f>
        <v/>
      </c>
      <c r="AJ1073" s="706">
        <f>IF(ISNA(AI1073),NA(),AI1073+ROW()/10000000)</f>
        <v/>
      </c>
      <c r="AK1073" s="706">
        <f>IF(AND(ISNUMBER($N1073),$N1073&gt;0,ISNUMBER($Y1073)),$Y1073/$N1073,"")</f>
        <v/>
      </c>
      <c r="AL1073" s="706" t="n"/>
      <c r="AM1073" s="706" t="n"/>
      <c r="AN1073" s="706" t="n"/>
    </row>
    <row r="1074">
      <c r="A1074" s="706" t="n">
        <v>8</v>
      </c>
      <c r="B1074" s="706" t="n">
        <v>1070</v>
      </c>
      <c r="C1074" s="706" t="n"/>
      <c r="D1074" s="706" t="inlineStr">
        <is>
          <t>2901 S COLLEGE AVE</t>
        </is>
      </c>
      <c r="E1074" s="706" t="n">
        <v>325</v>
      </c>
      <c r="F1074" s="706" t="inlineStr">
        <is>
          <t>FORT COLLINS</t>
        </is>
      </c>
      <c r="G1074" s="706" t="n"/>
      <c r="H1074" s="706">
        <f>Y1074/J1074</f>
        <v/>
      </c>
      <c r="I1074" s="707" t="n">
        <v>44342</v>
      </c>
      <c r="J1074" s="706" t="n">
        <v>5407</v>
      </c>
      <c r="K1074" s="706" t="n"/>
      <c r="L1074" s="706" t="n">
        <v>5407</v>
      </c>
      <c r="M1074" s="706" t="n">
        <v>1969</v>
      </c>
      <c r="N1074" s="706" t="n"/>
      <c r="O1074" s="706" t="n"/>
      <c r="P1074" s="706" t="n"/>
      <c r="Q1074" s="706" t="n"/>
      <c r="R1074" s="706" t="n"/>
      <c r="S1074" s="706" t="n">
        <v>18269</v>
      </c>
      <c r="T1074" s="706">
        <f>S1074/J1074</f>
        <v/>
      </c>
      <c r="U1074" s="706" t="n"/>
      <c r="V1074" s="706" t="n"/>
      <c r="W1074" s="706" t="n"/>
      <c r="X1074" s="706" t="n"/>
      <c r="Y1074" s="706" t="n">
        <v>1000000</v>
      </c>
      <c r="Z1074" s="706" t="n"/>
      <c r="AA1074" s="706" t="n">
        <v>1000000</v>
      </c>
      <c r="AB1074" s="706" t="inlineStr">
        <is>
          <t>Glass Doctor — Auto Service; src: Retail_Sales_Cleaned</t>
        </is>
      </c>
      <c r="AC1074" s="706" t="inlineStr">
        <is>
          <t>97261-00-022</t>
        </is>
      </c>
      <c r="AD1074" s="706" t="n"/>
      <c r="AE1074" s="706" t="n"/>
      <c r="AF1074" s="706" t="n"/>
      <c r="AG1074" s="706" t="n"/>
      <c r="AH1074" s="706" t="n"/>
      <c r="AI1074" s="706">
        <f>IF(AND($E1074=Subj_OccCode,Subj_BldgSF&gt;0,ABS($L1074-Subj_BldgSF)&lt;=Subj_BldgSF*Subj_SizeTol),ABS($L1074-Subj_BldgSF),NA())</f>
        <v/>
      </c>
      <c r="AJ1074" s="706">
        <f>IF(ISNA(AI1074),NA(),AI1074+ROW()/10000000)</f>
        <v/>
      </c>
      <c r="AK1074" s="706">
        <f>IF(AND(ISNUMBER($N1074),$N1074&gt;0,ISNUMBER($Y1074)),$Y1074/$N1074,"")</f>
        <v/>
      </c>
      <c r="AL1074" s="706" t="n"/>
      <c r="AM1074" s="706" t="n"/>
      <c r="AN1074" s="706" t="n"/>
    </row>
    <row r="1075">
      <c r="A1075" s="706" t="n">
        <v>8</v>
      </c>
      <c r="B1075" s="706" t="n">
        <v>1071</v>
      </c>
      <c r="C1075" s="706" t="n"/>
      <c r="D1075" s="706" t="inlineStr">
        <is>
          <t>1545 ROCKY MOUNTAIN AVE</t>
        </is>
      </c>
      <c r="E1075" s="706" t="n">
        <v>349</v>
      </c>
      <c r="F1075" s="706" t="inlineStr">
        <is>
          <t>LOVELAND</t>
        </is>
      </c>
      <c r="G1075" s="706" t="n"/>
      <c r="H1075" s="706">
        <f>Y1075/J1075</f>
        <v/>
      </c>
      <c r="I1075" s="707" t="n">
        <v>43711</v>
      </c>
      <c r="J1075" s="706" t="n">
        <v>2664</v>
      </c>
      <c r="K1075" s="706" t="n"/>
      <c r="L1075" s="706" t="n">
        <v>2664</v>
      </c>
      <c r="M1075" s="706" t="n">
        <v>2006</v>
      </c>
      <c r="N1075" s="706" t="n"/>
      <c r="O1075" s="706" t="n"/>
      <c r="P1075" s="706" t="n"/>
      <c r="Q1075" s="706" t="n"/>
      <c r="R1075" s="706" t="n"/>
      <c r="S1075" s="706" t="n">
        <v>27900</v>
      </c>
      <c r="T1075" s="706">
        <f>S1075/J1075</f>
        <v/>
      </c>
      <c r="U1075" s="706" t="n"/>
      <c r="V1075" s="706" t="n"/>
      <c r="W1075" s="706" t="n"/>
      <c r="X1075" s="706" t="n"/>
      <c r="Y1075" s="706" t="n">
        <v>2566300</v>
      </c>
      <c r="Z1075" s="706" t="n"/>
      <c r="AA1075" s="706" t="n">
        <v>2566300</v>
      </c>
      <c r="AB1075" s="706" t="inlineStr">
        <is>
          <t>Good Times — Fast Food; src: Retail_Sales_Cleaned</t>
        </is>
      </c>
      <c r="AC1075" s="706" t="inlineStr">
        <is>
          <t>85094-20-002</t>
        </is>
      </c>
      <c r="AD1075" s="706" t="n"/>
      <c r="AE1075" s="706" t="n"/>
      <c r="AF1075" s="706" t="n"/>
      <c r="AG1075" s="706" t="n"/>
      <c r="AH1075" s="706" t="n"/>
      <c r="AI1075" s="706">
        <f>IF(AND($E1075=Subj_OccCode,Subj_BldgSF&gt;0,ABS($L1075-Subj_BldgSF)&lt;=Subj_BldgSF*Subj_SizeTol),ABS($L1075-Subj_BldgSF),NA())</f>
        <v/>
      </c>
      <c r="AJ1075" s="706">
        <f>IF(ISNA(AI1075),NA(),AI1075+ROW()/10000000)</f>
        <v/>
      </c>
      <c r="AK1075" s="706">
        <f>IF(AND(ISNUMBER($N1075),$N1075&gt;0,ISNUMBER($Y1075)),$Y1075/$N1075,"")</f>
        <v/>
      </c>
      <c r="AL1075" s="706" t="n"/>
      <c r="AM1075" s="706" t="n"/>
      <c r="AN1075" s="706" t="n"/>
    </row>
    <row r="1076">
      <c r="A1076" s="706" t="n">
        <v>8</v>
      </c>
      <c r="B1076" s="706" t="n">
        <v>1072</v>
      </c>
      <c r="C1076" s="706" t="n"/>
      <c r="D1076" s="706" t="inlineStr">
        <is>
          <t>1354-1356 N LINCOLN AVE</t>
        </is>
      </c>
      <c r="E1076" s="706" t="n">
        <v>349</v>
      </c>
      <c r="F1076" s="706" t="inlineStr">
        <is>
          <t>LOVELAND</t>
        </is>
      </c>
      <c r="G1076" s="706" t="n"/>
      <c r="H1076" s="706">
        <f>Y1076/J1076</f>
        <v/>
      </c>
      <c r="I1076" s="707" t="n">
        <v>44491</v>
      </c>
      <c r="J1076" s="706" t="n">
        <v>3039</v>
      </c>
      <c r="K1076" s="706" t="n"/>
      <c r="L1076" s="706" t="n">
        <v>3039</v>
      </c>
      <c r="M1076" s="706" t="n">
        <v>1990</v>
      </c>
      <c r="N1076" s="706" t="n"/>
      <c r="O1076" s="706" t="n"/>
      <c r="P1076" s="706" t="n"/>
      <c r="Q1076" s="706" t="n"/>
      <c r="R1076" s="706" t="n"/>
      <c r="S1076" s="706" t="n">
        <v>21000</v>
      </c>
      <c r="T1076" s="706">
        <f>S1076/J1076</f>
        <v/>
      </c>
      <c r="U1076" s="706" t="n"/>
      <c r="V1076" s="706" t="n"/>
      <c r="W1076" s="706" t="n"/>
      <c r="X1076" s="706" t="n"/>
      <c r="Y1076" s="706" t="n">
        <v>695000</v>
      </c>
      <c r="Z1076" s="706" t="n"/>
      <c r="AA1076" s="706" t="n">
        <v>695000</v>
      </c>
      <c r="AB1076" s="706" t="inlineStr">
        <is>
          <t>Kfc — Fast Food; src: Retail_Sales_Cleaned</t>
        </is>
      </c>
      <c r="AC1076" s="706" t="inlineStr">
        <is>
          <t>95132-50-005</t>
        </is>
      </c>
      <c r="AD1076" s="706" t="n"/>
      <c r="AE1076" s="706" t="n"/>
      <c r="AF1076" s="706" t="n"/>
      <c r="AG1076" s="706" t="n"/>
      <c r="AH1076" s="706" t="n"/>
      <c r="AI1076" s="706">
        <f>IF(AND($E1076=Subj_OccCode,Subj_BldgSF&gt;0,ABS($L1076-Subj_BldgSF)&lt;=Subj_BldgSF*Subj_SizeTol),ABS($L1076-Subj_BldgSF),NA())</f>
        <v/>
      </c>
      <c r="AJ1076" s="706">
        <f>IF(ISNA(AI1076),NA(),AI1076+ROW()/10000000)</f>
        <v/>
      </c>
      <c r="AK1076" s="706">
        <f>IF(AND(ISNUMBER($N1076),$N1076&gt;0,ISNUMBER($Y1076)),$Y1076/$N1076,"")</f>
        <v/>
      </c>
      <c r="AL1076" s="706" t="n"/>
      <c r="AM1076" s="706" t="n"/>
      <c r="AN1076" s="706" t="n"/>
    </row>
    <row r="1077">
      <c r="A1077" s="706" t="n">
        <v>8</v>
      </c>
      <c r="B1077" s="706" t="n">
        <v>1073</v>
      </c>
      <c r="C1077" s="706" t="inlineStr">
        <is>
          <t>R0616028</t>
        </is>
      </c>
      <c r="D1077" s="706" t="inlineStr">
        <is>
          <t>2464 MARQUETTE ST</t>
        </is>
      </c>
      <c r="E1077" s="706" t="n">
        <v>426</v>
      </c>
      <c r="F1077" s="706" t="inlineStr">
        <is>
          <t>FORT COLLINS</t>
        </is>
      </c>
      <c r="G1077" s="706" t="n"/>
      <c r="H1077" s="706">
        <f>Y1077/J1077</f>
        <v/>
      </c>
      <c r="I1077" s="707" t="n">
        <v>44883</v>
      </c>
      <c r="J1077" s="706" t="n">
        <v>6063</v>
      </c>
      <c r="K1077" s="706" t="n"/>
      <c r="L1077" s="706" t="n">
        <v>6063</v>
      </c>
      <c r="M1077" s="706" t="n">
        <v>1980</v>
      </c>
      <c r="N1077" s="706" t="n"/>
      <c r="O1077" s="706" t="n"/>
      <c r="P1077" s="706" t="n"/>
      <c r="Q1077" s="706" t="n"/>
      <c r="R1077" s="706" t="n"/>
      <c r="S1077" s="706" t="n">
        <v>32670</v>
      </c>
      <c r="T1077" s="706">
        <f>S1077/J1077</f>
        <v/>
      </c>
      <c r="U1077" s="706" t="n"/>
      <c r="V1077" s="706" t="n"/>
      <c r="W1077" s="706" t="n"/>
      <c r="X1077" s="706" t="n"/>
      <c r="Y1077" s="706" t="n">
        <v>2518655</v>
      </c>
      <c r="Z1077" s="706" t="n"/>
      <c r="AA1077" s="706" t="n">
        <v>2518655</v>
      </c>
      <c r="AB1077" s="706" t="inlineStr">
        <is>
          <t>Kid City USA — Daycare; Investment Triple Net; src: Retail_Sales_Cleaned</t>
        </is>
      </c>
      <c r="AC1077" s="706" t="inlineStr">
        <is>
          <t>R0616028</t>
        </is>
      </c>
      <c r="AD1077" s="706" t="n"/>
      <c r="AE1077" s="706" t="n"/>
      <c r="AF1077" s="706" t="n"/>
      <c r="AG1077" s="706" t="n"/>
      <c r="AH1077" s="706" t="n"/>
      <c r="AI1077" s="706">
        <f>IF(AND($E1077=Subj_OccCode,Subj_BldgSF&gt;0,ABS($L1077-Subj_BldgSF)&lt;=Subj_BldgSF*Subj_SizeTol),ABS($L1077-Subj_BldgSF),NA())</f>
        <v/>
      </c>
      <c r="AJ1077" s="706">
        <f>IF(ISNA(AI1077),NA(),AI1077+ROW()/10000000)</f>
        <v/>
      </c>
      <c r="AK1077" s="706">
        <f>IF(AND(ISNUMBER($N1077),$N1077&gt;0,ISNUMBER($Y1077)),$Y1077/$N1077,"")</f>
        <v/>
      </c>
      <c r="AL1077" s="706" t="n"/>
      <c r="AM1077" s="706" t="n"/>
      <c r="AN1077" s="706" t="n"/>
    </row>
    <row r="1078">
      <c r="A1078" s="706" t="n">
        <v>8</v>
      </c>
      <c r="B1078" s="706" t="n">
        <v>1074</v>
      </c>
      <c r="C1078" s="706" t="n"/>
      <c r="D1078" s="706" t="inlineStr">
        <is>
          <t>1900 REMINGTON ST</t>
        </is>
      </c>
      <c r="E1078" s="706" t="n">
        <v>426</v>
      </c>
      <c r="F1078" s="706" t="inlineStr">
        <is>
          <t>FORT COLLINS</t>
        </is>
      </c>
      <c r="G1078" s="706" t="n"/>
      <c r="H1078" s="706">
        <f>Y1078/J1078</f>
        <v/>
      </c>
      <c r="I1078" s="707" t="n">
        <v>45499</v>
      </c>
      <c r="J1078" s="706" t="n">
        <v>13360</v>
      </c>
      <c r="K1078" s="706" t="n"/>
      <c r="L1078" s="706" t="n">
        <v>13360</v>
      </c>
      <c r="M1078" s="706" t="n">
        <v>1991</v>
      </c>
      <c r="N1078" s="706" t="n"/>
      <c r="O1078" s="706" t="n"/>
      <c r="P1078" s="706" t="n"/>
      <c r="Q1078" s="706" t="n"/>
      <c r="R1078" s="706" t="n"/>
      <c r="S1078" s="706" t="n">
        <v>61855</v>
      </c>
      <c r="T1078" s="706">
        <f>S1078/J1078</f>
        <v/>
      </c>
      <c r="U1078" s="706" t="n"/>
      <c r="V1078" s="706" t="n"/>
      <c r="W1078" s="706" t="n"/>
      <c r="X1078" s="706" t="n"/>
      <c r="Y1078" s="706" t="n">
        <v>5100000</v>
      </c>
      <c r="Z1078" s="706" t="n"/>
      <c r="AA1078" s="706" t="n">
        <v>5100000</v>
      </c>
      <c r="AB1078" s="706" t="inlineStr">
        <is>
          <t>KinderCare — Daycare; src: Retail_Sales_Cleaned</t>
        </is>
      </c>
      <c r="AC1078" s="706" t="inlineStr">
        <is>
          <t>97242-27-002</t>
        </is>
      </c>
      <c r="AD1078" s="706" t="n"/>
      <c r="AE1078" s="706" t="n"/>
      <c r="AF1078" s="706" t="n"/>
      <c r="AG1078" s="706" t="n"/>
      <c r="AH1078" s="706" t="n"/>
      <c r="AI1078" s="706">
        <f>IF(AND($E1078=Subj_OccCode,Subj_BldgSF&gt;0,ABS($L1078-Subj_BldgSF)&lt;=Subj_BldgSF*Subj_SizeTol),ABS($L1078-Subj_BldgSF),NA())</f>
        <v/>
      </c>
      <c r="AJ1078" s="706">
        <f>IF(ISNA(AI1078),NA(),AI1078+ROW()/10000000)</f>
        <v/>
      </c>
      <c r="AK1078" s="706">
        <f>IF(AND(ISNUMBER($N1078),$N1078&gt;0,ISNUMBER($Y1078)),$Y1078/$N1078,"")</f>
        <v/>
      </c>
      <c r="AL1078" s="706" t="n"/>
      <c r="AM1078" s="706" t="n"/>
      <c r="AN1078" s="706" t="n"/>
    </row>
    <row r="1079">
      <c r="A1079" s="706" t="n">
        <v>8</v>
      </c>
      <c r="B1079" s="706" t="n">
        <v>1075</v>
      </c>
      <c r="C1079" s="706" t="n"/>
      <c r="D1079" s="706" t="inlineStr">
        <is>
          <t>3533 RIVA RIDGE DR</t>
        </is>
      </c>
      <c r="E1079" s="706" t="n">
        <v>426</v>
      </c>
      <c r="F1079" s="706" t="inlineStr">
        <is>
          <t>FORT COLLINS</t>
        </is>
      </c>
      <c r="G1079" s="706" t="n"/>
      <c r="H1079" s="706">
        <f>Y1079/J1079</f>
        <v/>
      </c>
      <c r="I1079" s="707" t="n">
        <v>45387</v>
      </c>
      <c r="J1079" s="706" t="n">
        <v>3136</v>
      </c>
      <c r="K1079" s="706" t="n"/>
      <c r="L1079" s="706" t="n">
        <v>3136</v>
      </c>
      <c r="M1079" s="706" t="n">
        <v>1988</v>
      </c>
      <c r="N1079" s="706" t="n"/>
      <c r="O1079" s="706" t="n"/>
      <c r="P1079" s="706" t="n"/>
      <c r="Q1079" s="706" t="n"/>
      <c r="R1079" s="706" t="n"/>
      <c r="S1079" s="706" t="n">
        <v>15682</v>
      </c>
      <c r="T1079" s="706">
        <f>S1079/J1079</f>
        <v/>
      </c>
      <c r="U1079" s="706" t="n"/>
      <c r="V1079" s="706" t="n"/>
      <c r="W1079" s="706" t="n"/>
      <c r="X1079" s="706" t="n"/>
      <c r="Y1079" s="706" t="n">
        <v>1300000</v>
      </c>
      <c r="Z1079" s="706" t="n"/>
      <c r="AA1079" s="706" t="n">
        <v>1300000</v>
      </c>
      <c r="AB1079" s="706" t="inlineStr">
        <is>
          <t>Learning House Foundation — Daycare; src: Retail_Sales_Cleaned</t>
        </is>
      </c>
      <c r="AC1079" s="706" t="inlineStr">
        <is>
          <t>97264-27-901</t>
        </is>
      </c>
      <c r="AD1079" s="706" t="n"/>
      <c r="AE1079" s="706" t="n"/>
      <c r="AF1079" s="706" t="n"/>
      <c r="AG1079" s="706" t="n"/>
      <c r="AH1079" s="706" t="n"/>
      <c r="AI1079" s="706">
        <f>IF(AND($E1079=Subj_OccCode,Subj_BldgSF&gt;0,ABS($L1079-Subj_BldgSF)&lt;=Subj_BldgSF*Subj_SizeTol),ABS($L1079-Subj_BldgSF),NA())</f>
        <v/>
      </c>
      <c r="AJ1079" s="706">
        <f>IF(ISNA(AI1079),NA(),AI1079+ROW()/10000000)</f>
        <v/>
      </c>
      <c r="AK1079" s="706">
        <f>IF(AND(ISNUMBER($N1079),$N1079&gt;0,ISNUMBER($Y1079)),$Y1079/$N1079,"")</f>
        <v/>
      </c>
      <c r="AL1079" s="706" t="n"/>
      <c r="AM1079" s="706" t="n"/>
      <c r="AN1079" s="706" t="n"/>
    </row>
    <row r="1080">
      <c r="A1080" s="706" t="n">
        <v>8</v>
      </c>
      <c r="B1080" s="706" t="n">
        <v>1076</v>
      </c>
      <c r="C1080" s="706" t="n"/>
      <c r="D1080" s="706" t="inlineStr">
        <is>
          <t>425 S COLLEGE AVE</t>
        </is>
      </c>
      <c r="E1080" s="706" t="n">
        <v>446</v>
      </c>
      <c r="F1080" s="706" t="inlineStr">
        <is>
          <t>FORT COLLINS</t>
        </is>
      </c>
      <c r="G1080" s="706" t="n"/>
      <c r="H1080" s="706">
        <f>Y1080/J1080</f>
        <v/>
      </c>
      <c r="I1080" s="707" t="n">
        <v>45517</v>
      </c>
      <c r="J1080" s="706" t="n">
        <v>26602</v>
      </c>
      <c r="K1080" s="706" t="n"/>
      <c r="L1080" s="706" t="n">
        <v>26602</v>
      </c>
      <c r="M1080" s="706" t="n">
        <v>1966</v>
      </c>
      <c r="N1080" s="706" t="n"/>
      <c r="O1080" s="706" t="n"/>
      <c r="P1080" s="706" t="n"/>
      <c r="Q1080" s="706" t="n"/>
      <c r="R1080" s="706" t="n"/>
      <c r="S1080" s="706" t="n">
        <v>43560</v>
      </c>
      <c r="T1080" s="706">
        <f>S1080/J1080</f>
        <v/>
      </c>
      <c r="U1080" s="706" t="n"/>
      <c r="V1080" s="706" t="n"/>
      <c r="W1080" s="706" t="n"/>
      <c r="X1080" s="706" t="n"/>
      <c r="Y1080" s="706" t="n">
        <v>7300000</v>
      </c>
      <c r="Z1080" s="706" t="n"/>
      <c r="AA1080" s="706" t="n">
        <v>7300000</v>
      </c>
      <c r="AB1080" s="706" t="inlineStr">
        <is>
          <t>Lucky'S Market — Supermarket; Investment Triple Net; src: Retail_Sales_Cleaned</t>
        </is>
      </c>
      <c r="AC1080" s="706" t="inlineStr">
        <is>
          <t>97114-25-001</t>
        </is>
      </c>
      <c r="AD1080" s="706" t="n"/>
      <c r="AE1080" s="706" t="n"/>
      <c r="AF1080" s="706" t="n"/>
      <c r="AG1080" s="706" t="n"/>
      <c r="AH1080" s="706" t="n"/>
      <c r="AI1080" s="706">
        <f>IF(AND($E1080=Subj_OccCode,Subj_BldgSF&gt;0,ABS($L1080-Subj_BldgSF)&lt;=Subj_BldgSF*Subj_SizeTol),ABS($L1080-Subj_BldgSF),NA())</f>
        <v/>
      </c>
      <c r="AJ1080" s="706">
        <f>IF(ISNA(AI1080),NA(),AI1080+ROW()/10000000)</f>
        <v/>
      </c>
      <c r="AK1080" s="706">
        <f>IF(AND(ISNUMBER($N1080),$N1080&gt;0,ISNUMBER($Y1080)),$Y1080/$N1080,"")</f>
        <v/>
      </c>
      <c r="AL1080" s="706" t="n"/>
      <c r="AM1080" s="706" t="n"/>
      <c r="AN1080" s="706" t="n"/>
    </row>
    <row r="1081">
      <c r="A1081" s="706" t="n">
        <v>8</v>
      </c>
      <c r="B1081" s="706" t="n">
        <v>1077</v>
      </c>
      <c r="C1081" s="706" t="n"/>
      <c r="D1081" s="706" t="inlineStr">
        <is>
          <t>351 S SAINT VRAIN AVE</t>
        </is>
      </c>
      <c r="E1081" s="706" t="n">
        <v>353</v>
      </c>
      <c r="F1081" s="706" t="inlineStr">
        <is>
          <t>ESTES PARK</t>
        </is>
      </c>
      <c r="G1081" s="706" t="n"/>
      <c r="H1081" s="706">
        <f>Y1081/J1081</f>
        <v/>
      </c>
      <c r="I1081" s="707" t="n">
        <v>44743</v>
      </c>
      <c r="J1081" s="706" t="n">
        <v>6807</v>
      </c>
      <c r="K1081" s="706" t="n"/>
      <c r="L1081" s="706" t="n">
        <v>6807</v>
      </c>
      <c r="M1081" s="706" t="n">
        <v>1970</v>
      </c>
      <c r="N1081" s="706" t="n"/>
      <c r="O1081" s="706" t="n"/>
      <c r="P1081" s="706" t="n"/>
      <c r="Q1081" s="706" t="n"/>
      <c r="R1081" s="706" t="n"/>
      <c r="S1081" s="706" t="n">
        <v>19800</v>
      </c>
      <c r="T1081" s="706">
        <f>S1081/J1081</f>
        <v/>
      </c>
      <c r="U1081" s="706" t="n"/>
      <c r="V1081" s="706" t="n"/>
      <c r="W1081" s="706" t="n"/>
      <c r="X1081" s="706" t="n"/>
      <c r="Y1081" s="706" t="n">
        <v>880000</v>
      </c>
      <c r="Z1081" s="706" t="n"/>
      <c r="AA1081" s="706" t="n">
        <v>880000</v>
      </c>
      <c r="AB1081" s="706" t="inlineStr">
        <is>
          <t>NAPA — Auto Parts; src: Retail_Sales_Cleaned</t>
        </is>
      </c>
      <c r="AC1081" s="706" t="inlineStr">
        <is>
          <t>25302-14-010</t>
        </is>
      </c>
      <c r="AD1081" s="706" t="n"/>
      <c r="AE1081" s="706" t="n"/>
      <c r="AF1081" s="706" t="n"/>
      <c r="AG1081" s="706" t="n"/>
      <c r="AH1081" s="706" t="n"/>
      <c r="AI1081" s="706">
        <f>IF(AND($E1081=Subj_OccCode,Subj_BldgSF&gt;0,ABS($L1081-Subj_BldgSF)&lt;=Subj_BldgSF*Subj_SizeTol),ABS($L1081-Subj_BldgSF),NA())</f>
        <v/>
      </c>
      <c r="AJ1081" s="706">
        <f>IF(ISNA(AI1081),NA(),AI1081+ROW()/10000000)</f>
        <v/>
      </c>
      <c r="AK1081" s="706">
        <f>IF(AND(ISNUMBER($N1081),$N1081&gt;0,ISNUMBER($Y1081)),$Y1081/$N1081,"")</f>
        <v/>
      </c>
      <c r="AL1081" s="706" t="n"/>
      <c r="AM1081" s="706" t="n"/>
      <c r="AN1081" s="706" t="n"/>
    </row>
    <row r="1082">
      <c r="A1082" s="706" t="n">
        <v>8</v>
      </c>
      <c r="B1082" s="706" t="n">
        <v>1078</v>
      </c>
      <c r="C1082" s="706" t="n"/>
      <c r="D1082" s="706" t="inlineStr">
        <is>
          <t>885 S LINCOLN AVE</t>
        </is>
      </c>
      <c r="E1082" s="706" t="n">
        <v>353</v>
      </c>
      <c r="F1082" s="706" t="inlineStr">
        <is>
          <t>LOVELAND</t>
        </is>
      </c>
      <c r="G1082" s="706" t="n"/>
      <c r="H1082" s="706">
        <f>Y1082/J1082</f>
        <v/>
      </c>
      <c r="I1082" s="707" t="n">
        <v>43319</v>
      </c>
      <c r="J1082" s="706" t="n">
        <v>7000</v>
      </c>
      <c r="K1082" s="706" t="n"/>
      <c r="L1082" s="706" t="n">
        <v>7000</v>
      </c>
      <c r="M1082" s="706" t="n">
        <v>1998</v>
      </c>
      <c r="N1082" s="706" t="n"/>
      <c r="O1082" s="706" t="n"/>
      <c r="P1082" s="706" t="n"/>
      <c r="Q1082" s="706" t="n"/>
      <c r="R1082" s="706" t="n"/>
      <c r="S1082" s="706" t="n">
        <v>33541</v>
      </c>
      <c r="T1082" s="706">
        <f>S1082/J1082</f>
        <v/>
      </c>
      <c r="U1082" s="706" t="n"/>
      <c r="V1082" s="706" t="n"/>
      <c r="W1082" s="706" t="n"/>
      <c r="X1082" s="706" t="n"/>
      <c r="Y1082" s="706" t="n">
        <v>1740000</v>
      </c>
      <c r="Z1082" s="706" t="n"/>
      <c r="AA1082" s="706" t="n">
        <v>1740000</v>
      </c>
      <c r="AB1082" s="706" t="inlineStr">
        <is>
          <t>O'Reilly Auto Parts — Auto Parts [Old Sale]; Investment Triple Net; src: Retail_Sales_Cleaned</t>
        </is>
      </c>
      <c r="AC1082" s="706" t="inlineStr">
        <is>
          <t>95243-47-003</t>
        </is>
      </c>
      <c r="AD1082" s="706" t="n"/>
      <c r="AE1082" s="706" t="n"/>
      <c r="AF1082" s="706" t="n"/>
      <c r="AG1082" s="706" t="n"/>
      <c r="AH1082" s="706" t="n"/>
      <c r="AI1082" s="706">
        <f>IF(AND($E1082=Subj_OccCode,Subj_BldgSF&gt;0,ABS($L1082-Subj_BldgSF)&lt;=Subj_BldgSF*Subj_SizeTol),ABS($L1082-Subj_BldgSF),NA())</f>
        <v/>
      </c>
      <c r="AJ1082" s="706">
        <f>IF(ISNA(AI1082),NA(),AI1082+ROW()/10000000)</f>
        <v/>
      </c>
      <c r="AK1082" s="706">
        <f>IF(AND(ISNUMBER($N1082),$N1082&gt;0,ISNUMBER($Y1082)),$Y1082/$N1082,"")</f>
        <v/>
      </c>
      <c r="AL1082" s="706" t="n"/>
      <c r="AM1082" s="706" t="n"/>
      <c r="AN1082" s="706" t="n"/>
    </row>
    <row r="1083">
      <c r="A1083" s="706" t="n">
        <v>8</v>
      </c>
      <c r="B1083" s="706" t="n">
        <v>1079</v>
      </c>
      <c r="C1083" s="706" t="n"/>
      <c r="D1083" s="706" t="inlineStr">
        <is>
          <t>2551 HAMPSHIRE RD</t>
        </is>
      </c>
      <c r="E1083" s="706" t="n">
        <v>426</v>
      </c>
      <c r="F1083" s="706" t="inlineStr">
        <is>
          <t>FORT COLLINS</t>
        </is>
      </c>
      <c r="G1083" s="706" t="n"/>
      <c r="H1083" s="706">
        <f>Y1083/J1083</f>
        <v/>
      </c>
      <c r="I1083" s="707" t="n">
        <v>45455</v>
      </c>
      <c r="J1083" s="706" t="n">
        <v>4950</v>
      </c>
      <c r="K1083" s="706" t="n"/>
      <c r="L1083" s="706" t="n">
        <v>4950</v>
      </c>
      <c r="M1083" s="706" t="n">
        <v>1985</v>
      </c>
      <c r="N1083" s="706" t="n"/>
      <c r="O1083" s="706" t="n"/>
      <c r="P1083" s="706" t="n"/>
      <c r="Q1083" s="706" t="n"/>
      <c r="R1083" s="706" t="n"/>
      <c r="S1083" s="706" t="n">
        <v>28750</v>
      </c>
      <c r="T1083" s="706">
        <f>S1083/J1083</f>
        <v/>
      </c>
      <c r="U1083" s="706" t="n"/>
      <c r="V1083" s="706" t="n"/>
      <c r="W1083" s="706" t="n"/>
      <c r="X1083" s="706" t="n"/>
      <c r="Y1083" s="706" t="n">
        <v>2057000</v>
      </c>
      <c r="Z1083" s="706" t="n"/>
      <c r="AA1083" s="706" t="n">
        <v>2057000</v>
      </c>
      <c r="AB1083" s="706" t="inlineStr">
        <is>
          <t>Once Upon A Childcare — Daycare; src: Retail_Sales_Cleaned</t>
        </is>
      </c>
      <c r="AC1083" s="706" t="inlineStr">
        <is>
          <t>97214-31-001</t>
        </is>
      </c>
      <c r="AD1083" s="706" t="n"/>
      <c r="AE1083" s="706" t="n"/>
      <c r="AF1083" s="706" t="n"/>
      <c r="AG1083" s="706" t="n"/>
      <c r="AH1083" s="706" t="n"/>
      <c r="AI1083" s="706">
        <f>IF(AND($E1083=Subj_OccCode,Subj_BldgSF&gt;0,ABS($L1083-Subj_BldgSF)&lt;=Subj_BldgSF*Subj_SizeTol),ABS($L1083-Subj_BldgSF),NA())</f>
        <v/>
      </c>
      <c r="AJ1083" s="706">
        <f>IF(ISNA(AI1083),NA(),AI1083+ROW()/10000000)</f>
        <v/>
      </c>
      <c r="AK1083" s="706">
        <f>IF(AND(ISNUMBER($N1083),$N1083&gt;0,ISNUMBER($Y1083)),$Y1083/$N1083,"")</f>
        <v/>
      </c>
      <c r="AL1083" s="706" t="n"/>
      <c r="AM1083" s="706" t="n"/>
      <c r="AN1083" s="706" t="n"/>
    </row>
    <row r="1084">
      <c r="A1084" s="706" t="n">
        <v>8</v>
      </c>
      <c r="B1084" s="706" t="n">
        <v>1080</v>
      </c>
      <c r="C1084" s="706" t="n"/>
      <c r="D1084" s="706" t="inlineStr">
        <is>
          <t>4600 S MASON ST</t>
        </is>
      </c>
      <c r="E1084" s="706" t="n">
        <v>349</v>
      </c>
      <c r="F1084" s="706" t="inlineStr">
        <is>
          <t>FORT COLLINS</t>
        </is>
      </c>
      <c r="G1084" s="706" t="n"/>
      <c r="H1084" s="706">
        <f>Y1084/J1084</f>
        <v/>
      </c>
      <c r="I1084" s="707" t="n">
        <v>43174</v>
      </c>
      <c r="J1084" s="706" t="n">
        <v>2911</v>
      </c>
      <c r="K1084" s="706" t="n"/>
      <c r="L1084" s="706" t="n">
        <v>2911</v>
      </c>
      <c r="M1084" s="706" t="n">
        <v>2006</v>
      </c>
      <c r="N1084" s="706" t="n"/>
      <c r="O1084" s="706" t="n"/>
      <c r="P1084" s="706" t="n"/>
      <c r="Q1084" s="706" t="n"/>
      <c r="R1084" s="706" t="n"/>
      <c r="S1084" s="706" t="n">
        <v>40816</v>
      </c>
      <c r="T1084" s="706">
        <f>S1084/J1084</f>
        <v/>
      </c>
      <c r="U1084" s="706" t="n"/>
      <c r="V1084" s="706" t="n"/>
      <c r="W1084" s="706" t="n"/>
      <c r="X1084" s="706" t="n"/>
      <c r="Y1084" s="706" t="n">
        <v>912900</v>
      </c>
      <c r="Z1084" s="706" t="n"/>
      <c r="AA1084" s="706" t="n">
        <v>912900</v>
      </c>
      <c r="AB1084" s="706" t="inlineStr">
        <is>
          <t>Panda Express — Fast Food [Old Sale]; 1031 Exchange; src: Retail_Sales_Cleaned</t>
        </is>
      </c>
      <c r="AC1084" s="706" t="inlineStr">
        <is>
          <t>96021-13-001</t>
        </is>
      </c>
      <c r="AD1084" s="706" t="n"/>
      <c r="AE1084" s="706" t="n"/>
      <c r="AF1084" s="706" t="n"/>
      <c r="AG1084" s="706" t="n"/>
      <c r="AH1084" s="706" t="n"/>
      <c r="AI1084" s="706">
        <f>IF(AND($E1084=Subj_OccCode,Subj_BldgSF&gt;0,ABS($L1084-Subj_BldgSF)&lt;=Subj_BldgSF*Subj_SizeTol),ABS($L1084-Subj_BldgSF),NA())</f>
        <v/>
      </c>
      <c r="AJ1084" s="706">
        <f>IF(ISNA(AI1084),NA(),AI1084+ROW()/10000000)</f>
        <v/>
      </c>
      <c r="AK1084" s="706">
        <f>IF(AND(ISNUMBER($N1084),$N1084&gt;0,ISNUMBER($Y1084)),$Y1084/$N1084,"")</f>
        <v/>
      </c>
      <c r="AL1084" s="706" t="n"/>
      <c r="AM1084" s="706" t="n"/>
      <c r="AN1084" s="706" t="n"/>
    </row>
    <row r="1085">
      <c r="A1085" s="706" t="n">
        <v>8</v>
      </c>
      <c r="B1085" s="706" t="n">
        <v>1081</v>
      </c>
      <c r="C1085" s="706" t="n"/>
      <c r="D1085" s="706" t="inlineStr">
        <is>
          <t>800 S LEMAY AVE</t>
        </is>
      </c>
      <c r="E1085" s="706" t="n">
        <v>410</v>
      </c>
      <c r="F1085" s="706" t="inlineStr">
        <is>
          <t>FORT COLLINS</t>
        </is>
      </c>
      <c r="G1085" s="706" t="n"/>
      <c r="H1085" s="706">
        <f>Y1085/J1085</f>
        <v/>
      </c>
      <c r="I1085" s="707" t="n">
        <v>44144</v>
      </c>
      <c r="J1085" s="706" t="n">
        <v>3696</v>
      </c>
      <c r="K1085" s="706" t="n"/>
      <c r="L1085" s="706" t="n">
        <v>3696</v>
      </c>
      <c r="M1085" s="706" t="n">
        <v>1987</v>
      </c>
      <c r="N1085" s="706" t="n"/>
      <c r="O1085" s="706" t="n"/>
      <c r="P1085" s="706" t="n"/>
      <c r="Q1085" s="706" t="n"/>
      <c r="R1085" s="706" t="n"/>
      <c r="S1085" s="706" t="n">
        <v>12197</v>
      </c>
      <c r="T1085" s="706">
        <f>S1085/J1085</f>
        <v/>
      </c>
      <c r="U1085" s="706" t="n"/>
      <c r="V1085" s="706" t="n"/>
      <c r="W1085" s="706" t="n"/>
      <c r="X1085" s="706" t="n"/>
      <c r="Y1085" s="706" t="n">
        <v>750000</v>
      </c>
      <c r="Z1085" s="706" t="n"/>
      <c r="AA1085" s="706" t="n">
        <v>750000</v>
      </c>
      <c r="AB1085" s="706" t="inlineStr">
        <is>
          <t>Peerless Tires — Auto Service; src: Retail_Sales_Cleaned</t>
        </is>
      </c>
      <c r="AC1085" s="706" t="inlineStr">
        <is>
          <t>87182-28-001</t>
        </is>
      </c>
      <c r="AD1085" s="706" t="n"/>
      <c r="AE1085" s="706" t="n"/>
      <c r="AF1085" s="706" t="n"/>
      <c r="AG1085" s="706" t="n"/>
      <c r="AH1085" s="706" t="n"/>
      <c r="AI1085" s="706">
        <f>IF(AND($E1085=Subj_OccCode,Subj_BldgSF&gt;0,ABS($L1085-Subj_BldgSF)&lt;=Subj_BldgSF*Subj_SizeTol),ABS($L1085-Subj_BldgSF),NA())</f>
        <v/>
      </c>
      <c r="AJ1085" s="706">
        <f>IF(ISNA(AI1085),NA(),AI1085+ROW()/10000000)</f>
        <v/>
      </c>
      <c r="AK1085" s="706">
        <f>IF(AND(ISNUMBER($N1085),$N1085&gt;0,ISNUMBER($Y1085)),$Y1085/$N1085,"")</f>
        <v/>
      </c>
      <c r="AL1085" s="706" t="n"/>
      <c r="AM1085" s="706" t="n"/>
      <c r="AN1085" s="706" t="n"/>
    </row>
    <row r="1086">
      <c r="A1086" s="706" t="n">
        <v>8</v>
      </c>
      <c r="B1086" s="706" t="n">
        <v>1082</v>
      </c>
      <c r="C1086" s="706" t="n"/>
      <c r="D1086" s="706" t="inlineStr">
        <is>
          <t>1075 PENNOCK PL</t>
        </is>
      </c>
      <c r="E1086" s="706" t="n">
        <v>349</v>
      </c>
      <c r="F1086" s="706" t="inlineStr">
        <is>
          <t>FORT COLLINS</t>
        </is>
      </c>
      <c r="G1086" s="706" t="n"/>
      <c r="H1086" s="706">
        <f>Y1086/J1086</f>
        <v/>
      </c>
      <c r="I1086" s="707" t="n">
        <v>43836</v>
      </c>
      <c r="J1086" s="706" t="n">
        <v>2900</v>
      </c>
      <c r="K1086" s="706" t="n"/>
      <c r="L1086" s="706" t="n">
        <v>2900</v>
      </c>
      <c r="M1086" s="706" t="n">
        <v>1986</v>
      </c>
      <c r="N1086" s="706" t="n"/>
      <c r="O1086" s="706" t="n"/>
      <c r="P1086" s="706" t="n"/>
      <c r="Q1086" s="706" t="n"/>
      <c r="R1086" s="706" t="n"/>
      <c r="S1086" s="706" t="n">
        <v>5994</v>
      </c>
      <c r="T1086" s="706">
        <f>S1086/J1086</f>
        <v/>
      </c>
      <c r="U1086" s="706" t="n"/>
      <c r="V1086" s="706" t="n"/>
      <c r="W1086" s="706" t="n"/>
      <c r="X1086" s="706" t="n"/>
      <c r="Y1086" s="706" t="n">
        <v>725000</v>
      </c>
      <c r="Z1086" s="706" t="n"/>
      <c r="AA1086" s="706" t="n">
        <v>725000</v>
      </c>
      <c r="AB1086" s="706" t="inlineStr">
        <is>
          <t>Pizza Hut — Fast Food; src: Retail_Sales_Cleaned</t>
        </is>
      </c>
      <c r="AC1086" s="706" t="inlineStr">
        <is>
          <t>97131-38-001</t>
        </is>
      </c>
      <c r="AD1086" s="706" t="n"/>
      <c r="AE1086" s="706" t="n"/>
      <c r="AF1086" s="706" t="n"/>
      <c r="AG1086" s="706" t="n"/>
      <c r="AH1086" s="706" t="n"/>
      <c r="AI1086" s="706">
        <f>IF(AND($E1086=Subj_OccCode,Subj_BldgSF&gt;0,ABS($L1086-Subj_BldgSF)&lt;=Subj_BldgSF*Subj_SizeTol),ABS($L1086-Subj_BldgSF),NA())</f>
        <v/>
      </c>
      <c r="AJ1086" s="706">
        <f>IF(ISNA(AI1086),NA(),AI1086+ROW()/10000000)</f>
        <v/>
      </c>
      <c r="AK1086" s="706">
        <f>IF(AND(ISNUMBER($N1086),$N1086&gt;0,ISNUMBER($Y1086)),$Y1086/$N1086,"")</f>
        <v/>
      </c>
      <c r="AL1086" s="706" t="n"/>
      <c r="AM1086" s="706" t="n"/>
      <c r="AN1086" s="706" t="n"/>
    </row>
    <row r="1087">
      <c r="A1087" s="706" t="n">
        <v>8</v>
      </c>
      <c r="B1087" s="706" t="n">
        <v>1083</v>
      </c>
      <c r="C1087" s="706" t="n"/>
      <c r="D1087" s="706" t="inlineStr">
        <is>
          <t>1611 W EISENHOWER BLVD</t>
        </is>
      </c>
      <c r="E1087" s="706" t="n">
        <v>349</v>
      </c>
      <c r="F1087" s="706" t="inlineStr">
        <is>
          <t>LOVELAND</t>
        </is>
      </c>
      <c r="G1087" s="706" t="n"/>
      <c r="H1087" s="706">
        <f>Y1087/J1087</f>
        <v/>
      </c>
      <c r="I1087" s="707" t="n">
        <v>44725</v>
      </c>
      <c r="J1087" s="706" t="n">
        <v>1994</v>
      </c>
      <c r="K1087" s="706" t="n"/>
      <c r="L1087" s="706" t="n">
        <v>1994</v>
      </c>
      <c r="M1087" s="706" t="n">
        <v>1962</v>
      </c>
      <c r="N1087" s="706" t="n"/>
      <c r="O1087" s="706" t="n"/>
      <c r="P1087" s="706" t="n"/>
      <c r="Q1087" s="706" t="n"/>
      <c r="R1087" s="706" t="n"/>
      <c r="S1087" s="706" t="n">
        <v>16727</v>
      </c>
      <c r="T1087" s="706">
        <f>S1087/J1087</f>
        <v/>
      </c>
      <c r="U1087" s="706" t="n"/>
      <c r="V1087" s="706" t="n"/>
      <c r="W1087" s="706" t="n"/>
      <c r="X1087" s="706" t="n"/>
      <c r="Y1087" s="706" t="n">
        <v>651000</v>
      </c>
      <c r="Z1087" s="706" t="n"/>
      <c r="AA1087" s="706" t="n">
        <v>651000</v>
      </c>
      <c r="AB1087" s="706" t="inlineStr">
        <is>
          <t>Quiznos Subs — Fast Food; src: Retail_Sales_Cleaned</t>
        </is>
      </c>
      <c r="AC1087" s="706" t="inlineStr">
        <is>
          <t>95104-37-004</t>
        </is>
      </c>
      <c r="AD1087" s="706" t="n"/>
      <c r="AE1087" s="706" t="n"/>
      <c r="AF1087" s="706" t="n"/>
      <c r="AG1087" s="706" t="n"/>
      <c r="AH1087" s="706" t="n"/>
      <c r="AI1087" s="706">
        <f>IF(AND($E1087=Subj_OccCode,Subj_BldgSF&gt;0,ABS($L1087-Subj_BldgSF)&lt;=Subj_BldgSF*Subj_SizeTol),ABS($L1087-Subj_BldgSF),NA())</f>
        <v/>
      </c>
      <c r="AJ1087" s="706">
        <f>IF(ISNA(AI1087),NA(),AI1087+ROW()/10000000)</f>
        <v/>
      </c>
      <c r="AK1087" s="706">
        <f>IF(AND(ISNUMBER($N1087),$N1087&gt;0,ISNUMBER($Y1087)),$Y1087/$N1087,"")</f>
        <v/>
      </c>
      <c r="AL1087" s="706" t="n"/>
      <c r="AM1087" s="706" t="n"/>
      <c r="AN1087" s="706" t="n"/>
    </row>
    <row r="1088">
      <c r="A1088" s="706" t="n">
        <v>8</v>
      </c>
      <c r="B1088" s="706" t="n">
        <v>1084</v>
      </c>
      <c r="C1088" s="706" t="n"/>
      <c r="D1088" s="706" t="inlineStr">
        <is>
          <t>3301 S COLLEGE AVE</t>
        </is>
      </c>
      <c r="E1088" s="706" t="n">
        <v>353</v>
      </c>
      <c r="F1088" s="706" t="inlineStr">
        <is>
          <t>FORT COLLINS</t>
        </is>
      </c>
      <c r="G1088" s="706" t="n"/>
      <c r="H1088" s="706">
        <f>Y1088/J1088</f>
        <v/>
      </c>
      <c r="I1088" s="707" t="n">
        <v>44769</v>
      </c>
      <c r="J1088" s="706" t="n">
        <v>8208</v>
      </c>
      <c r="K1088" s="706" t="n"/>
      <c r="L1088" s="706" t="n">
        <v>8208</v>
      </c>
      <c r="M1088" s="706" t="n">
        <v>1983</v>
      </c>
      <c r="N1088" s="706" t="n"/>
      <c r="O1088" s="706" t="n"/>
      <c r="P1088" s="706" t="n"/>
      <c r="Q1088" s="706" t="n"/>
      <c r="R1088" s="706" t="n"/>
      <c r="S1088" s="706" t="n">
        <v>40075</v>
      </c>
      <c r="T1088" s="706">
        <f>S1088/J1088</f>
        <v/>
      </c>
      <c r="U1088" s="706" t="n"/>
      <c r="V1088" s="706" t="n"/>
      <c r="W1088" s="706" t="n"/>
      <c r="X1088" s="706" t="n"/>
      <c r="Y1088" s="706" t="n">
        <v>4318927</v>
      </c>
      <c r="Z1088" s="706" t="n"/>
      <c r="AA1088" s="706" t="n">
        <v>4318927</v>
      </c>
      <c r="AB1088" s="706" t="inlineStr">
        <is>
          <t>Red Lobster — Retail Center; src: Retail_Sales_Cleaned</t>
        </is>
      </c>
      <c r="AC1088" s="706" t="inlineStr">
        <is>
          <t>97264-25-001</t>
        </is>
      </c>
      <c r="AD1088" s="706" t="n"/>
      <c r="AE1088" s="706" t="n"/>
      <c r="AF1088" s="706" t="n"/>
      <c r="AG1088" s="706" t="n"/>
      <c r="AH1088" s="706" t="n"/>
      <c r="AI1088" s="706">
        <f>IF(AND($E1088=Subj_OccCode,Subj_BldgSF&gt;0,ABS($L1088-Subj_BldgSF)&lt;=Subj_BldgSF*Subj_SizeTol),ABS($L1088-Subj_BldgSF),NA())</f>
        <v/>
      </c>
      <c r="AJ1088" s="706">
        <f>IF(ISNA(AI1088),NA(),AI1088+ROW()/10000000)</f>
        <v/>
      </c>
      <c r="AK1088" s="706">
        <f>IF(AND(ISNUMBER($N1088),$N1088&gt;0,ISNUMBER($Y1088)),$Y1088/$N1088,"")</f>
        <v/>
      </c>
      <c r="AL1088" s="706" t="n"/>
      <c r="AM1088" s="706" t="n"/>
      <c r="AN1088" s="706" t="n"/>
    </row>
    <row r="1089">
      <c r="A1089" s="706" t="n">
        <v>8</v>
      </c>
      <c r="B1089" s="706" t="n">
        <v>1085</v>
      </c>
      <c r="C1089" s="706" t="n"/>
      <c r="D1089" s="706" t="inlineStr">
        <is>
          <t>540 S LINCOLN AVE</t>
        </is>
      </c>
      <c r="E1089" s="706" t="n">
        <v>325</v>
      </c>
      <c r="F1089" s="706" t="inlineStr">
        <is>
          <t>LOVELAND</t>
        </is>
      </c>
      <c r="G1089" s="706" t="n"/>
      <c r="H1089" s="706">
        <f>Y1089/J1089</f>
        <v/>
      </c>
      <c r="I1089" s="707" t="n">
        <v>44925</v>
      </c>
      <c r="J1089" s="706" t="n">
        <v>7329</v>
      </c>
      <c r="K1089" s="706" t="n"/>
      <c r="L1089" s="706" t="n">
        <v>7329</v>
      </c>
      <c r="M1089" s="706" t="n">
        <v>1995</v>
      </c>
      <c r="N1089" s="706" t="n"/>
      <c r="O1089" s="706" t="n"/>
      <c r="P1089" s="706" t="n"/>
      <c r="Q1089" s="706" t="n"/>
      <c r="R1089" s="706" t="n"/>
      <c r="S1089" s="706" t="n">
        <v>29185</v>
      </c>
      <c r="T1089" s="706">
        <f>S1089/J1089</f>
        <v/>
      </c>
      <c r="U1089" s="706" t="n"/>
      <c r="V1089" s="706" t="n"/>
      <c r="W1089" s="706" t="n"/>
      <c r="X1089" s="706" t="n"/>
      <c r="Y1089" s="706" t="n">
        <v>1175000</v>
      </c>
      <c r="Z1089" s="706" t="n"/>
      <c r="AA1089" s="706" t="n">
        <v>1175000</v>
      </c>
      <c r="AB1089" s="706" t="inlineStr">
        <is>
          <t>Rowley Accident and Hail Repair — Auto Service; src: Retail_Sales_Cleaned</t>
        </is>
      </c>
      <c r="AC1089" s="706" t="inlineStr">
        <is>
          <t>95242-17-017</t>
        </is>
      </c>
      <c r="AD1089" s="706" t="n"/>
      <c r="AE1089" s="706" t="n"/>
      <c r="AF1089" s="706" t="n"/>
      <c r="AG1089" s="706" t="n"/>
      <c r="AH1089" s="706" t="n"/>
      <c r="AI1089" s="706">
        <f>IF(AND($E1089=Subj_OccCode,Subj_BldgSF&gt;0,ABS($L1089-Subj_BldgSF)&lt;=Subj_BldgSF*Subj_SizeTol),ABS($L1089-Subj_BldgSF),NA())</f>
        <v/>
      </c>
      <c r="AJ1089" s="706">
        <f>IF(ISNA(AI1089),NA(),AI1089+ROW()/10000000)</f>
        <v/>
      </c>
      <c r="AK1089" s="706">
        <f>IF(AND(ISNUMBER($N1089),$N1089&gt;0,ISNUMBER($Y1089)),$Y1089/$N1089,"")</f>
        <v/>
      </c>
      <c r="AL1089" s="706" t="n"/>
      <c r="AM1089" s="706" t="n"/>
      <c r="AN1089" s="706" t="n"/>
    </row>
    <row r="1090">
      <c r="A1090" s="706" t="n">
        <v>8</v>
      </c>
      <c r="B1090" s="706" t="n">
        <v>1086</v>
      </c>
      <c r="C1090" s="706" t="n"/>
      <c r="D1090" s="706" t="inlineStr">
        <is>
          <t>2321 W EISENHOWER BLVD</t>
        </is>
      </c>
      <c r="E1090" s="706" t="n">
        <v>446</v>
      </c>
      <c r="F1090" s="706" t="inlineStr">
        <is>
          <t>LOVELAND</t>
        </is>
      </c>
      <c r="G1090" s="706" t="n"/>
      <c r="H1090" s="706">
        <f>Y1090/J1090</f>
        <v/>
      </c>
      <c r="I1090" s="707" t="n">
        <v>43923</v>
      </c>
      <c r="J1090" s="706" t="n">
        <v>50098</v>
      </c>
      <c r="K1090" s="706" t="n"/>
      <c r="L1090" s="706" t="n">
        <v>50098</v>
      </c>
      <c r="M1090" s="706" t="n">
        <v>1984</v>
      </c>
      <c r="N1090" s="706" t="n"/>
      <c r="O1090" s="706" t="n"/>
      <c r="P1090" s="706" t="n"/>
      <c r="Q1090" s="706" t="n"/>
      <c r="R1090" s="706" t="n"/>
      <c r="S1090" s="706" t="n">
        <v>195584</v>
      </c>
      <c r="T1090" s="706">
        <f>S1090/J1090</f>
        <v/>
      </c>
      <c r="U1090" s="706" t="n"/>
      <c r="V1090" s="706" t="n"/>
      <c r="W1090" s="706" t="n"/>
      <c r="X1090" s="706" t="n"/>
      <c r="Y1090" s="706" t="n">
        <v>11400000</v>
      </c>
      <c r="Z1090" s="706" t="n"/>
      <c r="AA1090" s="706" t="n">
        <v>11400000</v>
      </c>
      <c r="AB1090" s="706" t="inlineStr">
        <is>
          <t>Safeway — Supermarket; src: Retail_Sales_Cleaned</t>
        </is>
      </c>
      <c r="AC1090" s="706" t="inlineStr">
        <is>
          <t>95103-46-001</t>
        </is>
      </c>
      <c r="AD1090" s="706" t="n"/>
      <c r="AE1090" s="706" t="n"/>
      <c r="AF1090" s="706" t="n"/>
      <c r="AG1090" s="706" t="n"/>
      <c r="AH1090" s="706" t="n"/>
      <c r="AI1090" s="706">
        <f>IF(AND($E1090=Subj_OccCode,Subj_BldgSF&gt;0,ABS($L1090-Subj_BldgSF)&lt;=Subj_BldgSF*Subj_SizeTol),ABS($L1090-Subj_BldgSF),NA())</f>
        <v/>
      </c>
      <c r="AJ1090" s="706">
        <f>IF(ISNA(AI1090),NA(),AI1090+ROW()/10000000)</f>
        <v/>
      </c>
      <c r="AK1090" s="706">
        <f>IF(AND(ISNUMBER($N1090),$N1090&gt;0,ISNUMBER($Y1090)),$Y1090/$N1090,"")</f>
        <v/>
      </c>
      <c r="AL1090" s="706" t="n"/>
      <c r="AM1090" s="706" t="n"/>
      <c r="AN1090" s="706" t="n"/>
    </row>
    <row r="1091">
      <c r="A1091" s="706" t="n">
        <v>8</v>
      </c>
      <c r="B1091" s="706" t="n">
        <v>1087</v>
      </c>
      <c r="C1091" s="706" t="n"/>
      <c r="D1091" s="706" t="inlineStr">
        <is>
          <t>4218 S COLLEGE AVE</t>
        </is>
      </c>
      <c r="E1091" s="706" t="n">
        <v>349</v>
      </c>
      <c r="F1091" s="706" t="inlineStr">
        <is>
          <t>FORT COLLINS</t>
        </is>
      </c>
      <c r="G1091" s="706" t="n"/>
      <c r="H1091" s="706">
        <f>Y1091/J1091</f>
        <v/>
      </c>
      <c r="I1091" s="707" t="n">
        <v>44756</v>
      </c>
      <c r="J1091" s="706" t="n">
        <v>2654</v>
      </c>
      <c r="K1091" s="706" t="n"/>
      <c r="L1091" s="706" t="n">
        <v>2654</v>
      </c>
      <c r="M1091" s="706" t="n">
        <v>1989</v>
      </c>
      <c r="N1091" s="706" t="n"/>
      <c r="O1091" s="706" t="n"/>
      <c r="P1091" s="706" t="n"/>
      <c r="Q1091" s="706" t="n"/>
      <c r="R1091" s="706" t="n"/>
      <c r="S1091" s="706" t="n">
        <v>40075</v>
      </c>
      <c r="T1091" s="706">
        <f>S1091/J1091</f>
        <v/>
      </c>
      <c r="U1091" s="706" t="n"/>
      <c r="V1091" s="706" t="n"/>
      <c r="W1091" s="706" t="n"/>
      <c r="X1091" s="706" t="n"/>
      <c r="Y1091" s="706" t="n">
        <v>3765000</v>
      </c>
      <c r="Z1091" s="706" t="n"/>
      <c r="AA1091" s="706" t="n">
        <v>3765000</v>
      </c>
      <c r="AB1091" s="706" t="inlineStr">
        <is>
          <t>Starbucks — Coffee; 1031 Exchange,Investment Triple Net; src: Retail_Sales_Cleaned</t>
        </is>
      </c>
      <c r="AC1091" s="706" t="inlineStr">
        <is>
          <t>97363-40-002</t>
        </is>
      </c>
      <c r="AD1091" s="706" t="n"/>
      <c r="AE1091" s="706" t="n"/>
      <c r="AF1091" s="706" t="n"/>
      <c r="AG1091" s="706" t="n"/>
      <c r="AH1091" s="706" t="n"/>
      <c r="AI1091" s="706">
        <f>IF(AND($E1091=Subj_OccCode,Subj_BldgSF&gt;0,ABS($L1091-Subj_BldgSF)&lt;=Subj_BldgSF*Subj_SizeTol),ABS($L1091-Subj_BldgSF),NA())</f>
        <v/>
      </c>
      <c r="AJ1091" s="706">
        <f>IF(ISNA(AI1091),NA(),AI1091+ROW()/10000000)</f>
        <v/>
      </c>
      <c r="AK1091" s="706">
        <f>IF(AND(ISNUMBER($N1091),$N1091&gt;0,ISNUMBER($Y1091)),$Y1091/$N1091,"")</f>
        <v/>
      </c>
      <c r="AL1091" s="706" t="n"/>
      <c r="AM1091" s="706" t="n"/>
      <c r="AN1091" s="706" t="n"/>
    </row>
    <row r="1092">
      <c r="A1092" s="706" t="n">
        <v>8</v>
      </c>
      <c r="B1092" s="706" t="n">
        <v>1088</v>
      </c>
      <c r="C1092" s="706" t="n"/>
      <c r="D1092" s="706" t="inlineStr">
        <is>
          <t>1301 GRAND MARKET AVE</t>
        </is>
      </c>
      <c r="E1092" s="706" t="n">
        <v>349</v>
      </c>
      <c r="F1092" s="706" t="inlineStr">
        <is>
          <t>BERTHOUD</t>
        </is>
      </c>
      <c r="G1092" s="706" t="n"/>
      <c r="H1092" s="706">
        <f>Y1092/J1092</f>
        <v/>
      </c>
      <c r="I1092" s="707" t="n">
        <v>44986</v>
      </c>
      <c r="J1092" s="706" t="n">
        <v>2225</v>
      </c>
      <c r="K1092" s="706" t="n"/>
      <c r="L1092" s="706" t="n">
        <v>2225</v>
      </c>
      <c r="M1092" s="706" t="n">
        <v>2022</v>
      </c>
      <c r="N1092" s="706" t="n"/>
      <c r="O1092" s="706" t="n"/>
      <c r="P1092" s="706" t="n"/>
      <c r="Q1092" s="706" t="n"/>
      <c r="R1092" s="706" t="n"/>
      <c r="S1092" s="706" t="n">
        <v>40215</v>
      </c>
      <c r="T1092" s="706">
        <f>S1092/J1092</f>
        <v/>
      </c>
      <c r="U1092" s="706" t="n"/>
      <c r="V1092" s="706" t="n"/>
      <c r="W1092" s="706" t="n"/>
      <c r="X1092" s="706" t="n"/>
      <c r="Y1092" s="706" t="n">
        <v>2492000</v>
      </c>
      <c r="Z1092" s="706" t="n"/>
      <c r="AA1092" s="706" t="n">
        <v>2492000</v>
      </c>
      <c r="AB1092" s="706" t="inlineStr">
        <is>
          <t>Starbucks — Coffee; Investment Triple Net; src: Retail_Sales_Cleaned</t>
        </is>
      </c>
      <c r="AC1092" s="706" t="inlineStr">
        <is>
          <t>94034-33-004</t>
        </is>
      </c>
      <c r="AD1092" s="706" t="n"/>
      <c r="AE1092" s="706" t="n"/>
      <c r="AF1092" s="706" t="n"/>
      <c r="AG1092" s="706" t="n"/>
      <c r="AH1092" s="706" t="n"/>
      <c r="AI1092" s="706">
        <f>IF(AND($E1092=Subj_OccCode,Subj_BldgSF&gt;0,ABS($L1092-Subj_BldgSF)&lt;=Subj_BldgSF*Subj_SizeTol),ABS($L1092-Subj_BldgSF),NA())</f>
        <v/>
      </c>
      <c r="AJ1092" s="706">
        <f>IF(ISNA(AI1092),NA(),AI1092+ROW()/10000000)</f>
        <v/>
      </c>
      <c r="AK1092" s="706">
        <f>IF(AND(ISNUMBER($N1092),$N1092&gt;0,ISNUMBER($Y1092)),$Y1092/$N1092,"")</f>
        <v/>
      </c>
      <c r="AL1092" s="706" t="n"/>
      <c r="AM1092" s="706" t="n"/>
      <c r="AN1092" s="706" t="n"/>
    </row>
    <row r="1093">
      <c r="A1093" s="706" t="n">
        <v>8</v>
      </c>
      <c r="B1093" s="706" t="n">
        <v>1089</v>
      </c>
      <c r="C1093" s="706" t="n"/>
      <c r="D1093" s="706" t="inlineStr">
        <is>
          <t>1624 N COLLEGE AVE</t>
        </is>
      </c>
      <c r="E1093" s="706" t="n">
        <v>349</v>
      </c>
      <c r="F1093" s="706" t="inlineStr">
        <is>
          <t>FORT COLLINS</t>
        </is>
      </c>
      <c r="G1093" s="706" t="n"/>
      <c r="H1093" s="706">
        <f>Y1093/J1093</f>
        <v/>
      </c>
      <c r="I1093" s="707" t="n">
        <v>44804</v>
      </c>
      <c r="J1093" s="706" t="n">
        <v>1733</v>
      </c>
      <c r="K1093" s="706" t="n"/>
      <c r="L1093" s="706" t="n">
        <v>1733</v>
      </c>
      <c r="M1093" s="706" t="n">
        <v>2008</v>
      </c>
      <c r="N1093" s="706" t="n"/>
      <c r="O1093" s="706" t="n"/>
      <c r="P1093" s="706" t="n"/>
      <c r="Q1093" s="706" t="n"/>
      <c r="R1093" s="706" t="n"/>
      <c r="S1093" s="706" t="n">
        <v>12110</v>
      </c>
      <c r="T1093" s="706">
        <f>S1093/J1093</f>
        <v/>
      </c>
      <c r="U1093" s="706" t="n"/>
      <c r="V1093" s="706" t="n"/>
      <c r="W1093" s="706" t="n"/>
      <c r="X1093" s="706" t="n"/>
      <c r="Y1093" s="706" t="n">
        <v>700000</v>
      </c>
      <c r="Z1093" s="706" t="n"/>
      <c r="AA1093" s="706" t="n">
        <v>700000</v>
      </c>
      <c r="AB1093" s="706" t="inlineStr">
        <is>
          <t>Subway — Fast Food; src: Retail_Sales_Cleaned</t>
        </is>
      </c>
      <c r="AC1093" s="706" t="inlineStr">
        <is>
          <t>97012-61-007</t>
        </is>
      </c>
      <c r="AD1093" s="706" t="n"/>
      <c r="AE1093" s="706" t="n"/>
      <c r="AF1093" s="706" t="n"/>
      <c r="AG1093" s="706" t="n"/>
      <c r="AH1093" s="706" t="n"/>
      <c r="AI1093" s="706">
        <f>IF(AND($E1093=Subj_OccCode,Subj_BldgSF&gt;0,ABS($L1093-Subj_BldgSF)&lt;=Subj_BldgSF*Subj_SizeTol),ABS($L1093-Subj_BldgSF),NA())</f>
        <v/>
      </c>
      <c r="AJ1093" s="706">
        <f>IF(ISNA(AI1093),NA(),AI1093+ROW()/10000000)</f>
        <v/>
      </c>
      <c r="AK1093" s="706">
        <f>IF(AND(ISNUMBER($N1093),$N1093&gt;0,ISNUMBER($Y1093)),$Y1093/$N1093,"")</f>
        <v/>
      </c>
      <c r="AL1093" s="706" t="n"/>
      <c r="AM1093" s="706" t="n"/>
      <c r="AN1093" s="706" t="n"/>
    </row>
    <row r="1094">
      <c r="A1094" s="706" t="n">
        <v>8</v>
      </c>
      <c r="B1094" s="706" t="n">
        <v>1090</v>
      </c>
      <c r="C1094" s="706" t="n"/>
      <c r="D1094" s="706" t="inlineStr">
        <is>
          <t>200 E HORSETOOTH RD</t>
        </is>
      </c>
      <c r="E1094" s="706" t="n">
        <v>349</v>
      </c>
      <c r="F1094" s="706" t="inlineStr">
        <is>
          <t>FORT COLLINS</t>
        </is>
      </c>
      <c r="G1094" s="706" t="n"/>
      <c r="H1094" s="706">
        <f>Y1094/J1094</f>
        <v/>
      </c>
      <c r="I1094" s="707" t="n">
        <v>44295</v>
      </c>
      <c r="J1094" s="706" t="n">
        <v>2085</v>
      </c>
      <c r="K1094" s="706" t="n"/>
      <c r="L1094" s="706" t="n">
        <v>2085</v>
      </c>
      <c r="M1094" s="706" t="n">
        <v>1995</v>
      </c>
      <c r="N1094" s="706" t="n"/>
      <c r="O1094" s="706" t="n"/>
      <c r="P1094" s="706" t="n"/>
      <c r="Q1094" s="706" t="n"/>
      <c r="R1094" s="706" t="n"/>
      <c r="S1094" s="706" t="n">
        <v>33977</v>
      </c>
      <c r="T1094" s="706">
        <f>S1094/J1094</f>
        <v/>
      </c>
      <c r="U1094" s="706" t="n"/>
      <c r="V1094" s="706" t="n"/>
      <c r="W1094" s="706" t="n"/>
      <c r="X1094" s="706" t="n"/>
      <c r="Y1094" s="706" t="n">
        <v>1510096</v>
      </c>
      <c r="Z1094" s="706" t="n"/>
      <c r="AA1094" s="706" t="n">
        <v>1510096</v>
      </c>
      <c r="AB1094" s="706" t="inlineStr">
        <is>
          <t>Taco John's — Fast Food; Investment Triple Net,Sale Leaseback; src: Retail_Sales_Cleaned</t>
        </is>
      </c>
      <c r="AC1094" s="706" t="inlineStr">
        <is>
          <t>97253-28-001</t>
        </is>
      </c>
      <c r="AD1094" s="706" t="n"/>
      <c r="AE1094" s="706" t="n"/>
      <c r="AF1094" s="706" t="n"/>
      <c r="AG1094" s="706" t="n"/>
      <c r="AH1094" s="706" t="n"/>
      <c r="AI1094" s="706">
        <f>IF(AND($E1094=Subj_OccCode,Subj_BldgSF&gt;0,ABS($L1094-Subj_BldgSF)&lt;=Subj_BldgSF*Subj_SizeTol),ABS($L1094-Subj_BldgSF),NA())</f>
        <v/>
      </c>
      <c r="AJ1094" s="706">
        <f>IF(ISNA(AI1094),NA(),AI1094+ROW()/10000000)</f>
        <v/>
      </c>
      <c r="AK1094" s="706">
        <f>IF(AND(ISNUMBER($N1094),$N1094&gt;0,ISNUMBER($Y1094)),$Y1094/$N1094,"")</f>
        <v/>
      </c>
      <c r="AL1094" s="706" t="n"/>
      <c r="AM1094" s="706" t="n"/>
      <c r="AN1094" s="706" t="n"/>
    </row>
    <row r="1095">
      <c r="A1095" s="706" t="n">
        <v>8</v>
      </c>
      <c r="B1095" s="706" t="n">
        <v>1091</v>
      </c>
      <c r="C1095" s="706" t="n"/>
      <c r="D1095" s="706" t="inlineStr">
        <is>
          <t>1609 SPECHT POINT RD</t>
        </is>
      </c>
      <c r="E1095" s="706" t="n">
        <v>349</v>
      </c>
      <c r="F1095" s="706" t="inlineStr">
        <is>
          <t>FORT COLLINS</t>
        </is>
      </c>
      <c r="G1095" s="706" t="n"/>
      <c r="H1095" s="706">
        <f>Y1095/J1095</f>
        <v/>
      </c>
      <c r="I1095" s="707" t="n">
        <v>44320</v>
      </c>
      <c r="J1095" s="706" t="n">
        <v>2703</v>
      </c>
      <c r="K1095" s="706" t="n"/>
      <c r="L1095" s="706" t="n">
        <v>2703</v>
      </c>
      <c r="M1095" s="706" t="n">
        <v>2004</v>
      </c>
      <c r="N1095" s="706" t="n"/>
      <c r="O1095" s="706" t="n"/>
      <c r="P1095" s="706" t="n"/>
      <c r="Q1095" s="706" t="n"/>
      <c r="R1095" s="706" t="n"/>
      <c r="S1095" s="706" t="n">
        <v>49658</v>
      </c>
      <c r="T1095" s="706">
        <f>S1095/J1095</f>
        <v/>
      </c>
      <c r="U1095" s="706" t="n"/>
      <c r="V1095" s="706" t="n"/>
      <c r="W1095" s="706" t="n"/>
      <c r="X1095" s="706" t="n"/>
      <c r="Y1095" s="706" t="n">
        <v>1200000</v>
      </c>
      <c r="Z1095" s="706" t="n"/>
      <c r="AA1095" s="706" t="n">
        <v>1200000</v>
      </c>
      <c r="AB1095" s="706" t="inlineStr">
        <is>
          <t>Taco John's — Fast Food; 1031 Exchange,Investment Triple Net,Sale Leaseback; src: Retail_Sales_Cleaned</t>
        </is>
      </c>
      <c r="AC1095" s="706" t="inlineStr">
        <is>
          <t>87202-18-002</t>
        </is>
      </c>
      <c r="AD1095" s="706" t="n"/>
      <c r="AE1095" s="706" t="n"/>
      <c r="AF1095" s="706" t="n"/>
      <c r="AG1095" s="706" t="n"/>
      <c r="AH1095" s="706" t="n"/>
      <c r="AI1095" s="706">
        <f>IF(AND($E1095=Subj_OccCode,Subj_BldgSF&gt;0,ABS($L1095-Subj_BldgSF)&lt;=Subj_BldgSF*Subj_SizeTol),ABS($L1095-Subj_BldgSF),NA())</f>
        <v/>
      </c>
      <c r="AJ1095" s="706">
        <f>IF(ISNA(AI1095),NA(),AI1095+ROW()/10000000)</f>
        <v/>
      </c>
      <c r="AK1095" s="706">
        <f>IF(AND(ISNUMBER($N1095),$N1095&gt;0,ISNUMBER($Y1095)),$Y1095/$N1095,"")</f>
        <v/>
      </c>
      <c r="AL1095" s="706" t="n"/>
      <c r="AM1095" s="706" t="n"/>
      <c r="AN1095" s="706" t="n"/>
    </row>
    <row r="1096">
      <c r="A1096" s="706" t="n">
        <v>8</v>
      </c>
      <c r="B1096" s="706" t="n">
        <v>1092</v>
      </c>
      <c r="C1096" s="706" t="n"/>
      <c r="D1096" s="706" t="inlineStr">
        <is>
          <t>7605 ROYAL VISTA CIR</t>
        </is>
      </c>
      <c r="E1096" s="706" t="n">
        <v>349</v>
      </c>
      <c r="F1096" s="706" t="inlineStr">
        <is>
          <t>FORT COLLINS</t>
        </is>
      </c>
      <c r="G1096" s="706" t="n"/>
      <c r="H1096" s="706">
        <f>Y1096/J1096</f>
        <v/>
      </c>
      <c r="I1096" s="707" t="n">
        <v>44326</v>
      </c>
      <c r="J1096" s="706" t="n">
        <v>2662</v>
      </c>
      <c r="K1096" s="706" t="n"/>
      <c r="L1096" s="706" t="n">
        <v>2662</v>
      </c>
      <c r="M1096" s="706" t="n">
        <v>2006</v>
      </c>
      <c r="N1096" s="706" t="n"/>
      <c r="O1096" s="706" t="n"/>
      <c r="P1096" s="706" t="n"/>
      <c r="Q1096" s="706" t="n"/>
      <c r="R1096" s="706" t="n"/>
      <c r="S1096" s="706" t="n">
        <v>49223</v>
      </c>
      <c r="T1096" s="706">
        <f>S1096/J1096</f>
        <v/>
      </c>
      <c r="U1096" s="706" t="n"/>
      <c r="V1096" s="706" t="n"/>
      <c r="W1096" s="706" t="n"/>
      <c r="X1096" s="706" t="n"/>
      <c r="Y1096" s="706" t="n">
        <v>1355565</v>
      </c>
      <c r="Z1096" s="706" t="n"/>
      <c r="AA1096" s="706" t="n">
        <v>1355565</v>
      </c>
      <c r="AB1096" s="706" t="inlineStr">
        <is>
          <t>Taco John's — Fast Food; 1031 Exchange,Investment Triple Net; src: Retail_Sales_Cleaned</t>
        </is>
      </c>
      <c r="AC1096" s="706" t="inlineStr">
        <is>
          <t>86221-43-002</t>
        </is>
      </c>
      <c r="AD1096" s="706" t="n"/>
      <c r="AE1096" s="706" t="n"/>
      <c r="AF1096" s="706" t="n"/>
      <c r="AG1096" s="706" t="n"/>
      <c r="AH1096" s="706" t="n"/>
      <c r="AI1096" s="706">
        <f>IF(AND($E1096=Subj_OccCode,Subj_BldgSF&gt;0,ABS($L1096-Subj_BldgSF)&lt;=Subj_BldgSF*Subj_SizeTol),ABS($L1096-Subj_BldgSF),NA())</f>
        <v/>
      </c>
      <c r="AJ1096" s="706">
        <f>IF(ISNA(AI1096),NA(),AI1096+ROW()/10000000)</f>
        <v/>
      </c>
      <c r="AK1096" s="706">
        <f>IF(AND(ISNUMBER($N1096),$N1096&gt;0,ISNUMBER($Y1096)),$Y1096/$N1096,"")</f>
        <v/>
      </c>
      <c r="AL1096" s="706" t="n"/>
      <c r="AM1096" s="706" t="n"/>
      <c r="AN1096" s="706" t="n"/>
    </row>
    <row r="1097">
      <c r="A1097" s="706" t="n">
        <v>8</v>
      </c>
      <c r="B1097" s="706" t="n">
        <v>1093</v>
      </c>
      <c r="C1097" s="706" t="n"/>
      <c r="D1097" s="706" t="inlineStr">
        <is>
          <t>7910 6TH ST</t>
        </is>
      </c>
      <c r="E1097" s="706" t="n">
        <v>349</v>
      </c>
      <c r="F1097" s="706" t="inlineStr">
        <is>
          <t>WELLINGTON</t>
        </is>
      </c>
      <c r="G1097" s="706" t="n"/>
      <c r="H1097" s="706">
        <f>Y1097/J1097</f>
        <v/>
      </c>
      <c r="I1097" s="707" t="n">
        <v>44326</v>
      </c>
      <c r="J1097" s="706" t="n">
        <v>2433</v>
      </c>
      <c r="K1097" s="706" t="n"/>
      <c r="L1097" s="706" t="n">
        <v>2433</v>
      </c>
      <c r="M1097" s="706" t="n">
        <v>2008</v>
      </c>
      <c r="N1097" s="706" t="n"/>
      <c r="O1097" s="706" t="n"/>
      <c r="P1097" s="706" t="n"/>
      <c r="Q1097" s="706" t="n"/>
      <c r="R1097" s="706" t="n"/>
      <c r="S1097" s="706" t="n">
        <v>33541</v>
      </c>
      <c r="T1097" s="706">
        <f>S1097/J1097</f>
        <v/>
      </c>
      <c r="U1097" s="706" t="n"/>
      <c r="V1097" s="706" t="n"/>
      <c r="W1097" s="706" t="n"/>
      <c r="X1097" s="706" t="n"/>
      <c r="Y1097" s="706" t="n">
        <v>1274261</v>
      </c>
      <c r="Z1097" s="706" t="n"/>
      <c r="AA1097" s="706" t="n">
        <v>1274261</v>
      </c>
      <c r="AB1097" s="706" t="inlineStr">
        <is>
          <t>Taco John's — Fast Food; Investment Triple Net,Sale Leaseback; src: Retail_Sales_Cleaned</t>
        </is>
      </c>
      <c r="AC1097" s="706" t="inlineStr">
        <is>
          <t>89343-23-006</t>
        </is>
      </c>
      <c r="AD1097" s="706" t="n"/>
      <c r="AE1097" s="706" t="n"/>
      <c r="AF1097" s="706" t="n"/>
      <c r="AG1097" s="706" t="n"/>
      <c r="AH1097" s="706" t="n"/>
      <c r="AI1097" s="706">
        <f>IF(AND($E1097=Subj_OccCode,Subj_BldgSF&gt;0,ABS($L1097-Subj_BldgSF)&lt;=Subj_BldgSF*Subj_SizeTol),ABS($L1097-Subj_BldgSF),NA())</f>
        <v/>
      </c>
      <c r="AJ1097" s="706">
        <f>IF(ISNA(AI1097),NA(),AI1097+ROW()/10000000)</f>
        <v/>
      </c>
      <c r="AK1097" s="706">
        <f>IF(AND(ISNUMBER($N1097),$N1097&gt;0,ISNUMBER($Y1097)),$Y1097/$N1097,"")</f>
        <v/>
      </c>
      <c r="AL1097" s="706" t="n"/>
      <c r="AM1097" s="706" t="n"/>
      <c r="AN1097" s="706" t="n"/>
    </row>
    <row r="1098">
      <c r="A1098" s="706" t="n">
        <v>8</v>
      </c>
      <c r="B1098" s="706" t="n">
        <v>1094</v>
      </c>
      <c r="C1098" s="706" t="n"/>
      <c r="D1098" s="706" t="inlineStr">
        <is>
          <t>1635 N LINCOLN AVE</t>
        </is>
      </c>
      <c r="E1098" s="706" t="n">
        <v>349</v>
      </c>
      <c r="F1098" s="706" t="inlineStr">
        <is>
          <t>LOVELAND</t>
        </is>
      </c>
      <c r="G1098" s="706" t="n"/>
      <c r="H1098" s="706">
        <f>Y1098/J1098</f>
        <v/>
      </c>
      <c r="I1098" s="707" t="n">
        <v>44343</v>
      </c>
      <c r="J1098" s="706" t="n">
        <v>2433</v>
      </c>
      <c r="K1098" s="706" t="n"/>
      <c r="L1098" s="706" t="n">
        <v>2433</v>
      </c>
      <c r="M1098" s="706" t="n">
        <v>1969</v>
      </c>
      <c r="N1098" s="706" t="n"/>
      <c r="O1098" s="706" t="n"/>
      <c r="P1098" s="706" t="n"/>
      <c r="Q1098" s="706" t="n"/>
      <c r="R1098" s="706" t="n"/>
      <c r="S1098" s="706" t="n">
        <v>20473</v>
      </c>
      <c r="T1098" s="706">
        <f>S1098/J1098</f>
        <v/>
      </c>
      <c r="U1098" s="706" t="n"/>
      <c r="V1098" s="706" t="n"/>
      <c r="W1098" s="706" t="n"/>
      <c r="X1098" s="706" t="n"/>
      <c r="Y1098" s="706" t="n">
        <v>1411739</v>
      </c>
      <c r="Z1098" s="706" t="n"/>
      <c r="AA1098" s="706" t="n">
        <v>1411739</v>
      </c>
      <c r="AB1098" s="706" t="inlineStr">
        <is>
          <t>Taco John's — Fast Food; Investment Triple Net,Sale Leaseback; src: Retail_Sales_Cleaned</t>
        </is>
      </c>
      <c r="AC1098" s="706" t="inlineStr">
        <is>
          <t>95123-00-019</t>
        </is>
      </c>
      <c r="AD1098" s="706" t="n"/>
      <c r="AE1098" s="706" t="n"/>
      <c r="AF1098" s="706" t="n"/>
      <c r="AG1098" s="706" t="n"/>
      <c r="AH1098" s="706" t="n"/>
      <c r="AI1098" s="706">
        <f>IF(AND($E1098=Subj_OccCode,Subj_BldgSF&gt;0,ABS($L1098-Subj_BldgSF)&lt;=Subj_BldgSF*Subj_SizeTol),ABS($L1098-Subj_BldgSF),NA())</f>
        <v/>
      </c>
      <c r="AJ1098" s="706">
        <f>IF(ISNA(AI1098),NA(),AI1098+ROW()/10000000)</f>
        <v/>
      </c>
      <c r="AK1098" s="706">
        <f>IF(AND(ISNUMBER($N1098),$N1098&gt;0,ISNUMBER($Y1098)),$Y1098/$N1098,"")</f>
        <v/>
      </c>
      <c r="AL1098" s="706" t="n"/>
      <c r="AM1098" s="706" t="n"/>
      <c r="AN1098" s="706" t="n"/>
    </row>
    <row r="1099">
      <c r="A1099" s="706" t="n">
        <v>8</v>
      </c>
      <c r="B1099" s="706" t="n">
        <v>1095</v>
      </c>
      <c r="C1099" s="706" t="n"/>
      <c r="D1099" s="706" t="inlineStr">
        <is>
          <t>2268 E HARMONY RD</t>
        </is>
      </c>
      <c r="E1099" s="706" t="n">
        <v>353</v>
      </c>
      <c r="F1099" s="706" t="inlineStr">
        <is>
          <t>FORT COLLINS</t>
        </is>
      </c>
      <c r="G1099" s="706" t="n"/>
      <c r="H1099" s="706">
        <f>Y1099/J1099</f>
        <v/>
      </c>
      <c r="I1099" s="707" t="n">
        <v>39461</v>
      </c>
      <c r="J1099" s="706" t="n">
        <v>14680</v>
      </c>
      <c r="K1099" s="706" t="n"/>
      <c r="L1099" s="706" t="n">
        <v>14680</v>
      </c>
      <c r="M1099" s="706" t="n">
        <v>2007</v>
      </c>
      <c r="N1099" s="706" t="n"/>
      <c r="O1099" s="706" t="n"/>
      <c r="P1099" s="706" t="n"/>
      <c r="Q1099" s="706" t="n"/>
      <c r="R1099" s="706" t="n"/>
      <c r="S1099" s="706" t="n">
        <v>101338</v>
      </c>
      <c r="T1099" s="706">
        <f>S1099/J1099</f>
        <v/>
      </c>
      <c r="U1099" s="706" t="n"/>
      <c r="V1099" s="706" t="n"/>
      <c r="W1099" s="706" t="n"/>
      <c r="X1099" s="706" t="n"/>
      <c r="Y1099" s="706" t="n">
        <v>6170000</v>
      </c>
      <c r="Z1099" s="706" t="n"/>
      <c r="AA1099" s="706" t="n">
        <v>6170000</v>
      </c>
      <c r="AB1099" s="706" t="inlineStr">
        <is>
          <t>Walgreens — Drugstore [Example]; 1031 Exchange,Investment Triple Net; src: Retail_Sales_Cleaned</t>
        </is>
      </c>
      <c r="AC1099" s="706" t="inlineStr">
        <is>
          <t>87323-62-001</t>
        </is>
      </c>
      <c r="AD1099" s="706" t="n"/>
      <c r="AE1099" s="706" t="n"/>
      <c r="AF1099" s="706" t="n"/>
      <c r="AG1099" s="706" t="n"/>
      <c r="AH1099" s="706" t="n"/>
      <c r="AI1099" s="706">
        <f>IF(AND($E1099=Subj_OccCode,Subj_BldgSF&gt;0,ABS($L1099-Subj_BldgSF)&lt;=Subj_BldgSF*Subj_SizeTol),ABS($L1099-Subj_BldgSF),NA())</f>
        <v/>
      </c>
      <c r="AJ1099" s="706">
        <f>IF(ISNA(AI1099),NA(),AI1099+ROW()/10000000)</f>
        <v/>
      </c>
      <c r="AK1099" s="706">
        <f>IF(AND(ISNUMBER($N1099),$N1099&gt;0,ISNUMBER($Y1099)),$Y1099/$N1099,"")</f>
        <v/>
      </c>
      <c r="AL1099" s="706" t="n"/>
      <c r="AM1099" s="706" t="n"/>
      <c r="AN1099" s="706" t="n"/>
    </row>
    <row r="1100">
      <c r="A1100" s="706" t="n">
        <v>8</v>
      </c>
      <c r="B1100" s="706" t="n">
        <v>1096</v>
      </c>
      <c r="C1100" s="706" t="n"/>
      <c r="D1100" s="706" t="inlineStr">
        <is>
          <t>2370 W EISENHOWER BLVD</t>
        </is>
      </c>
      <c r="E1100" s="706" t="n">
        <v>353</v>
      </c>
      <c r="F1100" s="706" t="inlineStr">
        <is>
          <t>LOVELAND</t>
        </is>
      </c>
      <c r="G1100" s="706" t="n"/>
      <c r="H1100" s="706">
        <f>Y1100/J1100</f>
        <v/>
      </c>
      <c r="I1100" s="707" t="n">
        <v>44309</v>
      </c>
      <c r="J1100" s="706" t="n">
        <v>14754</v>
      </c>
      <c r="K1100" s="706" t="n"/>
      <c r="L1100" s="706" t="n">
        <v>14754</v>
      </c>
      <c r="M1100" s="706" t="n">
        <v>2004</v>
      </c>
      <c r="N1100" s="706" t="n"/>
      <c r="O1100" s="706" t="n"/>
      <c r="P1100" s="706" t="n"/>
      <c r="Q1100" s="706" t="n"/>
      <c r="R1100" s="706" t="n"/>
      <c r="S1100" s="706" t="n">
        <v>67082</v>
      </c>
      <c r="T1100" s="706">
        <f>S1100/J1100</f>
        <v/>
      </c>
      <c r="U1100" s="706" t="n"/>
      <c r="V1100" s="706" t="n"/>
      <c r="W1100" s="706" t="n"/>
      <c r="X1100" s="706" t="n"/>
      <c r="Y1100" s="706" t="n">
        <v>6087000</v>
      </c>
      <c r="Z1100" s="706" t="n"/>
      <c r="AA1100" s="706" t="n">
        <v>6087000</v>
      </c>
      <c r="AB1100" s="706" t="inlineStr">
        <is>
          <t>Walgreens — Drugstore; 1031 Exchange; src: Retail_Sales_Cleaned</t>
        </is>
      </c>
      <c r="AC1100" s="706" t="inlineStr">
        <is>
          <t>95152-71-001</t>
        </is>
      </c>
      <c r="AD1100" s="706" t="n"/>
      <c r="AE1100" s="706" t="n"/>
      <c r="AF1100" s="706" t="n"/>
      <c r="AG1100" s="706" t="n"/>
      <c r="AH1100" s="706" t="n"/>
      <c r="AI1100" s="706">
        <f>IF(AND($E1100=Subj_OccCode,Subj_BldgSF&gt;0,ABS($L1100-Subj_BldgSF)&lt;=Subj_BldgSF*Subj_SizeTol),ABS($L1100-Subj_BldgSF),NA())</f>
        <v/>
      </c>
      <c r="AJ1100" s="706">
        <f>IF(ISNA(AI1100),NA(),AI1100+ROW()/10000000)</f>
        <v/>
      </c>
      <c r="AK1100" s="706">
        <f>IF(AND(ISNUMBER($N1100),$N1100&gt;0,ISNUMBER($Y1100)),$Y1100/$N1100,"")</f>
        <v/>
      </c>
      <c r="AL1100" s="706" t="n"/>
      <c r="AM1100" s="706" t="n"/>
      <c r="AN1100" s="706" t="n"/>
    </row>
    <row r="1101">
      <c r="A1101" s="706" t="n">
        <v>8</v>
      </c>
      <c r="B1101" s="706" t="n">
        <v>1097</v>
      </c>
      <c r="C1101" s="706" t="n"/>
      <c r="D1101" s="706" t="inlineStr">
        <is>
          <t>205 E EISENHOWER BLVD</t>
        </is>
      </c>
      <c r="E1101" s="706" t="n">
        <v>353</v>
      </c>
      <c r="F1101" s="706" t="inlineStr">
        <is>
          <t>LOVELAND</t>
        </is>
      </c>
      <c r="G1101" s="706" t="n"/>
      <c r="H1101" s="706">
        <f>Y1101/J1101</f>
        <v/>
      </c>
      <c r="I1101" s="707" t="n">
        <v>44432</v>
      </c>
      <c r="J1101" s="706" t="n">
        <v>14847</v>
      </c>
      <c r="K1101" s="706" t="n"/>
      <c r="L1101" s="706" t="n">
        <v>14847</v>
      </c>
      <c r="M1101" s="706" t="n">
        <v>2000</v>
      </c>
      <c r="N1101" s="706" t="n"/>
      <c r="O1101" s="706" t="n"/>
      <c r="P1101" s="706" t="n"/>
      <c r="Q1101" s="706" t="n"/>
      <c r="R1101" s="706" t="n"/>
      <c r="S1101" s="706" t="n">
        <v>77972</v>
      </c>
      <c r="T1101" s="706">
        <f>S1101/J1101</f>
        <v/>
      </c>
      <c r="U1101" s="706" t="n"/>
      <c r="V1101" s="706" t="n"/>
      <c r="W1101" s="706" t="n"/>
      <c r="X1101" s="706" t="n"/>
      <c r="Y1101" s="706" t="n">
        <v>7610097</v>
      </c>
      <c r="Z1101" s="706" t="n"/>
      <c r="AA1101" s="706" t="n">
        <v>7610097</v>
      </c>
      <c r="AB1101" s="706" t="inlineStr">
        <is>
          <t>Walgreens — Drugstore; Investment Triple Net; src: Retail_Sales_Cleaned</t>
        </is>
      </c>
      <c r="AC1101" s="706" t="inlineStr">
        <is>
          <t>95123-27-001</t>
        </is>
      </c>
      <c r="AD1101" s="706" t="n"/>
      <c r="AE1101" s="706" t="n"/>
      <c r="AF1101" s="706" t="n"/>
      <c r="AG1101" s="706" t="n"/>
      <c r="AH1101" s="706" t="n"/>
      <c r="AI1101" s="706">
        <f>IF(AND($E1101=Subj_OccCode,Subj_BldgSF&gt;0,ABS($L1101-Subj_BldgSF)&lt;=Subj_BldgSF*Subj_SizeTol),ABS($L1101-Subj_BldgSF),NA())</f>
        <v/>
      </c>
      <c r="AJ1101" s="706">
        <f>IF(ISNA(AI1101),NA(),AI1101+ROW()/10000000)</f>
        <v/>
      </c>
      <c r="AK1101" s="706">
        <f>IF(AND(ISNUMBER($N1101),$N1101&gt;0,ISNUMBER($Y1101)),$Y1101/$N1101,"")</f>
        <v/>
      </c>
      <c r="AL1101" s="706" t="n"/>
      <c r="AM1101" s="706" t="n"/>
      <c r="AN1101" s="706" t="n"/>
    </row>
    <row r="1102">
      <c r="A1102" s="706" t="n">
        <v>8</v>
      </c>
      <c r="B1102" s="706" t="n">
        <v>1098</v>
      </c>
      <c r="C1102" s="706" t="n"/>
      <c r="D1102" s="706" t="inlineStr">
        <is>
          <t>3690 GARFIELD AVE</t>
        </is>
      </c>
      <c r="E1102" s="706" t="n">
        <v>353</v>
      </c>
      <c r="F1102" s="706" t="inlineStr">
        <is>
          <t>LOVELAND</t>
        </is>
      </c>
      <c r="G1102" s="706" t="n"/>
      <c r="H1102" s="706">
        <f>Y1102/J1102</f>
        <v/>
      </c>
      <c r="I1102" s="707" t="n">
        <v>44468</v>
      </c>
      <c r="J1102" s="706" t="n">
        <v>13650</v>
      </c>
      <c r="K1102" s="706" t="n"/>
      <c r="L1102" s="706" t="n">
        <v>13650</v>
      </c>
      <c r="M1102" s="706" t="n">
        <v>2003</v>
      </c>
      <c r="N1102" s="706" t="n"/>
      <c r="O1102" s="706" t="n"/>
      <c r="P1102" s="706" t="n"/>
      <c r="Q1102" s="706" t="n"/>
      <c r="R1102" s="706" t="n"/>
      <c r="S1102" s="706" t="n">
        <v>69260</v>
      </c>
      <c r="T1102" s="706">
        <f>S1102/J1102</f>
        <v/>
      </c>
      <c r="U1102" s="706" t="n"/>
      <c r="V1102" s="706" t="n"/>
      <c r="W1102" s="706" t="n"/>
      <c r="X1102" s="706" t="n"/>
      <c r="Y1102" s="706" t="n">
        <v>6050000</v>
      </c>
      <c r="Z1102" s="706" t="n"/>
      <c r="AA1102" s="706" t="n">
        <v>6050000</v>
      </c>
      <c r="AB1102" s="706" t="inlineStr">
        <is>
          <t>Walgreens — Drugstore; src: Retail_Sales_Cleaned</t>
        </is>
      </c>
      <c r="AC1102" s="706" t="inlineStr">
        <is>
          <t>95012-98-001</t>
        </is>
      </c>
      <c r="AD1102" s="706" t="n"/>
      <c r="AE1102" s="706" t="n"/>
      <c r="AF1102" s="706" t="n"/>
      <c r="AG1102" s="706" t="n"/>
      <c r="AH1102" s="706" t="n"/>
      <c r="AI1102" s="706">
        <f>IF(AND($E1102=Subj_OccCode,Subj_BldgSF&gt;0,ABS($L1102-Subj_BldgSF)&lt;=Subj_BldgSF*Subj_SizeTol),ABS($L1102-Subj_BldgSF),NA())</f>
        <v/>
      </c>
      <c r="AJ1102" s="706">
        <f>IF(ISNA(AI1102),NA(),AI1102+ROW()/10000000)</f>
        <v/>
      </c>
      <c r="AK1102" s="706">
        <f>IF(AND(ISNUMBER($N1102),$N1102&gt;0,ISNUMBER($Y1102)),$Y1102/$N1102,"")</f>
        <v/>
      </c>
      <c r="AL1102" s="706" t="n"/>
      <c r="AM1102" s="706" t="n"/>
      <c r="AN1102" s="706" t="n"/>
    </row>
    <row r="1103">
      <c r="A1103" s="706" t="n">
        <v>8</v>
      </c>
      <c r="B1103" s="706" t="n">
        <v>1099</v>
      </c>
      <c r="C1103" s="706" t="n"/>
      <c r="D1103" s="706" t="inlineStr">
        <is>
          <t>2268 E HARMONY RD</t>
        </is>
      </c>
      <c r="E1103" s="706" t="n">
        <v>353</v>
      </c>
      <c r="F1103" s="706" t="inlineStr">
        <is>
          <t>FORT COLLINS</t>
        </is>
      </c>
      <c r="G1103" s="706" t="n"/>
      <c r="H1103" s="706">
        <f>Y1103/J1103</f>
        <v/>
      </c>
      <c r="I1103" s="707" t="n">
        <v>44742</v>
      </c>
      <c r="J1103" s="706" t="n">
        <v>14680</v>
      </c>
      <c r="K1103" s="706" t="n"/>
      <c r="L1103" s="706" t="n">
        <v>14680</v>
      </c>
      <c r="M1103" s="706" t="n">
        <v>2007</v>
      </c>
      <c r="N1103" s="706" t="n"/>
      <c r="O1103" s="706" t="n"/>
      <c r="P1103" s="706" t="n"/>
      <c r="Q1103" s="706" t="n"/>
      <c r="R1103" s="706" t="n"/>
      <c r="S1103" s="706" t="n">
        <v>101338</v>
      </c>
      <c r="T1103" s="706">
        <f>S1103/J1103</f>
        <v/>
      </c>
      <c r="U1103" s="706" t="n"/>
      <c r="V1103" s="706" t="n"/>
      <c r="W1103" s="706" t="n"/>
      <c r="X1103" s="706" t="n"/>
      <c r="Y1103" s="706" t="n">
        <v>7900000</v>
      </c>
      <c r="Z1103" s="706" t="n"/>
      <c r="AA1103" s="706" t="n">
        <v>7900000</v>
      </c>
      <c r="AB1103" s="706" t="inlineStr">
        <is>
          <t>Walgreens — Drugstore; src: Retail_Sales_Cleaned</t>
        </is>
      </c>
      <c r="AC1103" s="706" t="inlineStr">
        <is>
          <t>87323-62-001</t>
        </is>
      </c>
      <c r="AD1103" s="706" t="n"/>
      <c r="AE1103" s="706" t="n"/>
      <c r="AF1103" s="706" t="n"/>
      <c r="AG1103" s="706" t="n"/>
      <c r="AH1103" s="706" t="n"/>
      <c r="AI1103" s="706">
        <f>IF(AND($E1103=Subj_OccCode,Subj_BldgSF&gt;0,ABS($L1103-Subj_BldgSF)&lt;=Subj_BldgSF*Subj_SizeTol),ABS($L1103-Subj_BldgSF),NA())</f>
        <v/>
      </c>
      <c r="AJ1103" s="706">
        <f>IF(ISNA(AI1103),NA(),AI1103+ROW()/10000000)</f>
        <v/>
      </c>
      <c r="AK1103" s="706">
        <f>IF(AND(ISNUMBER($N1103),$N1103&gt;0,ISNUMBER($Y1103)),$Y1103/$N1103,"")</f>
        <v/>
      </c>
      <c r="AL1103" s="706" t="n"/>
      <c r="AM1103" s="706" t="n"/>
      <c r="AN1103" s="706" t="n"/>
    </row>
    <row r="1104">
      <c r="A1104" s="706" t="n">
        <v>8</v>
      </c>
      <c r="B1104" s="706" t="n">
        <v>1100</v>
      </c>
      <c r="C1104" s="706" t="n"/>
      <c r="D1104" s="706" t="inlineStr">
        <is>
          <t>6533 S COLLEGE AVE</t>
        </is>
      </c>
      <c r="E1104" s="706" t="n">
        <v>349</v>
      </c>
      <c r="F1104" s="706" t="inlineStr">
        <is>
          <t>FORT COLLINS</t>
        </is>
      </c>
      <c r="G1104" s="706" t="n"/>
      <c r="H1104" s="706">
        <f>Y1104/J1104</f>
        <v/>
      </c>
      <c r="I1104" s="707" t="n">
        <v>44544</v>
      </c>
      <c r="J1104" s="706" t="n">
        <v>490</v>
      </c>
      <c r="K1104" s="706" t="n"/>
      <c r="L1104" s="706" t="n">
        <v>490</v>
      </c>
      <c r="M1104" s="706" t="n">
        <v>2018</v>
      </c>
      <c r="N1104" s="706" t="n"/>
      <c r="O1104" s="706" t="n"/>
      <c r="P1104" s="706" t="n"/>
      <c r="Q1104" s="706" t="n"/>
      <c r="R1104" s="706" t="n"/>
      <c r="S1104" s="706" t="n">
        <v>70872</v>
      </c>
      <c r="T1104" s="706">
        <f>S1104/J1104</f>
        <v/>
      </c>
      <c r="U1104" s="706" t="n"/>
      <c r="V1104" s="706" t="n"/>
      <c r="W1104" s="706" t="n"/>
      <c r="X1104" s="706" t="n"/>
      <c r="Y1104" s="706" t="n">
        <v>1385000</v>
      </c>
      <c r="Z1104" s="706" t="n"/>
      <c r="AA1104" s="706" t="n">
        <v>1385000</v>
      </c>
      <c r="AB1104" s="706" t="inlineStr">
        <is>
          <t>Ziggi's Coffee — Coffee; Business Value Included; src: Retail_Sales_Cleaned</t>
        </is>
      </c>
      <c r="AC1104" s="706" t="inlineStr">
        <is>
          <t>96114-32-002</t>
        </is>
      </c>
      <c r="AD1104" s="706" t="n"/>
      <c r="AE1104" s="706" t="n"/>
      <c r="AF1104" s="706" t="n"/>
      <c r="AG1104" s="706" t="n"/>
      <c r="AH1104" s="706" t="n"/>
      <c r="AI1104" s="706">
        <f>IF(AND($E1104=Subj_OccCode,Subj_BldgSF&gt;0,ABS($L1104-Subj_BldgSF)&lt;=Subj_BldgSF*Subj_SizeTol),ABS($L1104-Subj_BldgSF),NA())</f>
        <v/>
      </c>
      <c r="AJ1104" s="706">
        <f>IF(ISNA(AI1104),NA(),AI1104+ROW()/10000000)</f>
        <v/>
      </c>
      <c r="AK1104" s="706">
        <f>IF(AND(ISNUMBER($N1104),$N1104&gt;0,ISNUMBER($Y1104)),$Y1104/$N1104,"")</f>
        <v/>
      </c>
      <c r="AL1104" s="706" t="n"/>
      <c r="AM1104" s="706" t="n"/>
      <c r="AN1104" s="706" t="n"/>
    </row>
    <row r="1105">
      <c r="A1105" s="706" t="n">
        <v>8</v>
      </c>
      <c r="B1105" s="706" t="n">
        <v>1101</v>
      </c>
      <c r="C1105" s="706" t="n"/>
      <c r="D1105" s="706" t="inlineStr">
        <is>
          <t>1301 E EISENHOWER BLVD</t>
        </is>
      </c>
      <c r="E1105" s="706" t="n">
        <v>349</v>
      </c>
      <c r="F1105" s="706" t="inlineStr">
        <is>
          <t>LOVELAND</t>
        </is>
      </c>
      <c r="G1105" s="706" t="n"/>
      <c r="H1105" s="706">
        <f>Y1105/J1105</f>
        <v/>
      </c>
      <c r="I1105" s="707" t="n">
        <v>44196</v>
      </c>
      <c r="J1105" s="706" t="n">
        <v>2500</v>
      </c>
      <c r="K1105" s="706" t="n"/>
      <c r="L1105" s="706" t="n">
        <v>2500</v>
      </c>
      <c r="M1105" s="706" t="n"/>
      <c r="N1105" s="706" t="n"/>
      <c r="O1105" s="706" t="n"/>
      <c r="P1105" s="706" t="n"/>
      <c r="Q1105" s="706" t="n"/>
      <c r="R1105" s="706" t="n"/>
      <c r="S1105" s="706" t="n"/>
      <c r="T1105" s="706">
        <f>S1105/J1105</f>
        <v/>
      </c>
      <c r="U1105" s="706" t="n"/>
      <c r="V1105" s="706" t="n"/>
      <c r="W1105" s="706" t="n"/>
      <c r="X1105" s="706" t="n"/>
      <c r="Y1105" s="706" t="n">
        <v>2500000</v>
      </c>
      <c r="Z1105" s="706" t="n"/>
      <c r="AA1105" s="706" t="n">
        <v>2500000</v>
      </c>
      <c r="AB1105" s="706" t="inlineStr">
        <is>
          <t>Ziggi`s Coffee — Coffee; src: Retail_Sales_Cleaned</t>
        </is>
      </c>
      <c r="AC1105" s="706" t="inlineStr">
        <is>
          <t>85073-68-001</t>
        </is>
      </c>
      <c r="AD1105" s="706" t="n"/>
      <c r="AE1105" s="706" t="n"/>
      <c r="AF1105" s="706" t="n"/>
      <c r="AG1105" s="706" t="n"/>
      <c r="AH1105" s="706" t="n"/>
      <c r="AI1105" s="706">
        <f>IF(AND($E1105=Subj_OccCode,Subj_BldgSF&gt;0,ABS($L1105-Subj_BldgSF)&lt;=Subj_BldgSF*Subj_SizeTol),ABS($L1105-Subj_BldgSF),NA())</f>
        <v/>
      </c>
      <c r="AJ1105" s="706">
        <f>IF(ISNA(AI1105),NA(),AI1105+ROW()/10000000)</f>
        <v/>
      </c>
      <c r="AK1105" s="706">
        <f>IF(AND(ISNUMBER($N1105),$N1105&gt;0,ISNUMBER($Y1105)),$Y1105/$N1105,"")</f>
        <v/>
      </c>
      <c r="AL1105" s="706" t="n"/>
      <c r="AM1105" s="706" t="n"/>
      <c r="AN1105" s="706" t="n"/>
    </row>
    <row r="1106">
      <c r="A1106" s="706" t="n">
        <v>8</v>
      </c>
      <c r="B1106" s="706" t="n">
        <v>1102</v>
      </c>
      <c r="C1106" s="706" t="n"/>
      <c r="D1106" s="706" t="inlineStr">
        <is>
          <t>12919 VICTORY BLVD</t>
        </is>
      </c>
      <c r="E1106" s="706" t="n">
        <v>349</v>
      </c>
      <c r="F1106" s="706" t="inlineStr">
        <is>
          <t>NORTH HOLLYWOOD</t>
        </is>
      </c>
      <c r="G1106" s="706" t="n"/>
      <c r="H1106" s="706">
        <f>Y1106/J1106</f>
        <v/>
      </c>
      <c r="I1106" s="707" t="n">
        <v>44125</v>
      </c>
      <c r="J1106" s="706" t="n">
        <v>4792</v>
      </c>
      <c r="K1106" s="706" t="n"/>
      <c r="L1106" s="706" t="n">
        <v>4792</v>
      </c>
      <c r="M1106" s="706" t="n">
        <v>1953</v>
      </c>
      <c r="N1106" s="706" t="n"/>
      <c r="O1106" s="706" t="n"/>
      <c r="P1106" s="706" t="n"/>
      <c r="Q1106" s="706" t="n"/>
      <c r="R1106" s="706" t="n"/>
      <c r="S1106" s="706" t="n">
        <v>31032</v>
      </c>
      <c r="T1106" s="706">
        <f>S1106/J1106</f>
        <v/>
      </c>
      <c r="U1106" s="706" t="n"/>
      <c r="V1106" s="706" t="n"/>
      <c r="W1106" s="706" t="n"/>
      <c r="X1106" s="706" t="n"/>
      <c r="Y1106" s="706" t="n">
        <v>4750000</v>
      </c>
      <c r="Z1106" s="706" t="n"/>
      <c r="AA1106" s="706" t="n">
        <v>4750000</v>
      </c>
      <c r="AB1106" s="706" t="inlineStr">
        <is>
          <t>McDonald's — Fast Food; Purchase By Tenant; src: Retail_Sales_Cleaned</t>
        </is>
      </c>
      <c r="AC1106" s="706" t="inlineStr">
        <is>
          <t>2326-016-018</t>
        </is>
      </c>
      <c r="AD1106" s="706" t="n"/>
      <c r="AE1106" s="706" t="n"/>
      <c r="AF1106" s="706" t="n"/>
      <c r="AG1106" s="706" t="n"/>
      <c r="AH1106" s="706" t="n"/>
      <c r="AI1106" s="706">
        <f>IF(AND($E1106=Subj_OccCode,Subj_BldgSF&gt;0,ABS($L1106-Subj_BldgSF)&lt;=Subj_BldgSF*Subj_SizeTol),ABS($L1106-Subj_BldgSF),NA())</f>
        <v/>
      </c>
      <c r="AJ1106" s="706">
        <f>IF(ISNA(AI1106),NA(),AI1106+ROW()/10000000)</f>
        <v/>
      </c>
      <c r="AK1106" s="706">
        <f>IF(AND(ISNUMBER($N1106),$N1106&gt;0,ISNUMBER($Y1106)),$Y1106/$N1106,"")</f>
        <v/>
      </c>
      <c r="AL1106" s="706" t="n"/>
      <c r="AM1106" s="706" t="n"/>
      <c r="AN1106" s="706" t="n"/>
    </row>
    <row r="1107">
      <c r="A1107" s="706" t="n">
        <v>8</v>
      </c>
      <c r="B1107" s="706" t="n">
        <v>1103</v>
      </c>
      <c r="C1107" s="706" t="n"/>
      <c r="D1107" s="706" t="inlineStr">
        <is>
          <t>1525 W ELLIOT RD</t>
        </is>
      </c>
      <c r="E1107" s="706" t="n">
        <v>349</v>
      </c>
      <c r="F1107" s="706" t="inlineStr">
        <is>
          <t>TEMPE</t>
        </is>
      </c>
      <c r="G1107" s="706" t="n"/>
      <c r="H1107" s="706">
        <f>Y1107/J1107</f>
        <v/>
      </c>
      <c r="I1107" s="707" t="n">
        <v>44467</v>
      </c>
      <c r="J1107" s="706" t="n">
        <v>4358</v>
      </c>
      <c r="K1107" s="706" t="n"/>
      <c r="L1107" s="706" t="n">
        <v>4358</v>
      </c>
      <c r="M1107" s="706" t="n">
        <v>2013</v>
      </c>
      <c r="N1107" s="706" t="n"/>
      <c r="O1107" s="706" t="n"/>
      <c r="P1107" s="706" t="n"/>
      <c r="Q1107" s="706" t="n"/>
      <c r="R1107" s="706" t="n"/>
      <c r="S1107" s="706" t="n">
        <v>51035</v>
      </c>
      <c r="T1107" s="706">
        <f>S1107/J1107</f>
        <v/>
      </c>
      <c r="U1107" s="706" t="n"/>
      <c r="V1107" s="706" t="n"/>
      <c r="W1107" s="706" t="n"/>
      <c r="X1107" s="706" t="n"/>
      <c r="Y1107" s="706" t="n">
        <v>3700000</v>
      </c>
      <c r="Z1107" s="706" t="n"/>
      <c r="AA1107" s="706" t="n">
        <v>3700000</v>
      </c>
      <c r="AB1107" s="706" t="inlineStr">
        <is>
          <t>McDonald's — Fast Food; Investment Triple Net; src: Retail_Sales_Cleaned</t>
        </is>
      </c>
      <c r="AC1107" s="706" t="inlineStr">
        <is>
          <t>301-54-969</t>
        </is>
      </c>
      <c r="AD1107" s="706" t="n"/>
      <c r="AE1107" s="706" t="n"/>
      <c r="AF1107" s="706" t="n"/>
      <c r="AG1107" s="706" t="n"/>
      <c r="AH1107" s="706" t="n"/>
      <c r="AI1107" s="706">
        <f>IF(AND($E1107=Subj_OccCode,Subj_BldgSF&gt;0,ABS($L1107-Subj_BldgSF)&lt;=Subj_BldgSF*Subj_SizeTol),ABS($L1107-Subj_BldgSF),NA())</f>
        <v/>
      </c>
      <c r="AJ1107" s="706">
        <f>IF(ISNA(AI1107),NA(),AI1107+ROW()/10000000)</f>
        <v/>
      </c>
      <c r="AK1107" s="706">
        <f>IF(AND(ISNUMBER($N1107),$N1107&gt;0,ISNUMBER($Y1107)),$Y1107/$N1107,"")</f>
        <v/>
      </c>
      <c r="AL1107" s="706" t="n"/>
      <c r="AM1107" s="706" t="n"/>
      <c r="AN1107" s="706" t="n"/>
    </row>
    <row r="1108">
      <c r="A1108" s="706" t="n">
        <v>8</v>
      </c>
      <c r="B1108" s="706" t="n">
        <v>1104</v>
      </c>
      <c r="C1108" s="706" t="n"/>
      <c r="D1108" s="706" t="inlineStr">
        <is>
          <t>1350 S POWER RD</t>
        </is>
      </c>
      <c r="E1108" s="706" t="n">
        <v>349</v>
      </c>
      <c r="F1108" s="706" t="inlineStr">
        <is>
          <t>MESA</t>
        </is>
      </c>
      <c r="G1108" s="706" t="n"/>
      <c r="H1108" s="706">
        <f>Y1108/J1108</f>
        <v/>
      </c>
      <c r="I1108" s="707" t="n">
        <v>44034</v>
      </c>
      <c r="J1108" s="706" t="n">
        <v>2200</v>
      </c>
      <c r="K1108" s="706" t="n"/>
      <c r="L1108" s="706" t="n">
        <v>2200</v>
      </c>
      <c r="M1108" s="706" t="n">
        <v>1994</v>
      </c>
      <c r="N1108" s="706" t="n"/>
      <c r="O1108" s="706" t="n"/>
      <c r="P1108" s="706" t="n"/>
      <c r="Q1108" s="706" t="n"/>
      <c r="R1108" s="706" t="n"/>
      <c r="S1108" s="706" t="n">
        <v>40511</v>
      </c>
      <c r="T1108" s="706">
        <f>S1108/J1108</f>
        <v/>
      </c>
      <c r="U1108" s="706" t="n"/>
      <c r="V1108" s="706" t="n"/>
      <c r="W1108" s="706" t="n"/>
      <c r="X1108" s="706" t="n"/>
      <c r="Y1108" s="706" t="n">
        <v>2145000</v>
      </c>
      <c r="Z1108" s="706" t="n"/>
      <c r="AA1108" s="706" t="n">
        <v>2145000</v>
      </c>
      <c r="AB1108" s="706" t="inlineStr">
        <is>
          <t>McDonalds — Fast Food; 1031 Exchange,Sale Leaseback; src: Retail_Sales_Cleaned</t>
        </is>
      </c>
      <c r="AC1108" s="706" t="inlineStr">
        <is>
          <t>141-54-037C</t>
        </is>
      </c>
      <c r="AD1108" s="706" t="n"/>
      <c r="AE1108" s="706" t="n"/>
      <c r="AF1108" s="706" t="n"/>
      <c r="AG1108" s="706" t="n"/>
      <c r="AH1108" s="706" t="n"/>
      <c r="AI1108" s="706">
        <f>IF(AND($E1108=Subj_OccCode,Subj_BldgSF&gt;0,ABS($L1108-Subj_BldgSF)&lt;=Subj_BldgSF*Subj_SizeTol),ABS($L1108-Subj_BldgSF),NA())</f>
        <v/>
      </c>
      <c r="AJ1108" s="706">
        <f>IF(ISNA(AI1108),NA(),AI1108+ROW()/10000000)</f>
        <v/>
      </c>
      <c r="AK1108" s="706">
        <f>IF(AND(ISNUMBER($N1108),$N1108&gt;0,ISNUMBER($Y1108)),$Y1108/$N1108,"")</f>
        <v/>
      </c>
      <c r="AL1108" s="706" t="n"/>
      <c r="AM1108" s="706" t="n"/>
      <c r="AN1108" s="706" t="n"/>
    </row>
    <row r="1109">
      <c r="A1109" s="706" t="n">
        <v>8</v>
      </c>
      <c r="B1109" s="706" t="n">
        <v>1105</v>
      </c>
      <c r="C1109" s="706" t="n"/>
      <c r="D1109" s="706" t="inlineStr">
        <is>
          <t>630 PACIFIC COAST HWY</t>
        </is>
      </c>
      <c r="E1109" s="706" t="n">
        <v>349</v>
      </c>
      <c r="F1109" s="706" t="inlineStr">
        <is>
          <t>SEAL BEACH</t>
        </is>
      </c>
      <c r="G1109" s="706" t="n"/>
      <c r="H1109" s="706">
        <f>Y1109/J1109</f>
        <v/>
      </c>
      <c r="I1109" s="707" t="n">
        <v>44880</v>
      </c>
      <c r="J1109" s="706" t="n">
        <v>3909</v>
      </c>
      <c r="K1109" s="706" t="n"/>
      <c r="L1109" s="706" t="n">
        <v>3909</v>
      </c>
      <c r="M1109" s="706" t="n">
        <v>1979</v>
      </c>
      <c r="N1109" s="706" t="n"/>
      <c r="O1109" s="706" t="n"/>
      <c r="P1109" s="706" t="n"/>
      <c r="Q1109" s="706" t="n"/>
      <c r="R1109" s="706" t="n"/>
      <c r="S1109" s="706" t="n">
        <v>22215</v>
      </c>
      <c r="T1109" s="706">
        <f>S1109/J1109</f>
        <v/>
      </c>
      <c r="U1109" s="706" t="n"/>
      <c r="V1109" s="706" t="n"/>
      <c r="W1109" s="706" t="n"/>
      <c r="X1109" s="706" t="n"/>
      <c r="Y1109" s="706" t="n">
        <v>2700000</v>
      </c>
      <c r="Z1109" s="706" t="n"/>
      <c r="AA1109" s="706" t="n">
        <v>2700000</v>
      </c>
      <c r="AB1109" s="706" t="inlineStr">
        <is>
          <t>McDonald's — Fast Food; src: Retail_Sales_Cleaned</t>
        </is>
      </c>
      <c r="AC1109" s="706" t="inlineStr">
        <is>
          <t>043-302-13</t>
        </is>
      </c>
      <c r="AD1109" s="706" t="n"/>
      <c r="AE1109" s="706" t="n"/>
      <c r="AF1109" s="706" t="n"/>
      <c r="AG1109" s="706" t="n"/>
      <c r="AH1109" s="706" t="n"/>
      <c r="AI1109" s="706">
        <f>IF(AND($E1109=Subj_OccCode,Subj_BldgSF&gt;0,ABS($L1109-Subj_BldgSF)&lt;=Subj_BldgSF*Subj_SizeTol),ABS($L1109-Subj_BldgSF),NA())</f>
        <v/>
      </c>
      <c r="AJ1109" s="706">
        <f>IF(ISNA(AI1109),NA(),AI1109+ROW()/10000000)</f>
        <v/>
      </c>
      <c r="AK1109" s="706">
        <f>IF(AND(ISNUMBER($N1109),$N1109&gt;0,ISNUMBER($Y1109)),$Y1109/$N1109,"")</f>
        <v/>
      </c>
      <c r="AL1109" s="706" t="n"/>
      <c r="AM1109" s="706" t="n"/>
      <c r="AN1109" s="706" t="n"/>
    </row>
    <row r="1110">
      <c r="A1110" s="706" t="n">
        <v>8</v>
      </c>
      <c r="B1110" s="706" t="n">
        <v>1106</v>
      </c>
      <c r="C1110" s="706" t="n"/>
      <c r="D1110" s="706" t="inlineStr">
        <is>
          <t>17509 CANYON PKY E</t>
        </is>
      </c>
      <c r="E1110" s="706" t="n">
        <v>349</v>
      </c>
      <c r="F1110" s="706" t="inlineStr">
        <is>
          <t>TACOMA</t>
        </is>
      </c>
      <c r="G1110" s="706" t="n"/>
      <c r="H1110" s="706">
        <f>Y1110/J1110</f>
        <v/>
      </c>
      <c r="I1110" s="707" t="n">
        <v>44795</v>
      </c>
      <c r="J1110" s="706" t="n">
        <v>3784</v>
      </c>
      <c r="K1110" s="706" t="n"/>
      <c r="L1110" s="706" t="n">
        <v>3784</v>
      </c>
      <c r="M1110" s="706" t="n">
        <v>2015</v>
      </c>
      <c r="N1110" s="706" t="n"/>
      <c r="O1110" s="706" t="n"/>
      <c r="P1110" s="706" t="n"/>
      <c r="Q1110" s="706" t="n"/>
      <c r="R1110" s="706" t="n"/>
      <c r="S1110" s="706" t="n">
        <v>52708</v>
      </c>
      <c r="T1110" s="706">
        <f>S1110/J1110</f>
        <v/>
      </c>
      <c r="U1110" s="706" t="n"/>
      <c r="V1110" s="706" t="n"/>
      <c r="W1110" s="706" t="n"/>
      <c r="X1110" s="706" t="n"/>
      <c r="Y1110" s="706" t="n">
        <v>2500000</v>
      </c>
      <c r="Z1110" s="706" t="n"/>
      <c r="AA1110" s="706" t="n">
        <v>2500000</v>
      </c>
      <c r="AB1110" s="706" t="inlineStr">
        <is>
          <t>McDonald's — Fast Food; Investment Triple Net; src: Retail_Sales_Cleaned</t>
        </is>
      </c>
      <c r="AC1110" s="706" t="inlineStr">
        <is>
          <t>031925-8054</t>
        </is>
      </c>
      <c r="AD1110" s="706" t="n"/>
      <c r="AE1110" s="706" t="n"/>
      <c r="AF1110" s="706" t="n"/>
      <c r="AG1110" s="706" t="n"/>
      <c r="AH1110" s="706" t="n"/>
      <c r="AI1110" s="706">
        <f>IF(AND($E1110=Subj_OccCode,Subj_BldgSF&gt;0,ABS($L1110-Subj_BldgSF)&lt;=Subj_BldgSF*Subj_SizeTol),ABS($L1110-Subj_BldgSF),NA())</f>
        <v/>
      </c>
      <c r="AJ1110" s="706">
        <f>IF(ISNA(AI1110),NA(),AI1110+ROW()/10000000)</f>
        <v/>
      </c>
      <c r="AK1110" s="706">
        <f>IF(AND(ISNUMBER($N1110),$N1110&gt;0,ISNUMBER($Y1110)),$Y1110/$N1110,"")</f>
        <v/>
      </c>
      <c r="AL1110" s="706" t="n"/>
      <c r="AM1110" s="706" t="n"/>
      <c r="AN1110" s="706" t="n"/>
    </row>
    <row r="1111">
      <c r="A1111" s="706" t="n">
        <v>8</v>
      </c>
      <c r="B1111" s="706" t="n">
        <v>1107</v>
      </c>
      <c r="C1111" s="706" t="n"/>
      <c r="D1111" s="706" t="inlineStr">
        <is>
          <t>26875 NEWPORT RD</t>
        </is>
      </c>
      <c r="E1111" s="706" t="n">
        <v>349</v>
      </c>
      <c r="F1111" s="706" t="inlineStr">
        <is>
          <t>MENIFEE</t>
        </is>
      </c>
      <c r="G1111" s="706" t="n"/>
      <c r="H1111" s="706">
        <f>Y1111/J1111</f>
        <v/>
      </c>
      <c r="I1111" s="707" t="n">
        <v>44909</v>
      </c>
      <c r="J1111" s="706" t="n">
        <v>3900</v>
      </c>
      <c r="K1111" s="706" t="n"/>
      <c r="L1111" s="706" t="n">
        <v>3900</v>
      </c>
      <c r="M1111" s="706" t="n">
        <v>2014</v>
      </c>
      <c r="N1111" s="706" t="n"/>
      <c r="O1111" s="706" t="n"/>
      <c r="P1111" s="706" t="n"/>
      <c r="Q1111" s="706" t="n"/>
      <c r="R1111" s="706" t="n"/>
      <c r="S1111" s="706" t="n">
        <v>47916</v>
      </c>
      <c r="T1111" s="706">
        <f>S1111/J1111</f>
        <v/>
      </c>
      <c r="U1111" s="706" t="n"/>
      <c r="V1111" s="706" t="n"/>
      <c r="W1111" s="706" t="n"/>
      <c r="X1111" s="706" t="n"/>
      <c r="Y1111" s="706" t="n">
        <v>2775000</v>
      </c>
      <c r="Z1111" s="706" t="n"/>
      <c r="AA1111" s="706" t="n">
        <v>2775000</v>
      </c>
      <c r="AB1111" s="706" t="inlineStr">
        <is>
          <t>McDonald's — Fast Food; Investment Triple Net; src: Retail_Sales_Cleaned</t>
        </is>
      </c>
      <c r="AC1111" s="706" t="inlineStr">
        <is>
          <t>360-030-027</t>
        </is>
      </c>
      <c r="AD1111" s="706" t="n"/>
      <c r="AE1111" s="706" t="n"/>
      <c r="AF1111" s="706" t="n"/>
      <c r="AG1111" s="706" t="n"/>
      <c r="AH1111" s="706" t="n"/>
      <c r="AI1111" s="706">
        <f>IF(AND($E1111=Subj_OccCode,Subj_BldgSF&gt;0,ABS($L1111-Subj_BldgSF)&lt;=Subj_BldgSF*Subj_SizeTol),ABS($L1111-Subj_BldgSF),NA())</f>
        <v/>
      </c>
      <c r="AJ1111" s="706">
        <f>IF(ISNA(AI1111),NA(),AI1111+ROW()/10000000)</f>
        <v/>
      </c>
      <c r="AK1111" s="706">
        <f>IF(AND(ISNUMBER($N1111),$N1111&gt;0,ISNUMBER($Y1111)),$Y1111/$N1111,"")</f>
        <v/>
      </c>
      <c r="AL1111" s="706" t="n"/>
      <c r="AM1111" s="706" t="n"/>
      <c r="AN1111" s="706" t="n"/>
    </row>
    <row r="1112">
      <c r="A1112" s="706" t="n">
        <v>8</v>
      </c>
      <c r="B1112" s="706" t="n">
        <v>1108</v>
      </c>
      <c r="C1112" s="706" t="n"/>
      <c r="D1112" s="706" t="inlineStr">
        <is>
          <t>3331 EL CAMINO AVE</t>
        </is>
      </c>
      <c r="E1112" s="706" t="n">
        <v>349</v>
      </c>
      <c r="F1112" s="706" t="inlineStr">
        <is>
          <t>SACRAMENTO</t>
        </is>
      </c>
      <c r="G1112" s="706" t="n"/>
      <c r="H1112" s="706">
        <f>Y1112/J1112</f>
        <v/>
      </c>
      <c r="I1112" s="707" t="n">
        <v>45106</v>
      </c>
      <c r="J1112" s="706" t="n">
        <v>3000</v>
      </c>
      <c r="K1112" s="706" t="n"/>
      <c r="L1112" s="706" t="n">
        <v>3000</v>
      </c>
      <c r="M1112" s="706" t="n">
        <v>2023</v>
      </c>
      <c r="N1112" s="706" t="n"/>
      <c r="O1112" s="706" t="n"/>
      <c r="P1112" s="706" t="n"/>
      <c r="Q1112" s="706" t="n"/>
      <c r="R1112" s="706" t="n"/>
      <c r="S1112" s="706" t="n">
        <v>42689</v>
      </c>
      <c r="T1112" s="706">
        <f>S1112/J1112</f>
        <v/>
      </c>
      <c r="U1112" s="706" t="n"/>
      <c r="V1112" s="706" t="n"/>
      <c r="W1112" s="706" t="n"/>
      <c r="X1112" s="706" t="n"/>
      <c r="Y1112" s="706" t="n">
        <v>3000000</v>
      </c>
      <c r="Z1112" s="706" t="n"/>
      <c r="AA1112" s="706" t="n">
        <v>3000000</v>
      </c>
      <c r="AB1112" s="706" t="inlineStr">
        <is>
          <t>McDonald's — Fast Food; 1031 Exchange,Investment Triple Net; src: Retail_Sales_Cleaned</t>
        </is>
      </c>
      <c r="AC1112" s="706" t="inlineStr">
        <is>
          <t>225-3280-002</t>
        </is>
      </c>
      <c r="AD1112" s="706" t="n"/>
      <c r="AE1112" s="706" t="n"/>
      <c r="AF1112" s="706" t="n"/>
      <c r="AG1112" s="706" t="n"/>
      <c r="AH1112" s="706" t="n"/>
      <c r="AI1112" s="706">
        <f>IF(AND($E1112=Subj_OccCode,Subj_BldgSF&gt;0,ABS($L1112-Subj_BldgSF)&lt;=Subj_BldgSF*Subj_SizeTol),ABS($L1112-Subj_BldgSF),NA())</f>
        <v/>
      </c>
      <c r="AJ1112" s="706">
        <f>IF(ISNA(AI1112),NA(),AI1112+ROW()/10000000)</f>
        <v/>
      </c>
      <c r="AK1112" s="706">
        <f>IF(AND(ISNUMBER($N1112),$N1112&gt;0,ISNUMBER($Y1112)),$Y1112/$N1112,"")</f>
        <v/>
      </c>
      <c r="AL1112" s="706" t="n"/>
      <c r="AM1112" s="706" t="n"/>
      <c r="AN1112" s="706" t="n"/>
    </row>
    <row r="1113">
      <c r="A1113" s="706" t="n">
        <v>8</v>
      </c>
      <c r="B1113" s="706" t="n">
        <v>1109</v>
      </c>
      <c r="C1113" s="706" t="n"/>
      <c r="D1113" s="706" t="inlineStr">
        <is>
          <t>3101 ALAMO DR</t>
        </is>
      </c>
      <c r="E1113" s="706" t="n">
        <v>349</v>
      </c>
      <c r="F1113" s="706" t="inlineStr">
        <is>
          <t>VACAVILLE</t>
        </is>
      </c>
      <c r="G1113" s="706" t="n"/>
      <c r="H1113" s="706">
        <f>Y1113/J1113</f>
        <v/>
      </c>
      <c r="I1113" s="707" t="n">
        <v>43880</v>
      </c>
      <c r="J1113" s="706" t="n">
        <v>4000</v>
      </c>
      <c r="K1113" s="706" t="n"/>
      <c r="L1113" s="706" t="n">
        <v>4000</v>
      </c>
      <c r="M1113" s="706" t="n">
        <v>2019</v>
      </c>
      <c r="N1113" s="706" t="n"/>
      <c r="O1113" s="706" t="n"/>
      <c r="P1113" s="706" t="n"/>
      <c r="Q1113" s="706" t="n"/>
      <c r="R1113" s="706" t="n"/>
      <c r="S1113" s="706" t="n">
        <v>27878</v>
      </c>
      <c r="T1113" s="706">
        <f>S1113/J1113</f>
        <v/>
      </c>
      <c r="U1113" s="706" t="n"/>
      <c r="V1113" s="706" t="n"/>
      <c r="W1113" s="706" t="n"/>
      <c r="X1113" s="706" t="n"/>
      <c r="Y1113" s="706" t="n">
        <v>3425000</v>
      </c>
      <c r="Z1113" s="706" t="n"/>
      <c r="AA1113" s="706" t="n">
        <v>3425000</v>
      </c>
      <c r="AB1113" s="706" t="inlineStr">
        <is>
          <t>McDonald's — Fast Food; Investment Triple Net; src: Retail_Sales_Cleaned</t>
        </is>
      </c>
      <c r="AC1113" s="706" t="inlineStr">
        <is>
          <t>0135-010-290</t>
        </is>
      </c>
      <c r="AD1113" s="706" t="n"/>
      <c r="AE1113" s="706" t="n"/>
      <c r="AF1113" s="706" t="n"/>
      <c r="AG1113" s="706" t="n"/>
      <c r="AH1113" s="706" t="n"/>
      <c r="AI1113" s="706">
        <f>IF(AND($E1113=Subj_OccCode,Subj_BldgSF&gt;0,ABS($L1113-Subj_BldgSF)&lt;=Subj_BldgSF*Subj_SizeTol),ABS($L1113-Subj_BldgSF),NA())</f>
        <v/>
      </c>
      <c r="AJ1113" s="706">
        <f>IF(ISNA(AI1113),NA(),AI1113+ROW()/10000000)</f>
        <v/>
      </c>
      <c r="AK1113" s="706">
        <f>IF(AND(ISNUMBER($N1113),$N1113&gt;0,ISNUMBER($Y1113)),$Y1113/$N1113,"")</f>
        <v/>
      </c>
      <c r="AL1113" s="706" t="n"/>
      <c r="AM1113" s="706" t="n"/>
      <c r="AN1113" s="706" t="n"/>
    </row>
    <row r="1114">
      <c r="A1114" s="706" t="n">
        <v>8</v>
      </c>
      <c r="B1114" s="706" t="n">
        <v>1110</v>
      </c>
      <c r="C1114" s="706" t="n"/>
      <c r="D1114" s="706" t="inlineStr">
        <is>
          <t>1800 PRESCOTT RD</t>
        </is>
      </c>
      <c r="E1114" s="706" t="n">
        <v>349</v>
      </c>
      <c r="F1114" s="706" t="inlineStr">
        <is>
          <t>MODESTO</t>
        </is>
      </c>
      <c r="G1114" s="706" t="n"/>
      <c r="H1114" s="706">
        <f>Y1114/J1114</f>
        <v/>
      </c>
      <c r="I1114" s="707" t="n">
        <v>44833</v>
      </c>
      <c r="J1114" s="706" t="n">
        <v>2626</v>
      </c>
      <c r="K1114" s="706" t="n"/>
      <c r="L1114" s="706" t="n">
        <v>2626</v>
      </c>
      <c r="M1114" s="706" t="n">
        <v>2000</v>
      </c>
      <c r="N1114" s="706" t="n"/>
      <c r="O1114" s="706" t="n"/>
      <c r="P1114" s="706" t="n"/>
      <c r="Q1114" s="706" t="n"/>
      <c r="R1114" s="706" t="n"/>
      <c r="S1114" s="706" t="n">
        <v>48787</v>
      </c>
      <c r="T1114" s="706">
        <f>S1114/J1114</f>
        <v/>
      </c>
      <c r="U1114" s="706" t="n"/>
      <c r="V1114" s="706" t="n"/>
      <c r="W1114" s="706" t="n"/>
      <c r="X1114" s="706" t="n"/>
      <c r="Y1114" s="706" t="n">
        <v>1200000</v>
      </c>
      <c r="Z1114" s="706" t="n"/>
      <c r="AA1114" s="706" t="n">
        <v>1200000</v>
      </c>
      <c r="AB1114" s="706" t="inlineStr">
        <is>
          <t>McDonald's — Fast Food; Purchase By Tenant; src: Retail_Sales_Cleaned</t>
        </is>
      </c>
      <c r="AC1114" s="706" t="inlineStr">
        <is>
          <t>060-22-12</t>
        </is>
      </c>
      <c r="AD1114" s="706" t="n"/>
      <c r="AE1114" s="706" t="n"/>
      <c r="AF1114" s="706" t="n"/>
      <c r="AG1114" s="706" t="n"/>
      <c r="AH1114" s="706" t="n"/>
      <c r="AI1114" s="706">
        <f>IF(AND($E1114=Subj_OccCode,Subj_BldgSF&gt;0,ABS($L1114-Subj_BldgSF)&lt;=Subj_BldgSF*Subj_SizeTol),ABS($L1114-Subj_BldgSF),NA())</f>
        <v/>
      </c>
      <c r="AJ1114" s="706">
        <f>IF(ISNA(AI1114),NA(),AI1114+ROW()/10000000)</f>
        <v/>
      </c>
      <c r="AK1114" s="706">
        <f>IF(AND(ISNUMBER($N1114),$N1114&gt;0,ISNUMBER($Y1114)),$Y1114/$N1114,"")</f>
        <v/>
      </c>
      <c r="AL1114" s="706" t="n"/>
      <c r="AM1114" s="706" t="n"/>
      <c r="AN1114" s="706" t="n"/>
    </row>
    <row r="1115">
      <c r="A1115" s="706" t="n">
        <v>8</v>
      </c>
      <c r="B1115" s="706" t="n">
        <v>1111</v>
      </c>
      <c r="C1115" s="706" t="n"/>
      <c r="D1115" s="706" t="inlineStr">
        <is>
          <t>120 6TH ST</t>
        </is>
      </c>
      <c r="E1115" s="706" t="n">
        <v>353</v>
      </c>
      <c r="F1115" s="706" t="inlineStr">
        <is>
          <t>SILVERTHORNE</t>
        </is>
      </c>
      <c r="G1115" s="706" t="n"/>
      <c r="H1115" s="706">
        <f>Y1115/J1115</f>
        <v/>
      </c>
      <c r="I1115" s="707" t="n">
        <v>44886</v>
      </c>
      <c r="J1115" s="706" t="n">
        <v>6816</v>
      </c>
      <c r="K1115" s="706" t="n"/>
      <c r="L1115" s="706" t="n">
        <v>6816</v>
      </c>
      <c r="M1115" s="706" t="n">
        <v>2011</v>
      </c>
      <c r="N1115" s="706" t="n"/>
      <c r="O1115" s="706" t="n"/>
      <c r="P1115" s="706" t="n"/>
      <c r="Q1115" s="706" t="n"/>
      <c r="R1115" s="706" t="n"/>
      <c r="S1115" s="706" t="n">
        <v>36155</v>
      </c>
      <c r="T1115" s="706">
        <f>S1115/J1115</f>
        <v/>
      </c>
      <c r="U1115" s="706" t="n"/>
      <c r="V1115" s="706" t="n"/>
      <c r="W1115" s="706" t="n"/>
      <c r="X1115" s="706" t="n"/>
      <c r="Y1115" s="706" t="n">
        <v>1239000</v>
      </c>
      <c r="Z1115" s="706" t="n"/>
      <c r="AA1115" s="706" t="n">
        <v>1239000</v>
      </c>
      <c r="AB1115" s="706" t="inlineStr">
        <is>
          <t>AutoZone — Auto Parts; src: Retail_Sales_Cleaned</t>
        </is>
      </c>
      <c r="AC1115" s="706" t="inlineStr">
        <is>
          <t>6508118</t>
        </is>
      </c>
      <c r="AD1115" s="706" t="n"/>
      <c r="AE1115" s="706" t="n"/>
      <c r="AF1115" s="706" t="n"/>
      <c r="AG1115" s="706" t="n"/>
      <c r="AH1115" s="706" t="n"/>
      <c r="AI1115" s="706">
        <f>IF(AND($E1115=Subj_OccCode,Subj_BldgSF&gt;0,ABS($L1115-Subj_BldgSF)&lt;=Subj_BldgSF*Subj_SizeTol),ABS($L1115-Subj_BldgSF),NA())</f>
        <v/>
      </c>
      <c r="AJ1115" s="706">
        <f>IF(ISNA(AI1115),NA(),AI1115+ROW()/10000000)</f>
        <v/>
      </c>
      <c r="AK1115" s="706">
        <f>IF(AND(ISNUMBER($N1115),$N1115&gt;0,ISNUMBER($Y1115)),$Y1115/$N1115,"")</f>
        <v/>
      </c>
      <c r="AL1115" s="706" t="n"/>
      <c r="AM1115" s="706" t="n"/>
      <c r="AN1115" s="706" t="n"/>
    </row>
    <row r="1116">
      <c r="A1116" s="706" t="n">
        <v>8</v>
      </c>
      <c r="B1116" s="706" t="n">
        <v>1112</v>
      </c>
      <c r="C1116" s="706" t="n"/>
      <c r="D1116" s="706" t="inlineStr">
        <is>
          <t>400 N PARK AVE</t>
        </is>
      </c>
      <c r="E1116" s="706" t="n">
        <v>446</v>
      </c>
      <c r="F1116" s="706" t="inlineStr">
        <is>
          <t>BRECKENRIDGE</t>
        </is>
      </c>
      <c r="G1116" s="706" t="n"/>
      <c r="H1116" s="706">
        <f>Y1116/J1116</f>
        <v/>
      </c>
      <c r="I1116" s="707" t="n">
        <v>45407</v>
      </c>
      <c r="J1116" s="706" t="n">
        <v>79391</v>
      </c>
      <c r="K1116" s="706" t="n"/>
      <c r="L1116" s="706" t="n">
        <v>79391</v>
      </c>
      <c r="M1116" s="706" t="n">
        <v>1986</v>
      </c>
      <c r="N1116" s="706" t="n"/>
      <c r="O1116" s="706" t="n"/>
      <c r="P1116" s="706" t="n"/>
      <c r="Q1116" s="706" t="n"/>
      <c r="R1116" s="706" t="n"/>
      <c r="S1116" s="706" t="n">
        <v>584096</v>
      </c>
      <c r="T1116" s="706">
        <f>S1116/J1116</f>
        <v/>
      </c>
      <c r="U1116" s="706" t="n"/>
      <c r="V1116" s="706" t="n"/>
      <c r="W1116" s="706" t="n"/>
      <c r="X1116" s="706" t="n"/>
      <c r="Y1116" s="706" t="n">
        <v>49000000</v>
      </c>
      <c r="Z1116" s="706" t="n"/>
      <c r="AA1116" s="706" t="n">
        <v>49000000</v>
      </c>
      <c r="AB1116" s="706" t="inlineStr">
        <is>
          <t>City Market — Supermarket; src: Retail_Sales_Cleaned</t>
        </is>
      </c>
      <c r="AC1116" s="706" t="inlineStr">
        <is>
          <t>303966</t>
        </is>
      </c>
      <c r="AD1116" s="706" t="n"/>
      <c r="AE1116" s="706" t="n"/>
      <c r="AF1116" s="706" t="n"/>
      <c r="AG1116" s="706" t="n"/>
      <c r="AH1116" s="706" t="n"/>
      <c r="AI1116" s="706">
        <f>IF(AND($E1116=Subj_OccCode,Subj_BldgSF&gt;0,ABS($L1116-Subj_BldgSF)&lt;=Subj_BldgSF*Subj_SizeTol),ABS($L1116-Subj_BldgSF),NA())</f>
        <v/>
      </c>
      <c r="AJ1116" s="706">
        <f>IF(ISNA(AI1116),NA(),AI1116+ROW()/10000000)</f>
        <v/>
      </c>
      <c r="AK1116" s="706">
        <f>IF(AND(ISNUMBER($N1116),$N1116&gt;0,ISNUMBER($Y1116)),$Y1116/$N1116,"")</f>
        <v/>
      </c>
      <c r="AL1116" s="706" t="n"/>
      <c r="AM1116" s="706" t="n"/>
      <c r="AN1116" s="706" t="n"/>
    </row>
    <row r="1117">
      <c r="A1117" s="706" t="n">
        <v>8</v>
      </c>
      <c r="B1117" s="706" t="n">
        <v>1113</v>
      </c>
      <c r="C1117" s="706" t="n"/>
      <c r="D1117" s="706" t="inlineStr">
        <is>
          <t>2445 W 29TH ST</t>
        </is>
      </c>
      <c r="E1117" s="706" t="n">
        <v>325</v>
      </c>
      <c r="F1117" s="706" t="inlineStr">
        <is>
          <t>GREELEY</t>
        </is>
      </c>
      <c r="G1117" s="706" t="n"/>
      <c r="H1117" s="706">
        <f>Y1117/J1117</f>
        <v/>
      </c>
      <c r="I1117" s="707" t="n">
        <v>43901</v>
      </c>
      <c r="J1117" s="706" t="n">
        <v>4869</v>
      </c>
      <c r="K1117" s="706" t="n"/>
      <c r="L1117" s="706" t="n">
        <v>4869</v>
      </c>
      <c r="M1117" s="706" t="n">
        <v>1991</v>
      </c>
      <c r="N1117" s="706" t="n"/>
      <c r="O1117" s="706" t="n"/>
      <c r="P1117" s="706" t="n"/>
      <c r="Q1117" s="706" t="n"/>
      <c r="R1117" s="706" t="n"/>
      <c r="S1117" s="706" t="n">
        <v>25613</v>
      </c>
      <c r="T1117" s="706">
        <f>S1117/J1117</f>
        <v/>
      </c>
      <c r="U1117" s="706" t="n"/>
      <c r="V1117" s="706" t="n"/>
      <c r="W1117" s="706" t="n"/>
      <c r="X1117" s="706" t="n"/>
      <c r="Y1117" s="706" t="n">
        <v>1000000</v>
      </c>
      <c r="Z1117" s="706" t="n"/>
      <c r="AA1117" s="706" t="n">
        <v>1000000</v>
      </c>
      <c r="AB1117" s="706" t="inlineStr">
        <is>
          <t>Aamco Transmissions — Auto Service; src: Retail_Sales_Cleaned</t>
        </is>
      </c>
      <c r="AC1117" s="706" t="inlineStr">
        <is>
          <t>095924100071</t>
        </is>
      </c>
      <c r="AD1117" s="706" t="n"/>
      <c r="AE1117" s="706" t="n"/>
      <c r="AF1117" s="706" t="n"/>
      <c r="AG1117" s="706" t="n"/>
      <c r="AH1117" s="706" t="n"/>
      <c r="AI1117" s="706">
        <f>IF(AND($E1117=Subj_OccCode,Subj_BldgSF&gt;0,ABS($L1117-Subj_BldgSF)&lt;=Subj_BldgSF*Subj_SizeTol),ABS($L1117-Subj_BldgSF),NA())</f>
        <v/>
      </c>
      <c r="AJ1117" s="706">
        <f>IF(ISNA(AI1117),NA(),AI1117+ROW()/10000000)</f>
        <v/>
      </c>
      <c r="AK1117" s="706">
        <f>IF(AND(ISNUMBER($N1117),$N1117&gt;0,ISNUMBER($Y1117)),$Y1117/$N1117,"")</f>
        <v/>
      </c>
      <c r="AL1117" s="706" t="n"/>
      <c r="AM1117" s="706" t="n"/>
      <c r="AN1117" s="706" t="n"/>
    </row>
    <row r="1118">
      <c r="A1118" s="706" t="n">
        <v>8</v>
      </c>
      <c r="B1118" s="706" t="n">
        <v>1114</v>
      </c>
      <c r="C1118" s="706" t="n"/>
      <c r="D1118" s="706" t="inlineStr">
        <is>
          <t>4413 CENTERPLACE DR</t>
        </is>
      </c>
      <c r="E1118" s="706" t="n">
        <v>349</v>
      </c>
      <c r="F1118" s="706" t="inlineStr">
        <is>
          <t>GREELEY</t>
        </is>
      </c>
      <c r="G1118" s="706" t="n"/>
      <c r="H1118" s="706">
        <f>Y1118/J1118</f>
        <v/>
      </c>
      <c r="I1118" s="707" t="n">
        <v>43439</v>
      </c>
      <c r="J1118" s="706" t="n">
        <v>2737</v>
      </c>
      <c r="K1118" s="706" t="n"/>
      <c r="L1118" s="706" t="n">
        <v>2737</v>
      </c>
      <c r="M1118" s="706" t="n">
        <v>2017</v>
      </c>
      <c r="N1118" s="706" t="n"/>
      <c r="O1118" s="706" t="n"/>
      <c r="P1118" s="706" t="n"/>
      <c r="Q1118" s="706" t="n"/>
      <c r="R1118" s="706" t="n"/>
      <c r="S1118" s="706" t="n">
        <v>35719</v>
      </c>
      <c r="T1118" s="706">
        <f>S1118/J1118</f>
        <v/>
      </c>
      <c r="U1118" s="706" t="n"/>
      <c r="V1118" s="706" t="n"/>
      <c r="W1118" s="706" t="n"/>
      <c r="X1118" s="706" t="n"/>
      <c r="Y1118" s="706" t="n">
        <v>2203800</v>
      </c>
      <c r="Z1118" s="706" t="n"/>
      <c r="AA1118" s="706" t="n">
        <v>2203800</v>
      </c>
      <c r="AB1118" s="706" t="inlineStr">
        <is>
          <t>Arby's — Fast Food [Old Sale]; Bulk/Portfolio Sale,Investment Triple Net; src: Retail_Sales_Cleaned</t>
        </is>
      </c>
      <c r="AC1118" s="706" t="inlineStr">
        <is>
          <t>095914321001</t>
        </is>
      </c>
      <c r="AD1118" s="706" t="n"/>
      <c r="AE1118" s="706" t="n"/>
      <c r="AF1118" s="706" t="n"/>
      <c r="AG1118" s="706" t="n"/>
      <c r="AH1118" s="706" t="n"/>
      <c r="AI1118" s="706">
        <f>IF(AND($E1118=Subj_OccCode,Subj_BldgSF&gt;0,ABS($L1118-Subj_BldgSF)&lt;=Subj_BldgSF*Subj_SizeTol),ABS($L1118-Subj_BldgSF),NA())</f>
        <v/>
      </c>
      <c r="AJ1118" s="706">
        <f>IF(ISNA(AI1118),NA(),AI1118+ROW()/10000000)</f>
        <v/>
      </c>
      <c r="AK1118" s="706">
        <f>IF(AND(ISNUMBER($N1118),$N1118&gt;0,ISNUMBER($Y1118)),$Y1118/$N1118,"")</f>
        <v/>
      </c>
      <c r="AL1118" s="706" t="n"/>
      <c r="AM1118" s="706" t="n"/>
      <c r="AN1118" s="706" t="n"/>
    </row>
    <row r="1119">
      <c r="A1119" s="706" t="n">
        <v>8</v>
      </c>
      <c r="B1119" s="706" t="n">
        <v>1115</v>
      </c>
      <c r="C1119" s="706" t="n"/>
      <c r="D1119" s="706" t="inlineStr">
        <is>
          <t>2708 11TH AVE</t>
        </is>
      </c>
      <c r="E1119" s="706" t="n">
        <v>349</v>
      </c>
      <c r="F1119" s="706" t="inlineStr">
        <is>
          <t>GREELEY</t>
        </is>
      </c>
      <c r="G1119" s="706" t="n"/>
      <c r="H1119" s="706">
        <f>Y1119/J1119</f>
        <v/>
      </c>
      <c r="I1119" s="707" t="n">
        <v>44239</v>
      </c>
      <c r="J1119" s="706" t="n">
        <v>3098</v>
      </c>
      <c r="K1119" s="706" t="n"/>
      <c r="L1119" s="706" t="n">
        <v>3098</v>
      </c>
      <c r="M1119" s="706" t="n">
        <v>1980</v>
      </c>
      <c r="N1119" s="706" t="n"/>
      <c r="O1119" s="706" t="n"/>
      <c r="P1119" s="706" t="n"/>
      <c r="Q1119" s="706" t="n"/>
      <c r="R1119" s="706" t="n"/>
      <c r="S1119" s="706" t="n">
        <v>12197</v>
      </c>
      <c r="T1119" s="706">
        <f>S1119/J1119</f>
        <v/>
      </c>
      <c r="U1119" s="706" t="n"/>
      <c r="V1119" s="706" t="n"/>
      <c r="W1119" s="706" t="n"/>
      <c r="X1119" s="706" t="n"/>
      <c r="Y1119" s="706" t="n">
        <v>2300000</v>
      </c>
      <c r="Z1119" s="706" t="n"/>
      <c r="AA1119" s="706" t="n">
        <v>2300000</v>
      </c>
      <c r="AB1119" s="706" t="inlineStr">
        <is>
          <t>Burger King — Fast Food; Ground Lease (Leasehold),Investment Triple Net; src: Retail_Sales_Cleaned</t>
        </is>
      </c>
      <c r="AC1119" s="706" t="inlineStr">
        <is>
          <t>096117327003</t>
        </is>
      </c>
      <c r="AD1119" s="706" t="n"/>
      <c r="AE1119" s="706" t="n"/>
      <c r="AF1119" s="706" t="n"/>
      <c r="AG1119" s="706" t="n"/>
      <c r="AH1119" s="706" t="n"/>
      <c r="AI1119" s="706">
        <f>IF(AND($E1119=Subj_OccCode,Subj_BldgSF&gt;0,ABS($L1119-Subj_BldgSF)&lt;=Subj_BldgSF*Subj_SizeTol),ABS($L1119-Subj_BldgSF),NA())</f>
        <v/>
      </c>
      <c r="AJ1119" s="706">
        <f>IF(ISNA(AI1119),NA(),AI1119+ROW()/10000000)</f>
        <v/>
      </c>
      <c r="AK1119" s="706">
        <f>IF(AND(ISNUMBER($N1119),$N1119&gt;0,ISNUMBER($Y1119)),$Y1119/$N1119,"")</f>
        <v/>
      </c>
      <c r="AL1119" s="706" t="n"/>
      <c r="AM1119" s="706" t="n"/>
      <c r="AN1119" s="706" t="n"/>
    </row>
    <row r="1120">
      <c r="A1120" s="706" t="n">
        <v>8</v>
      </c>
      <c r="B1120" s="706" t="n">
        <v>1116</v>
      </c>
      <c r="C1120" s="706" t="inlineStr">
        <is>
          <t>R4484706</t>
        </is>
      </c>
      <c r="D1120" s="706" t="inlineStr">
        <is>
          <t>6179 FIRESTONE BLVD</t>
        </is>
      </c>
      <c r="E1120" s="706" t="n">
        <v>410</v>
      </c>
      <c r="F1120" s="706" t="inlineStr">
        <is>
          <t>FIRESTONE</t>
        </is>
      </c>
      <c r="G1120" s="706" t="n"/>
      <c r="H1120" s="706">
        <f>Y1120/J1120</f>
        <v/>
      </c>
      <c r="I1120" s="707" t="n">
        <v>44426</v>
      </c>
      <c r="J1120" s="706" t="n">
        <v>4198</v>
      </c>
      <c r="K1120" s="706" t="n"/>
      <c r="L1120" s="706" t="n">
        <v>4198</v>
      </c>
      <c r="M1120" s="706" t="n">
        <v>2021</v>
      </c>
      <c r="N1120" s="706" t="n"/>
      <c r="O1120" s="706" t="n"/>
      <c r="P1120" s="706" t="n"/>
      <c r="Q1120" s="706" t="n"/>
      <c r="R1120" s="706" t="n"/>
      <c r="S1120" s="706" t="n">
        <v>42689</v>
      </c>
      <c r="T1120" s="706">
        <f>S1120/J1120</f>
        <v/>
      </c>
      <c r="U1120" s="706" t="n"/>
      <c r="V1120" s="706" t="n"/>
      <c r="W1120" s="706" t="n"/>
      <c r="X1120" s="706" t="n"/>
      <c r="Y1120" s="706" t="n">
        <v>3500000</v>
      </c>
      <c r="Z1120" s="706" t="n"/>
      <c r="AA1120" s="706" t="n">
        <v>3500000</v>
      </c>
      <c r="AB1120" s="706" t="inlineStr">
        <is>
          <t>Christian Brothers Automotive — Auto Service [Paired Sale]; src: Retail_Sales_Cleaned</t>
        </is>
      </c>
      <c r="AC1120" s="706" t="inlineStr">
        <is>
          <t>R4484706</t>
        </is>
      </c>
      <c r="AD1120" s="706" t="n"/>
      <c r="AE1120" s="706" t="n"/>
      <c r="AF1120" s="706" t="n"/>
      <c r="AG1120" s="706" t="n"/>
      <c r="AH1120" s="706" t="n"/>
      <c r="AI1120" s="706">
        <f>IF(AND($E1120=Subj_OccCode,Subj_BldgSF&gt;0,ABS($L1120-Subj_BldgSF)&lt;=Subj_BldgSF*Subj_SizeTol),ABS($L1120-Subj_BldgSF),NA())</f>
        <v/>
      </c>
      <c r="AJ1120" s="706">
        <f>IF(ISNA(AI1120),NA(),AI1120+ROW()/10000000)</f>
        <v/>
      </c>
      <c r="AK1120" s="706">
        <f>IF(AND(ISNUMBER($N1120),$N1120&gt;0,ISNUMBER($Y1120)),$Y1120/$N1120,"")</f>
        <v/>
      </c>
      <c r="AL1120" s="706" t="n"/>
      <c r="AM1120" s="706" t="n"/>
      <c r="AN1120" s="706" t="n"/>
    </row>
    <row r="1121">
      <c r="A1121" s="706" t="n">
        <v>8</v>
      </c>
      <c r="B1121" s="706" t="n">
        <v>1117</v>
      </c>
      <c r="C1121" s="706" t="inlineStr">
        <is>
          <t>R4484706</t>
        </is>
      </c>
      <c r="D1121" s="706" t="inlineStr">
        <is>
          <t>6179 FIRESTONE BLVD</t>
        </is>
      </c>
      <c r="E1121" s="706" t="n">
        <v>410</v>
      </c>
      <c r="F1121" s="706" t="inlineStr">
        <is>
          <t>FIRESTONE</t>
        </is>
      </c>
      <c r="G1121" s="706" t="n"/>
      <c r="H1121" s="706">
        <f>Y1121/J1121</f>
        <v/>
      </c>
      <c r="I1121" s="707" t="n">
        <v>45390</v>
      </c>
      <c r="J1121" s="706" t="n">
        <v>4198</v>
      </c>
      <c r="K1121" s="706" t="n"/>
      <c r="L1121" s="706" t="n">
        <v>4198</v>
      </c>
      <c r="M1121" s="706" t="n">
        <v>2021</v>
      </c>
      <c r="N1121" s="706" t="n"/>
      <c r="O1121" s="706" t="n"/>
      <c r="P1121" s="706" t="n"/>
      <c r="Q1121" s="706" t="n"/>
      <c r="R1121" s="706" t="n"/>
      <c r="S1121" s="706" t="n">
        <v>42689</v>
      </c>
      <c r="T1121" s="706">
        <f>S1121/J1121</f>
        <v/>
      </c>
      <c r="U1121" s="706" t="n"/>
      <c r="V1121" s="706" t="n"/>
      <c r="W1121" s="706" t="n"/>
      <c r="X1121" s="706" t="n"/>
      <c r="Y1121" s="706" t="n">
        <v>3305000</v>
      </c>
      <c r="Z1121" s="706" t="n"/>
      <c r="AA1121" s="706" t="n">
        <v>3305000</v>
      </c>
      <c r="AB1121" s="706" t="inlineStr">
        <is>
          <t>Christian Brothers Automotive — Auto Service; src: Retail_Sales_Cleaned</t>
        </is>
      </c>
      <c r="AC1121" s="706" t="inlineStr">
        <is>
          <t>R4484706</t>
        </is>
      </c>
      <c r="AD1121" s="706" t="n"/>
      <c r="AE1121" s="706" t="n"/>
      <c r="AF1121" s="706" t="n"/>
      <c r="AG1121" s="706" t="n"/>
      <c r="AH1121" s="706" t="n"/>
      <c r="AI1121" s="706">
        <f>IF(AND($E1121=Subj_OccCode,Subj_BldgSF&gt;0,ABS($L1121-Subj_BldgSF)&lt;=Subj_BldgSF*Subj_SizeTol),ABS($L1121-Subj_BldgSF),NA())</f>
        <v/>
      </c>
      <c r="AJ1121" s="706">
        <f>IF(ISNA(AI1121),NA(),AI1121+ROW()/10000000)</f>
        <v/>
      </c>
      <c r="AK1121" s="706">
        <f>IF(AND(ISNUMBER($N1121),$N1121&gt;0,ISNUMBER($Y1121)),$Y1121/$N1121,"")</f>
        <v/>
      </c>
      <c r="AL1121" s="706" t="n"/>
      <c r="AM1121" s="706" t="n"/>
      <c r="AN1121" s="706" t="n"/>
    </row>
    <row r="1122">
      <c r="A1122" s="706" t="n">
        <v>8</v>
      </c>
      <c r="B1122" s="706" t="n">
        <v>1118</v>
      </c>
      <c r="C1122" s="706" t="n"/>
      <c r="D1122" s="706" t="inlineStr">
        <is>
          <t>1635 MAIN ST</t>
        </is>
      </c>
      <c r="E1122" s="706" t="n">
        <v>410</v>
      </c>
      <c r="F1122" s="706" t="inlineStr">
        <is>
          <t>WINDSOR</t>
        </is>
      </c>
      <c r="G1122" s="706" t="n"/>
      <c r="H1122" s="706">
        <f>Y1122/J1122</f>
        <v/>
      </c>
      <c r="I1122" s="707" t="n">
        <v>45523</v>
      </c>
      <c r="J1122" s="706" t="n">
        <v>4872</v>
      </c>
      <c r="K1122" s="706" t="n"/>
      <c r="L1122" s="706" t="n">
        <v>4872</v>
      </c>
      <c r="M1122" s="706" t="n">
        <v>2017</v>
      </c>
      <c r="N1122" s="706" t="n"/>
      <c r="O1122" s="706" t="n"/>
      <c r="P1122" s="706" t="n"/>
      <c r="Q1122" s="706" t="n"/>
      <c r="R1122" s="706" t="n"/>
      <c r="S1122" s="706" t="n">
        <v>35227</v>
      </c>
      <c r="T1122" s="706">
        <f>S1122/J1122</f>
        <v/>
      </c>
      <c r="U1122" s="706" t="n"/>
      <c r="V1122" s="706" t="n"/>
      <c r="W1122" s="706" t="n"/>
      <c r="X1122" s="706" t="n"/>
      <c r="Y1122" s="706" t="n">
        <v>2891000</v>
      </c>
      <c r="Z1122" s="706" t="n"/>
      <c r="AA1122" s="706" t="n">
        <v>2891000</v>
      </c>
      <c r="AB1122" s="706" t="inlineStr">
        <is>
          <t>Christian Brothers Automotive — Auto Service; src: Retail_Sales_Cleaned</t>
        </is>
      </c>
      <c r="AC1122" s="706" t="inlineStr">
        <is>
          <t>080719109005</t>
        </is>
      </c>
      <c r="AD1122" s="706" t="n"/>
      <c r="AE1122" s="706" t="n"/>
      <c r="AF1122" s="706" t="n"/>
      <c r="AG1122" s="706" t="n"/>
      <c r="AH1122" s="706" t="n"/>
      <c r="AI1122" s="706">
        <f>IF(AND($E1122=Subj_OccCode,Subj_BldgSF&gt;0,ABS($L1122-Subj_BldgSF)&lt;=Subj_BldgSF*Subj_SizeTol),ABS($L1122-Subj_BldgSF),NA())</f>
        <v/>
      </c>
      <c r="AJ1122" s="706">
        <f>IF(ISNA(AI1122),NA(),AI1122+ROW()/10000000)</f>
        <v/>
      </c>
      <c r="AK1122" s="706">
        <f>IF(AND(ISNUMBER($N1122),$N1122&gt;0,ISNUMBER($Y1122)),$Y1122/$N1122,"")</f>
        <v/>
      </c>
      <c r="AL1122" s="706" t="n"/>
      <c r="AM1122" s="706" t="n"/>
      <c r="AN1122" s="706" t="n"/>
    </row>
    <row r="1123">
      <c r="A1123" s="706" t="n">
        <v>8</v>
      </c>
      <c r="B1123" s="706" t="n">
        <v>1119</v>
      </c>
      <c r="C1123" s="706" t="n"/>
      <c r="D1123" s="706" t="inlineStr">
        <is>
          <t>1412 8TH AVE</t>
        </is>
      </c>
      <c r="E1123" s="706" t="n">
        <v>319</v>
      </c>
      <c r="F1123" s="706" t="inlineStr">
        <is>
          <t>GREELEY</t>
        </is>
      </c>
      <c r="G1123" s="706" t="n"/>
      <c r="H1123" s="706">
        <f>Y1123/J1123</f>
        <v/>
      </c>
      <c r="I1123" s="707" t="n">
        <v>43446</v>
      </c>
      <c r="J1123" s="706" t="n">
        <v>9800</v>
      </c>
      <c r="K1123" s="706" t="n"/>
      <c r="L1123" s="706" t="n">
        <v>9800</v>
      </c>
      <c r="M1123" s="706" t="n">
        <v>1948</v>
      </c>
      <c r="N1123" s="706" t="n"/>
      <c r="O1123" s="706" t="n"/>
      <c r="P1123" s="706" t="n"/>
      <c r="Q1123" s="706" t="n"/>
      <c r="R1123" s="706" t="n"/>
      <c r="S1123" s="706" t="n">
        <v>35284</v>
      </c>
      <c r="T1123" s="706">
        <f>S1123/J1123</f>
        <v/>
      </c>
      <c r="U1123" s="706" t="n"/>
      <c r="V1123" s="706" t="n"/>
      <c r="W1123" s="706" t="n"/>
      <c r="X1123" s="706" t="n"/>
      <c r="Y1123" s="706" t="n">
        <v>1135000</v>
      </c>
      <c r="Z1123" s="706" t="n"/>
      <c r="AA1123" s="706" t="n">
        <v>1135000</v>
      </c>
      <c r="AB1123" s="706" t="inlineStr">
        <is>
          <t>Dollar General — Dollar Store [Out of Time Frame]; Investment Triple Net; src: Retail_Sales_Cleaned</t>
        </is>
      </c>
      <c r="AC1123" s="706" t="inlineStr">
        <is>
          <t>096108222020</t>
        </is>
      </c>
      <c r="AD1123" s="706" t="n"/>
      <c r="AE1123" s="706" t="n"/>
      <c r="AF1123" s="706" t="n"/>
      <c r="AG1123" s="706" t="n"/>
      <c r="AH1123" s="706" t="n"/>
      <c r="AI1123" s="706">
        <f>IF(AND($E1123=Subj_OccCode,Subj_BldgSF&gt;0,ABS($L1123-Subj_BldgSF)&lt;=Subj_BldgSF*Subj_SizeTol),ABS($L1123-Subj_BldgSF),NA())</f>
        <v/>
      </c>
      <c r="AJ1123" s="706">
        <f>IF(ISNA(AI1123),NA(),AI1123+ROW()/10000000)</f>
        <v/>
      </c>
      <c r="AK1123" s="706">
        <f>IF(AND(ISNUMBER($N1123),$N1123&gt;0,ISNUMBER($Y1123)),$Y1123/$N1123,"")</f>
        <v/>
      </c>
      <c r="AL1123" s="706" t="n"/>
      <c r="AM1123" s="706" t="n"/>
      <c r="AN1123" s="706" t="n"/>
    </row>
    <row r="1124">
      <c r="A1124" s="706" t="n">
        <v>8</v>
      </c>
      <c r="B1124" s="706" t="n">
        <v>1120</v>
      </c>
      <c r="C1124" s="706" t="n"/>
      <c r="D1124" s="706" t="inlineStr">
        <is>
          <t>1740 E BROAD ST</t>
        </is>
      </c>
      <c r="E1124" s="706" t="n">
        <v>319</v>
      </c>
      <c r="F1124" s="706" t="inlineStr">
        <is>
          <t>MILLIKEN</t>
        </is>
      </c>
      <c r="G1124" s="706" t="n"/>
      <c r="H1124" s="706">
        <f>Y1124/J1124</f>
        <v/>
      </c>
      <c r="I1124" s="707" t="n">
        <v>43819</v>
      </c>
      <c r="J1124" s="706" t="n">
        <v>9014</v>
      </c>
      <c r="K1124" s="706" t="n"/>
      <c r="L1124" s="706" t="n">
        <v>9014</v>
      </c>
      <c r="M1124" s="706" t="n">
        <v>2007</v>
      </c>
      <c r="N1124" s="706" t="n"/>
      <c r="O1124" s="706" t="n"/>
      <c r="P1124" s="706" t="n"/>
      <c r="Q1124" s="706" t="n"/>
      <c r="R1124" s="706" t="n"/>
      <c r="S1124" s="706" t="n">
        <v>10454</v>
      </c>
      <c r="T1124" s="706">
        <f>S1124/J1124</f>
        <v/>
      </c>
      <c r="U1124" s="706" t="n"/>
      <c r="V1124" s="706" t="n"/>
      <c r="W1124" s="706" t="n"/>
      <c r="X1124" s="706" t="n"/>
      <c r="Y1124" s="706" t="n">
        <v>1200000</v>
      </c>
      <c r="Z1124" s="706" t="n"/>
      <c r="AA1124" s="706" t="n">
        <v>1200000</v>
      </c>
      <c r="AB1124" s="706" t="inlineStr">
        <is>
          <t>Dollar General — Dollar Store; Investment Triple Net; src: Retail_Sales_Cleaned</t>
        </is>
      </c>
      <c r="AC1124" s="706" t="inlineStr">
        <is>
          <t>105912253001</t>
        </is>
      </c>
      <c r="AD1124" s="706" t="n"/>
      <c r="AE1124" s="706" t="n"/>
      <c r="AF1124" s="706" t="n"/>
      <c r="AG1124" s="706" t="n"/>
      <c r="AH1124" s="706" t="n"/>
      <c r="AI1124" s="706">
        <f>IF(AND($E1124=Subj_OccCode,Subj_BldgSF&gt;0,ABS($L1124-Subj_BldgSF)&lt;=Subj_BldgSF*Subj_SizeTol),ABS($L1124-Subj_BldgSF),NA())</f>
        <v/>
      </c>
      <c r="AJ1124" s="706">
        <f>IF(ISNA(AI1124),NA(),AI1124+ROW()/10000000)</f>
        <v/>
      </c>
      <c r="AK1124" s="706">
        <f>IF(AND(ISNUMBER($N1124),$N1124&gt;0,ISNUMBER($Y1124)),$Y1124/$N1124,"")</f>
        <v/>
      </c>
      <c r="AL1124" s="706" t="n"/>
      <c r="AM1124" s="706" t="n"/>
      <c r="AN1124" s="706" t="n"/>
    </row>
    <row r="1125">
      <c r="A1125" s="706" t="n">
        <v>8</v>
      </c>
      <c r="B1125" s="706" t="n">
        <v>1121</v>
      </c>
      <c r="C1125" s="706" t="n"/>
      <c r="D1125" s="706" t="inlineStr">
        <is>
          <t>9845 COUNTY ROAD 74</t>
        </is>
      </c>
      <c r="E1125" s="706" t="n">
        <v>319</v>
      </c>
      <c r="F1125" s="706" t="inlineStr">
        <is>
          <t>SEVERANCE</t>
        </is>
      </c>
      <c r="G1125" s="706" t="n"/>
      <c r="H1125" s="706">
        <f>Y1125/J1125</f>
        <v/>
      </c>
      <c r="I1125" s="707" t="n">
        <v>43917</v>
      </c>
      <c r="J1125" s="706" t="n">
        <v>9026</v>
      </c>
      <c r="K1125" s="706" t="n"/>
      <c r="L1125" s="706" t="n">
        <v>9026</v>
      </c>
      <c r="M1125" s="706" t="n">
        <v>2019</v>
      </c>
      <c r="N1125" s="706" t="n"/>
      <c r="O1125" s="706" t="n"/>
      <c r="P1125" s="706" t="n"/>
      <c r="Q1125" s="706" t="n"/>
      <c r="R1125" s="706" t="n"/>
      <c r="S1125" s="706" t="n">
        <v>108464</v>
      </c>
      <c r="T1125" s="706">
        <f>S1125/J1125</f>
        <v/>
      </c>
      <c r="U1125" s="706" t="n"/>
      <c r="V1125" s="706" t="n"/>
      <c r="W1125" s="706" t="n"/>
      <c r="X1125" s="706" t="n"/>
      <c r="Y1125" s="706" t="n">
        <v>1946279</v>
      </c>
      <c r="Z1125" s="706" t="n"/>
      <c r="AA1125" s="706" t="n">
        <v>1946279</v>
      </c>
      <c r="AB1125" s="706" t="inlineStr">
        <is>
          <t>Dollar General — Dollar Store; Investment Triple Net; src: Retail_Sales_Cleaned</t>
        </is>
      </c>
      <c r="AC1125" s="706" t="inlineStr">
        <is>
          <t>070534403005</t>
        </is>
      </c>
      <c r="AD1125" s="706" t="n"/>
      <c r="AE1125" s="706" t="n"/>
      <c r="AF1125" s="706" t="n"/>
      <c r="AG1125" s="706" t="n"/>
      <c r="AH1125" s="706" t="n"/>
      <c r="AI1125" s="706">
        <f>IF(AND($E1125=Subj_OccCode,Subj_BldgSF&gt;0,ABS($L1125-Subj_BldgSF)&lt;=Subj_BldgSF*Subj_SizeTol),ABS($L1125-Subj_BldgSF),NA())</f>
        <v/>
      </c>
      <c r="AJ1125" s="706">
        <f>IF(ISNA(AI1125),NA(),AI1125+ROW()/10000000)</f>
        <v/>
      </c>
      <c r="AK1125" s="706">
        <f>IF(AND(ISNUMBER($N1125),$N1125&gt;0,ISNUMBER($Y1125)),$Y1125/$N1125,"")</f>
        <v/>
      </c>
      <c r="AL1125" s="706" t="n"/>
      <c r="AM1125" s="706" t="n"/>
      <c r="AN1125" s="706" t="n"/>
    </row>
    <row r="1126">
      <c r="A1126" s="706" t="n">
        <v>8</v>
      </c>
      <c r="B1126" s="706" t="n">
        <v>1122</v>
      </c>
      <c r="C1126" s="706" t="n"/>
      <c r="D1126" s="706" t="inlineStr">
        <is>
          <t>11086 COLORADO BLVD</t>
        </is>
      </c>
      <c r="E1126" s="706" t="n">
        <v>319</v>
      </c>
      <c r="F1126" s="706" t="inlineStr">
        <is>
          <t>FIRESTONE</t>
        </is>
      </c>
      <c r="G1126" s="706" t="n"/>
      <c r="H1126" s="706">
        <f>Y1126/J1126</f>
        <v/>
      </c>
      <c r="I1126" s="707" t="n">
        <v>44820</v>
      </c>
      <c r="J1126" s="706" t="n">
        <v>9100</v>
      </c>
      <c r="K1126" s="706" t="n"/>
      <c r="L1126" s="706" t="n">
        <v>9100</v>
      </c>
      <c r="M1126" s="706" t="n">
        <v>2021</v>
      </c>
      <c r="N1126" s="706" t="n"/>
      <c r="O1126" s="706" t="n"/>
      <c r="P1126" s="706" t="n"/>
      <c r="Q1126" s="706" t="n"/>
      <c r="R1126" s="706" t="n"/>
      <c r="S1126" s="706" t="n">
        <v>61420</v>
      </c>
      <c r="T1126" s="706">
        <f>S1126/J1126</f>
        <v/>
      </c>
      <c r="U1126" s="706" t="n"/>
      <c r="V1126" s="706" t="n"/>
      <c r="W1126" s="706" t="n"/>
      <c r="X1126" s="706" t="n"/>
      <c r="Y1126" s="706" t="n">
        <v>2844445</v>
      </c>
      <c r="Z1126" s="706" t="n"/>
      <c r="AA1126" s="706" t="n">
        <v>2844445</v>
      </c>
      <c r="AB1126" s="706" t="inlineStr">
        <is>
          <t>Dollar General — Dollar Store; Investment Triple Net; src: Retail_Sales_Cleaned</t>
        </is>
      </c>
      <c r="AC1126" s="706" t="inlineStr">
        <is>
          <t>131106318008</t>
        </is>
      </c>
      <c r="AD1126" s="706" t="n"/>
      <c r="AE1126" s="706" t="n"/>
      <c r="AF1126" s="706" t="n"/>
      <c r="AG1126" s="706" t="n"/>
      <c r="AH1126" s="706" t="n"/>
      <c r="AI1126" s="706">
        <f>IF(AND($E1126=Subj_OccCode,Subj_BldgSF&gt;0,ABS($L1126-Subj_BldgSF)&lt;=Subj_BldgSF*Subj_SizeTol),ABS($L1126-Subj_BldgSF),NA())</f>
        <v/>
      </c>
      <c r="AJ1126" s="706">
        <f>IF(ISNA(AI1126),NA(),AI1126+ROW()/10000000)</f>
        <v/>
      </c>
      <c r="AK1126" s="706">
        <f>IF(AND(ISNUMBER($N1126),$N1126&gt;0,ISNUMBER($Y1126)),$Y1126/$N1126,"")</f>
        <v/>
      </c>
      <c r="AL1126" s="706" t="n"/>
      <c r="AM1126" s="706" t="n"/>
      <c r="AN1126" s="706" t="n"/>
    </row>
    <row r="1127">
      <c r="A1127" s="706" t="n">
        <v>8</v>
      </c>
      <c r="B1127" s="706" t="n">
        <v>1123</v>
      </c>
      <c r="C1127" s="706" t="n"/>
      <c r="D1127" s="706" t="inlineStr">
        <is>
          <t>130 22ND ST</t>
        </is>
      </c>
      <c r="E1127" s="706" t="n">
        <v>319</v>
      </c>
      <c r="F1127" s="706" t="inlineStr">
        <is>
          <t>GREELEY</t>
        </is>
      </c>
      <c r="G1127" s="706" t="n"/>
      <c r="H1127" s="706">
        <f>Y1127/J1127</f>
        <v/>
      </c>
      <c r="I1127" s="707" t="n">
        <v>43679</v>
      </c>
      <c r="J1127" s="706" t="n">
        <v>8300</v>
      </c>
      <c r="K1127" s="706" t="n"/>
      <c r="L1127" s="706" t="n">
        <v>8300</v>
      </c>
      <c r="M1127" s="706" t="n">
        <v>2014</v>
      </c>
      <c r="N1127" s="706" t="n"/>
      <c r="O1127" s="706" t="n"/>
      <c r="P1127" s="706" t="n"/>
      <c r="Q1127" s="706" t="n"/>
      <c r="R1127" s="706" t="n"/>
      <c r="S1127" s="706" t="n">
        <v>103673</v>
      </c>
      <c r="T1127" s="706">
        <f>S1127/J1127</f>
        <v/>
      </c>
      <c r="U1127" s="706" t="n"/>
      <c r="V1127" s="706" t="n"/>
      <c r="W1127" s="706" t="n"/>
      <c r="X1127" s="706" t="n"/>
      <c r="Y1127" s="706" t="n">
        <v>1833000</v>
      </c>
      <c r="Z1127" s="706" t="n"/>
      <c r="AA1127" s="706" t="n">
        <v>1833000</v>
      </c>
      <c r="AB1127" s="706" t="inlineStr">
        <is>
          <t>Family Dollar — Dollar Store; Investment Triple Net; src: Retail_Sales_Cleaned</t>
        </is>
      </c>
      <c r="AC1127" s="706" t="inlineStr">
        <is>
          <t>096117113002</t>
        </is>
      </c>
      <c r="AD1127" s="706" t="n"/>
      <c r="AE1127" s="706" t="n"/>
      <c r="AF1127" s="706" t="n"/>
      <c r="AG1127" s="706" t="n"/>
      <c r="AH1127" s="706" t="n"/>
      <c r="AI1127" s="706">
        <f>IF(AND($E1127=Subj_OccCode,Subj_BldgSF&gt;0,ABS($L1127-Subj_BldgSF)&lt;=Subj_BldgSF*Subj_SizeTol),ABS($L1127-Subj_BldgSF),NA())</f>
        <v/>
      </c>
      <c r="AJ1127" s="706">
        <f>IF(ISNA(AI1127),NA(),AI1127+ROW()/10000000)</f>
        <v/>
      </c>
      <c r="AK1127" s="706">
        <f>IF(AND(ISNUMBER($N1127),$N1127&gt;0,ISNUMBER($Y1127)),$Y1127/$N1127,"")</f>
        <v/>
      </c>
      <c r="AL1127" s="706" t="n"/>
      <c r="AM1127" s="706" t="n"/>
      <c r="AN1127" s="706" t="n"/>
    </row>
    <row r="1128">
      <c r="A1128" s="706" t="n">
        <v>8</v>
      </c>
      <c r="B1128" s="706" t="n">
        <v>1124</v>
      </c>
      <c r="C1128" s="706" t="n"/>
      <c r="D1128" s="706" t="inlineStr">
        <is>
          <t>3630 35TH AVE</t>
        </is>
      </c>
      <c r="E1128" s="706" t="n">
        <v>319</v>
      </c>
      <c r="F1128" s="706" t="inlineStr">
        <is>
          <t>EVANS</t>
        </is>
      </c>
      <c r="G1128" s="706" t="n"/>
      <c r="H1128" s="706">
        <f>Y1128/J1128</f>
        <v/>
      </c>
      <c r="I1128" s="707" t="n">
        <v>43803</v>
      </c>
      <c r="J1128" s="706" t="n">
        <v>8320</v>
      </c>
      <c r="K1128" s="706" t="n"/>
      <c r="L1128" s="706" t="n">
        <v>8320</v>
      </c>
      <c r="M1128" s="706" t="n">
        <v>2013</v>
      </c>
      <c r="N1128" s="706" t="n"/>
      <c r="O1128" s="706" t="n"/>
      <c r="P1128" s="706" t="n"/>
      <c r="Q1128" s="706" t="n"/>
      <c r="R1128" s="706" t="n"/>
      <c r="S1128" s="706" t="n">
        <v>41933</v>
      </c>
      <c r="T1128" s="706">
        <f>S1128/J1128</f>
        <v/>
      </c>
      <c r="U1128" s="706" t="n"/>
      <c r="V1128" s="706" t="n"/>
      <c r="W1128" s="706" t="n"/>
      <c r="X1128" s="706" t="n"/>
      <c r="Y1128" s="706" t="n">
        <v>1215000</v>
      </c>
      <c r="Z1128" s="706" t="n"/>
      <c r="AA1128" s="706" t="n">
        <v>1215000</v>
      </c>
      <c r="AB1128" s="706" t="inlineStr">
        <is>
          <t>Family Dollar — Dollar Store; Bulk/Portfolio Sale; src: Retail_Sales_Cleaned</t>
        </is>
      </c>
      <c r="AC1128" s="706" t="inlineStr">
        <is>
          <t>095924330001</t>
        </is>
      </c>
      <c r="AD1128" s="706" t="n"/>
      <c r="AE1128" s="706" t="n"/>
      <c r="AF1128" s="706" t="n"/>
      <c r="AG1128" s="706" t="n"/>
      <c r="AH1128" s="706" t="n"/>
      <c r="AI1128" s="706">
        <f>IF(AND($E1128=Subj_OccCode,Subj_BldgSF&gt;0,ABS($L1128-Subj_BldgSF)&lt;=Subj_BldgSF*Subj_SizeTol),ABS($L1128-Subj_BldgSF),NA())</f>
        <v/>
      </c>
      <c r="AJ1128" s="706">
        <f>IF(ISNA(AI1128),NA(),AI1128+ROW()/10000000)</f>
        <v/>
      </c>
      <c r="AK1128" s="706">
        <f>IF(AND(ISNUMBER($N1128),$N1128&gt;0,ISNUMBER($Y1128)),$Y1128/$N1128,"")</f>
        <v/>
      </c>
      <c r="AL1128" s="706" t="n"/>
      <c r="AM1128" s="706" t="n"/>
      <c r="AN1128" s="706" t="n"/>
    </row>
    <row r="1129">
      <c r="A1129" s="706" t="n">
        <v>8</v>
      </c>
      <c r="B1129" s="706" t="n">
        <v>1125</v>
      </c>
      <c r="C1129" s="706" t="n"/>
      <c r="D1129" s="706" t="inlineStr">
        <is>
          <t>165 S 2ND ST</t>
        </is>
      </c>
      <c r="E1129" s="706" t="n">
        <v>319</v>
      </c>
      <c r="F1129" s="706" t="inlineStr">
        <is>
          <t>LA SALLE</t>
        </is>
      </c>
      <c r="G1129" s="706" t="n"/>
      <c r="H1129" s="706">
        <f>Y1129/J1129</f>
        <v/>
      </c>
      <c r="I1129" s="707" t="n">
        <v>43803</v>
      </c>
      <c r="J1129" s="706" t="n">
        <v>8344</v>
      </c>
      <c r="K1129" s="706" t="n"/>
      <c r="L1129" s="706" t="n">
        <v>8344</v>
      </c>
      <c r="M1129" s="706" t="n">
        <v>2013</v>
      </c>
      <c r="N1129" s="706" t="n"/>
      <c r="O1129" s="706" t="n"/>
      <c r="P1129" s="706" t="n"/>
      <c r="Q1129" s="706" t="n"/>
      <c r="R1129" s="706" t="n"/>
      <c r="S1129" s="706" t="n">
        <v>17427</v>
      </c>
      <c r="T1129" s="706">
        <f>S1129/J1129</f>
        <v/>
      </c>
      <c r="U1129" s="706" t="n"/>
      <c r="V1129" s="706" t="n"/>
      <c r="W1129" s="706" t="n"/>
      <c r="X1129" s="706" t="n"/>
      <c r="Y1129" s="706" t="n">
        <v>1346200</v>
      </c>
      <c r="Z1129" s="706" t="n"/>
      <c r="AA1129" s="706" t="n">
        <v>1346200</v>
      </c>
      <c r="AB1129" s="706" t="inlineStr">
        <is>
          <t>Family Dollar — Dollar Store; Bulk/Portfolio Sale; src: Retail_Sales_Cleaned</t>
        </is>
      </c>
      <c r="AC1129" s="706" t="inlineStr">
        <is>
          <t>096131418015</t>
        </is>
      </c>
      <c r="AD1129" s="706" t="n"/>
      <c r="AE1129" s="706" t="n"/>
      <c r="AF1129" s="706" t="n"/>
      <c r="AG1129" s="706" t="n"/>
      <c r="AH1129" s="706" t="n"/>
      <c r="AI1129" s="706">
        <f>IF(AND($E1129=Subj_OccCode,Subj_BldgSF&gt;0,ABS($L1129-Subj_BldgSF)&lt;=Subj_BldgSF*Subj_SizeTol),ABS($L1129-Subj_BldgSF),NA())</f>
        <v/>
      </c>
      <c r="AJ1129" s="706">
        <f>IF(ISNA(AI1129),NA(),AI1129+ROW()/10000000)</f>
        <v/>
      </c>
      <c r="AK1129" s="706">
        <f>IF(AND(ISNUMBER($N1129),$N1129&gt;0,ISNUMBER($Y1129)),$Y1129/$N1129,"")</f>
        <v/>
      </c>
      <c r="AL1129" s="706" t="n"/>
      <c r="AM1129" s="706" t="n"/>
      <c r="AN1129" s="706" t="n"/>
    </row>
    <row r="1130">
      <c r="A1130" s="706" t="n">
        <v>8</v>
      </c>
      <c r="B1130" s="706" t="n">
        <v>1126</v>
      </c>
      <c r="C1130" s="706" t="n"/>
      <c r="D1130" s="706" t="inlineStr">
        <is>
          <t>4555 CIRCLE CENTRE RD</t>
        </is>
      </c>
      <c r="E1130" s="706" t="n">
        <v>410</v>
      </c>
      <c r="F1130" s="706" t="inlineStr">
        <is>
          <t>FIRESTONE</t>
        </is>
      </c>
      <c r="G1130" s="706" t="n"/>
      <c r="H1130" s="706">
        <f>Y1130/J1130</f>
        <v/>
      </c>
      <c r="I1130" s="707" t="n">
        <v>43524</v>
      </c>
      <c r="J1130" s="706" t="n">
        <v>4935</v>
      </c>
      <c r="K1130" s="706" t="n"/>
      <c r="L1130" s="706" t="n">
        <v>4935</v>
      </c>
      <c r="M1130" s="706" t="n">
        <v>2018</v>
      </c>
      <c r="N1130" s="706" t="n"/>
      <c r="O1130" s="706" t="n"/>
      <c r="P1130" s="706" t="n"/>
      <c r="Q1130" s="706" t="n"/>
      <c r="R1130" s="706" t="n"/>
      <c r="S1130" s="706" t="n">
        <v>39988</v>
      </c>
      <c r="T1130" s="706">
        <f>S1130/J1130</f>
        <v/>
      </c>
      <c r="U1130" s="706" t="n"/>
      <c r="V1130" s="706" t="n"/>
      <c r="W1130" s="706" t="n"/>
      <c r="X1130" s="706" t="n"/>
      <c r="Y1130" s="706" t="n">
        <v>2725000</v>
      </c>
      <c r="Z1130" s="706" t="n"/>
      <c r="AA1130" s="706" t="n">
        <v>2725000</v>
      </c>
      <c r="AB1130" s="706" t="inlineStr">
        <is>
          <t>Firestone — Auto Service [Old Sale]; src: Retail_Sales_Cleaned</t>
        </is>
      </c>
      <c r="AC1130" s="706" t="inlineStr">
        <is>
          <t>131311111002</t>
        </is>
      </c>
      <c r="AD1130" s="706" t="n"/>
      <c r="AE1130" s="706" t="n"/>
      <c r="AF1130" s="706" t="n"/>
      <c r="AG1130" s="706" t="n"/>
      <c r="AH1130" s="706" t="n"/>
      <c r="AI1130" s="706">
        <f>IF(AND($E1130=Subj_OccCode,Subj_BldgSF&gt;0,ABS($L1130-Subj_BldgSF)&lt;=Subj_BldgSF*Subj_SizeTol),ABS($L1130-Subj_BldgSF),NA())</f>
        <v/>
      </c>
      <c r="AJ1130" s="706">
        <f>IF(ISNA(AI1130),NA(),AI1130+ROW()/10000000)</f>
        <v/>
      </c>
      <c r="AK1130" s="706">
        <f>IF(AND(ISNUMBER($N1130),$N1130&gt;0,ISNUMBER($Y1130)),$Y1130/$N1130,"")</f>
        <v/>
      </c>
      <c r="AL1130" s="706" t="n"/>
      <c r="AM1130" s="706" t="n"/>
      <c r="AN1130" s="706" t="n"/>
    </row>
    <row r="1131">
      <c r="A1131" s="706" t="n">
        <v>8</v>
      </c>
      <c r="B1131" s="706" t="n">
        <v>1127</v>
      </c>
      <c r="C1131" s="706" t="n"/>
      <c r="D1131" s="706" t="inlineStr">
        <is>
          <t>4515 CITY CENTRE DR</t>
        </is>
      </c>
      <c r="E1131" s="706" t="n">
        <v>410</v>
      </c>
      <c r="F1131" s="706" t="inlineStr">
        <is>
          <t>FIRESTONE</t>
        </is>
      </c>
      <c r="G1131" s="706" t="n"/>
      <c r="H1131" s="706">
        <f>Y1131/J1131</f>
        <v/>
      </c>
      <c r="I1131" s="707" t="n">
        <v>43957</v>
      </c>
      <c r="J1131" s="706" t="n">
        <v>6116</v>
      </c>
      <c r="K1131" s="706" t="n"/>
      <c r="L1131" s="706" t="n">
        <v>6116</v>
      </c>
      <c r="M1131" s="706" t="n">
        <v>2020</v>
      </c>
      <c r="N1131" s="706" t="n"/>
      <c r="O1131" s="706" t="n"/>
      <c r="P1131" s="706" t="n"/>
      <c r="Q1131" s="706" t="n"/>
      <c r="R1131" s="706" t="n"/>
      <c r="S1131" s="706" t="n">
        <v>47916</v>
      </c>
      <c r="T1131" s="706">
        <f>S1131/J1131</f>
        <v/>
      </c>
      <c r="U1131" s="706" t="n"/>
      <c r="V1131" s="706" t="n"/>
      <c r="W1131" s="706" t="n"/>
      <c r="X1131" s="706" t="n"/>
      <c r="Y1131" s="706" t="n">
        <v>4067000</v>
      </c>
      <c r="Z1131" s="706" t="n"/>
      <c r="AA1131" s="706" t="n">
        <v>4067000</v>
      </c>
      <c r="AB1131" s="706" t="inlineStr">
        <is>
          <t>Firestone — Auto Service; Investment Triple Net; src: Retail_Sales_Cleaned</t>
        </is>
      </c>
      <c r="AC1131" s="706" t="inlineStr">
        <is>
          <t>131311109011</t>
        </is>
      </c>
      <c r="AD1131" s="706" t="n"/>
      <c r="AE1131" s="706" t="n"/>
      <c r="AF1131" s="706" t="n"/>
      <c r="AG1131" s="706" t="n"/>
      <c r="AH1131" s="706" t="n"/>
      <c r="AI1131" s="706">
        <f>IF(AND($E1131=Subj_OccCode,Subj_BldgSF&gt;0,ABS($L1131-Subj_BldgSF)&lt;=Subj_BldgSF*Subj_SizeTol),ABS($L1131-Subj_BldgSF),NA())</f>
        <v/>
      </c>
      <c r="AJ1131" s="706">
        <f>IF(ISNA(AI1131),NA(),AI1131+ROW()/10000000)</f>
        <v/>
      </c>
      <c r="AK1131" s="706">
        <f>IF(AND(ISNUMBER($N1131),$N1131&gt;0,ISNUMBER($Y1131)),$Y1131/$N1131,"")</f>
        <v/>
      </c>
      <c r="AL1131" s="706" t="n"/>
      <c r="AM1131" s="706" t="n"/>
      <c r="AN1131" s="706" t="n"/>
    </row>
    <row r="1132">
      <c r="A1132" s="706" t="n">
        <v>8</v>
      </c>
      <c r="B1132" s="706" t="n">
        <v>1128</v>
      </c>
      <c r="C1132" s="706" t="n"/>
      <c r="D1132" s="706" t="inlineStr">
        <is>
          <t>3275 W 10TH ST</t>
        </is>
      </c>
      <c r="E1132" s="706" t="n">
        <v>325</v>
      </c>
      <c r="F1132" s="706" t="inlineStr">
        <is>
          <t>GREELEY</t>
        </is>
      </c>
      <c r="G1132" s="706" t="n"/>
      <c r="H1132" s="706">
        <f>Y1132/J1132</f>
        <v/>
      </c>
      <c r="I1132" s="707" t="n">
        <v>45334</v>
      </c>
      <c r="J1132" s="706" t="n">
        <v>2442</v>
      </c>
      <c r="K1132" s="706" t="n"/>
      <c r="L1132" s="706" t="n">
        <v>2442</v>
      </c>
      <c r="M1132" s="706" t="n">
        <v>1986</v>
      </c>
      <c r="N1132" s="706" t="n"/>
      <c r="O1132" s="706" t="n"/>
      <c r="P1132" s="706" t="n"/>
      <c r="Q1132" s="706" t="n"/>
      <c r="R1132" s="706" t="n"/>
      <c r="S1132" s="706" t="n">
        <v>20038</v>
      </c>
      <c r="T1132" s="706">
        <f>S1132/J1132</f>
        <v/>
      </c>
      <c r="U1132" s="706" t="n"/>
      <c r="V1132" s="706" t="n"/>
      <c r="W1132" s="706" t="n"/>
      <c r="X1132" s="706" t="n"/>
      <c r="Y1132" s="706" t="n">
        <v>1950000</v>
      </c>
      <c r="Z1132" s="706" t="n"/>
      <c r="AA1132" s="706" t="n">
        <v>1950000</v>
      </c>
      <c r="AB1132" s="706" t="inlineStr">
        <is>
          <t>Greeley Automotive Service — Auto Service; src: Retail_Sales_Cleaned</t>
        </is>
      </c>
      <c r="AC1132" s="706" t="inlineStr">
        <is>
          <t>095901318033</t>
        </is>
      </c>
      <c r="AD1132" s="706" t="n"/>
      <c r="AE1132" s="706" t="n"/>
      <c r="AF1132" s="706" t="n"/>
      <c r="AG1132" s="706" t="n"/>
      <c r="AH1132" s="706" t="n"/>
      <c r="AI1132" s="706">
        <f>IF(AND($E1132=Subj_OccCode,Subj_BldgSF&gt;0,ABS($L1132-Subj_BldgSF)&lt;=Subj_BldgSF*Subj_SizeTol),ABS($L1132-Subj_BldgSF),NA())</f>
        <v/>
      </c>
      <c r="AJ1132" s="706">
        <f>IF(ISNA(AI1132),NA(),AI1132+ROW()/10000000)</f>
        <v/>
      </c>
      <c r="AK1132" s="706">
        <f>IF(AND(ISNUMBER($N1132),$N1132&gt;0,ISNUMBER($Y1132)),$Y1132/$N1132,"")</f>
        <v/>
      </c>
      <c r="AL1132" s="706" t="n"/>
      <c r="AM1132" s="706" t="n"/>
      <c r="AN1132" s="706" t="n"/>
    </row>
    <row r="1133">
      <c r="A1133" s="706" t="n">
        <v>8</v>
      </c>
      <c r="B1133" s="706" t="n">
        <v>1129</v>
      </c>
      <c r="C1133" s="706" t="n"/>
      <c r="D1133" s="706" t="inlineStr">
        <is>
          <t>110 COLLINS AVE</t>
        </is>
      </c>
      <c r="E1133" s="706" t="n">
        <v>349</v>
      </c>
      <c r="F1133" s="706" t="inlineStr">
        <is>
          <t>EATON</t>
        </is>
      </c>
      <c r="G1133" s="706" t="n"/>
      <c r="H1133" s="706">
        <f>Y1133/J1133</f>
        <v/>
      </c>
      <c r="I1133" s="707" t="n">
        <v>45009</v>
      </c>
      <c r="J1133" s="706" t="n">
        <v>2742</v>
      </c>
      <c r="K1133" s="706" t="n"/>
      <c r="L1133" s="706" t="n">
        <v>2742</v>
      </c>
      <c r="M1133" s="706" t="n">
        <v>2007</v>
      </c>
      <c r="N1133" s="706" t="n"/>
      <c r="O1133" s="706" t="n"/>
      <c r="P1133" s="706" t="n"/>
      <c r="Q1133" s="706" t="n"/>
      <c r="R1133" s="706" t="n"/>
      <c r="S1133" s="706" t="n">
        <v>37462</v>
      </c>
      <c r="T1133" s="706">
        <f>S1133/J1133</f>
        <v/>
      </c>
      <c r="U1133" s="706" t="n"/>
      <c r="V1133" s="706" t="n"/>
      <c r="W1133" s="706" t="n"/>
      <c r="X1133" s="706" t="n"/>
      <c r="Y1133" s="706" t="n">
        <v>1450000</v>
      </c>
      <c r="Z1133" s="706" t="n"/>
      <c r="AA1133" s="706" t="n">
        <v>1450000</v>
      </c>
      <c r="AB1133" s="706" t="inlineStr">
        <is>
          <t>KFC / Taco Bell — Fast Food; src: Retail_Sales_Cleaned</t>
        </is>
      </c>
      <c r="AC1133" s="706" t="inlineStr">
        <is>
          <t>080306222001</t>
        </is>
      </c>
      <c r="AD1133" s="706" t="n"/>
      <c r="AE1133" s="706" t="n"/>
      <c r="AF1133" s="706" t="n"/>
      <c r="AG1133" s="706" t="n"/>
      <c r="AH1133" s="706" t="n"/>
      <c r="AI1133" s="706">
        <f>IF(AND($E1133=Subj_OccCode,Subj_BldgSF&gt;0,ABS($L1133-Subj_BldgSF)&lt;=Subj_BldgSF*Subj_SizeTol),ABS($L1133-Subj_BldgSF),NA())</f>
        <v/>
      </c>
      <c r="AJ1133" s="706">
        <f>IF(ISNA(AI1133),NA(),AI1133+ROW()/10000000)</f>
        <v/>
      </c>
      <c r="AK1133" s="706">
        <f>IF(AND(ISNUMBER($N1133),$N1133&gt;0,ISNUMBER($Y1133)),$Y1133/$N1133,"")</f>
        <v/>
      </c>
      <c r="AL1133" s="706" t="n"/>
      <c r="AM1133" s="706" t="n"/>
      <c r="AN1133" s="706" t="n"/>
    </row>
    <row r="1134">
      <c r="A1134" s="706" t="n">
        <v>8</v>
      </c>
      <c r="B1134" s="706" t="n">
        <v>1130</v>
      </c>
      <c r="C1134" s="706" t="n"/>
      <c r="D1134" s="706" t="inlineStr">
        <is>
          <t>4059 W 11TH ST</t>
        </is>
      </c>
      <c r="E1134" s="706" t="n">
        <v>426</v>
      </c>
      <c r="F1134" s="706" t="inlineStr">
        <is>
          <t>GREELEY</t>
        </is>
      </c>
      <c r="G1134" s="706" t="n"/>
      <c r="H1134" s="706">
        <f>Y1134/J1134</f>
        <v/>
      </c>
      <c r="I1134" s="707" t="n">
        <v>44435</v>
      </c>
      <c r="J1134" s="706" t="n">
        <v>6455</v>
      </c>
      <c r="K1134" s="706" t="n"/>
      <c r="L1134" s="706" t="n">
        <v>6455</v>
      </c>
      <c r="M1134" s="706" t="n">
        <v>1985</v>
      </c>
      <c r="N1134" s="706" t="n"/>
      <c r="O1134" s="706" t="n"/>
      <c r="P1134" s="706" t="n"/>
      <c r="Q1134" s="706" t="n"/>
      <c r="R1134" s="706" t="n"/>
      <c r="S1134" s="706" t="n">
        <v>36155</v>
      </c>
      <c r="T1134" s="706">
        <f>S1134/J1134</f>
        <v/>
      </c>
      <c r="U1134" s="706" t="n"/>
      <c r="V1134" s="706" t="n"/>
      <c r="W1134" s="706" t="n"/>
      <c r="X1134" s="706" t="n"/>
      <c r="Y1134" s="706" t="n">
        <v>1723076</v>
      </c>
      <c r="Z1134" s="706" t="n"/>
      <c r="AA1134" s="706" t="n">
        <v>1723076</v>
      </c>
      <c r="AB1134" s="706" t="inlineStr">
        <is>
          <t>Kid City USA — Daycare; src: Retail_Sales_Cleaned</t>
        </is>
      </c>
      <c r="AC1134" s="706" t="inlineStr">
        <is>
          <t>095911124009</t>
        </is>
      </c>
      <c r="AD1134" s="706" t="n"/>
      <c r="AE1134" s="706" t="n"/>
      <c r="AF1134" s="706" t="n"/>
      <c r="AG1134" s="706" t="n"/>
      <c r="AH1134" s="706" t="n"/>
      <c r="AI1134" s="706">
        <f>IF(AND($E1134=Subj_OccCode,Subj_BldgSF&gt;0,ABS($L1134-Subj_BldgSF)&lt;=Subj_BldgSF*Subj_SizeTol),ABS($L1134-Subj_BldgSF),NA())</f>
        <v/>
      </c>
      <c r="AJ1134" s="706">
        <f>IF(ISNA(AI1134),NA(),AI1134+ROW()/10000000)</f>
        <v/>
      </c>
      <c r="AK1134" s="706">
        <f>IF(AND(ISNUMBER($N1134),$N1134&gt;0,ISNUMBER($Y1134)),$Y1134/$N1134,"")</f>
        <v/>
      </c>
      <c r="AL1134" s="706" t="n"/>
      <c r="AM1134" s="706" t="n"/>
      <c r="AN1134" s="706" t="n"/>
    </row>
    <row r="1135">
      <c r="A1135" s="706" t="n">
        <v>8</v>
      </c>
      <c r="B1135" s="706" t="n">
        <v>1131</v>
      </c>
      <c r="C1135" s="706" t="inlineStr">
        <is>
          <t>R4793707</t>
        </is>
      </c>
      <c r="D1135" s="706" t="inlineStr">
        <is>
          <t>6700 W 29TH ST</t>
        </is>
      </c>
      <c r="E1135" s="706" t="n">
        <v>426</v>
      </c>
      <c r="F1135" s="706" t="inlineStr">
        <is>
          <t>GREELEY</t>
        </is>
      </c>
      <c r="G1135" s="706" t="n"/>
      <c r="H1135" s="706">
        <f>Y1135/J1135</f>
        <v/>
      </c>
      <c r="I1135" s="707" t="n">
        <v>45496</v>
      </c>
      <c r="J1135" s="706" t="n">
        <v>11279</v>
      </c>
      <c r="K1135" s="706" t="n"/>
      <c r="L1135" s="706" t="n">
        <v>11279</v>
      </c>
      <c r="M1135" s="706" t="n">
        <v>2005</v>
      </c>
      <c r="N1135" s="706" t="n"/>
      <c r="O1135" s="706" t="n"/>
      <c r="P1135" s="706" t="n"/>
      <c r="Q1135" s="706" t="n"/>
      <c r="R1135" s="706" t="n"/>
      <c r="S1135" s="706" t="n">
        <v>49658</v>
      </c>
      <c r="T1135" s="706">
        <f>S1135/J1135</f>
        <v/>
      </c>
      <c r="U1135" s="706" t="n"/>
      <c r="V1135" s="706" t="n"/>
      <c r="W1135" s="706" t="n"/>
      <c r="X1135" s="706" t="n"/>
      <c r="Y1135" s="706" t="n">
        <v>2937604</v>
      </c>
      <c r="Z1135" s="706" t="n"/>
      <c r="AA1135" s="706" t="n">
        <v>2937604</v>
      </c>
      <c r="AB1135" s="706" t="inlineStr">
        <is>
          <t>KinderCare — Daycare; src: Retail_Sales_Cleaned</t>
        </is>
      </c>
      <c r="AC1135" s="706" t="inlineStr">
        <is>
          <t>R4793707</t>
        </is>
      </c>
      <c r="AD1135" s="706" t="n"/>
      <c r="AE1135" s="706" t="n"/>
      <c r="AF1135" s="706" t="n"/>
      <c r="AG1135" s="706" t="n"/>
      <c r="AH1135" s="706" t="n"/>
      <c r="AI1135" s="706">
        <f>IF(AND($E1135=Subj_OccCode,Subj_BldgSF&gt;0,ABS($L1135-Subj_BldgSF)&lt;=Subj_BldgSF*Subj_SizeTol),ABS($L1135-Subj_BldgSF),NA())</f>
        <v/>
      </c>
      <c r="AJ1135" s="706">
        <f>IF(ISNA(AI1135),NA(),AI1135+ROW()/10000000)</f>
        <v/>
      </c>
      <c r="AK1135" s="706">
        <f>IF(AND(ISNUMBER($N1135),$N1135&gt;0,ISNUMBER($Y1135)),$Y1135/$N1135,"")</f>
        <v/>
      </c>
      <c r="AL1135" s="706" t="n"/>
      <c r="AM1135" s="706" t="n"/>
      <c r="AN1135" s="706" t="n"/>
    </row>
    <row r="1136">
      <c r="A1136" s="706" t="n">
        <v>8</v>
      </c>
      <c r="B1136" s="706" t="n">
        <v>1132</v>
      </c>
      <c r="C1136" s="706" t="n"/>
      <c r="D1136" s="706" t="inlineStr">
        <is>
          <t>3721 W SERVICE RD</t>
        </is>
      </c>
      <c r="E1136" s="706" t="n">
        <v>325</v>
      </c>
      <c r="F1136" s="706" t="inlineStr">
        <is>
          <t>EVANS</t>
        </is>
      </c>
      <c r="G1136" s="706" t="n"/>
      <c r="H1136" s="706">
        <f>Y1136/J1136</f>
        <v/>
      </c>
      <c r="I1136" s="707" t="n">
        <v>44540</v>
      </c>
      <c r="J1136" s="706" t="n">
        <v>2400</v>
      </c>
      <c r="K1136" s="706" t="n"/>
      <c r="L1136" s="706" t="n">
        <v>2400</v>
      </c>
      <c r="M1136" s="706" t="n">
        <v>1958</v>
      </c>
      <c r="N1136" s="706" t="n"/>
      <c r="O1136" s="706" t="n"/>
      <c r="P1136" s="706" t="n"/>
      <c r="Q1136" s="706" t="n"/>
      <c r="R1136" s="706" t="n"/>
      <c r="S1136" s="706" t="n">
        <v>22216</v>
      </c>
      <c r="T1136" s="706">
        <f>S1136/J1136</f>
        <v/>
      </c>
      <c r="U1136" s="706" t="n"/>
      <c r="V1136" s="706" t="n"/>
      <c r="W1136" s="706" t="n"/>
      <c r="X1136" s="706" t="n"/>
      <c r="Y1136" s="706" t="n">
        <v>700000</v>
      </c>
      <c r="Z1136" s="706" t="n"/>
      <c r="AA1136" s="706" t="n">
        <v>700000</v>
      </c>
      <c r="AB1136" s="706" t="inlineStr">
        <is>
          <t>Lugnut Auto Repair — Auto Service; src: Retail_Sales_Cleaned</t>
        </is>
      </c>
      <c r="AC1136" s="706" t="inlineStr">
        <is>
          <t>096129207007</t>
        </is>
      </c>
      <c r="AD1136" s="706" t="n"/>
      <c r="AE1136" s="706" t="n"/>
      <c r="AF1136" s="706" t="n"/>
      <c r="AG1136" s="706" t="n"/>
      <c r="AH1136" s="706" t="n"/>
      <c r="AI1136" s="706">
        <f>IF(AND($E1136=Subj_OccCode,Subj_BldgSF&gt;0,ABS($L1136-Subj_BldgSF)&lt;=Subj_BldgSF*Subj_SizeTol),ABS($L1136-Subj_BldgSF),NA())</f>
        <v/>
      </c>
      <c r="AJ1136" s="706">
        <f>IF(ISNA(AI1136),NA(),AI1136+ROW()/10000000)</f>
        <v/>
      </c>
      <c r="AK1136" s="706">
        <f>IF(AND(ISNUMBER($N1136),$N1136&gt;0,ISNUMBER($Y1136)),$Y1136/$N1136,"")</f>
        <v/>
      </c>
      <c r="AL1136" s="706" t="n"/>
      <c r="AM1136" s="706" t="n"/>
      <c r="AN1136" s="706" t="n"/>
    </row>
    <row r="1137">
      <c r="A1137" s="706" t="n">
        <v>8</v>
      </c>
      <c r="B1137" s="706" t="n">
        <v>1133</v>
      </c>
      <c r="C1137" s="706" t="n"/>
      <c r="D1137" s="706" t="inlineStr">
        <is>
          <t>8100 COLORADO BLVD</t>
        </is>
      </c>
      <c r="E1137" s="706" t="n">
        <v>410</v>
      </c>
      <c r="F1137" s="706" t="inlineStr">
        <is>
          <t>FIRESTONE</t>
        </is>
      </c>
      <c r="G1137" s="706" t="n"/>
      <c r="H1137" s="706">
        <f>Y1137/J1137</f>
        <v/>
      </c>
      <c r="I1137" s="707" t="n">
        <v>44512</v>
      </c>
      <c r="J1137" s="706" t="n">
        <v>9831</v>
      </c>
      <c r="K1137" s="706" t="n"/>
      <c r="L1137" s="706" t="n">
        <v>9831</v>
      </c>
      <c r="M1137" s="706" t="n">
        <v>2016</v>
      </c>
      <c r="N1137" s="706" t="n"/>
      <c r="O1137" s="706" t="n"/>
      <c r="P1137" s="706" t="n"/>
      <c r="Q1137" s="706" t="n"/>
      <c r="R1137" s="706" t="n"/>
      <c r="S1137" s="706" t="n">
        <v>77537</v>
      </c>
      <c r="T1137" s="706">
        <f>S1137/J1137</f>
        <v/>
      </c>
      <c r="U1137" s="706" t="n"/>
      <c r="V1137" s="706" t="n"/>
      <c r="W1137" s="706" t="n"/>
      <c r="X1137" s="706" t="n"/>
      <c r="Y1137" s="706" t="n">
        <v>2000000</v>
      </c>
      <c r="Z1137" s="706" t="n"/>
      <c r="AA1137" s="706" t="n">
        <v>2000000</v>
      </c>
      <c r="AB1137" s="706" t="inlineStr">
        <is>
          <t>Midas Tri-Town — Auto Service; src: Retail_Sales_Cleaned</t>
        </is>
      </c>
      <c r="AC1137" s="706" t="inlineStr">
        <is>
          <t>131119304003</t>
        </is>
      </c>
      <c r="AD1137" s="706" t="n"/>
      <c r="AE1137" s="706" t="n"/>
      <c r="AF1137" s="706" t="n"/>
      <c r="AG1137" s="706" t="n"/>
      <c r="AH1137" s="706" t="n"/>
      <c r="AI1137" s="706">
        <f>IF(AND($E1137=Subj_OccCode,Subj_BldgSF&gt;0,ABS($L1137-Subj_BldgSF)&lt;=Subj_BldgSF*Subj_SizeTol),ABS($L1137-Subj_BldgSF),NA())</f>
        <v/>
      </c>
      <c r="AJ1137" s="706">
        <f>IF(ISNA(AI1137),NA(),AI1137+ROW()/10000000)</f>
        <v/>
      </c>
      <c r="AK1137" s="706">
        <f>IF(AND(ISNUMBER($N1137),$N1137&gt;0,ISNUMBER($Y1137)),$Y1137/$N1137,"")</f>
        <v/>
      </c>
      <c r="AL1137" s="706" t="n"/>
      <c r="AM1137" s="706" t="n"/>
      <c r="AN1137" s="706" t="n"/>
    </row>
    <row r="1138">
      <c r="A1138" s="706" t="n">
        <v>8</v>
      </c>
      <c r="B1138" s="706" t="n">
        <v>1134</v>
      </c>
      <c r="C1138" s="706" t="n"/>
      <c r="D1138" s="706" t="inlineStr">
        <is>
          <t>3803 10TH ST</t>
        </is>
      </c>
      <c r="E1138" s="706" t="n">
        <v>325</v>
      </c>
      <c r="F1138" s="706" t="inlineStr">
        <is>
          <t>GREELEY</t>
        </is>
      </c>
      <c r="G1138" s="706" t="n"/>
      <c r="H1138" s="706">
        <f>Y1138/J1138</f>
        <v/>
      </c>
      <c r="I1138" s="707" t="n">
        <v>45237</v>
      </c>
      <c r="J1138" s="706" t="n">
        <v>8190</v>
      </c>
      <c r="K1138" s="706" t="n"/>
      <c r="L1138" s="706" t="n">
        <v>8190</v>
      </c>
      <c r="M1138" s="706" t="n">
        <v>1972</v>
      </c>
      <c r="N1138" s="706" t="n"/>
      <c r="O1138" s="706" t="n"/>
      <c r="P1138" s="706" t="n"/>
      <c r="Q1138" s="706" t="n"/>
      <c r="R1138" s="706" t="n"/>
      <c r="S1138" s="706" t="n">
        <v>44867</v>
      </c>
      <c r="T1138" s="706">
        <f>S1138/J1138</f>
        <v/>
      </c>
      <c r="U1138" s="706" t="n"/>
      <c r="V1138" s="706" t="n"/>
      <c r="W1138" s="706" t="n"/>
      <c r="X1138" s="706" t="n"/>
      <c r="Y1138" s="706" t="n">
        <v>1250000</v>
      </c>
      <c r="Z1138" s="706" t="n"/>
      <c r="AA1138" s="706" t="n">
        <v>1250000</v>
      </c>
      <c r="AB1138" s="706" t="inlineStr">
        <is>
          <t>Peak Kia — Auto Service; src: Retail_Sales_Cleaned</t>
        </is>
      </c>
      <c r="AC1138" s="706" t="inlineStr">
        <is>
          <t>095902440008</t>
        </is>
      </c>
      <c r="AD1138" s="706" t="n"/>
      <c r="AE1138" s="706" t="n"/>
      <c r="AF1138" s="706" t="n"/>
      <c r="AG1138" s="706" t="n"/>
      <c r="AH1138" s="706" t="n"/>
      <c r="AI1138" s="706">
        <f>IF(AND($E1138=Subj_OccCode,Subj_BldgSF&gt;0,ABS($L1138-Subj_BldgSF)&lt;=Subj_BldgSF*Subj_SizeTol),ABS($L1138-Subj_BldgSF),NA())</f>
        <v/>
      </c>
      <c r="AJ1138" s="706">
        <f>IF(ISNA(AI1138),NA(),AI1138+ROW()/10000000)</f>
        <v/>
      </c>
      <c r="AK1138" s="706">
        <f>IF(AND(ISNUMBER($N1138),$N1138&gt;0,ISNUMBER($Y1138)),$Y1138/$N1138,"")</f>
        <v/>
      </c>
      <c r="AL1138" s="706" t="n"/>
      <c r="AM1138" s="706" t="n"/>
      <c r="AN1138" s="706" t="n"/>
    </row>
    <row r="1139">
      <c r="A1139" s="706" t="n">
        <v>8</v>
      </c>
      <c r="B1139" s="706" t="n">
        <v>1135</v>
      </c>
      <c r="C1139" s="706" t="n"/>
      <c r="D1139" s="706" t="inlineStr">
        <is>
          <t>4514 CENTERPLACE DR</t>
        </is>
      </c>
      <c r="E1139" s="706" t="n">
        <v>414</v>
      </c>
      <c r="F1139" s="706" t="inlineStr">
        <is>
          <t>GREELEY</t>
        </is>
      </c>
      <c r="G1139" s="706" t="n"/>
      <c r="H1139" s="706">
        <f>Y1139/J1139</f>
        <v/>
      </c>
      <c r="I1139" s="707" t="n">
        <v>45356</v>
      </c>
      <c r="J1139" s="706" t="n">
        <v>6664</v>
      </c>
      <c r="K1139" s="706" t="n"/>
      <c r="L1139" s="706" t="n">
        <v>6664</v>
      </c>
      <c r="M1139" s="706" t="n">
        <v>2003</v>
      </c>
      <c r="N1139" s="706" t="n"/>
      <c r="O1139" s="706" t="n"/>
      <c r="P1139" s="706" t="n"/>
      <c r="Q1139" s="706" t="n"/>
      <c r="R1139" s="706" t="n"/>
      <c r="S1139" s="706" t="n">
        <v>56384</v>
      </c>
      <c r="T1139" s="706">
        <f>S1139/J1139</f>
        <v/>
      </c>
      <c r="U1139" s="706" t="n"/>
      <c r="V1139" s="706" t="n"/>
      <c r="W1139" s="706" t="n"/>
      <c r="X1139" s="706" t="n"/>
      <c r="Y1139" s="706" t="n">
        <v>3454900</v>
      </c>
      <c r="Z1139" s="706" t="n"/>
      <c r="AA1139" s="706" t="n">
        <v>3454900</v>
      </c>
      <c r="AB1139" s="706" t="inlineStr">
        <is>
          <t>Red Robin — Retail Center; Bulk/Portfolio Sale,Sale Leaseback; src: Retail_Sales_Cleaned</t>
        </is>
      </c>
      <c r="AC1139" s="706" t="inlineStr">
        <is>
          <t>095914308007</t>
        </is>
      </c>
      <c r="AD1139" s="706" t="n"/>
      <c r="AE1139" s="706" t="n"/>
      <c r="AF1139" s="706" t="n"/>
      <c r="AG1139" s="706" t="n"/>
      <c r="AH1139" s="706" t="n"/>
      <c r="AI1139" s="706">
        <f>IF(AND($E1139=Subj_OccCode,Subj_BldgSF&gt;0,ABS($L1139-Subj_BldgSF)&lt;=Subj_BldgSF*Subj_SizeTol),ABS($L1139-Subj_BldgSF),NA())</f>
        <v/>
      </c>
      <c r="AJ1139" s="706">
        <f>IF(ISNA(AI1139),NA(),AI1139+ROW()/10000000)</f>
        <v/>
      </c>
      <c r="AK1139" s="706">
        <f>IF(AND(ISNUMBER($N1139),$N1139&gt;0,ISNUMBER($Y1139)),$Y1139/$N1139,"")</f>
        <v/>
      </c>
      <c r="AL1139" s="706" t="n"/>
      <c r="AM1139" s="706" t="n"/>
      <c r="AN1139" s="706" t="n"/>
    </row>
    <row r="1140">
      <c r="A1140" s="706" t="n">
        <v>8</v>
      </c>
      <c r="B1140" s="706" t="n">
        <v>1136</v>
      </c>
      <c r="C1140" s="706" t="n"/>
      <c r="D1140" s="706" t="inlineStr">
        <is>
          <t>1570 MAIN ST</t>
        </is>
      </c>
      <c r="E1140" s="706" t="n">
        <v>349</v>
      </c>
      <c r="F1140" s="706" t="inlineStr">
        <is>
          <t>WINDSOR</t>
        </is>
      </c>
      <c r="G1140" s="706" t="n"/>
      <c r="H1140" s="706">
        <f>Y1140/J1140</f>
        <v/>
      </c>
      <c r="I1140" s="707" t="n">
        <v>42949</v>
      </c>
      <c r="J1140" s="706" t="n">
        <v>2200</v>
      </c>
      <c r="K1140" s="706" t="n"/>
      <c r="L1140" s="706" t="n">
        <v>2200</v>
      </c>
      <c r="M1140" s="706" t="n">
        <v>2017</v>
      </c>
      <c r="N1140" s="706" t="n"/>
      <c r="O1140" s="706" t="n"/>
      <c r="P1140" s="706" t="n"/>
      <c r="Q1140" s="706" t="n"/>
      <c r="R1140" s="706" t="n"/>
      <c r="S1140" s="706" t="n">
        <v>32234</v>
      </c>
      <c r="T1140" s="706">
        <f>S1140/J1140</f>
        <v/>
      </c>
      <c r="U1140" s="706" t="n"/>
      <c r="V1140" s="706" t="n"/>
      <c r="W1140" s="706" t="n"/>
      <c r="X1140" s="706" t="n"/>
      <c r="Y1140" s="706" t="n">
        <v>2555500</v>
      </c>
      <c r="Z1140" s="706" t="n"/>
      <c r="AA1140" s="706" t="n">
        <v>2555500</v>
      </c>
      <c r="AB1140" s="706" t="inlineStr">
        <is>
          <t>Starbucks — Coffee [Out of Time Frame]; 1031 Exchange; src: Retail_Sales_Cleaned</t>
        </is>
      </c>
      <c r="AC1140" s="706" t="inlineStr">
        <is>
          <t>080718402007</t>
        </is>
      </c>
      <c r="AD1140" s="706" t="n"/>
      <c r="AE1140" s="706" t="n"/>
      <c r="AF1140" s="706" t="n"/>
      <c r="AG1140" s="706" t="n"/>
      <c r="AH1140" s="706" t="n"/>
      <c r="AI1140" s="706">
        <f>IF(AND($E1140=Subj_OccCode,Subj_BldgSF&gt;0,ABS($L1140-Subj_BldgSF)&lt;=Subj_BldgSF*Subj_SizeTol),ABS($L1140-Subj_BldgSF),NA())</f>
        <v/>
      </c>
      <c r="AJ1140" s="706">
        <f>IF(ISNA(AI1140),NA(),AI1140+ROW()/10000000)</f>
        <v/>
      </c>
      <c r="AK1140" s="706">
        <f>IF(AND(ISNUMBER($N1140),$N1140&gt;0,ISNUMBER($Y1140)),$Y1140/$N1140,"")</f>
        <v/>
      </c>
      <c r="AL1140" s="706" t="n"/>
      <c r="AM1140" s="706" t="n"/>
      <c r="AN1140" s="706" t="n"/>
    </row>
    <row r="1141">
      <c r="A1141" s="706" t="n">
        <v>8</v>
      </c>
      <c r="B1141" s="706" t="n">
        <v>1137</v>
      </c>
      <c r="C1141" s="706" t="n"/>
      <c r="D1141" s="706" t="inlineStr">
        <is>
          <t>3341 23RD AVE</t>
        </is>
      </c>
      <c r="E1141" s="706" t="n">
        <v>349</v>
      </c>
      <c r="F1141" s="706" t="inlineStr">
        <is>
          <t>EVANS</t>
        </is>
      </c>
      <c r="G1141" s="706" t="n"/>
      <c r="H1141" s="706">
        <f>Y1141/J1141</f>
        <v/>
      </c>
      <c r="I1141" s="707" t="n">
        <v>45538</v>
      </c>
      <c r="J1141" s="706" t="n">
        <v>2425</v>
      </c>
      <c r="K1141" s="706" t="n"/>
      <c r="L1141" s="706" t="n">
        <v>2425</v>
      </c>
      <c r="M1141" s="706" t="n">
        <v>2024</v>
      </c>
      <c r="N1141" s="706" t="n"/>
      <c r="O1141" s="706" t="n"/>
      <c r="P1141" s="706" t="n"/>
      <c r="Q1141" s="706" t="n"/>
      <c r="R1141" s="706" t="n"/>
      <c r="S1141" s="706" t="n">
        <v>38768</v>
      </c>
      <c r="T1141" s="706">
        <f>S1141/J1141</f>
        <v/>
      </c>
      <c r="U1141" s="706" t="n"/>
      <c r="V1141" s="706" t="n"/>
      <c r="W1141" s="706" t="n"/>
      <c r="X1141" s="706" t="n"/>
      <c r="Y1141" s="706" t="n">
        <v>2641000</v>
      </c>
      <c r="Z1141" s="706" t="n"/>
      <c r="AA1141" s="706" t="n">
        <v>2641000</v>
      </c>
      <c r="AB1141" s="706" t="inlineStr">
        <is>
          <t>Starbucks — Coffee; Investment Triple Net; src: Retail_Sales_Cleaned</t>
        </is>
      </c>
      <c r="AC1141" s="706" t="inlineStr">
        <is>
          <t>095924420003</t>
        </is>
      </c>
      <c r="AD1141" s="706" t="n"/>
      <c r="AE1141" s="706" t="n"/>
      <c r="AF1141" s="706" t="n"/>
      <c r="AG1141" s="706" t="n"/>
      <c r="AH1141" s="706" t="n"/>
      <c r="AI1141" s="706">
        <f>IF(AND($E1141=Subj_OccCode,Subj_BldgSF&gt;0,ABS($L1141-Subj_BldgSF)&lt;=Subj_BldgSF*Subj_SizeTol),ABS($L1141-Subj_BldgSF),NA())</f>
        <v/>
      </c>
      <c r="AJ1141" s="706">
        <f>IF(ISNA(AI1141),NA(),AI1141+ROW()/10000000)</f>
        <v/>
      </c>
      <c r="AK1141" s="706">
        <f>IF(AND(ISNUMBER($N1141),$N1141&gt;0,ISNUMBER($Y1141)),$Y1141/$N1141,"")</f>
        <v/>
      </c>
      <c r="AL1141" s="706" t="n"/>
      <c r="AM1141" s="706" t="n"/>
      <c r="AN1141" s="706" t="n"/>
    </row>
    <row r="1142">
      <c r="A1142" s="706" t="n">
        <v>8</v>
      </c>
      <c r="B1142" s="706" t="n">
        <v>1138</v>
      </c>
      <c r="C1142" s="706" t="n"/>
      <c r="D1142" s="706" t="inlineStr">
        <is>
          <t>3250 23RD AVE</t>
        </is>
      </c>
      <c r="E1142" s="706" t="n">
        <v>349</v>
      </c>
      <c r="F1142" s="706" t="inlineStr">
        <is>
          <t>EVANS</t>
        </is>
      </c>
      <c r="G1142" s="706" t="n"/>
      <c r="H1142" s="706">
        <f>Y1142/J1142</f>
        <v/>
      </c>
      <c r="I1142" s="707" t="n">
        <v>44627</v>
      </c>
      <c r="J1142" s="706" t="n">
        <v>1976</v>
      </c>
      <c r="K1142" s="706" t="n"/>
      <c r="L1142" s="706" t="n">
        <v>1976</v>
      </c>
      <c r="M1142" s="706" t="n">
        <v>2002</v>
      </c>
      <c r="N1142" s="706" t="n"/>
      <c r="O1142" s="706" t="n"/>
      <c r="P1142" s="706" t="n"/>
      <c r="Q1142" s="706" t="n"/>
      <c r="R1142" s="706" t="n"/>
      <c r="S1142" s="706" t="n">
        <v>17385</v>
      </c>
      <c r="T1142" s="706">
        <f>S1142/J1142</f>
        <v/>
      </c>
      <c r="U1142" s="706" t="n"/>
      <c r="V1142" s="706" t="n"/>
      <c r="W1142" s="706" t="n"/>
      <c r="X1142" s="706" t="n"/>
      <c r="Y1142" s="706" t="n">
        <v>1900000</v>
      </c>
      <c r="Z1142" s="706" t="n"/>
      <c r="AA1142" s="706" t="n">
        <v>1900000</v>
      </c>
      <c r="AB1142" s="706" t="inlineStr">
        <is>
          <t>Subway — Fast Food; src: Retail_Sales_Cleaned</t>
        </is>
      </c>
      <c r="AC1142" s="706" t="inlineStr">
        <is>
          <t>095923370002</t>
        </is>
      </c>
      <c r="AD1142" s="706" t="n"/>
      <c r="AE1142" s="706" t="n"/>
      <c r="AF1142" s="706" t="n"/>
      <c r="AG1142" s="706" t="n"/>
      <c r="AH1142" s="706" t="n"/>
      <c r="AI1142" s="706">
        <f>IF(AND($E1142=Subj_OccCode,Subj_BldgSF&gt;0,ABS($L1142-Subj_BldgSF)&lt;=Subj_BldgSF*Subj_SizeTol),ABS($L1142-Subj_BldgSF),NA())</f>
        <v/>
      </c>
      <c r="AJ1142" s="706">
        <f>IF(ISNA(AI1142),NA(),AI1142+ROW()/10000000)</f>
        <v/>
      </c>
      <c r="AK1142" s="706">
        <f>IF(AND(ISNUMBER($N1142),$N1142&gt;0,ISNUMBER($Y1142)),$Y1142/$N1142,"")</f>
        <v/>
      </c>
      <c r="AL1142" s="706" t="n"/>
      <c r="AM1142" s="706" t="n"/>
      <c r="AN1142" s="706" t="n"/>
    </row>
    <row r="1143">
      <c r="A1143" s="706" t="n">
        <v>8</v>
      </c>
      <c r="B1143" s="706" t="n">
        <v>1139</v>
      </c>
      <c r="C1143" s="706" t="n"/>
      <c r="D1143" s="706" t="inlineStr">
        <is>
          <t>101 12TH ST</t>
        </is>
      </c>
      <c r="E1143" s="706" t="n">
        <v>349</v>
      </c>
      <c r="F1143" s="706" t="inlineStr">
        <is>
          <t>WINDSOR</t>
        </is>
      </c>
      <c r="G1143" s="706" t="n"/>
      <c r="H1143" s="706">
        <f>Y1143/J1143</f>
        <v/>
      </c>
      <c r="I1143" s="707" t="n">
        <v>44251</v>
      </c>
      <c r="J1143" s="706" t="n">
        <v>2405</v>
      </c>
      <c r="K1143" s="706" t="n"/>
      <c r="L1143" s="706" t="n">
        <v>2405</v>
      </c>
      <c r="M1143" s="706" t="n">
        <v>2003</v>
      </c>
      <c r="N1143" s="706" t="n"/>
      <c r="O1143" s="706" t="n"/>
      <c r="P1143" s="706" t="n"/>
      <c r="Q1143" s="706" t="n"/>
      <c r="R1143" s="706" t="n"/>
      <c r="S1143" s="706" t="n">
        <v>30492</v>
      </c>
      <c r="T1143" s="706">
        <f>S1143/J1143</f>
        <v/>
      </c>
      <c r="U1143" s="706" t="n"/>
      <c r="V1143" s="706" t="n"/>
      <c r="W1143" s="706" t="n"/>
      <c r="X1143" s="706" t="n"/>
      <c r="Y1143" s="706" t="n">
        <v>2000000</v>
      </c>
      <c r="Z1143" s="706" t="n"/>
      <c r="AA1143" s="706" t="n">
        <v>2000000</v>
      </c>
      <c r="AB1143" s="706" t="inlineStr">
        <is>
          <t>Taco Bell — Fast Food [Paired Sale]; src: Retail_Sales_Cleaned</t>
        </is>
      </c>
      <c r="AC1143" s="706" t="inlineStr">
        <is>
          <t>080717301002</t>
        </is>
      </c>
      <c r="AD1143" s="706" t="n"/>
      <c r="AE1143" s="706" t="n"/>
      <c r="AF1143" s="706" t="n"/>
      <c r="AG1143" s="706" t="n"/>
      <c r="AH1143" s="706" t="n"/>
      <c r="AI1143" s="706">
        <f>IF(AND($E1143=Subj_OccCode,Subj_BldgSF&gt;0,ABS($L1143-Subj_BldgSF)&lt;=Subj_BldgSF*Subj_SizeTol),ABS($L1143-Subj_BldgSF),NA())</f>
        <v/>
      </c>
      <c r="AJ1143" s="706">
        <f>IF(ISNA(AI1143),NA(),AI1143+ROW()/10000000)</f>
        <v/>
      </c>
      <c r="AK1143" s="706">
        <f>IF(AND(ISNUMBER($N1143),$N1143&gt;0,ISNUMBER($Y1143)),$Y1143/$N1143,"")</f>
        <v/>
      </c>
      <c r="AL1143" s="706" t="n"/>
      <c r="AM1143" s="706" t="n"/>
      <c r="AN1143" s="706" t="n"/>
    </row>
    <row r="1144">
      <c r="A1144" s="706" t="n">
        <v>8</v>
      </c>
      <c r="B1144" s="706" t="n">
        <v>1140</v>
      </c>
      <c r="C1144" s="706" t="n"/>
      <c r="D1144" s="706" t="inlineStr">
        <is>
          <t>101 12TH ST</t>
        </is>
      </c>
      <c r="E1144" s="706" t="n">
        <v>349</v>
      </c>
      <c r="F1144" s="706" t="inlineStr">
        <is>
          <t>WINDSOR</t>
        </is>
      </c>
      <c r="G1144" s="706" t="n"/>
      <c r="H1144" s="706">
        <f>Y1144/J1144</f>
        <v/>
      </c>
      <c r="I1144" s="707" t="n">
        <v>45027</v>
      </c>
      <c r="J1144" s="706" t="n">
        <v>2405</v>
      </c>
      <c r="K1144" s="706" t="n"/>
      <c r="L1144" s="706" t="n">
        <v>2405</v>
      </c>
      <c r="M1144" s="706" t="n">
        <v>2003</v>
      </c>
      <c r="N1144" s="706" t="n"/>
      <c r="O1144" s="706" t="n"/>
      <c r="P1144" s="706" t="n"/>
      <c r="Q1144" s="706" t="n"/>
      <c r="R1144" s="706" t="n"/>
      <c r="S1144" s="706" t="n">
        <v>30492</v>
      </c>
      <c r="T1144" s="706">
        <f>S1144/J1144</f>
        <v/>
      </c>
      <c r="U1144" s="706" t="n"/>
      <c r="V1144" s="706" t="n"/>
      <c r="W1144" s="706" t="n"/>
      <c r="X1144" s="706" t="n"/>
      <c r="Y1144" s="706" t="n">
        <v>2000000</v>
      </c>
      <c r="Z1144" s="706" t="n"/>
      <c r="AA1144" s="706" t="n">
        <v>2000000</v>
      </c>
      <c r="AB1144" s="706" t="inlineStr">
        <is>
          <t>Taco Bell — Fast Food; src: Retail_Sales_Cleaned</t>
        </is>
      </c>
      <c r="AC1144" s="706" t="inlineStr">
        <is>
          <t>080717301002</t>
        </is>
      </c>
      <c r="AD1144" s="706" t="n"/>
      <c r="AE1144" s="706" t="n"/>
      <c r="AF1144" s="706" t="n"/>
      <c r="AG1144" s="706" t="n"/>
      <c r="AH1144" s="706" t="n"/>
      <c r="AI1144" s="706">
        <f>IF(AND($E1144=Subj_OccCode,Subj_BldgSF&gt;0,ABS($L1144-Subj_BldgSF)&lt;=Subj_BldgSF*Subj_SizeTol),ABS($L1144-Subj_BldgSF),NA())</f>
        <v/>
      </c>
      <c r="AJ1144" s="706">
        <f>IF(ISNA(AI1144),NA(),AI1144+ROW()/10000000)</f>
        <v/>
      </c>
      <c r="AK1144" s="706">
        <f>IF(AND(ISNUMBER($N1144),$N1144&gt;0,ISNUMBER($Y1144)),$Y1144/$N1144,"")</f>
        <v/>
      </c>
      <c r="AL1144" s="706" t="n"/>
      <c r="AM1144" s="706" t="n"/>
      <c r="AN1144" s="706" t="n"/>
    </row>
    <row r="1145">
      <c r="A1145" s="706" t="n">
        <v>8</v>
      </c>
      <c r="B1145" s="706" t="n">
        <v>1141</v>
      </c>
      <c r="C1145" s="706" t="inlineStr">
        <is>
          <t>R0165590</t>
        </is>
      </c>
      <c r="D1145" s="706" t="inlineStr">
        <is>
          <t>2508 11TH AVE</t>
        </is>
      </c>
      <c r="E1145" s="706" t="n">
        <v>349</v>
      </c>
      <c r="F1145" s="706" t="inlineStr">
        <is>
          <t>GREELEY</t>
        </is>
      </c>
      <c r="G1145" s="706" t="n"/>
      <c r="H1145" s="706">
        <f>Y1145/J1145</f>
        <v/>
      </c>
      <c r="I1145" s="707" t="n">
        <v>44995</v>
      </c>
      <c r="J1145" s="706" t="n">
        <v>2327</v>
      </c>
      <c r="K1145" s="706" t="n"/>
      <c r="L1145" s="706" t="n">
        <v>2327</v>
      </c>
      <c r="M1145" s="706" t="n">
        <v>1990</v>
      </c>
      <c r="N1145" s="706" t="n"/>
      <c r="O1145" s="706" t="n"/>
      <c r="P1145" s="706" t="n"/>
      <c r="Q1145" s="706" t="n"/>
      <c r="R1145" s="706" t="n"/>
      <c r="S1145" s="706" t="n">
        <v>20037</v>
      </c>
      <c r="T1145" s="706">
        <f>S1145/J1145</f>
        <v/>
      </c>
      <c r="U1145" s="706" t="n"/>
      <c r="V1145" s="706" t="n"/>
      <c r="W1145" s="706" t="n"/>
      <c r="X1145" s="706" t="n"/>
      <c r="Y1145" s="706" t="n">
        <v>1900000</v>
      </c>
      <c r="Z1145" s="706" t="n"/>
      <c r="AA1145" s="706" t="n">
        <v>1900000</v>
      </c>
      <c r="AB1145" s="706" t="inlineStr">
        <is>
          <t>Taco John's — Fast Food; 1031 Exchange,Investment Triple Net,Sale Leaseback; src: Retail_Sales_Cleaned</t>
        </is>
      </c>
      <c r="AC1145" s="706" t="inlineStr">
        <is>
          <t>R0165590</t>
        </is>
      </c>
      <c r="AD1145" s="706" t="n"/>
      <c r="AE1145" s="706" t="n"/>
      <c r="AF1145" s="706" t="n"/>
      <c r="AG1145" s="706" t="n"/>
      <c r="AH1145" s="706" t="n"/>
      <c r="AI1145" s="706">
        <f>IF(AND($E1145=Subj_OccCode,Subj_BldgSF&gt;0,ABS($L1145-Subj_BldgSF)&lt;=Subj_BldgSF*Subj_SizeTol),ABS($L1145-Subj_BldgSF),NA())</f>
        <v/>
      </c>
      <c r="AJ1145" s="706">
        <f>IF(ISNA(AI1145),NA(),AI1145+ROW()/10000000)</f>
        <v/>
      </c>
      <c r="AK1145" s="706">
        <f>IF(AND(ISNUMBER($N1145),$N1145&gt;0,ISNUMBER($Y1145)),$Y1145/$N1145,"")</f>
        <v/>
      </c>
      <c r="AL1145" s="706" t="n"/>
      <c r="AM1145" s="706" t="n"/>
      <c r="AN1145" s="706" t="n"/>
    </row>
    <row r="1146">
      <c r="A1146" s="706" t="n">
        <v>8</v>
      </c>
      <c r="B1146" s="706" t="n">
        <v>1142</v>
      </c>
      <c r="C1146" s="706" t="inlineStr">
        <is>
          <t>R5218908</t>
        </is>
      </c>
      <c r="D1146" s="706" t="inlineStr">
        <is>
          <t>10935 COLORADO BLVD</t>
        </is>
      </c>
      <c r="E1146" s="706" t="n">
        <v>426</v>
      </c>
      <c r="F1146" s="706" t="inlineStr">
        <is>
          <t>FIRESTONE</t>
        </is>
      </c>
      <c r="G1146" s="706" t="n"/>
      <c r="H1146" s="706">
        <f>Y1146/J1146</f>
        <v/>
      </c>
      <c r="I1146" s="707" t="n">
        <v>45533</v>
      </c>
      <c r="J1146" s="706" t="n">
        <v>10000</v>
      </c>
      <c r="K1146" s="706" t="n"/>
      <c r="L1146" s="706" t="n">
        <v>10000</v>
      </c>
      <c r="M1146" s="706" t="n">
        <v>2023</v>
      </c>
      <c r="N1146" s="706" t="n"/>
      <c r="O1146" s="706" t="n"/>
      <c r="P1146" s="706" t="n"/>
      <c r="Q1146" s="706" t="n"/>
      <c r="R1146" s="706" t="n"/>
      <c r="S1146" s="706" t="n">
        <v>49223</v>
      </c>
      <c r="T1146" s="706">
        <f>S1146/J1146</f>
        <v/>
      </c>
      <c r="U1146" s="706" t="n"/>
      <c r="V1146" s="706" t="n"/>
      <c r="W1146" s="706" t="n"/>
      <c r="X1146" s="706" t="n"/>
      <c r="Y1146" s="706" t="n">
        <v>5450000</v>
      </c>
      <c r="Z1146" s="706" t="n"/>
      <c r="AA1146" s="706" t="n">
        <v>5450000</v>
      </c>
      <c r="AB1146" s="706" t="inlineStr">
        <is>
          <t>The Learning Experience — Daycare; Investment Triple Net; src: Retail_Sales_Cleaned</t>
        </is>
      </c>
      <c r="AC1146" s="706" t="inlineStr">
        <is>
          <t>R5218908</t>
        </is>
      </c>
      <c r="AD1146" s="706" t="n"/>
      <c r="AE1146" s="706" t="n"/>
      <c r="AF1146" s="706" t="n"/>
      <c r="AG1146" s="706" t="n"/>
      <c r="AH1146" s="706" t="n"/>
      <c r="AI1146" s="706">
        <f>IF(AND($E1146=Subj_OccCode,Subj_BldgSF&gt;0,ABS($L1146-Subj_BldgSF)&lt;=Subj_BldgSF*Subj_SizeTol),ABS($L1146-Subj_BldgSF),NA())</f>
        <v/>
      </c>
      <c r="AJ1146" s="706">
        <f>IF(ISNA(AI1146),NA(),AI1146+ROW()/10000000)</f>
        <v/>
      </c>
      <c r="AK1146" s="706">
        <f>IF(AND(ISNUMBER($N1146),$N1146&gt;0,ISNUMBER($Y1146)),$Y1146/$N1146,"")</f>
        <v/>
      </c>
      <c r="AL1146" s="706" t="n"/>
      <c r="AM1146" s="706" t="n"/>
      <c r="AN1146" s="706" t="n"/>
    </row>
    <row r="1147">
      <c r="A1147" s="706" t="n">
        <v>8</v>
      </c>
      <c r="B1147" s="706" t="n">
        <v>1143</v>
      </c>
      <c r="C1147" s="706" t="n"/>
      <c r="D1147" s="706" t="inlineStr">
        <is>
          <t>1105 11TH AVE</t>
        </is>
      </c>
      <c r="E1147" s="706" t="n">
        <v>410</v>
      </c>
      <c r="F1147" s="706" t="inlineStr">
        <is>
          <t>GREELEY</t>
        </is>
      </c>
      <c r="G1147" s="706" t="n"/>
      <c r="H1147" s="706">
        <f>Y1147/J1147</f>
        <v/>
      </c>
      <c r="I1147" s="707" t="n">
        <v>45300</v>
      </c>
      <c r="J1147" s="706" t="n">
        <v>2144</v>
      </c>
      <c r="K1147" s="706" t="n"/>
      <c r="L1147" s="706" t="n">
        <v>2144</v>
      </c>
      <c r="M1147" s="706" t="n">
        <v>1960</v>
      </c>
      <c r="N1147" s="706" t="n"/>
      <c r="O1147" s="706" t="n"/>
      <c r="P1147" s="706" t="n"/>
      <c r="Q1147" s="706" t="n"/>
      <c r="R1147" s="706" t="n"/>
      <c r="S1147" s="706" t="n">
        <v>9583</v>
      </c>
      <c r="T1147" s="706">
        <f>S1147/J1147</f>
        <v/>
      </c>
      <c r="U1147" s="706" t="n"/>
      <c r="V1147" s="706" t="n"/>
      <c r="W1147" s="706" t="n"/>
      <c r="X1147" s="706" t="n"/>
      <c r="Y1147" s="706" t="n">
        <v>550000</v>
      </c>
      <c r="Z1147" s="706" t="n"/>
      <c r="AA1147" s="706" t="n">
        <v>550000</v>
      </c>
      <c r="AB1147" s="706" t="inlineStr">
        <is>
          <t>Tires 4 Less — Auto Service; src: Retail_Sales_Cleaned</t>
        </is>
      </c>
      <c r="AC1147" s="706" t="inlineStr">
        <is>
          <t>096108206001</t>
        </is>
      </c>
      <c r="AD1147" s="706" t="n"/>
      <c r="AE1147" s="706" t="n"/>
      <c r="AF1147" s="706" t="n"/>
      <c r="AG1147" s="706" t="n"/>
      <c r="AH1147" s="706" t="n"/>
      <c r="AI1147" s="706">
        <f>IF(AND($E1147=Subj_OccCode,Subj_BldgSF&gt;0,ABS($L1147-Subj_BldgSF)&lt;=Subj_BldgSF*Subj_SizeTol),ABS($L1147-Subj_BldgSF),NA())</f>
        <v/>
      </c>
      <c r="AJ1147" s="706">
        <f>IF(ISNA(AI1147),NA(),AI1147+ROW()/10000000)</f>
        <v/>
      </c>
      <c r="AK1147" s="706">
        <f>IF(AND(ISNUMBER($N1147),$N1147&gt;0,ISNUMBER($Y1147)),$Y1147/$N1147,"")</f>
        <v/>
      </c>
      <c r="AL1147" s="706" t="n"/>
      <c r="AM1147" s="706" t="n"/>
      <c r="AN1147" s="706" t="n"/>
    </row>
    <row r="1148">
      <c r="A1148" s="706" t="n">
        <v>8</v>
      </c>
      <c r="B1148" s="706" t="n">
        <v>1144</v>
      </c>
      <c r="C1148" s="706" t="n"/>
      <c r="D1148" s="706" t="inlineStr">
        <is>
          <t>1480 MAIN ST</t>
        </is>
      </c>
      <c r="E1148" s="706" t="n">
        <v>353</v>
      </c>
      <c r="F1148" s="706" t="inlineStr">
        <is>
          <t>WINDSOR</t>
        </is>
      </c>
      <c r="G1148" s="706" t="n"/>
      <c r="H1148" s="706">
        <f>Y1148/J1148</f>
        <v/>
      </c>
      <c r="I1148" s="707" t="n">
        <v>43822</v>
      </c>
      <c r="J1148" s="706" t="n">
        <v>14488</v>
      </c>
      <c r="K1148" s="706" t="n"/>
      <c r="L1148" s="706" t="n">
        <v>14488</v>
      </c>
      <c r="M1148" s="706" t="n">
        <v>2003</v>
      </c>
      <c r="N1148" s="706" t="n"/>
      <c r="O1148" s="706" t="n"/>
      <c r="P1148" s="706" t="n"/>
      <c r="Q1148" s="706" t="n"/>
      <c r="R1148" s="706" t="n"/>
      <c r="S1148" s="706" t="n">
        <v>108900</v>
      </c>
      <c r="T1148" s="706">
        <f>S1148/J1148</f>
        <v/>
      </c>
      <c r="U1148" s="706" t="n"/>
      <c r="V1148" s="706" t="n"/>
      <c r="W1148" s="706" t="n"/>
      <c r="X1148" s="706" t="n"/>
      <c r="Y1148" s="706" t="n">
        <v>5472900</v>
      </c>
      <c r="Z1148" s="706" t="n"/>
      <c r="AA1148" s="706" t="n">
        <v>5472900</v>
      </c>
      <c r="AB1148" s="706" t="inlineStr">
        <is>
          <t>Walgreens — Drugstore; Investment Triple Net; src: Retail_Sales_Cleaned</t>
        </is>
      </c>
      <c r="AC1148" s="706" t="inlineStr">
        <is>
          <t>080717340001</t>
        </is>
      </c>
      <c r="AD1148" s="706" t="n"/>
      <c r="AE1148" s="706" t="n"/>
      <c r="AF1148" s="706" t="n"/>
      <c r="AG1148" s="706" t="n"/>
      <c r="AH1148" s="706" t="n"/>
      <c r="AI1148" s="706">
        <f>IF(AND($E1148=Subj_OccCode,Subj_BldgSF&gt;0,ABS($L1148-Subj_BldgSF)&lt;=Subj_BldgSF*Subj_SizeTol),ABS($L1148-Subj_BldgSF),NA())</f>
        <v/>
      </c>
      <c r="AJ1148" s="706">
        <f>IF(ISNA(AI1148),NA(),AI1148+ROW()/10000000)</f>
        <v/>
      </c>
      <c r="AK1148" s="706">
        <f>IF(AND(ISNUMBER($N1148),$N1148&gt;0,ISNUMBER($Y1148)),$Y1148/$N1148,"")</f>
        <v/>
      </c>
      <c r="AL1148" s="706" t="n"/>
      <c r="AM1148" s="706" t="n"/>
      <c r="AN1148" s="706" t="n"/>
    </row>
    <row r="1149">
      <c r="A1149" s="706" t="n">
        <v>8</v>
      </c>
      <c r="B1149" s="706" t="n">
        <v>1145</v>
      </c>
      <c r="C1149" s="706" t="n"/>
      <c r="D1149" s="706" t="inlineStr">
        <is>
          <t>2600 11TH AVE</t>
        </is>
      </c>
      <c r="E1149" s="706" t="n">
        <v>353</v>
      </c>
      <c r="F1149" s="706" t="inlineStr">
        <is>
          <t>GREELEY</t>
        </is>
      </c>
      <c r="G1149" s="706" t="n"/>
      <c r="H1149" s="706">
        <f>Y1149/J1149</f>
        <v/>
      </c>
      <c r="I1149" s="707" t="n">
        <v>45596</v>
      </c>
      <c r="J1149" s="706" t="n">
        <v>13625</v>
      </c>
      <c r="K1149" s="706" t="n"/>
      <c r="L1149" s="706" t="n">
        <v>13625</v>
      </c>
      <c r="M1149" s="706" t="n">
        <v>2007</v>
      </c>
      <c r="N1149" s="706" t="n"/>
      <c r="O1149" s="706" t="n"/>
      <c r="P1149" s="706" t="n"/>
      <c r="Q1149" s="706" t="n"/>
      <c r="R1149" s="706" t="n"/>
      <c r="S1149" s="706" t="n">
        <v>47480</v>
      </c>
      <c r="T1149" s="706">
        <f>S1149/J1149</f>
        <v/>
      </c>
      <c r="U1149" s="706" t="n"/>
      <c r="V1149" s="706" t="n"/>
      <c r="W1149" s="706" t="n"/>
      <c r="X1149" s="706" t="n"/>
      <c r="Y1149" s="706" t="n">
        <v>3954000</v>
      </c>
      <c r="Z1149" s="706" t="n"/>
      <c r="AA1149" s="706" t="n">
        <v>3954000</v>
      </c>
      <c r="AB1149" s="706" t="inlineStr">
        <is>
          <t>Walgreens — Drugstore; src: Retail_Sales_Cleaned</t>
        </is>
      </c>
      <c r="AC1149" s="706" t="inlineStr">
        <is>
          <t>096117331001</t>
        </is>
      </c>
      <c r="AD1149" s="706" t="n"/>
      <c r="AE1149" s="706" t="n"/>
      <c r="AF1149" s="706" t="n"/>
      <c r="AG1149" s="706" t="n"/>
      <c r="AH1149" s="706" t="n"/>
      <c r="AI1149" s="706">
        <f>IF(AND($E1149=Subj_OccCode,Subj_BldgSF&gt;0,ABS($L1149-Subj_BldgSF)&lt;=Subj_BldgSF*Subj_SizeTol),ABS($L1149-Subj_BldgSF),NA())</f>
        <v/>
      </c>
      <c r="AJ1149" s="706">
        <f>IF(ISNA(AI1149),NA(),AI1149+ROW()/10000000)</f>
        <v/>
      </c>
      <c r="AK1149" s="706">
        <f>IF(AND(ISNUMBER($N1149),$N1149&gt;0,ISNUMBER($Y1149)),$Y1149/$N1149,"")</f>
        <v/>
      </c>
      <c r="AL1149" s="706" t="n"/>
      <c r="AM1149" s="706" t="n"/>
      <c r="AN1149" s="706" t="n"/>
    </row>
    <row r="1150">
      <c r="A1150" s="706" t="n">
        <v>8</v>
      </c>
      <c r="B1150" s="706" t="n">
        <v>1146</v>
      </c>
      <c r="C1150" s="706" t="n"/>
      <c r="D1150" s="706" t="inlineStr">
        <is>
          <t>4644 CENTERPLACE DR</t>
        </is>
      </c>
      <c r="E1150" s="706" t="n">
        <v>349</v>
      </c>
      <c r="F1150" s="706" t="inlineStr">
        <is>
          <t>GREELEY</t>
        </is>
      </c>
      <c r="G1150" s="706" t="n"/>
      <c r="H1150" s="706">
        <f>Y1150/J1150</f>
        <v/>
      </c>
      <c r="I1150" s="707" t="n">
        <v>43748</v>
      </c>
      <c r="J1150" s="706" t="n">
        <v>3599</v>
      </c>
      <c r="K1150" s="706" t="n"/>
      <c r="L1150" s="706" t="n">
        <v>3599</v>
      </c>
      <c r="M1150" s="706" t="n">
        <v>2003</v>
      </c>
      <c r="N1150" s="706" t="n"/>
      <c r="O1150" s="706" t="n"/>
      <c r="P1150" s="706" t="n"/>
      <c r="Q1150" s="706" t="n"/>
      <c r="R1150" s="706" t="n"/>
      <c r="S1150" s="706" t="n">
        <v>47219</v>
      </c>
      <c r="T1150" s="706">
        <f>S1150/J1150</f>
        <v/>
      </c>
      <c r="U1150" s="706" t="n"/>
      <c r="V1150" s="706" t="n"/>
      <c r="W1150" s="706" t="n"/>
      <c r="X1150" s="706" t="n"/>
      <c r="Y1150" s="706" t="n">
        <v>3400000</v>
      </c>
      <c r="Z1150" s="706" t="n"/>
      <c r="AA1150" s="706" t="n">
        <v>3400000</v>
      </c>
      <c r="AB1150" s="706" t="inlineStr">
        <is>
          <t>Wendy's — Fast Food; Business Value Included; src: Retail_Sales_Cleaned</t>
        </is>
      </c>
      <c r="AC1150" s="706" t="inlineStr">
        <is>
          <t>095914308016</t>
        </is>
      </c>
      <c r="AD1150" s="706" t="n"/>
      <c r="AE1150" s="706" t="n"/>
      <c r="AF1150" s="706" t="n"/>
      <c r="AG1150" s="706" t="n"/>
      <c r="AH1150" s="706" t="n"/>
      <c r="AI1150" s="706">
        <f>IF(AND($E1150=Subj_OccCode,Subj_BldgSF&gt;0,ABS($L1150-Subj_BldgSF)&lt;=Subj_BldgSF*Subj_SizeTol),ABS($L1150-Subj_BldgSF),NA())</f>
        <v/>
      </c>
      <c r="AJ1150" s="706">
        <f>IF(ISNA(AI1150),NA(),AI1150+ROW()/10000000)</f>
        <v/>
      </c>
      <c r="AK1150" s="706">
        <f>IF(AND(ISNUMBER($N1150),$N1150&gt;0,ISNUMBER($Y1150)),$Y1150/$N1150,"")</f>
        <v/>
      </c>
      <c r="AL1150" s="706" t="n"/>
      <c r="AM1150" s="706" t="n"/>
      <c r="AN1150" s="706" t="n"/>
    </row>
    <row r="1151">
      <c r="A1151" s="706" t="n">
        <v>8</v>
      </c>
      <c r="B1151" s="706" t="n">
        <v>1147</v>
      </c>
      <c r="C1151" s="706" t="n"/>
      <c r="D1151" s="706" t="inlineStr">
        <is>
          <t>5815 W 20TH ST</t>
        </is>
      </c>
      <c r="E1151" s="706" t="n">
        <v>349</v>
      </c>
      <c r="F1151" s="706" t="inlineStr">
        <is>
          <t>GREELEY</t>
        </is>
      </c>
      <c r="G1151" s="706" t="n"/>
      <c r="H1151" s="706">
        <f>Y1151/J1151</f>
        <v/>
      </c>
      <c r="I1151" s="707" t="n">
        <v>44785</v>
      </c>
      <c r="J1151" s="706" t="n">
        <v>492</v>
      </c>
      <c r="K1151" s="706" t="n"/>
      <c r="L1151" s="706" t="n">
        <v>492</v>
      </c>
      <c r="M1151" s="706" t="n">
        <v>2018</v>
      </c>
      <c r="N1151" s="706" t="n"/>
      <c r="O1151" s="706" t="n"/>
      <c r="P1151" s="706" t="n"/>
      <c r="Q1151" s="706" t="n"/>
      <c r="R1151" s="706" t="n"/>
      <c r="S1151" s="706" t="n">
        <v>33062</v>
      </c>
      <c r="T1151" s="706">
        <f>S1151/J1151</f>
        <v/>
      </c>
      <c r="U1151" s="706" t="n"/>
      <c r="V1151" s="706" t="n"/>
      <c r="W1151" s="706" t="n"/>
      <c r="X1151" s="706" t="n"/>
      <c r="Y1151" s="706" t="n">
        <v>1630000</v>
      </c>
      <c r="Z1151" s="706" t="n"/>
      <c r="AA1151" s="706" t="n">
        <v>1630000</v>
      </c>
      <c r="AB1151" s="706" t="inlineStr">
        <is>
          <t>Ziggi's Coffee — Coffee; Sale Leaseback; src: Retail_Sales_Cleaned</t>
        </is>
      </c>
      <c r="AC1151" s="706" t="inlineStr">
        <is>
          <t>095910331001</t>
        </is>
      </c>
      <c r="AD1151" s="706" t="n"/>
      <c r="AE1151" s="706" t="n"/>
      <c r="AF1151" s="706" t="n"/>
      <c r="AG1151" s="706" t="n"/>
      <c r="AH1151" s="706" t="n"/>
      <c r="AI1151" s="706">
        <f>IF(AND($E1151=Subj_OccCode,Subj_BldgSF&gt;0,ABS($L1151-Subj_BldgSF)&lt;=Subj_BldgSF*Subj_SizeTol),ABS($L1151-Subj_BldgSF),NA())</f>
        <v/>
      </c>
      <c r="AJ1151" s="706">
        <f>IF(ISNA(AI1151),NA(),AI1151+ROW()/10000000)</f>
        <v/>
      </c>
      <c r="AK1151" s="706">
        <f>IF(AND(ISNUMBER($N1151),$N1151&gt;0,ISNUMBER($Y1151)),$Y1151/$N1151,"")</f>
        <v/>
      </c>
      <c r="AL1151" s="706" t="n"/>
      <c r="AM1151" s="706" t="n"/>
      <c r="AN1151" s="706" t="n"/>
    </row>
  </sheetData>
  <autoFilter ref="A1:AH941"/>
  <conditionalFormatting sqref="C6:C289">
    <cfRule type="duplicateValues" priority="2" dxfId="2"/>
  </conditionalFormatting>
  <conditionalFormatting sqref="A2:AH941">
    <cfRule type="expression" priority="3" dxfId="0">
      <formula>MOD(ROW(),2)=0</formula>
    </cfRule>
  </conditionalFormatting>
  <pageMargins left="0.2" right="0.23" top="1" bottom="1" header="0.5" footer="0.5"/>
  <pageSetup orientation="landscape" paperSize="5" horizontalDpi="300" verticalDpi="300"/>
  <legacyDrawing xmlns:r="http://schemas.openxmlformats.org/officeDocument/2006/relationships" r:id="anysvml"/>
</worksheet>
</file>

<file path=xl/worksheets/sheet14.xml><?xml version="1.0" encoding="utf-8"?>
<worksheet xmlns="http://schemas.openxmlformats.org/spreadsheetml/2006/main">
  <sheetPr codeName="Sheet3">
    <tabColor rgb="FF0E7490"/>
    <outlinePr summaryBelow="1" summaryRight="1"/>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width="5.59765625" customWidth="1" style="59" min="1" max="1"/>
    <col width="8" customWidth="1" style="81" min="2" max="2"/>
    <col width="7" customWidth="1" style="59" min="3" max="3"/>
    <col width="19" bestFit="1" customWidth="1" style="59" min="4" max="4"/>
    <col width="10" customWidth="1" style="59" min="5" max="5"/>
    <col width="32" customWidth="1" style="59" min="6" max="6"/>
    <col width="11" customWidth="1" style="708" min="7" max="7"/>
    <col width="7" bestFit="1" customWidth="1" style="67" min="8" max="8"/>
    <col width="9" bestFit="1" customWidth="1" style="59" min="9" max="10"/>
    <col width="8" customWidth="1" style="59" min="11" max="11"/>
    <col width="7.59765625" customWidth="1" style="59" min="12" max="12"/>
    <col width="7" customWidth="1" style="67" min="13" max="14"/>
    <col width="8" customWidth="1" style="64" min="15" max="15"/>
    <col width="8" bestFit="1" customWidth="1" style="64" min="16" max="16"/>
    <col width="9.3984375" bestFit="1" customWidth="1" style="59" min="17" max="17"/>
    <col width="6" customWidth="1" style="518" min="18" max="18"/>
    <col width="8" customWidth="1" style="518" min="19" max="19"/>
    <col width="13" customWidth="1" style="518" min="20" max="20"/>
    <col width="6" bestFit="1" customWidth="1" style="59" min="21" max="21"/>
    <col width="9" bestFit="1" customWidth="1" style="59" min="22" max="23"/>
    <col width="18" bestFit="1" customWidth="1" style="59" min="24" max="24"/>
    <col width="22" bestFit="1" customWidth="1" style="59" min="25" max="25"/>
    <col width="6" bestFit="1" customWidth="1" style="59" min="26" max="26"/>
    <col width="6" customWidth="1" style="518" min="27" max="27"/>
    <col width="6" bestFit="1" customWidth="1" style="59" min="28" max="29"/>
    <col width="25" customWidth="1" style="59" min="30" max="30"/>
    <col width="8.3984375" bestFit="1" customWidth="1" style="59" min="31" max="33"/>
    <col width="7.3984375" bestFit="1" customWidth="1" style="59" min="34" max="34"/>
    <col width="11.59765625" bestFit="1" customWidth="1" style="59" min="35" max="35"/>
    <col width="12.19921875" bestFit="1" customWidth="1" style="59" min="36" max="36"/>
    <col width="52" customWidth="1" style="59" min="37" max="37"/>
    <col width="9.3984375" customWidth="1" style="59" min="38" max="38"/>
    <col width="6" customWidth="1" style="518" min="39" max="39"/>
    <col width="9.3984375" customWidth="1" style="59" min="40" max="16384"/>
  </cols>
  <sheetData>
    <row r="1" ht="40.5" customHeight="1" s="518" thickBot="1">
      <c r="A1" s="226" t="inlineStr">
        <is>
          <t>Pos</t>
        </is>
      </c>
      <c r="B1" s="227" t="inlineStr">
        <is>
          <t>Num</t>
        </is>
      </c>
      <c r="C1" s="226" t="inlineStr">
        <is>
          <t>Source</t>
        </is>
      </c>
      <c r="D1" s="226" t="inlineStr">
        <is>
          <t>Schedule</t>
        </is>
      </c>
      <c r="E1" s="226" t="inlineStr">
        <is>
          <t>Source</t>
        </is>
      </c>
      <c r="F1" s="226" t="inlineStr">
        <is>
          <t>Address</t>
        </is>
      </c>
      <c r="G1" s="709" t="inlineStr">
        <is>
          <t>Cls</t>
        </is>
      </c>
      <c r="H1" s="226" t="inlineStr">
        <is>
          <t>Model</t>
        </is>
      </c>
      <c r="I1" s="229" t="inlineStr">
        <is>
          <t>Loc</t>
        </is>
      </c>
      <c r="J1" s="226" t="inlineStr">
        <is>
          <t>NRA</t>
        </is>
      </c>
      <c r="K1" s="226" t="inlineStr">
        <is>
          <t>Rent</t>
        </is>
      </c>
      <c r="L1" s="226" t="inlineStr">
        <is>
          <t>Vac</t>
        </is>
      </c>
      <c r="M1" s="226" t="inlineStr">
        <is>
          <t>Exp</t>
        </is>
      </c>
      <c r="N1" s="226" t="inlineStr">
        <is>
          <t>YOC</t>
        </is>
      </c>
      <c r="O1" s="230" t="inlineStr">
        <is>
          <t>Office
Enclos.</t>
        </is>
      </c>
      <c r="P1" s="230" t="inlineStr">
        <is>
          <t>Extend.
Office</t>
        </is>
      </c>
      <c r="Q1" s="226" t="inlineStr">
        <is>
          <t>Wall
Height</t>
        </is>
      </c>
      <c r="R1" s="226" t="inlineStr">
        <is>
          <t>Wall
Type</t>
        </is>
      </c>
      <c r="S1" s="222" t="inlineStr">
        <is>
          <t># Units</t>
        </is>
      </c>
      <c r="T1" s="226" t="inlineStr">
        <is>
          <t>Zone</t>
        </is>
      </c>
      <c r="U1" s="226" t="inlineStr">
        <is>
          <t>Str</t>
        </is>
      </c>
      <c r="V1" s="226" t="inlineStr">
        <is>
          <t>L Area</t>
        </is>
      </c>
      <c r="W1" s="229" t="inlineStr">
        <is>
          <t>Land R</t>
        </is>
      </c>
      <c r="X1" s="229" t="inlineStr">
        <is>
          <t>L:B Ratio</t>
        </is>
      </c>
      <c r="Y1" s="229" t="inlineStr">
        <is>
          <t>Imp R</t>
        </is>
      </c>
      <c r="Z1" s="226" t="inlineStr">
        <is>
          <t>Grd</t>
        </is>
      </c>
      <c r="AA1" s="226" t="inlineStr">
        <is>
          <t>Phy</t>
        </is>
      </c>
      <c r="AB1" s="226" t="inlineStr">
        <is>
          <t>Fun</t>
        </is>
      </c>
      <c r="AC1" s="226" t="inlineStr">
        <is>
          <t>P_F</t>
        </is>
      </c>
      <c r="AD1" s="226" t="inlineStr">
        <is>
          <t>Tenant</t>
        </is>
      </c>
      <c r="AE1" s="226" t="inlineStr">
        <is>
          <t>PGI</t>
        </is>
      </c>
      <c r="AF1" s="226" t="inlineStr">
        <is>
          <t>EGI</t>
        </is>
      </c>
      <c r="AG1" s="226" t="inlineStr">
        <is>
          <t>NOI</t>
        </is>
      </c>
      <c r="AH1" s="226" t="inlineStr">
        <is>
          <t>$ EXP</t>
        </is>
      </c>
      <c r="AI1" s="226" t="inlineStr">
        <is>
          <t>Oth Inc/SF</t>
        </is>
      </c>
      <c r="AJ1" s="226" t="inlineStr">
        <is>
          <t>Pkg Inc/SP</t>
        </is>
      </c>
      <c r="AK1" s="264" t="inlineStr">
        <is>
          <t>Comments</t>
        </is>
      </c>
      <c r="AL1" t="inlineStr">
        <is>
          <t>Rent / Unit-Key</t>
        </is>
      </c>
    </row>
    <row r="2" ht="13.5" customHeight="1" s="518" thickTop="1">
      <c r="A2" s="60" t="n">
        <v>5</v>
      </c>
      <c r="O2" s="85" t="n"/>
      <c r="P2" s="86" t="n"/>
      <c r="Q2" s="84" t="n"/>
      <c r="AB2" s="65" t="n"/>
      <c r="AC2" s="66" t="n"/>
      <c r="AL2">
        <f>IF(AND(ISNUMBER($S2),$S2&gt;0,ISNUMBER($K2),ISNUMBER($J2)),($K2*$J2)/$S2,"")</f>
        <v/>
      </c>
    </row>
    <row r="3">
      <c r="A3" s="60" t="n">
        <v>5</v>
      </c>
      <c r="O3" s="86" t="n"/>
      <c r="P3" s="86" t="n"/>
      <c r="Q3" s="32" t="n"/>
      <c r="AC3" s="66" t="n"/>
      <c r="AL3">
        <f>IF(AND(ISNUMBER($S3),$S3&gt;0,ISNUMBER($K3),ISNUMBER($J3)),($K3*$J3)/$S3,"")</f>
        <v/>
      </c>
    </row>
    <row r="4">
      <c r="A4" s="60" t="n">
        <v>5</v>
      </c>
      <c r="AB4" s="65" t="n"/>
      <c r="AC4" s="66" t="n"/>
      <c r="AL4">
        <f>IF(AND(ISNUMBER($S4),$S4&gt;0,ISNUMBER($K4),ISNUMBER($J4)),($K4*$J4)/$S4,"")</f>
        <v/>
      </c>
    </row>
    <row r="5">
      <c r="A5" s="60" t="n">
        <v>5</v>
      </c>
      <c r="AB5" s="65" t="n"/>
      <c r="AC5" s="66" t="n"/>
      <c r="AL5">
        <f>IF(AND(ISNUMBER($S5),$S5&gt;0,ISNUMBER($K5),ISNUMBER($J5)),($K5*$J5)/$S5,"")</f>
        <v/>
      </c>
    </row>
    <row r="6" ht="14" customHeight="1" s="518">
      <c r="A6" s="106" t="n">
        <v>6</v>
      </c>
      <c r="B6" s="93" t="n">
        <v>1</v>
      </c>
      <c r="C6" s="93" t="inlineStr">
        <is>
          <t>2013Q</t>
        </is>
      </c>
      <c r="D6" s="93" t="inlineStr">
        <is>
          <t xml:space="preserve">01141-04-058-058 </t>
        </is>
      </c>
      <c r="E6" s="92" t="inlineStr">
        <is>
          <t>Actual</t>
        </is>
      </c>
      <c r="F6" s="93" t="inlineStr">
        <is>
          <t>5475   PEORIA               ST</t>
        </is>
      </c>
      <c r="G6" s="93" t="n">
        <v>44.8</v>
      </c>
      <c r="H6" s="93" t="n">
        <v>9102</v>
      </c>
      <c r="I6" s="92" t="n">
        <v>3</v>
      </c>
      <c r="J6" s="710" t="n">
        <v>1490</v>
      </c>
      <c r="K6" s="711" t="n">
        <v>6.040268456375839</v>
      </c>
      <c r="L6" s="108" t="n">
        <v>0</v>
      </c>
      <c r="M6" s="97" t="n">
        <v>0.2727777777777778</v>
      </c>
      <c r="N6" s="93" t="n">
        <v>1985</v>
      </c>
      <c r="O6" s="93" t="n">
        <v>678</v>
      </c>
      <c r="P6" s="93" t="n">
        <v>0</v>
      </c>
      <c r="Q6" s="93" t="n">
        <v>17</v>
      </c>
      <c r="R6" s="93" t="n">
        <v>10</v>
      </c>
      <c r="S6" s="93" t="n">
        <v>1</v>
      </c>
      <c r="T6" s="92" t="inlineStr">
        <is>
          <t xml:space="preserve">I-MX-3      </t>
        </is>
      </c>
      <c r="U6" s="93" t="n">
        <v>398</v>
      </c>
      <c r="V6" s="710" t="n">
        <v>5810</v>
      </c>
      <c r="W6" s="710" t="n">
        <v>6000</v>
      </c>
      <c r="X6" s="712" t="inlineStr">
        <is>
          <t>3.9:1</t>
        </is>
      </c>
      <c r="Y6" s="710" t="n">
        <v>1000</v>
      </c>
      <c r="Z6" s="92" t="inlineStr">
        <is>
          <t xml:space="preserve">C </t>
        </is>
      </c>
      <c r="AA6" s="93" t="n"/>
      <c r="AB6" s="93" t="n"/>
      <c r="AC6" s="93" t="n"/>
      <c r="AD6" s="93" t="inlineStr">
        <is>
          <t xml:space="preserve">PEORIA PLAZA #4-112 </t>
        </is>
      </c>
      <c r="AE6" s="93" t="n"/>
      <c r="AF6" s="93" t="n"/>
      <c r="AG6" s="93" t="n"/>
      <c r="AH6" s="93" t="n"/>
      <c r="AI6" s="93" t="n"/>
      <c r="AK6" s="265" t="inlineStr"/>
      <c r="AL6">
        <f>IF(AND(ISNUMBER($S6),$S6&gt;0,ISNUMBER($K6),ISNUMBER($J6)),($K6*$J6)/$S6,"")</f>
        <v/>
      </c>
      <c r="AM6" s="93" t="n"/>
      <c r="AN6" s="93" t="n"/>
      <c r="AO6" s="93" t="n"/>
      <c r="AP6" s="93" t="n"/>
      <c r="AQ6" s="93" t="n"/>
    </row>
    <row r="7" ht="14" customHeight="1" s="518">
      <c r="A7" s="106" t="n">
        <v>6</v>
      </c>
      <c r="B7" s="93" t="n">
        <v>2</v>
      </c>
      <c r="C7" s="93" t="inlineStr">
        <is>
          <t>2013Q</t>
        </is>
      </c>
      <c r="D7" s="93" t="inlineStr">
        <is>
          <t xml:space="preserve">01142-03-007-000 </t>
        </is>
      </c>
      <c r="E7" s="92" t="inlineStr">
        <is>
          <t>Actual</t>
        </is>
      </c>
      <c r="F7" s="93" t="inlineStr">
        <is>
          <t>5500   JOLIET               ST</t>
        </is>
      </c>
      <c r="G7" s="93" t="n">
        <v>44.2</v>
      </c>
      <c r="H7" s="93" t="n">
        <v>9102</v>
      </c>
      <c r="I7" s="92" t="n">
        <v>0</v>
      </c>
      <c r="J7" s="710" t="n">
        <v>15000</v>
      </c>
      <c r="K7" s="711" t="n">
        <v>8</v>
      </c>
      <c r="L7" s="108" t="n">
        <v>0</v>
      </c>
      <c r="M7" s="97" t="n">
        <v>0</v>
      </c>
      <c r="N7" s="93" t="n">
        <v>1981</v>
      </c>
      <c r="O7" s="93" t="n">
        <v>1860</v>
      </c>
      <c r="P7" s="93" t="n">
        <v>0</v>
      </c>
      <c r="Q7" s="93" t="n">
        <v>20</v>
      </c>
      <c r="R7" s="93" t="n">
        <v>3</v>
      </c>
      <c r="S7" s="93" t="n">
        <v>1</v>
      </c>
      <c r="T7" s="92" t="inlineStr">
        <is>
          <t xml:space="preserve">I-B         </t>
        </is>
      </c>
      <c r="U7" s="93" t="n">
        <v>398</v>
      </c>
      <c r="V7" s="710" t="n">
        <v>49257</v>
      </c>
      <c r="W7" s="710" t="n">
        <v>49000</v>
      </c>
      <c r="X7" s="712" t="inlineStr">
        <is>
          <t>3.3:1</t>
        </is>
      </c>
      <c r="Y7" s="710" t="n">
        <v>15000</v>
      </c>
      <c r="Z7" s="92" t="inlineStr">
        <is>
          <t xml:space="preserve">C </t>
        </is>
      </c>
      <c r="AA7" s="93" t="n"/>
      <c r="AB7" s="93" t="n"/>
      <c r="AC7" s="93" t="n"/>
      <c r="AD7" s="93" t="inlineStr"/>
      <c r="AE7" s="93" t="n"/>
      <c r="AF7" s="93" t="n"/>
      <c r="AG7" s="93" t="n"/>
      <c r="AH7" s="93" t="n"/>
      <c r="AI7" s="93" t="n"/>
      <c r="AK7" s="265" t="inlineStr"/>
      <c r="AL7">
        <f>IF(AND(ISNUMBER($S7),$S7&gt;0,ISNUMBER($K7),ISNUMBER($J7)),($K7*$J7)/$S7,"")</f>
        <v/>
      </c>
      <c r="AM7" s="93" t="n"/>
      <c r="AN7" s="93" t="n"/>
      <c r="AO7" s="93" t="n"/>
      <c r="AP7" s="93" t="n"/>
      <c r="AQ7" s="93" t="n"/>
    </row>
    <row r="8" ht="28" customHeight="1" s="518">
      <c r="A8" s="106" t="n">
        <v>6</v>
      </c>
      <c r="B8" s="93" t="n">
        <v>3</v>
      </c>
      <c r="C8" s="93" t="inlineStr">
        <is>
          <t>2013Q</t>
        </is>
      </c>
      <c r="D8" s="93" t="inlineStr">
        <is>
          <t xml:space="preserve">01142-03-011-000 </t>
        </is>
      </c>
      <c r="E8" s="92" t="inlineStr">
        <is>
          <t>Actual</t>
        </is>
      </c>
      <c r="F8" s="93" t="inlineStr">
        <is>
          <t>5550   JOLIET               ST</t>
        </is>
      </c>
      <c r="G8" s="93" t="n">
        <v>44.2</v>
      </c>
      <c r="H8" s="93" t="n">
        <v>9102</v>
      </c>
      <c r="I8" s="92" t="n">
        <v>0</v>
      </c>
      <c r="J8" s="710" t="n">
        <v>19715</v>
      </c>
      <c r="K8" s="711" t="n">
        <v>5.965001268069997</v>
      </c>
      <c r="L8" s="108" t="n">
        <v>0</v>
      </c>
      <c r="M8" s="97" t="n">
        <v>0</v>
      </c>
      <c r="N8" s="93" t="n">
        <v>1985</v>
      </c>
      <c r="O8" s="93" t="n">
        <v>4143</v>
      </c>
      <c r="P8" s="93" t="n">
        <v>0</v>
      </c>
      <c r="Q8" s="93" t="n">
        <v>26</v>
      </c>
      <c r="R8" s="93" t="n">
        <v>3</v>
      </c>
      <c r="S8" s="93" t="n">
        <v>1</v>
      </c>
      <c r="T8" s="92" t="inlineStr">
        <is>
          <t xml:space="preserve">I-B         </t>
        </is>
      </c>
      <c r="U8" s="93" t="n">
        <v>398</v>
      </c>
      <c r="V8" s="710" t="n">
        <v>46294</v>
      </c>
      <c r="W8" s="710" t="n">
        <v>46000</v>
      </c>
      <c r="X8" s="712" t="inlineStr">
        <is>
          <t>2.3:1</t>
        </is>
      </c>
      <c r="Y8" s="710" t="n">
        <v>20000</v>
      </c>
      <c r="Z8" s="92" t="inlineStr">
        <is>
          <t xml:space="preserve">C </t>
        </is>
      </c>
      <c r="AA8" s="93" t="n"/>
      <c r="AB8" s="93" t="n"/>
      <c r="AC8" s="93" t="n"/>
      <c r="AD8" s="93" t="inlineStr"/>
      <c r="AE8" s="93" t="n"/>
      <c r="AF8" s="93" t="n"/>
      <c r="AG8" s="93" t="n"/>
      <c r="AH8" s="93" t="n"/>
      <c r="AI8" s="93" t="n"/>
      <c r="AK8" s="265" t="inlineStr">
        <is>
          <t xml:space="preserve">MONTHLY LEASE - DATE OF COMMENCEMENT UNKNOWN.                     </t>
        </is>
      </c>
      <c r="AL8">
        <f>IF(AND(ISNUMBER($S8),$S8&gt;0,ISNUMBER($K8),ISNUMBER($J8)),($K8*$J8)/$S8,"")</f>
        <v/>
      </c>
      <c r="AM8" s="93" t="n"/>
      <c r="AN8" s="93" t="n"/>
      <c r="AO8" s="93" t="n"/>
      <c r="AP8" s="93" t="n"/>
      <c r="AQ8" s="93" t="n"/>
    </row>
    <row r="9" ht="14" customHeight="1" s="518">
      <c r="A9" s="106" t="n">
        <v>6</v>
      </c>
      <c r="B9" s="93" t="n">
        <v>4</v>
      </c>
      <c r="C9" s="93" t="inlineStr">
        <is>
          <t>2013Q</t>
        </is>
      </c>
      <c r="D9" s="93" t="inlineStr">
        <is>
          <t xml:space="preserve">01142-03-014-000 </t>
        </is>
      </c>
      <c r="E9" s="92" t="inlineStr">
        <is>
          <t>Actual</t>
        </is>
      </c>
      <c r="F9" s="93" t="inlineStr">
        <is>
          <t>10975 E 55TH                 AV</t>
        </is>
      </c>
      <c r="G9" s="93" t="n">
        <v>44.2</v>
      </c>
      <c r="H9" s="93" t="n">
        <v>9102</v>
      </c>
      <c r="I9" s="92" t="n">
        <v>0</v>
      </c>
      <c r="J9" s="710" t="n">
        <v>37012</v>
      </c>
      <c r="K9" s="711" t="n">
        <v>4.035995397008056</v>
      </c>
      <c r="L9" s="108" t="n">
        <v>0</v>
      </c>
      <c r="M9" s="97" t="n">
        <v>0.1043315617800689</v>
      </c>
      <c r="N9" s="93" t="n">
        <v>1999</v>
      </c>
      <c r="O9" s="93" t="n">
        <v>4485</v>
      </c>
      <c r="P9" s="93" t="n">
        <v>0</v>
      </c>
      <c r="Q9" s="93" t="n">
        <v>25</v>
      </c>
      <c r="R9" s="93" t="n">
        <v>14</v>
      </c>
      <c r="S9" s="93" t="n">
        <v>5</v>
      </c>
      <c r="T9" s="92" t="inlineStr">
        <is>
          <t xml:space="preserve">I-B         </t>
        </is>
      </c>
      <c r="U9" s="93" t="n">
        <v>398</v>
      </c>
      <c r="V9" s="710" t="n">
        <v>87567</v>
      </c>
      <c r="W9" s="710" t="n">
        <v>88000</v>
      </c>
      <c r="X9" s="712" t="inlineStr">
        <is>
          <t>2.4:1</t>
        </is>
      </c>
      <c r="Y9" s="710" t="n">
        <v>37000</v>
      </c>
      <c r="Z9" s="92" t="inlineStr">
        <is>
          <t xml:space="preserve">C </t>
        </is>
      </c>
      <c r="AA9" s="93" t="n"/>
      <c r="AB9" s="93" t="n"/>
      <c r="AC9" s="93" t="n"/>
      <c r="AD9" s="93" t="inlineStr">
        <is>
          <t xml:space="preserve">M-W                 </t>
        </is>
      </c>
      <c r="AE9" s="93" t="n"/>
      <c r="AF9" s="93" t="n"/>
      <c r="AG9" s="93" t="n"/>
      <c r="AH9" s="93" t="n"/>
      <c r="AI9" s="93" t="n"/>
      <c r="AK9" s="265" t="inlineStr"/>
      <c r="AL9">
        <f>IF(AND(ISNUMBER($S9),$S9&gt;0,ISNUMBER($K9),ISNUMBER($J9)),($K9*$J9)/$S9,"")</f>
        <v/>
      </c>
      <c r="AM9" s="93" t="n"/>
      <c r="AN9" s="93" t="n"/>
      <c r="AO9" s="93" t="n"/>
      <c r="AP9" s="93" t="n"/>
      <c r="AQ9" s="93" t="n"/>
    </row>
    <row r="10" ht="14" customHeight="1" s="518">
      <c r="A10" s="106" t="n">
        <v>6</v>
      </c>
      <c r="B10" s="93" t="n">
        <v>5</v>
      </c>
      <c r="C10" s="93" t="inlineStr">
        <is>
          <t>2013Q</t>
        </is>
      </c>
      <c r="D10" s="93" t="inlineStr">
        <is>
          <t xml:space="preserve">01142-04-012-000 </t>
        </is>
      </c>
      <c r="E10" s="92" t="inlineStr">
        <is>
          <t>Actual</t>
        </is>
      </c>
      <c r="F10" s="93" t="inlineStr">
        <is>
          <t>5400   JOLIET               ST</t>
        </is>
      </c>
      <c r="G10" s="93" t="n">
        <v>44.2</v>
      </c>
      <c r="H10" s="93" t="n">
        <v>9102</v>
      </c>
      <c r="I10" s="92" t="n">
        <v>0</v>
      </c>
      <c r="J10" s="710" t="n">
        <v>25060</v>
      </c>
      <c r="K10" s="711" t="n">
        <v>5.750039904229848</v>
      </c>
      <c r="L10" s="108" t="n">
        <v>0</v>
      </c>
      <c r="M10" s="97" t="n">
        <v>0</v>
      </c>
      <c r="N10" s="93" t="n">
        <v>1982</v>
      </c>
      <c r="O10" s="93" t="n">
        <v>4620</v>
      </c>
      <c r="P10" s="93" t="n">
        <v>0</v>
      </c>
      <c r="Q10" s="93" t="n">
        <v>23</v>
      </c>
      <c r="R10" s="93" t="n">
        <v>3</v>
      </c>
      <c r="S10" s="93" t="n">
        <v>1</v>
      </c>
      <c r="T10" s="92" t="inlineStr">
        <is>
          <t xml:space="preserve">I-B         </t>
        </is>
      </c>
      <c r="U10" s="93" t="n">
        <v>398</v>
      </c>
      <c r="V10" s="710" t="n">
        <v>133400</v>
      </c>
      <c r="W10" s="710" t="n">
        <v>133000</v>
      </c>
      <c r="X10" s="712" t="inlineStr">
        <is>
          <t>5.3:1</t>
        </is>
      </c>
      <c r="Y10" s="710" t="n">
        <v>25000</v>
      </c>
      <c r="Z10" s="92" t="inlineStr">
        <is>
          <t xml:space="preserve">C </t>
        </is>
      </c>
      <c r="AA10" s="93" t="n"/>
      <c r="AB10" s="93" t="n"/>
      <c r="AC10" s="93" t="n"/>
      <c r="AD10" s="93" t="inlineStr">
        <is>
          <t>BURLINGTON AIR FRGHT</t>
        </is>
      </c>
      <c r="AE10" s="93" t="n"/>
      <c r="AF10" s="93" t="n"/>
      <c r="AG10" s="93" t="n"/>
      <c r="AH10" s="93" t="n"/>
      <c r="AI10" s="93" t="n"/>
      <c r="AK10" s="265" t="inlineStr">
        <is>
          <t xml:space="preserve">MAY BE OWNER-OCCUPIED.                                            </t>
        </is>
      </c>
      <c r="AL10">
        <f>IF(AND(ISNUMBER($S10),$S10&gt;0,ISNUMBER($K10),ISNUMBER($J10)),($K10*$J10)/$S10,"")</f>
        <v/>
      </c>
      <c r="AM10" s="93" t="n"/>
      <c r="AN10" s="93" t="n"/>
      <c r="AO10" s="93" t="n"/>
      <c r="AP10" s="93" t="n"/>
      <c r="AQ10" s="93" t="n"/>
    </row>
    <row r="11" ht="14" customHeight="1" s="518">
      <c r="A11" s="106" t="n">
        <v>6</v>
      </c>
      <c r="B11" s="93" t="n">
        <v>6</v>
      </c>
      <c r="C11" s="93" t="inlineStr">
        <is>
          <t>2013Q</t>
        </is>
      </c>
      <c r="D11" s="93" t="inlineStr">
        <is>
          <t xml:space="preserve">01142-05-006-000 </t>
        </is>
      </c>
      <c r="E11" s="92" t="inlineStr">
        <is>
          <t>Actual</t>
        </is>
      </c>
      <c r="F11" s="93" t="inlineStr">
        <is>
          <t>11000 E 53RD                 AV</t>
        </is>
      </c>
      <c r="G11" s="93" t="n">
        <v>44.2</v>
      </c>
      <c r="H11" s="93" t="n">
        <v>9102</v>
      </c>
      <c r="I11" s="92" t="n">
        <v>0</v>
      </c>
      <c r="J11" s="710" t="n">
        <v>24319</v>
      </c>
      <c r="K11" s="711" t="n">
        <v>3.5034335293392</v>
      </c>
      <c r="L11" s="108" t="n">
        <v>0</v>
      </c>
      <c r="M11" s="97" t="n">
        <v>0</v>
      </c>
      <c r="N11" s="93" t="n">
        <v>1983</v>
      </c>
      <c r="O11" s="93" t="n">
        <v>462</v>
      </c>
      <c r="P11" s="93" t="n">
        <v>3519</v>
      </c>
      <c r="Q11" s="93" t="n">
        <v>23</v>
      </c>
      <c r="R11" s="93" t="n">
        <v>7</v>
      </c>
      <c r="S11" s="93" t="n">
        <v>1</v>
      </c>
      <c r="T11" s="92" t="inlineStr">
        <is>
          <t xml:space="preserve">I-B         </t>
        </is>
      </c>
      <c r="U11" s="93" t="n">
        <v>398</v>
      </c>
      <c r="V11" s="710" t="n">
        <v>100126</v>
      </c>
      <c r="W11" s="710" t="n">
        <v>100000</v>
      </c>
      <c r="X11" s="712" t="inlineStr">
        <is>
          <t>4.1:1</t>
        </is>
      </c>
      <c r="Y11" s="710" t="n">
        <v>24000</v>
      </c>
      <c r="Z11" s="92" t="inlineStr">
        <is>
          <t xml:space="preserve">C </t>
        </is>
      </c>
      <c r="AA11" s="93" t="n"/>
      <c r="AB11" s="93" t="n"/>
      <c r="AC11" s="93" t="n"/>
      <c r="AD11" s="93" t="inlineStr">
        <is>
          <t xml:space="preserve">KEY PRODUCTS        </t>
        </is>
      </c>
      <c r="AE11" s="93" t="n"/>
      <c r="AF11" s="93" t="n"/>
      <c r="AG11" s="93" t="n"/>
      <c r="AH11" s="93" t="n"/>
      <c r="AI11" s="93" t="n"/>
      <c r="AK11" s="265" t="inlineStr">
        <is>
          <t xml:space="preserve">2010 LEASE.                                                       </t>
        </is>
      </c>
      <c r="AL11">
        <f>IF(AND(ISNUMBER($S11),$S11&gt;0,ISNUMBER($K11),ISNUMBER($J11)),($K11*$J11)/$S11,"")</f>
        <v/>
      </c>
      <c r="AM11" s="93" t="n"/>
      <c r="AN11" s="93" t="n"/>
      <c r="AO11" s="93" t="n"/>
      <c r="AP11" s="93" t="n"/>
      <c r="AQ11" s="93" t="n"/>
    </row>
    <row r="12" ht="14" customHeight="1" s="518">
      <c r="A12" s="106" t="n">
        <v>6</v>
      </c>
      <c r="B12" s="93" t="n">
        <v>7</v>
      </c>
      <c r="C12" s="93" t="inlineStr">
        <is>
          <t>2013Q</t>
        </is>
      </c>
      <c r="D12" s="93" t="inlineStr">
        <is>
          <t xml:space="preserve">01143-04-009-000 </t>
        </is>
      </c>
      <c r="E12" s="92" t="inlineStr">
        <is>
          <t>Actual</t>
        </is>
      </c>
      <c r="F12" s="93" t="inlineStr">
        <is>
          <t>4949   IRONTON              ST</t>
        </is>
      </c>
      <c r="G12" s="93" t="n">
        <v>44.2</v>
      </c>
      <c r="H12" s="93" t="n">
        <v>9102</v>
      </c>
      <c r="I12" s="92" t="n">
        <v>0</v>
      </c>
      <c r="J12" s="710" t="n">
        <v>9750</v>
      </c>
      <c r="K12" s="711" t="n">
        <v>10.44923076923077</v>
      </c>
      <c r="L12" s="108" t="n">
        <v>0</v>
      </c>
      <c r="M12" s="97" t="n">
        <v>0.0174126423243031</v>
      </c>
      <c r="N12" s="93" t="n">
        <v>1969</v>
      </c>
      <c r="O12" s="93" t="n">
        <v>4332</v>
      </c>
      <c r="P12" s="93" t="n">
        <v>0</v>
      </c>
      <c r="Q12" s="93" t="n">
        <v>14</v>
      </c>
      <c r="R12" s="93" t="n">
        <v>3</v>
      </c>
      <c r="S12" s="93" t="n">
        <v>1</v>
      </c>
      <c r="T12" s="92" t="inlineStr">
        <is>
          <t xml:space="preserve">I-B         </t>
        </is>
      </c>
      <c r="U12" s="93" t="n">
        <v>398</v>
      </c>
      <c r="V12" s="710" t="n">
        <v>27610</v>
      </c>
      <c r="W12" s="710" t="n">
        <v>28000</v>
      </c>
      <c r="X12" s="712" t="inlineStr">
        <is>
          <t>2.8:1</t>
        </is>
      </c>
      <c r="Y12" s="710" t="n">
        <v>10000</v>
      </c>
      <c r="Z12" s="92" t="inlineStr">
        <is>
          <t xml:space="preserve">C </t>
        </is>
      </c>
      <c r="AA12" s="93" t="n"/>
      <c r="AB12" s="93" t="n"/>
      <c r="AC12" s="93" t="n"/>
      <c r="AD12" s="93" t="inlineStr"/>
      <c r="AE12" s="93" t="n"/>
      <c r="AF12" s="93" t="n"/>
      <c r="AG12" s="93" t="n"/>
      <c r="AH12" s="93" t="n"/>
      <c r="AI12" s="93" t="n"/>
      <c r="AK12" s="265" t="inlineStr">
        <is>
          <t xml:space="preserve">2009 LEASE.                                                       </t>
        </is>
      </c>
      <c r="AL12">
        <f>IF(AND(ISNUMBER($S12),$S12&gt;0,ISNUMBER($K12),ISNUMBER($J12)),($K12*$J12)/$S12,"")</f>
        <v/>
      </c>
      <c r="AM12" s="93" t="n"/>
      <c r="AN12" s="93" t="n"/>
      <c r="AO12" s="93" t="n"/>
      <c r="AP12" s="93" t="n"/>
      <c r="AQ12" s="93" t="n"/>
    </row>
    <row r="13" ht="14" customHeight="1" s="518">
      <c r="A13" s="106" t="n">
        <v>6</v>
      </c>
      <c r="B13" s="93" t="n">
        <v>8</v>
      </c>
      <c r="C13" s="93" t="inlineStr">
        <is>
          <t>2013Q</t>
        </is>
      </c>
      <c r="D13" s="93" t="inlineStr">
        <is>
          <t xml:space="preserve">01143-04-012-000 </t>
        </is>
      </c>
      <c r="E13" s="92" t="inlineStr">
        <is>
          <t>Actual</t>
        </is>
      </c>
      <c r="F13" s="93" t="inlineStr">
        <is>
          <t>5005   IRONTON              ST</t>
        </is>
      </c>
      <c r="G13" s="93" t="n">
        <v>44.2</v>
      </c>
      <c r="H13" s="93" t="n">
        <v>9102</v>
      </c>
      <c r="I13" s="92" t="n">
        <v>0</v>
      </c>
      <c r="J13" s="710" t="n">
        <v>51649</v>
      </c>
      <c r="K13" s="711" t="n">
        <v>3.75000484036477</v>
      </c>
      <c r="L13" s="108" t="n">
        <v>0</v>
      </c>
      <c r="M13" s="97" t="n">
        <v>0</v>
      </c>
      <c r="N13" s="93" t="n">
        <v>1981</v>
      </c>
      <c r="O13" s="93" t="n">
        <v>2089</v>
      </c>
      <c r="P13" s="93" t="n">
        <v>0</v>
      </c>
      <c r="Q13" s="93" t="n">
        <v>20</v>
      </c>
      <c r="R13" s="93" t="n">
        <v>3</v>
      </c>
      <c r="S13" s="93" t="n">
        <v>1</v>
      </c>
      <c r="T13" s="92" t="inlineStr">
        <is>
          <t xml:space="preserve">I-B         </t>
        </is>
      </c>
      <c r="U13" s="93" t="n">
        <v>398</v>
      </c>
      <c r="V13" s="710" t="n">
        <v>83200</v>
      </c>
      <c r="W13" s="710" t="n">
        <v>83000</v>
      </c>
      <c r="X13" s="712" t="inlineStr">
        <is>
          <t>1.6:1</t>
        </is>
      </c>
      <c r="Y13" s="710" t="n">
        <v>52000</v>
      </c>
      <c r="Z13" s="92" t="inlineStr">
        <is>
          <t xml:space="preserve">C </t>
        </is>
      </c>
      <c r="AA13" s="93" t="n"/>
      <c r="AB13" s="93" t="n"/>
      <c r="AC13" s="93" t="n"/>
      <c r="AD13" s="93" t="inlineStr"/>
      <c r="AE13" s="93" t="n"/>
      <c r="AF13" s="93" t="n"/>
      <c r="AG13" s="93" t="n"/>
      <c r="AH13" s="93" t="n"/>
      <c r="AI13" s="93" t="n"/>
      <c r="AK13" s="265" t="inlineStr"/>
      <c r="AL13">
        <f>IF(AND(ISNUMBER($S13),$S13&gt;0,ISNUMBER($K13),ISNUMBER($J13)),($K13*$J13)/$S13,"")</f>
        <v/>
      </c>
      <c r="AM13" s="93" t="n"/>
      <c r="AN13" s="93" t="n"/>
      <c r="AO13" s="93" t="n"/>
      <c r="AP13" s="93" t="n"/>
      <c r="AQ13" s="93" t="n"/>
    </row>
    <row r="14" ht="14" customHeight="1" s="518">
      <c r="A14" s="106" t="n">
        <v>6</v>
      </c>
      <c r="B14" s="93" t="n">
        <v>9</v>
      </c>
      <c r="C14" s="93" t="inlineStr">
        <is>
          <t>2013Q</t>
        </is>
      </c>
      <c r="D14" s="93" t="inlineStr">
        <is>
          <t xml:space="preserve">01144-01-017-000 </t>
        </is>
      </c>
      <c r="E14" s="92" t="inlineStr">
        <is>
          <t>Actual</t>
        </is>
      </c>
      <c r="F14" s="93" t="inlineStr">
        <is>
          <t>11185 E 51ST                 AV</t>
        </is>
      </c>
      <c r="G14" s="93" t="n">
        <v>44.2</v>
      </c>
      <c r="H14" s="93" t="n">
        <v>9102</v>
      </c>
      <c r="I14" s="92" t="n">
        <v>0</v>
      </c>
      <c r="J14" s="710" t="n">
        <v>3321</v>
      </c>
      <c r="K14" s="711" t="n">
        <v>10.53899427883168</v>
      </c>
      <c r="L14" s="108" t="n">
        <v>0</v>
      </c>
      <c r="M14" s="97" t="n">
        <v>0.122</v>
      </c>
      <c r="N14" s="93" t="n">
        <v>1973</v>
      </c>
      <c r="O14" s="93" t="n">
        <v>820</v>
      </c>
      <c r="P14" s="93" t="n">
        <v>0</v>
      </c>
      <c r="Q14" s="93" t="n">
        <v>16</v>
      </c>
      <c r="R14" s="93" t="n">
        <v>7</v>
      </c>
      <c r="S14" s="93" t="n">
        <v>1</v>
      </c>
      <c r="T14" s="92" t="inlineStr">
        <is>
          <t xml:space="preserve">I-B         </t>
        </is>
      </c>
      <c r="U14" s="93" t="n">
        <v>398</v>
      </c>
      <c r="V14" s="710" t="n">
        <v>18097</v>
      </c>
      <c r="W14" s="710" t="n">
        <v>18000</v>
      </c>
      <c r="X14" s="712" t="inlineStr">
        <is>
          <t>5.4:1</t>
        </is>
      </c>
      <c r="Y14" s="710" t="n">
        <v>3000</v>
      </c>
      <c r="Z14" s="92" t="inlineStr">
        <is>
          <t xml:space="preserve">C </t>
        </is>
      </c>
      <c r="AA14" s="93" t="n"/>
      <c r="AB14" s="93" t="n"/>
      <c r="AC14" s="93" t="n"/>
      <c r="AD14" s="93" t="inlineStr">
        <is>
          <t>S-D-CONSOL ENGINEERG</t>
        </is>
      </c>
      <c r="AE14" s="93" t="n"/>
      <c r="AF14" s="93" t="n"/>
      <c r="AG14" s="93" t="n"/>
      <c r="AH14" s="93" t="n"/>
      <c r="AI14" s="93" t="n"/>
      <c r="AK14" s="265" t="inlineStr"/>
      <c r="AL14">
        <f>IF(AND(ISNUMBER($S14),$S14&gt;0,ISNUMBER($K14),ISNUMBER($J14)),($K14*$J14)/$S14,"")</f>
        <v/>
      </c>
      <c r="AM14" s="93" t="n"/>
      <c r="AN14" s="93" t="n"/>
      <c r="AO14" s="93" t="n"/>
      <c r="AP14" s="93" t="n"/>
      <c r="AQ14" s="93" t="n"/>
    </row>
    <row r="15" ht="14" customHeight="1" s="518">
      <c r="A15" s="106" t="n">
        <v>6</v>
      </c>
      <c r="B15" s="93" t="n">
        <v>10</v>
      </c>
      <c r="C15" s="93" t="inlineStr">
        <is>
          <t>2013Q</t>
        </is>
      </c>
      <c r="D15" s="93" t="inlineStr">
        <is>
          <t xml:space="preserve">01144-02-008-000 </t>
        </is>
      </c>
      <c r="E15" s="92" t="inlineStr">
        <is>
          <t>Actual</t>
        </is>
      </c>
      <c r="F15" s="93" t="inlineStr">
        <is>
          <t>5055   LIMA                 ST</t>
        </is>
      </c>
      <c r="G15" s="93" t="n">
        <v>44.2</v>
      </c>
      <c r="H15" s="93" t="n">
        <v>9102</v>
      </c>
      <c r="I15" s="92" t="n">
        <v>0</v>
      </c>
      <c r="J15" s="710" t="n">
        <v>39832</v>
      </c>
      <c r="K15" s="711" t="n">
        <v>4.217714400482024</v>
      </c>
      <c r="L15" s="108" t="n">
        <v>0</v>
      </c>
      <c r="M15" s="97" t="n">
        <v>0.169672619047619</v>
      </c>
      <c r="N15" s="93" t="n">
        <v>1978</v>
      </c>
      <c r="O15" s="93" t="n">
        <v>335</v>
      </c>
      <c r="P15" s="93" t="n">
        <v>3874</v>
      </c>
      <c r="Q15" s="93" t="n">
        <v>26</v>
      </c>
      <c r="R15" s="93" t="n">
        <v>3</v>
      </c>
      <c r="S15" s="93" t="n">
        <v>1</v>
      </c>
      <c r="T15" s="92" t="inlineStr">
        <is>
          <t xml:space="preserve">I-B         </t>
        </is>
      </c>
      <c r="U15" s="93" t="n">
        <v>398</v>
      </c>
      <c r="V15" s="710" t="n">
        <v>77488</v>
      </c>
      <c r="W15" s="710" t="n">
        <v>77000</v>
      </c>
      <c r="X15" s="712" t="inlineStr">
        <is>
          <t>1.9:1</t>
        </is>
      </c>
      <c r="Y15" s="710" t="n">
        <v>40000</v>
      </c>
      <c r="Z15" s="92" t="inlineStr">
        <is>
          <t xml:space="preserve">C </t>
        </is>
      </c>
      <c r="AA15" s="93" t="n"/>
      <c r="AB15" s="93" t="n"/>
      <c r="AC15" s="93" t="n"/>
      <c r="AD15" s="93" t="inlineStr">
        <is>
          <t xml:space="preserve">S-W                 </t>
        </is>
      </c>
      <c r="AE15" s="93" t="n"/>
      <c r="AF15" s="93" t="n"/>
      <c r="AG15" s="93" t="n"/>
      <c r="AH15" s="93" t="n"/>
      <c r="AI15" s="93" t="n"/>
      <c r="AK15" s="265" t="inlineStr">
        <is>
          <t xml:space="preserve">2009 LEASE - SINGLE-TENANT.                                       </t>
        </is>
      </c>
      <c r="AL15">
        <f>IF(AND(ISNUMBER($S15),$S15&gt;0,ISNUMBER($K15),ISNUMBER($J15)),($K15*$J15)/$S15,"")</f>
        <v/>
      </c>
      <c r="AM15" s="93" t="n"/>
      <c r="AN15" s="93" t="n"/>
      <c r="AO15" s="93" t="n"/>
      <c r="AP15" s="93" t="n"/>
      <c r="AQ15" s="93" t="n"/>
    </row>
    <row r="16" ht="14" customHeight="1" s="518">
      <c r="A16" s="106" t="n">
        <v>6</v>
      </c>
      <c r="B16" s="93" t="n">
        <v>11</v>
      </c>
      <c r="C16" s="93" t="inlineStr">
        <is>
          <t>2013Q</t>
        </is>
      </c>
      <c r="D16" s="93" t="inlineStr">
        <is>
          <t xml:space="preserve">01144-04-004-000 </t>
        </is>
      </c>
      <c r="E16" s="92" t="inlineStr">
        <is>
          <t>Actual</t>
        </is>
      </c>
      <c r="F16" s="93" t="inlineStr">
        <is>
          <t>5098   PARIS                ST</t>
        </is>
      </c>
      <c r="G16" s="93" t="n">
        <v>47.2</v>
      </c>
      <c r="H16" s="93" t="n">
        <v>9102</v>
      </c>
      <c r="I16" s="92" t="n">
        <v>0</v>
      </c>
      <c r="J16" s="710" t="n">
        <v>8167</v>
      </c>
      <c r="K16" s="711" t="n">
        <v>7.346638912697441</v>
      </c>
      <c r="L16" s="108" t="n">
        <v>0</v>
      </c>
      <c r="M16" s="97" t="n">
        <v>0.10865</v>
      </c>
      <c r="N16" s="93" t="n">
        <v>1980</v>
      </c>
      <c r="O16" s="93" t="n">
        <v>2237</v>
      </c>
      <c r="P16" s="93" t="n">
        <v>0</v>
      </c>
      <c r="Q16" s="93" t="n">
        <v>14</v>
      </c>
      <c r="R16" s="93" t="n">
        <v>7</v>
      </c>
      <c r="S16" s="93" t="n">
        <v>1</v>
      </c>
      <c r="T16" s="92" t="inlineStr">
        <is>
          <t xml:space="preserve">I-A         </t>
        </is>
      </c>
      <c r="U16" s="93" t="n">
        <v>401</v>
      </c>
      <c r="V16" s="710" t="n">
        <v>49529</v>
      </c>
      <c r="W16" s="710" t="n">
        <v>50000</v>
      </c>
      <c r="X16" s="712" t="inlineStr">
        <is>
          <t>6.1:1</t>
        </is>
      </c>
      <c r="Y16" s="710" t="n">
        <v>8000</v>
      </c>
      <c r="Z16" s="92" t="inlineStr">
        <is>
          <t xml:space="preserve">C </t>
        </is>
      </c>
      <c r="AA16" s="93" t="n"/>
      <c r="AB16" s="93" t="n"/>
      <c r="AC16" s="93" t="n"/>
      <c r="AD16" s="93" t="inlineStr"/>
      <c r="AE16" s="93" t="n"/>
      <c r="AF16" s="93" t="n"/>
      <c r="AG16" s="93" t="n"/>
      <c r="AH16" s="93" t="n"/>
      <c r="AI16" s="93" t="n"/>
      <c r="AK16" s="265" t="inlineStr">
        <is>
          <t xml:space="preserve">2010 LEASE.                                                       </t>
        </is>
      </c>
      <c r="AL16">
        <f>IF(AND(ISNUMBER($S16),$S16&gt;0,ISNUMBER($K16),ISNUMBER($J16)),($K16*$J16)/$S16,"")</f>
        <v/>
      </c>
      <c r="AM16" s="93" t="n"/>
      <c r="AN16" s="93" t="n"/>
      <c r="AO16" s="93" t="n"/>
      <c r="AP16" s="93" t="n"/>
      <c r="AQ16" s="93" t="n"/>
    </row>
    <row r="17" ht="14" customHeight="1" s="518">
      <c r="A17" s="106" t="n">
        <v>6</v>
      </c>
      <c r="B17" s="93" t="n">
        <v>12</v>
      </c>
      <c r="C17" s="93" t="inlineStr">
        <is>
          <t>2013Q</t>
        </is>
      </c>
      <c r="D17" s="93" t="inlineStr">
        <is>
          <t xml:space="preserve">01144-04-008-000 </t>
        </is>
      </c>
      <c r="E17" s="92" t="inlineStr">
        <is>
          <t>Actual</t>
        </is>
      </c>
      <c r="F17" s="93" t="inlineStr">
        <is>
          <t>4990   PARIS                ST</t>
        </is>
      </c>
      <c r="G17" s="93" t="n">
        <v>44.2</v>
      </c>
      <c r="H17" s="93" t="n">
        <v>9102</v>
      </c>
      <c r="I17" s="92" t="n">
        <v>0</v>
      </c>
      <c r="J17" s="710" t="n">
        <v>9192</v>
      </c>
      <c r="K17" s="711" t="n">
        <v>6.092689295039165</v>
      </c>
      <c r="L17" s="108" t="n">
        <v>0</v>
      </c>
      <c r="M17" s="97" t="n">
        <v>0.0537818727233769</v>
      </c>
      <c r="N17" s="93" t="n">
        <v>1981</v>
      </c>
      <c r="O17" s="93" t="n">
        <v>2752</v>
      </c>
      <c r="P17" s="93" t="n">
        <v>946</v>
      </c>
      <c r="Q17" s="93" t="n">
        <v>17</v>
      </c>
      <c r="R17" s="93" t="n">
        <v>10</v>
      </c>
      <c r="S17" s="93" t="n">
        <v>1</v>
      </c>
      <c r="T17" s="92" t="inlineStr">
        <is>
          <t xml:space="preserve">I-A         </t>
        </is>
      </c>
      <c r="U17" s="93" t="n">
        <v>398</v>
      </c>
      <c r="V17" s="710" t="n">
        <v>25983</v>
      </c>
      <c r="W17" s="710" t="n">
        <v>26000</v>
      </c>
      <c r="X17" s="712" t="inlineStr">
        <is>
          <t>2.8:1</t>
        </is>
      </c>
      <c r="Y17" s="710" t="n">
        <v>9000</v>
      </c>
      <c r="Z17" s="92" t="inlineStr">
        <is>
          <t xml:space="preserve">C </t>
        </is>
      </c>
      <c r="AA17" s="93" t="n"/>
      <c r="AB17" s="93" t="n"/>
      <c r="AC17" s="93" t="n"/>
      <c r="AD17" s="93" t="inlineStr"/>
      <c r="AE17" s="93" t="n"/>
      <c r="AF17" s="93" t="n"/>
      <c r="AG17" s="93" t="n"/>
      <c r="AH17" s="93" t="n"/>
      <c r="AI17" s="93" t="n"/>
      <c r="AK17" s="265" t="inlineStr"/>
      <c r="AL17">
        <f>IF(AND(ISNUMBER($S17),$S17&gt;0,ISNUMBER($K17),ISNUMBER($J17)),($K17*$J17)/$S17,"")</f>
        <v/>
      </c>
      <c r="AM17" s="93" t="n"/>
      <c r="AN17" s="93" t="n"/>
      <c r="AO17" s="93" t="n"/>
      <c r="AP17" s="93" t="n"/>
      <c r="AQ17" s="93" t="n"/>
    </row>
    <row r="18" ht="14" customHeight="1" s="518">
      <c r="A18" s="106" t="n">
        <v>6</v>
      </c>
      <c r="B18" s="93" t="n">
        <v>13</v>
      </c>
      <c r="C18" s="93" t="inlineStr">
        <is>
          <t>2013Q</t>
        </is>
      </c>
      <c r="D18" s="93" t="inlineStr">
        <is>
          <t xml:space="preserve">01144-05-011-000 </t>
        </is>
      </c>
      <c r="E18" s="92" t="inlineStr">
        <is>
          <t>Actual</t>
        </is>
      </c>
      <c r="F18" s="93" t="inlineStr">
        <is>
          <t>5045   OAKLAND              ST</t>
        </is>
      </c>
      <c r="G18" s="93" t="n">
        <v>44.2</v>
      </c>
      <c r="H18" s="93" t="n">
        <v>9102</v>
      </c>
      <c r="I18" s="92" t="n">
        <v>0</v>
      </c>
      <c r="J18" s="710" t="n">
        <v>30878</v>
      </c>
      <c r="K18" s="711" t="n">
        <v>3.349990284344841</v>
      </c>
      <c r="L18" s="108" t="n">
        <v>0</v>
      </c>
      <c r="M18" s="97" t="n">
        <v>0.0715383648649955</v>
      </c>
      <c r="N18" s="93" t="n">
        <v>1978</v>
      </c>
      <c r="O18" s="93" t="n">
        <v>817</v>
      </c>
      <c r="P18" s="93" t="n">
        <v>1742</v>
      </c>
      <c r="Q18" s="93" t="n">
        <v>21</v>
      </c>
      <c r="R18" s="93" t="n">
        <v>10</v>
      </c>
      <c r="S18" s="93" t="n">
        <v>1</v>
      </c>
      <c r="T18" s="92" t="inlineStr">
        <is>
          <t xml:space="preserve">I-A         </t>
        </is>
      </c>
      <c r="U18" s="93" t="n">
        <v>398</v>
      </c>
      <c r="V18" s="710" t="n">
        <v>58464</v>
      </c>
      <c r="W18" s="710" t="n">
        <v>58000</v>
      </c>
      <c r="X18" s="712" t="inlineStr">
        <is>
          <t>1.9:1</t>
        </is>
      </c>
      <c r="Y18" s="710" t="n">
        <v>31000</v>
      </c>
      <c r="Z18" s="92" t="inlineStr">
        <is>
          <t xml:space="preserve">C </t>
        </is>
      </c>
      <c r="AA18" s="93" t="n"/>
      <c r="AB18" s="93" t="n"/>
      <c r="AC18" s="93" t="n"/>
      <c r="AD18" s="93" t="inlineStr">
        <is>
          <t xml:space="preserve">S-W ERICKSON METALS </t>
        </is>
      </c>
      <c r="AE18" s="93" t="n"/>
      <c r="AF18" s="93" t="n"/>
      <c r="AG18" s="93" t="n"/>
      <c r="AH18" s="93" t="n"/>
      <c r="AI18" s="93" t="n"/>
      <c r="AK18" s="265" t="inlineStr"/>
      <c r="AL18">
        <f>IF(AND(ISNUMBER($S18),$S18&gt;0,ISNUMBER($K18),ISNUMBER($J18)),($K18*$J18)/$S18,"")</f>
        <v/>
      </c>
      <c r="AM18" s="93" t="n"/>
      <c r="AN18" s="93" t="n"/>
      <c r="AO18" s="93" t="n"/>
      <c r="AP18" s="93" t="n"/>
      <c r="AQ18" s="93" t="n"/>
    </row>
    <row r="19" ht="14" customHeight="1" s="518">
      <c r="A19" s="106" t="n">
        <v>6</v>
      </c>
      <c r="B19" s="93" t="inlineStr">
        <is>
          <t>OFFICE</t>
        </is>
      </c>
      <c r="C19" s="93" t="inlineStr">
        <is>
          <t>2013Q</t>
        </is>
      </c>
      <c r="D19" s="93" t="inlineStr">
        <is>
          <t xml:space="preserve">01144-06-010-000 </t>
        </is>
      </c>
      <c r="E19" s="92" t="inlineStr">
        <is>
          <t>Actual</t>
        </is>
      </c>
      <c r="F19" s="93" t="inlineStr">
        <is>
          <t>4990   OAKLAND              ST</t>
        </is>
      </c>
      <c r="G19" s="93" t="n">
        <v>44.1</v>
      </c>
      <c r="H19" s="93" t="n">
        <v>9102</v>
      </c>
      <c r="I19" s="92" t="n">
        <v>0</v>
      </c>
      <c r="J19" s="710" t="n">
        <v>27238</v>
      </c>
      <c r="K19" s="711" t="n">
        <v>5.216425581907629</v>
      </c>
      <c r="L19" s="108" t="n">
        <v>0</v>
      </c>
      <c r="M19" s="97" t="n">
        <v>0.02815216243797727</v>
      </c>
      <c r="N19" s="93" t="n">
        <v>1978</v>
      </c>
      <c r="O19" s="93" t="n">
        <v>4925</v>
      </c>
      <c r="P19" s="93" t="n">
        <v>0</v>
      </c>
      <c r="Q19" s="93" t="n">
        <v>21</v>
      </c>
      <c r="R19" s="93" t="n">
        <v>10</v>
      </c>
      <c r="S19" s="93" t="n">
        <v>1</v>
      </c>
      <c r="T19" s="92" t="inlineStr">
        <is>
          <t xml:space="preserve">I-A         </t>
        </is>
      </c>
      <c r="U19" s="93" t="n">
        <v>398</v>
      </c>
      <c r="V19" s="710" t="n">
        <v>51811</v>
      </c>
      <c r="W19" s="710" t="n">
        <v>52000</v>
      </c>
      <c r="X19" s="712" t="inlineStr">
        <is>
          <t>1.9:1</t>
        </is>
      </c>
      <c r="Y19" s="710" t="n">
        <v>27000</v>
      </c>
      <c r="Z19" s="92" t="inlineStr">
        <is>
          <t xml:space="preserve">C </t>
        </is>
      </c>
      <c r="AA19" s="93" t="n"/>
      <c r="AB19" s="93" t="n"/>
      <c r="AC19" s="93" t="n"/>
      <c r="AD19" s="93" t="inlineStr">
        <is>
          <t xml:space="preserve">ETD DIST            </t>
        </is>
      </c>
      <c r="AE19" s="93" t="n"/>
      <c r="AF19" s="93" t="n"/>
      <c r="AG19" s="93" t="n"/>
      <c r="AH19" s="93" t="n"/>
      <c r="AI19" s="93" t="n"/>
      <c r="AK19" s="265" t="inlineStr"/>
      <c r="AL19">
        <f>IF(AND(ISNUMBER($S19),$S19&gt;0,ISNUMBER($K19),ISNUMBER($J19)),($K19*$J19)/$S19,"")</f>
        <v/>
      </c>
      <c r="AM19" s="93" t="n"/>
      <c r="AN19" s="93" t="n"/>
      <c r="AO19" s="93" t="n"/>
      <c r="AP19" s="93" t="n"/>
      <c r="AQ19" s="93" t="n"/>
    </row>
    <row r="20" ht="14" customHeight="1" s="518">
      <c r="A20" s="106" t="n">
        <v>6</v>
      </c>
      <c r="B20" s="93" t="n">
        <v>15</v>
      </c>
      <c r="C20" s="93" t="inlineStr">
        <is>
          <t>2013Q</t>
        </is>
      </c>
      <c r="D20" s="93" t="inlineStr">
        <is>
          <t xml:space="preserve">01144-06-016-000 </t>
        </is>
      </c>
      <c r="E20" s="92" t="inlineStr">
        <is>
          <t>Actual</t>
        </is>
      </c>
      <c r="F20" s="93" t="inlineStr">
        <is>
          <t>5015   PARIS                ST</t>
        </is>
      </c>
      <c r="G20" s="93" t="n">
        <v>44.2</v>
      </c>
      <c r="H20" s="93" t="n">
        <v>9102</v>
      </c>
      <c r="I20" s="92" t="n">
        <v>0</v>
      </c>
      <c r="J20" s="710" t="n">
        <v>16328</v>
      </c>
      <c r="K20" s="711" t="n">
        <v>6.581148946594807</v>
      </c>
      <c r="L20" s="108" t="n">
        <v>0</v>
      </c>
      <c r="M20" s="97" t="n">
        <v>0.04031379993858009</v>
      </c>
      <c r="N20" s="93" t="n">
        <v>1979</v>
      </c>
      <c r="O20" s="93" t="n">
        <v>225</v>
      </c>
      <c r="P20" s="93" t="n">
        <v>0</v>
      </c>
      <c r="Q20" s="93" t="n">
        <v>23</v>
      </c>
      <c r="R20" s="93" t="n">
        <v>10</v>
      </c>
      <c r="S20" s="93" t="n">
        <v>1</v>
      </c>
      <c r="T20" s="92" t="inlineStr">
        <is>
          <t xml:space="preserve">I-A         </t>
        </is>
      </c>
      <c r="U20" s="93" t="n">
        <v>398</v>
      </c>
      <c r="V20" s="710" t="n">
        <v>40424</v>
      </c>
      <c r="W20" s="710" t="n">
        <v>40000</v>
      </c>
      <c r="X20" s="712" t="inlineStr">
        <is>
          <t>2.5:1</t>
        </is>
      </c>
      <c r="Y20" s="710" t="n">
        <v>16000</v>
      </c>
      <c r="Z20" s="92" t="inlineStr">
        <is>
          <t xml:space="preserve">C </t>
        </is>
      </c>
      <c r="AA20" s="93" t="n"/>
      <c r="AB20" s="93" t="n"/>
      <c r="AC20" s="93" t="n"/>
      <c r="AD20" s="93" t="inlineStr"/>
      <c r="AE20" s="93" t="n"/>
      <c r="AF20" s="93" t="n"/>
      <c r="AG20" s="93" t="n"/>
      <c r="AH20" s="93" t="n"/>
      <c r="AI20" s="93" t="n"/>
      <c r="AK20" s="265" t="inlineStr">
        <is>
          <t xml:space="preserve">2009 LEASE.                                                       </t>
        </is>
      </c>
      <c r="AL20">
        <f>IF(AND(ISNUMBER($S20),$S20&gt;0,ISNUMBER($K20),ISNUMBER($J20)),($K20*$J20)/$S20,"")</f>
        <v/>
      </c>
      <c r="AM20" s="93" t="n"/>
      <c r="AN20" s="93" t="n"/>
      <c r="AO20" s="93" t="n"/>
      <c r="AP20" s="93" t="n"/>
      <c r="AQ20" s="93" t="n"/>
    </row>
    <row r="21" ht="14" customHeight="1" s="518">
      <c r="A21" s="106" t="n">
        <v>6</v>
      </c>
      <c r="B21" s="93" t="n">
        <v>16</v>
      </c>
      <c r="C21" s="93" t="inlineStr">
        <is>
          <t>2013Q</t>
        </is>
      </c>
      <c r="D21" s="93" t="inlineStr">
        <is>
          <t xml:space="preserve">01144-07-014-000 </t>
        </is>
      </c>
      <c r="E21" s="92" t="inlineStr">
        <is>
          <t>Actual</t>
        </is>
      </c>
      <c r="F21" s="93" t="inlineStr">
        <is>
          <t>4895   OAKLAND              ST</t>
        </is>
      </c>
      <c r="G21" s="93" t="n">
        <v>47.1</v>
      </c>
      <c r="H21" s="93" t="n">
        <v>9102</v>
      </c>
      <c r="I21" s="92" t="n">
        <v>0</v>
      </c>
      <c r="J21" s="710" t="n">
        <v>14400</v>
      </c>
      <c r="K21" s="711" t="n">
        <v>4.5</v>
      </c>
      <c r="L21" s="108" t="n">
        <v>0</v>
      </c>
      <c r="M21" s="97" t="n">
        <v>0</v>
      </c>
      <c r="N21" s="93" t="n">
        <v>1974</v>
      </c>
      <c r="O21" s="93" t="n">
        <v>2000</v>
      </c>
      <c r="P21" s="93" t="n">
        <v>1800</v>
      </c>
      <c r="Q21" s="93" t="n">
        <v>18</v>
      </c>
      <c r="R21" s="93" t="n">
        <v>10</v>
      </c>
      <c r="S21" s="93" t="n">
        <v>1</v>
      </c>
      <c r="T21" s="92" t="inlineStr">
        <is>
          <t xml:space="preserve">I-A         </t>
        </is>
      </c>
      <c r="U21" s="93" t="n">
        <v>401</v>
      </c>
      <c r="V21" s="710" t="n">
        <v>45601</v>
      </c>
      <c r="W21" s="710" t="n">
        <v>46000</v>
      </c>
      <c r="X21" s="712" t="inlineStr">
        <is>
          <t>3.2:1</t>
        </is>
      </c>
      <c r="Y21" s="710" t="n">
        <v>14000</v>
      </c>
      <c r="Z21" s="92" t="inlineStr">
        <is>
          <t xml:space="preserve">B </t>
        </is>
      </c>
      <c r="AA21" s="93" t="n"/>
      <c r="AB21" s="93" t="n"/>
      <c r="AC21" s="93" t="n"/>
      <c r="AD21" s="93" t="inlineStr"/>
      <c r="AE21" s="93" t="n"/>
      <c r="AF21" s="93" t="n"/>
      <c r="AG21" s="93" t="n"/>
      <c r="AH21" s="93" t="n"/>
      <c r="AI21" s="93" t="n"/>
      <c r="AK21" s="265" t="inlineStr">
        <is>
          <t xml:space="preserve">LEASE COMMENCEMENT UNKNOWN.                                       </t>
        </is>
      </c>
      <c r="AL21">
        <f>IF(AND(ISNUMBER($S21),$S21&gt;0,ISNUMBER($K21),ISNUMBER($J21)),($K21*$J21)/$S21,"")</f>
        <v/>
      </c>
      <c r="AM21" s="93" t="n"/>
      <c r="AN21" s="93" t="n"/>
      <c r="AO21" s="93" t="n"/>
      <c r="AP21" s="93" t="n"/>
      <c r="AQ21" s="93" t="n"/>
    </row>
    <row r="22" ht="14" customHeight="1" s="518">
      <c r="A22" s="106" t="n">
        <v>6</v>
      </c>
      <c r="B22" s="93" t="n">
        <v>17</v>
      </c>
      <c r="C22" s="93" t="inlineStr">
        <is>
          <t>2013Q</t>
        </is>
      </c>
      <c r="D22" s="93" t="inlineStr">
        <is>
          <t xml:space="preserve">01144-11-006-000 </t>
        </is>
      </c>
      <c r="E22" s="92" t="inlineStr">
        <is>
          <t>Actual</t>
        </is>
      </c>
      <c r="F22" s="93" t="inlineStr">
        <is>
          <t>4950   LIMA                 ST</t>
        </is>
      </c>
      <c r="G22" s="93" t="n">
        <v>44.2</v>
      </c>
      <c r="H22" s="93" t="n">
        <v>9102</v>
      </c>
      <c r="I22" s="92" t="n">
        <v>0</v>
      </c>
      <c r="J22" s="710" t="n">
        <v>31200</v>
      </c>
      <c r="K22" s="711" t="n">
        <v>4.326923076923077</v>
      </c>
      <c r="L22" s="108" t="n">
        <v>0</v>
      </c>
      <c r="M22" s="97" t="n">
        <v>0</v>
      </c>
      <c r="N22" s="93" t="n">
        <v>2000</v>
      </c>
      <c r="O22" s="93" t="n">
        <v>1336</v>
      </c>
      <c r="P22" s="93" t="n">
        <v>0</v>
      </c>
      <c r="Q22" s="93" t="n">
        <v>19</v>
      </c>
      <c r="R22" s="93" t="n">
        <v>14</v>
      </c>
      <c r="S22" s="93" t="n">
        <v>1</v>
      </c>
      <c r="T22" s="92" t="inlineStr">
        <is>
          <t xml:space="preserve">I-B         </t>
        </is>
      </c>
      <c r="U22" s="93" t="n">
        <v>398</v>
      </c>
      <c r="V22" s="710" t="n">
        <v>69243</v>
      </c>
      <c r="W22" s="710" t="n">
        <v>69000</v>
      </c>
      <c r="X22" s="712" t="inlineStr">
        <is>
          <t>2.2:1</t>
        </is>
      </c>
      <c r="Y22" s="710" t="n">
        <v>31000</v>
      </c>
      <c r="Z22" s="92" t="inlineStr">
        <is>
          <t xml:space="preserve">C </t>
        </is>
      </c>
      <c r="AA22" s="93" t="n"/>
      <c r="AB22" s="93" t="n"/>
      <c r="AC22" s="93" t="n"/>
      <c r="AD22" s="93" t="inlineStr">
        <is>
          <t xml:space="preserve">INDUSTRIAL VALCO    </t>
        </is>
      </c>
      <c r="AE22" s="93" t="n"/>
      <c r="AF22" s="93" t="n"/>
      <c r="AG22" s="93" t="n"/>
      <c r="AH22" s="93" t="n"/>
      <c r="AI22" s="93" t="n"/>
      <c r="AK22" s="265" t="inlineStr"/>
      <c r="AL22">
        <f>IF(AND(ISNUMBER($S22),$S22&gt;0,ISNUMBER($K22),ISNUMBER($J22)),($K22*$J22)/$S22,"")</f>
        <v/>
      </c>
      <c r="AM22" s="93" t="n"/>
      <c r="AN22" s="93" t="n"/>
      <c r="AO22" s="93" t="n"/>
      <c r="AP22" s="93" t="n"/>
      <c r="AQ22" s="93" t="n"/>
    </row>
    <row r="23" ht="14" customHeight="1" s="518">
      <c r="A23" s="106" t="n">
        <v>6</v>
      </c>
      <c r="B23" s="93" t="n">
        <v>18</v>
      </c>
      <c r="C23" s="93" t="inlineStr">
        <is>
          <t>2013Q</t>
        </is>
      </c>
      <c r="D23" s="93" t="inlineStr">
        <is>
          <t xml:space="preserve">01153-03-006-000 </t>
        </is>
      </c>
      <c r="E23" s="92" t="inlineStr">
        <is>
          <t>Actual</t>
        </is>
      </c>
      <c r="F23" s="93" t="inlineStr">
        <is>
          <t>9305 E 49TH                 AV</t>
        </is>
      </c>
      <c r="G23" s="93" t="n">
        <v>44.1</v>
      </c>
      <c r="H23" s="93" t="n">
        <v>9103</v>
      </c>
      <c r="I23" s="92" t="n">
        <v>0</v>
      </c>
      <c r="J23" s="710" t="n">
        <v>10530</v>
      </c>
      <c r="K23" s="711" t="n">
        <v>11.3960113960114</v>
      </c>
      <c r="L23" s="108" t="n">
        <v>0</v>
      </c>
      <c r="M23" s="97" t="n">
        <v>0.00035</v>
      </c>
      <c r="N23" s="93" t="n">
        <v>2006</v>
      </c>
      <c r="O23" s="93" t="n">
        <v>3547</v>
      </c>
      <c r="P23" s="93" t="n">
        <v>0</v>
      </c>
      <c r="Q23" s="93" t="n">
        <v>25</v>
      </c>
      <c r="R23" s="93" t="n">
        <v>14</v>
      </c>
      <c r="S23" s="93" t="n">
        <v>1</v>
      </c>
      <c r="T23" s="92" t="inlineStr">
        <is>
          <t xml:space="preserve">C-MU-30     </t>
        </is>
      </c>
      <c r="U23" s="93" t="n">
        <v>398</v>
      </c>
      <c r="V23" s="710" t="n">
        <v>44907</v>
      </c>
      <c r="W23" s="710" t="n">
        <v>45000</v>
      </c>
      <c r="X23" s="712" t="inlineStr">
        <is>
          <t>4.3:1</t>
        </is>
      </c>
      <c r="Y23" s="710" t="n">
        <v>11000</v>
      </c>
      <c r="Z23" s="92" t="inlineStr">
        <is>
          <t xml:space="preserve">C </t>
        </is>
      </c>
      <c r="AA23" s="93" t="n"/>
      <c r="AB23" s="93" t="n"/>
      <c r="AC23" s="93" t="n"/>
      <c r="AD23" s="93" t="inlineStr">
        <is>
          <t xml:space="preserve">SINGLE TENANT WHSE  </t>
        </is>
      </c>
      <c r="AE23" s="93" t="n"/>
      <c r="AF23" s="93" t="n"/>
      <c r="AG23" s="93" t="n"/>
      <c r="AH23" s="93" t="n"/>
      <c r="AI23" s="93" t="n"/>
      <c r="AK23" s="265" t="inlineStr">
        <is>
          <t xml:space="preserve">COMMENCEMENT DATE OF LEASE UNKNOWN.                               </t>
        </is>
      </c>
      <c r="AL23">
        <f>IF(AND(ISNUMBER($S23),$S23&gt;0,ISNUMBER($K23),ISNUMBER($J23)),($K23*$J23)/$S23,"")</f>
        <v/>
      </c>
      <c r="AM23" s="93" t="n"/>
      <c r="AN23" s="93" t="n"/>
      <c r="AO23" s="93" t="n"/>
      <c r="AP23" s="93" t="n"/>
      <c r="AQ23" s="93" t="n"/>
    </row>
    <row r="24" ht="14" customHeight="1" s="518">
      <c r="A24" s="106" t="n">
        <v>6</v>
      </c>
      <c r="B24" s="93" t="n">
        <v>19</v>
      </c>
      <c r="C24" s="93" t="inlineStr">
        <is>
          <t>2013Q</t>
        </is>
      </c>
      <c r="D24" s="93" t="inlineStr">
        <is>
          <t xml:space="preserve">01153-03-010-000 </t>
        </is>
      </c>
      <c r="E24" s="92" t="inlineStr">
        <is>
          <t>Actual</t>
        </is>
      </c>
      <c r="F24" s="93" t="inlineStr">
        <is>
          <t>9501 E 49TH                 AV</t>
        </is>
      </c>
      <c r="G24" s="93" t="n">
        <v>44.2</v>
      </c>
      <c r="H24" s="93" t="n">
        <v>9103</v>
      </c>
      <c r="I24" s="92" t="n">
        <v>0</v>
      </c>
      <c r="J24" s="710" t="n">
        <v>31412</v>
      </c>
      <c r="K24" s="711" t="n">
        <v>6.494333375779957</v>
      </c>
      <c r="L24" s="108" t="n">
        <v>0</v>
      </c>
      <c r="M24" s="97" t="n">
        <v>0</v>
      </c>
      <c r="N24" s="93" t="n">
        <v>2007</v>
      </c>
      <c r="O24" s="93" t="n">
        <v>15084</v>
      </c>
      <c r="P24" s="93" t="n">
        <v>0</v>
      </c>
      <c r="Q24" s="93" t="n">
        <v>32</v>
      </c>
      <c r="R24" s="93" t="n">
        <v>14</v>
      </c>
      <c r="S24" s="93" t="n">
        <v>1</v>
      </c>
      <c r="T24" s="92" t="inlineStr">
        <is>
          <t xml:space="preserve">C-MU-30     </t>
        </is>
      </c>
      <c r="U24" s="93" t="n">
        <v>398</v>
      </c>
      <c r="V24" s="710" t="n">
        <v>43747</v>
      </c>
      <c r="W24" s="710" t="n">
        <v>44000</v>
      </c>
      <c r="X24" s="712" t="inlineStr">
        <is>
          <t>1.4:1</t>
        </is>
      </c>
      <c r="Y24" s="710" t="n">
        <v>31000</v>
      </c>
      <c r="Z24" s="92" t="inlineStr">
        <is>
          <t xml:space="preserve">C </t>
        </is>
      </c>
      <c r="AA24" s="93" t="n"/>
      <c r="AB24" s="93" t="n"/>
      <c r="AC24" s="93" t="n"/>
      <c r="AD24" s="93" t="inlineStr">
        <is>
          <t xml:space="preserve">S-T WHSE.           </t>
        </is>
      </c>
      <c r="AE24" s="93" t="n"/>
      <c r="AF24" s="93" t="n"/>
      <c r="AG24" s="93" t="n"/>
      <c r="AH24" s="93" t="n"/>
      <c r="AI24" s="93" t="n"/>
      <c r="AK24" s="265" t="inlineStr">
        <is>
          <t xml:space="preserve">2010 LEASE.                                                       </t>
        </is>
      </c>
      <c r="AL24">
        <f>IF(AND(ISNUMBER($S24),$S24&gt;0,ISNUMBER($K24),ISNUMBER($J24)),($K24*$J24)/$S24,"")</f>
        <v/>
      </c>
      <c r="AM24" s="93" t="n"/>
      <c r="AN24" s="93" t="n"/>
      <c r="AO24" s="93" t="n"/>
      <c r="AP24" s="93" t="n"/>
      <c r="AQ24" s="93" t="n"/>
    </row>
    <row r="25" ht="14" customHeight="1" s="518">
      <c r="A25" s="106" t="n">
        <v>6</v>
      </c>
      <c r="B25" s="93" t="n">
        <v>20</v>
      </c>
      <c r="C25" s="93" t="inlineStr">
        <is>
          <t>2013Q</t>
        </is>
      </c>
      <c r="D25" s="93" t="inlineStr">
        <is>
          <t xml:space="preserve">01154-00-031-000 </t>
        </is>
      </c>
      <c r="E25" s="92" t="inlineStr">
        <is>
          <t>Actual</t>
        </is>
      </c>
      <c r="F25" s="93" t="inlineStr">
        <is>
          <t>10450 E 51ST                 AV</t>
        </is>
      </c>
      <c r="G25" s="93" t="n">
        <v>44.1</v>
      </c>
      <c r="H25" s="93" t="n">
        <v>9103</v>
      </c>
      <c r="I25" s="92" t="n">
        <v>0</v>
      </c>
      <c r="J25" s="710" t="n">
        <v>46400</v>
      </c>
      <c r="K25" s="711" t="n">
        <v>8.15478448275862</v>
      </c>
      <c r="L25" s="108" t="n">
        <v>0</v>
      </c>
      <c r="M25" s="97" t="n">
        <v>0</v>
      </c>
      <c r="N25" s="93" t="n">
        <v>2008</v>
      </c>
      <c r="O25" s="93" t="n">
        <v>1100</v>
      </c>
      <c r="P25" s="93" t="n">
        <v>0</v>
      </c>
      <c r="Q25" s="93" t="n">
        <v>20</v>
      </c>
      <c r="R25" s="93" t="n">
        <v>9</v>
      </c>
      <c r="S25" s="93" t="n">
        <v>1</v>
      </c>
      <c r="T25" s="92" t="inlineStr">
        <is>
          <t xml:space="preserve">I-A         </t>
        </is>
      </c>
      <c r="U25" s="93" t="n">
        <v>398</v>
      </c>
      <c r="V25" s="710" t="n">
        <v>153609</v>
      </c>
      <c r="W25" s="710" t="n">
        <v>154000</v>
      </c>
      <c r="X25" s="712" t="inlineStr">
        <is>
          <t>3.3:1</t>
        </is>
      </c>
      <c r="Y25" s="710" t="n">
        <v>46000</v>
      </c>
      <c r="Z25" s="92" t="inlineStr">
        <is>
          <t xml:space="preserve">C </t>
        </is>
      </c>
      <c r="AA25" s="93" t="n"/>
      <c r="AB25" s="93" t="n"/>
      <c r="AC25" s="93" t="n"/>
      <c r="AD25" s="93" t="inlineStr">
        <is>
          <t xml:space="preserve">CERTIFIT AUTO PARTS </t>
        </is>
      </c>
      <c r="AE25" s="93" t="n"/>
      <c r="AF25" s="93" t="n"/>
      <c r="AG25" s="93" t="n"/>
      <c r="AH25" s="93" t="n"/>
      <c r="AI25" s="93" t="n"/>
      <c r="AK25" s="265" t="inlineStr">
        <is>
          <t xml:space="preserve">2009 LEASE.                                                       </t>
        </is>
      </c>
      <c r="AL25">
        <f>IF(AND(ISNUMBER($S25),$S25&gt;0,ISNUMBER($K25),ISNUMBER($J25)),($K25*$J25)/$S25,"")</f>
        <v/>
      </c>
      <c r="AM25" s="93" t="n"/>
      <c r="AN25" s="93" t="n"/>
      <c r="AO25" s="93" t="n"/>
      <c r="AP25" s="93" t="n"/>
      <c r="AQ25" s="93" t="n"/>
    </row>
    <row r="26" ht="14" customHeight="1" s="518">
      <c r="A26" s="106" t="n">
        <v>6</v>
      </c>
      <c r="B26" s="93" t="n">
        <v>21</v>
      </c>
      <c r="C26" s="93" t="inlineStr">
        <is>
          <t>2013Q</t>
        </is>
      </c>
      <c r="D26" s="93" t="inlineStr">
        <is>
          <t xml:space="preserve">01154-04-005-000 </t>
        </is>
      </c>
      <c r="E26" s="92" t="inlineStr">
        <is>
          <t>Actual</t>
        </is>
      </c>
      <c r="F26" s="93" t="inlineStr">
        <is>
          <t>4890   GENEVA               ST</t>
        </is>
      </c>
      <c r="G26" s="93" t="n">
        <v>44.2</v>
      </c>
      <c r="H26" s="93" t="n">
        <v>9103</v>
      </c>
      <c r="I26" s="92" t="n">
        <v>0</v>
      </c>
      <c r="J26" s="710" t="n">
        <v>17750</v>
      </c>
      <c r="K26" s="711" t="n">
        <v>5.00056338028169</v>
      </c>
      <c r="L26" s="108" t="n">
        <v>0</v>
      </c>
      <c r="M26" s="97" t="n">
        <v>0.08783235691753041</v>
      </c>
      <c r="N26" s="93" t="n">
        <v>2004</v>
      </c>
      <c r="O26" s="93" t="n">
        <v>8277</v>
      </c>
      <c r="P26" s="93" t="n">
        <v>0</v>
      </c>
      <c r="Q26" s="93" t="n">
        <v>30</v>
      </c>
      <c r="R26" s="93" t="n">
        <v>14</v>
      </c>
      <c r="S26" s="93" t="n">
        <v>1</v>
      </c>
      <c r="T26" s="92" t="inlineStr">
        <is>
          <t xml:space="preserve">C-MU-30     </t>
        </is>
      </c>
      <c r="U26" s="93" t="n">
        <v>398</v>
      </c>
      <c r="V26" s="710" t="n">
        <v>65250</v>
      </c>
      <c r="W26" s="710" t="n">
        <v>65000</v>
      </c>
      <c r="X26" s="712" t="inlineStr">
        <is>
          <t>3.7:1</t>
        </is>
      </c>
      <c r="Y26" s="710" t="n">
        <v>18000</v>
      </c>
      <c r="Z26" s="92" t="inlineStr">
        <is>
          <t xml:space="preserve">C </t>
        </is>
      </c>
      <c r="AA26" s="93" t="n"/>
      <c r="AB26" s="93" t="n"/>
      <c r="AC26" s="93" t="n"/>
      <c r="AD26" s="93" t="inlineStr">
        <is>
          <t xml:space="preserve">STRYKER             </t>
        </is>
      </c>
      <c r="AE26" s="93" t="n"/>
      <c r="AF26" s="93" t="n"/>
      <c r="AG26" s="93" t="n"/>
      <c r="AH26" s="93" t="n"/>
      <c r="AI26" s="93" t="n"/>
      <c r="AK26" s="265" t="inlineStr"/>
      <c r="AL26">
        <f>IF(AND(ISNUMBER($S26),$S26&gt;0,ISNUMBER($K26),ISNUMBER($J26)),($K26*$J26)/$S26,"")</f>
        <v/>
      </c>
      <c r="AM26" s="93" t="n"/>
      <c r="AN26" s="93" t="n"/>
      <c r="AO26" s="93" t="n"/>
      <c r="AP26" s="93" t="n"/>
      <c r="AQ26" s="93" t="n"/>
    </row>
    <row r="27" ht="14" customHeight="1" s="518">
      <c r="A27" s="106" t="n">
        <v>6</v>
      </c>
      <c r="B27" s="93" t="n">
        <v>22</v>
      </c>
      <c r="C27" s="93" t="inlineStr">
        <is>
          <t>2013Q</t>
        </is>
      </c>
      <c r="D27" s="93" t="inlineStr">
        <is>
          <t xml:space="preserve">01183-00-019-000 </t>
        </is>
      </c>
      <c r="E27" s="92" t="inlineStr">
        <is>
          <t>Actual</t>
        </is>
      </c>
      <c r="F27" s="93" t="inlineStr">
        <is>
          <t>4200 E 52ND                 AV</t>
        </is>
      </c>
      <c r="G27" s="93" t="n">
        <v>44.3</v>
      </c>
      <c r="H27" s="93" t="n">
        <v>9101</v>
      </c>
      <c r="I27" s="92" t="n">
        <v>0</v>
      </c>
      <c r="J27" s="710" t="n">
        <v>128963</v>
      </c>
      <c r="K27" s="711" t="n">
        <v>3.163698114963207</v>
      </c>
      <c r="L27" s="108" t="n">
        <v>0</v>
      </c>
      <c r="M27" s="97" t="n">
        <v>0</v>
      </c>
      <c r="N27" s="93" t="n">
        <v>1966</v>
      </c>
      <c r="O27" s="93" t="n">
        <v>9653</v>
      </c>
      <c r="P27" s="93" t="n">
        <v>1015</v>
      </c>
      <c r="Q27" s="93" t="n">
        <v>34</v>
      </c>
      <c r="R27" s="93" t="n">
        <v>3</v>
      </c>
      <c r="S27" s="93" t="n">
        <v>1</v>
      </c>
      <c r="T27" s="92" t="inlineStr">
        <is>
          <t xml:space="preserve">I-B         </t>
        </is>
      </c>
      <c r="U27" s="93" t="n">
        <v>398</v>
      </c>
      <c r="V27" s="710" t="n">
        <v>292070</v>
      </c>
      <c r="W27" s="710" t="n">
        <v>292000</v>
      </c>
      <c r="X27" s="712" t="inlineStr">
        <is>
          <t>2.3:1</t>
        </is>
      </c>
      <c r="Y27" s="710" t="n">
        <v>129000</v>
      </c>
      <c r="Z27" s="92" t="inlineStr">
        <is>
          <t xml:space="preserve">C </t>
        </is>
      </c>
      <c r="AA27" s="93" t="n"/>
      <c r="AB27" s="93" t="n"/>
      <c r="AC27" s="93" t="n"/>
      <c r="AD27" s="93" t="inlineStr">
        <is>
          <t xml:space="preserve">S-W-AMERICAN WHSE   </t>
        </is>
      </c>
      <c r="AE27" s="93" t="n"/>
      <c r="AF27" s="93" t="n"/>
      <c r="AG27" s="93" t="n"/>
      <c r="AH27" s="93" t="n"/>
      <c r="AI27" s="93" t="n"/>
      <c r="AK27" s="265" t="inlineStr">
        <is>
          <t xml:space="preserve">2009 LEASE.                                                       </t>
        </is>
      </c>
      <c r="AL27">
        <f>IF(AND(ISNUMBER($S27),$S27&gt;0,ISNUMBER($K27),ISNUMBER($J27)),($K27*$J27)/$S27,"")</f>
        <v/>
      </c>
      <c r="AM27" s="93" t="n"/>
      <c r="AN27" s="93" t="n"/>
      <c r="AO27" s="93" t="n"/>
      <c r="AP27" s="93" t="n"/>
      <c r="AQ27" s="93" t="n"/>
    </row>
    <row r="28" ht="14" customHeight="1" s="518">
      <c r="A28" s="106" t="n">
        <v>6</v>
      </c>
      <c r="B28" s="93" t="n">
        <v>23</v>
      </c>
      <c r="C28" s="93" t="inlineStr">
        <is>
          <t>2013Q</t>
        </is>
      </c>
      <c r="D28" s="93" t="inlineStr">
        <is>
          <t xml:space="preserve">01183-01-024-000 </t>
        </is>
      </c>
      <c r="E28" s="92" t="inlineStr">
        <is>
          <t>Actual</t>
        </is>
      </c>
      <c r="F28" s="93" t="inlineStr">
        <is>
          <t>4545 E 51ST                 AV</t>
        </is>
      </c>
      <c r="G28" s="93" t="n">
        <v>44.4</v>
      </c>
      <c r="H28" s="93" t="n">
        <v>9101</v>
      </c>
      <c r="I28" s="92" t="n">
        <v>0</v>
      </c>
      <c r="J28" s="710" t="n">
        <v>122398</v>
      </c>
      <c r="K28" s="711" t="n">
        <v>4.769195575091096</v>
      </c>
      <c r="L28" s="108" t="n">
        <v>1</v>
      </c>
      <c r="M28" s="97" t="n">
        <v>0.08397402953369651</v>
      </c>
      <c r="N28" s="93" t="n">
        <v>1993</v>
      </c>
      <c r="O28" s="93" t="n">
        <v>6829</v>
      </c>
      <c r="P28" s="93" t="n">
        <v>13273</v>
      </c>
      <c r="Q28" s="93" t="n">
        <v>30</v>
      </c>
      <c r="R28" s="93" t="n">
        <v>14</v>
      </c>
      <c r="S28" s="93" t="n">
        <v>1</v>
      </c>
      <c r="T28" s="92" t="inlineStr">
        <is>
          <t xml:space="preserve">I-B         </t>
        </is>
      </c>
      <c r="U28" s="93" t="n">
        <v>398</v>
      </c>
      <c r="V28" s="710" t="n">
        <v>317659</v>
      </c>
      <c r="W28" s="710" t="n">
        <v>318000</v>
      </c>
      <c r="X28" s="712" t="inlineStr">
        <is>
          <t>2.6:1</t>
        </is>
      </c>
      <c r="Y28" s="710" t="n">
        <v>122000</v>
      </c>
      <c r="Z28" s="92" t="inlineStr">
        <is>
          <t xml:space="preserve">C </t>
        </is>
      </c>
      <c r="AA28" s="93" t="n"/>
      <c r="AB28" s="93" t="n"/>
      <c r="AC28" s="93" t="n"/>
      <c r="AD28" s="93" t="inlineStr">
        <is>
          <t xml:space="preserve">S-W-MILLER BRANDS   </t>
        </is>
      </c>
      <c r="AE28" s="93" t="n"/>
      <c r="AF28" s="93" t="n"/>
      <c r="AG28" s="93" t="n"/>
      <c r="AH28" s="93" t="n"/>
      <c r="AI28" s="93" t="n"/>
      <c r="AK28" s="265" t="inlineStr">
        <is>
          <t xml:space="preserve">2010 LEASE                                                        </t>
        </is>
      </c>
      <c r="AL28">
        <f>IF(AND(ISNUMBER($S28),$S28&gt;0,ISNUMBER($K28),ISNUMBER($J28)),($K28*$J28)/$S28,"")</f>
        <v/>
      </c>
      <c r="AM28" s="93" t="n"/>
      <c r="AN28" s="93" t="n"/>
      <c r="AO28" s="93" t="n"/>
      <c r="AP28" s="93" t="n"/>
      <c r="AQ28" s="93" t="n"/>
    </row>
    <row r="29" ht="14" customHeight="1" s="518">
      <c r="A29" s="106" t="n">
        <v>6</v>
      </c>
      <c r="B29" s="93" t="n">
        <v>24</v>
      </c>
      <c r="C29" s="93" t="inlineStr">
        <is>
          <t>2013Q</t>
        </is>
      </c>
      <c r="D29" s="93" t="inlineStr">
        <is>
          <t xml:space="preserve">01183-02-011-000 </t>
        </is>
      </c>
      <c r="E29" s="92" t="inlineStr">
        <is>
          <t>Actual</t>
        </is>
      </c>
      <c r="F29" s="93" t="inlineStr">
        <is>
          <t>4770 E 51ST                 AV</t>
        </is>
      </c>
      <c r="G29" s="93" t="n">
        <v>44.7</v>
      </c>
      <c r="H29" s="93" t="n">
        <v>9101</v>
      </c>
      <c r="I29" s="92" t="n">
        <v>0</v>
      </c>
      <c r="J29" s="710" t="n">
        <v>106353</v>
      </c>
      <c r="K29" s="711" t="n">
        <v>3.077148740515077</v>
      </c>
      <c r="L29" s="108" t="n">
        <v>0</v>
      </c>
      <c r="M29" s="97" t="n">
        <v>0.008344944754082331</v>
      </c>
      <c r="N29" s="93" t="n">
        <v>1974</v>
      </c>
      <c r="O29" s="93" t="n">
        <v>8047</v>
      </c>
      <c r="P29" s="93" t="n">
        <v>0</v>
      </c>
      <c r="Q29" s="93" t="n">
        <v>24</v>
      </c>
      <c r="R29" s="93" t="n">
        <v>10</v>
      </c>
      <c r="S29" s="93" t="n">
        <v>1</v>
      </c>
      <c r="T29" s="92" t="inlineStr">
        <is>
          <t xml:space="preserve">I-B         </t>
        </is>
      </c>
      <c r="U29" s="93" t="n">
        <v>398</v>
      </c>
      <c r="V29" s="710" t="n">
        <v>261000</v>
      </c>
      <c r="W29" s="710" t="n">
        <v>261000</v>
      </c>
      <c r="X29" s="712" t="inlineStr">
        <is>
          <t>2.5:1</t>
        </is>
      </c>
      <c r="Y29" s="710" t="n">
        <v>106000</v>
      </c>
      <c r="Z29" s="92" t="inlineStr">
        <is>
          <t xml:space="preserve">C </t>
        </is>
      </c>
      <c r="AA29" s="93" t="n"/>
      <c r="AB29" s="93" t="n"/>
      <c r="AC29" s="93" t="n"/>
      <c r="AD29" s="93" t="inlineStr">
        <is>
          <t>MILE-HI FROZEN FOODS</t>
        </is>
      </c>
      <c r="AE29" s="93" t="n"/>
      <c r="AF29" s="93" t="n"/>
      <c r="AG29" s="93" t="n"/>
      <c r="AH29" s="93" t="n"/>
      <c r="AI29" s="93" t="n"/>
      <c r="AK29" s="265" t="inlineStr"/>
      <c r="AL29">
        <f>IF(AND(ISNUMBER($S29),$S29&gt;0,ISNUMBER($K29),ISNUMBER($J29)),($K29*$J29)/$S29,"")</f>
        <v/>
      </c>
      <c r="AM29" s="93" t="n"/>
      <c r="AN29" s="93" t="n"/>
      <c r="AO29" s="93" t="n"/>
      <c r="AP29" s="93" t="n"/>
      <c r="AQ29" s="93" t="n"/>
    </row>
    <row r="30" ht="14" customHeight="1" s="518">
      <c r="A30" s="106" t="n">
        <v>6</v>
      </c>
      <c r="B30" s="93" t="n">
        <v>25</v>
      </c>
      <c r="C30" s="93" t="inlineStr">
        <is>
          <t>2013Q</t>
        </is>
      </c>
      <c r="D30" s="93" t="inlineStr">
        <is>
          <t xml:space="preserve">01183-02-012-000 </t>
        </is>
      </c>
      <c r="E30" s="92" t="inlineStr">
        <is>
          <t>Actual</t>
        </is>
      </c>
      <c r="F30" s="93" t="inlineStr">
        <is>
          <t>4501 E 50TH                 AV</t>
        </is>
      </c>
      <c r="G30" s="93" t="n">
        <v>44.7</v>
      </c>
      <c r="H30" s="93" t="n">
        <v>9101</v>
      </c>
      <c r="I30" s="92" t="n">
        <v>0</v>
      </c>
      <c r="J30" s="710" t="n">
        <v>104748</v>
      </c>
      <c r="K30" s="711" t="n">
        <v>8.457984180436997</v>
      </c>
      <c r="L30" s="108" t="n">
        <v>0</v>
      </c>
      <c r="M30" s="97" t="n">
        <v>0.06616666666666667</v>
      </c>
      <c r="N30" s="93" t="n">
        <v>1973</v>
      </c>
      <c r="O30" s="93" t="n">
        <v>1041</v>
      </c>
      <c r="P30" s="93" t="n">
        <v>7500</v>
      </c>
      <c r="Q30" s="93" t="n">
        <v>27</v>
      </c>
      <c r="R30" s="93" t="n">
        <v>3</v>
      </c>
      <c r="S30" s="93" t="n">
        <v>2</v>
      </c>
      <c r="T30" s="92" t="inlineStr">
        <is>
          <t xml:space="preserve">I-B         </t>
        </is>
      </c>
      <c r="U30" s="93" t="n">
        <v>398</v>
      </c>
      <c r="V30" s="710" t="n">
        <v>261359</v>
      </c>
      <c r="W30" s="710" t="n">
        <v>261000</v>
      </c>
      <c r="X30" s="712" t="inlineStr">
        <is>
          <t>2.5:1</t>
        </is>
      </c>
      <c r="Y30" s="710" t="n">
        <v>105000</v>
      </c>
      <c r="Z30" s="92" t="inlineStr">
        <is>
          <t xml:space="preserve">C </t>
        </is>
      </c>
      <c r="AA30" s="93" t="n"/>
      <c r="AB30" s="93" t="n"/>
      <c r="AC30" s="93" t="n"/>
      <c r="AD30" s="93" t="inlineStr">
        <is>
          <t>MILE HIGH FROZEN FOO</t>
        </is>
      </c>
      <c r="AE30" s="93" t="n"/>
      <c r="AF30" s="93" t="n"/>
      <c r="AG30" s="93" t="n"/>
      <c r="AH30" s="93" t="n"/>
      <c r="AI30" s="93" t="n"/>
      <c r="AK30" s="265" t="inlineStr">
        <is>
          <t xml:space="preserve">2010 LEASE                                                        </t>
        </is>
      </c>
      <c r="AL30">
        <f>IF(AND(ISNUMBER($S30),$S30&gt;0,ISNUMBER($K30),ISNUMBER($J30)),($K30*$J30)/$S30,"")</f>
        <v/>
      </c>
      <c r="AM30" s="93" t="n"/>
      <c r="AN30" s="93" t="n"/>
      <c r="AO30" s="93" t="n"/>
      <c r="AP30" s="93" t="n"/>
      <c r="AQ30" s="93" t="n"/>
    </row>
    <row r="31" ht="14" customHeight="1" s="518">
      <c r="A31" s="106" t="n">
        <v>6</v>
      </c>
      <c r="B31" s="93" t="n">
        <v>26</v>
      </c>
      <c r="C31" s="93" t="inlineStr">
        <is>
          <t>2013Q</t>
        </is>
      </c>
      <c r="D31" s="93" t="inlineStr">
        <is>
          <t xml:space="preserve">01183-02-016-000 </t>
        </is>
      </c>
      <c r="E31" s="92" t="inlineStr">
        <is>
          <t>Actual</t>
        </is>
      </c>
      <c r="F31" s="93" t="inlineStr">
        <is>
          <t>5075   DAHLIA               ST</t>
        </is>
      </c>
      <c r="G31" s="93" t="n">
        <v>44.7</v>
      </c>
      <c r="H31" s="93" t="n">
        <v>9101</v>
      </c>
      <c r="I31" s="92" t="n">
        <v>0</v>
      </c>
      <c r="J31" s="710" t="n">
        <v>13066</v>
      </c>
      <c r="K31" s="711" t="n">
        <v>3.731057707025869</v>
      </c>
      <c r="L31" s="108" t="n">
        <v>0</v>
      </c>
      <c r="M31" s="97" t="n">
        <v>0.004061538461538462</v>
      </c>
      <c r="N31" s="93" t="n">
        <v>1966</v>
      </c>
      <c r="O31" s="93" t="n">
        <v>1560</v>
      </c>
      <c r="P31" s="93" t="n">
        <v>0</v>
      </c>
      <c r="Q31" s="93" t="n">
        <v>20</v>
      </c>
      <c r="R31" s="93" t="n">
        <v>3</v>
      </c>
      <c r="S31" s="93" t="n">
        <v>2</v>
      </c>
      <c r="T31" s="92" t="inlineStr">
        <is>
          <t xml:space="preserve">I-B         </t>
        </is>
      </c>
      <c r="U31" s="93" t="n">
        <v>398</v>
      </c>
      <c r="V31" s="710" t="n">
        <v>18315</v>
      </c>
      <c r="W31" s="710" t="n">
        <v>18000</v>
      </c>
      <c r="X31" s="712" t="inlineStr">
        <is>
          <t>1.4:1</t>
        </is>
      </c>
      <c r="Y31" s="710" t="n">
        <v>13000</v>
      </c>
      <c r="Z31" s="92" t="inlineStr">
        <is>
          <t>C+</t>
        </is>
      </c>
      <c r="AA31" s="93" t="n"/>
      <c r="AB31" s="93" t="n"/>
      <c r="AC31" s="93" t="n"/>
      <c r="AD31" s="93" t="inlineStr"/>
      <c r="AE31" s="93" t="n"/>
      <c r="AF31" s="93" t="n"/>
      <c r="AG31" s="93" t="n"/>
      <c r="AH31" s="93" t="n"/>
      <c r="AI31" s="93" t="n"/>
      <c r="AK31" s="265" t="inlineStr"/>
      <c r="AL31">
        <f>IF(AND(ISNUMBER($S31),$S31&gt;0,ISNUMBER($K31),ISNUMBER($J31)),($K31*$J31)/$S31,"")</f>
        <v/>
      </c>
      <c r="AM31" s="93" t="n"/>
      <c r="AN31" s="93" t="n"/>
      <c r="AO31" s="93" t="n"/>
      <c r="AP31" s="93" t="n"/>
      <c r="AQ31" s="93" t="n"/>
    </row>
    <row r="32" ht="14" customHeight="1" s="518">
      <c r="A32" s="106" t="n">
        <v>6</v>
      </c>
      <c r="B32" s="93" t="n">
        <v>27</v>
      </c>
      <c r="C32" s="93" t="inlineStr">
        <is>
          <t>2013Q</t>
        </is>
      </c>
      <c r="D32" s="93" t="inlineStr">
        <is>
          <t xml:space="preserve">01183-02-017-000 </t>
        </is>
      </c>
      <c r="E32" s="92" t="inlineStr">
        <is>
          <t>Actual</t>
        </is>
      </c>
      <c r="F32" s="93" t="inlineStr">
        <is>
          <t>5025   DAHLIA               ST</t>
        </is>
      </c>
      <c r="G32" s="93" t="n">
        <v>44.2</v>
      </c>
      <c r="H32" s="93" t="n">
        <v>9101</v>
      </c>
      <c r="I32" s="92" t="n">
        <v>0</v>
      </c>
      <c r="J32" s="710" t="n">
        <v>11440</v>
      </c>
      <c r="K32" s="711" t="n">
        <v>6.293706293706293</v>
      </c>
      <c r="L32" s="108" t="n">
        <v>0</v>
      </c>
      <c r="M32" s="97" t="n">
        <v>0.04822222222222222</v>
      </c>
      <c r="N32" s="93" t="n">
        <v>1974</v>
      </c>
      <c r="O32" s="93" t="n">
        <v>1564</v>
      </c>
      <c r="P32" s="93" t="n">
        <v>0</v>
      </c>
      <c r="Q32" s="93" t="n">
        <v>22</v>
      </c>
      <c r="R32" s="93" t="n">
        <v>1</v>
      </c>
      <c r="S32" s="93" t="n">
        <v>1</v>
      </c>
      <c r="T32" s="92" t="inlineStr">
        <is>
          <t xml:space="preserve">I-B         </t>
        </is>
      </c>
      <c r="U32" s="93" t="n">
        <v>398</v>
      </c>
      <c r="V32" s="710" t="n">
        <v>21764</v>
      </c>
      <c r="W32" s="710" t="n">
        <v>22000</v>
      </c>
      <c r="X32" s="712" t="inlineStr">
        <is>
          <t>1.9:1</t>
        </is>
      </c>
      <c r="Y32" s="710" t="n">
        <v>11000</v>
      </c>
      <c r="Z32" s="92" t="inlineStr">
        <is>
          <t xml:space="preserve">C </t>
        </is>
      </c>
      <c r="AA32" s="93" t="n"/>
      <c r="AB32" s="93" t="n"/>
      <c r="AC32" s="93" t="n"/>
      <c r="AD32" s="93" t="inlineStr"/>
      <c r="AE32" s="93" t="n"/>
      <c r="AF32" s="93" t="n"/>
      <c r="AG32" s="93" t="n"/>
      <c r="AH32" s="93" t="n"/>
      <c r="AI32" s="93" t="n"/>
      <c r="AK32" s="265" t="inlineStr"/>
      <c r="AL32">
        <f>IF(AND(ISNUMBER($S32),$S32&gt;0,ISNUMBER($K32),ISNUMBER($J32)),($K32*$J32)/$S32,"")</f>
        <v/>
      </c>
      <c r="AM32" s="93" t="n"/>
      <c r="AN32" s="93" t="n"/>
      <c r="AO32" s="93" t="n"/>
      <c r="AP32" s="93" t="n"/>
      <c r="AQ32" s="93" t="n"/>
    </row>
    <row r="33" ht="14" customHeight="1" s="518">
      <c r="A33" s="106" t="n">
        <v>6</v>
      </c>
      <c r="B33" s="93" t="n">
        <v>28</v>
      </c>
      <c r="C33" s="93" t="inlineStr">
        <is>
          <t>2013Q</t>
        </is>
      </c>
      <c r="D33" s="93" t="inlineStr">
        <is>
          <t xml:space="preserve">01184-00-016-000 </t>
        </is>
      </c>
      <c r="E33" s="92" t="inlineStr">
        <is>
          <t>Actual</t>
        </is>
      </c>
      <c r="F33" s="93" t="inlineStr">
        <is>
          <t>4900   DAHLIA               ST</t>
        </is>
      </c>
      <c r="G33" s="93" t="n">
        <v>44.2</v>
      </c>
      <c r="H33" s="93" t="n">
        <v>9101</v>
      </c>
      <c r="I33" s="92" t="n">
        <v>0</v>
      </c>
      <c r="J33" s="710" t="n">
        <v>40200</v>
      </c>
      <c r="K33" s="711" t="n">
        <v>5.970149253731344</v>
      </c>
      <c r="L33" s="108" t="n">
        <v>1</v>
      </c>
      <c r="M33" s="97" t="n">
        <v>0.0302875</v>
      </c>
      <c r="N33" s="93" t="n">
        <v>1966</v>
      </c>
      <c r="O33" s="93" t="n">
        <v>0</v>
      </c>
      <c r="P33" s="93" t="n">
        <v>0</v>
      </c>
      <c r="Q33" s="93" t="n">
        <v>30</v>
      </c>
      <c r="R33" s="93" t="n">
        <v>1</v>
      </c>
      <c r="S33" s="93" t="n">
        <v>1</v>
      </c>
      <c r="T33" s="92" t="inlineStr">
        <is>
          <t xml:space="preserve">I-B         </t>
        </is>
      </c>
      <c r="U33" s="93" t="n">
        <v>398</v>
      </c>
      <c r="V33" s="710" t="n">
        <v>102703</v>
      </c>
      <c r="W33" s="710" t="n">
        <v>103000</v>
      </c>
      <c r="X33" s="712" t="inlineStr">
        <is>
          <t>2.6:1</t>
        </is>
      </c>
      <c r="Y33" s="710" t="n">
        <v>40000</v>
      </c>
      <c r="Z33" s="92" t="inlineStr">
        <is>
          <t xml:space="preserve">C </t>
        </is>
      </c>
      <c r="AA33" s="93" t="n"/>
      <c r="AB33" s="93" t="n"/>
      <c r="AC33" s="93" t="n"/>
      <c r="AD33" s="93" t="inlineStr">
        <is>
          <t xml:space="preserve">AMERICAN WHSE       </t>
        </is>
      </c>
      <c r="AE33" s="93" t="n"/>
      <c r="AF33" s="93" t="n"/>
      <c r="AG33" s="93" t="n"/>
      <c r="AH33" s="93" t="n"/>
      <c r="AI33" s="93" t="n"/>
      <c r="AK33" s="265" t="inlineStr">
        <is>
          <t xml:space="preserve">2010 LEASE.                                                       </t>
        </is>
      </c>
      <c r="AL33">
        <f>IF(AND(ISNUMBER($S33),$S33&gt;0,ISNUMBER($K33),ISNUMBER($J33)),($K33*$J33)/$S33,"")</f>
        <v/>
      </c>
      <c r="AM33" s="93" t="n"/>
      <c r="AN33" s="93" t="n"/>
      <c r="AO33" s="93" t="n"/>
      <c r="AP33" s="93" t="n"/>
      <c r="AQ33" s="93" t="n"/>
    </row>
    <row r="34" ht="14" customHeight="1" s="518">
      <c r="A34" s="106" t="n">
        <v>6</v>
      </c>
      <c r="B34" s="93" t="n">
        <v>29</v>
      </c>
      <c r="C34" s="93" t="inlineStr">
        <is>
          <t>2013Q</t>
        </is>
      </c>
      <c r="D34" s="93" t="inlineStr">
        <is>
          <t xml:space="preserve">01184-00-019-000 </t>
        </is>
      </c>
      <c r="E34" s="92" t="inlineStr">
        <is>
          <t>Actual</t>
        </is>
      </c>
      <c r="F34" s="93" t="inlineStr">
        <is>
          <t>5055 E 48TH                 AV</t>
        </is>
      </c>
      <c r="G34" s="93" t="n">
        <v>44.1</v>
      </c>
      <c r="H34" s="93" t="n">
        <v>9101</v>
      </c>
      <c r="I34" s="92" t="n">
        <v>0</v>
      </c>
      <c r="J34" s="710" t="n">
        <v>40000</v>
      </c>
      <c r="K34" s="711" t="n">
        <v>3.69</v>
      </c>
      <c r="L34" s="108" t="n">
        <v>0</v>
      </c>
      <c r="M34" s="97" t="n">
        <v>0</v>
      </c>
      <c r="N34" s="93" t="n">
        <v>1997</v>
      </c>
      <c r="O34" s="93" t="n">
        <v>5412</v>
      </c>
      <c r="P34" s="93" t="n">
        <v>0</v>
      </c>
      <c r="Q34" s="93" t="n">
        <v>25</v>
      </c>
      <c r="R34" s="93" t="n">
        <v>7</v>
      </c>
      <c r="S34" s="93" t="n">
        <v>1</v>
      </c>
      <c r="T34" s="92" t="inlineStr">
        <is>
          <t xml:space="preserve">I-B         </t>
        </is>
      </c>
      <c r="U34" s="93" t="n">
        <v>398</v>
      </c>
      <c r="V34" s="710" t="n">
        <v>120740</v>
      </c>
      <c r="W34" s="710" t="n">
        <v>121000</v>
      </c>
      <c r="X34" s="712" t="inlineStr">
        <is>
          <t>3:1</t>
        </is>
      </c>
      <c r="Y34" s="710" t="n">
        <v>40000</v>
      </c>
      <c r="Z34" s="92" t="inlineStr">
        <is>
          <t xml:space="preserve">C </t>
        </is>
      </c>
      <c r="AA34" s="93" t="n"/>
      <c r="AB34" s="93" t="n"/>
      <c r="AC34" s="93" t="n"/>
      <c r="AD34" s="93" t="inlineStr">
        <is>
          <t xml:space="preserve">S-W GLENCO DIST     </t>
        </is>
      </c>
      <c r="AE34" s="93" t="n"/>
      <c r="AF34" s="93" t="n"/>
      <c r="AG34" s="93" t="n"/>
      <c r="AH34" s="93" t="n"/>
      <c r="AI34" s="93" t="n"/>
      <c r="AK34" s="265" t="inlineStr">
        <is>
          <t xml:space="preserve">2010 LEASE.                                                       </t>
        </is>
      </c>
      <c r="AL34">
        <f>IF(AND(ISNUMBER($S34),$S34&gt;0,ISNUMBER($K34),ISNUMBER($J34)),($K34*$J34)/$S34,"")</f>
        <v/>
      </c>
      <c r="AM34" s="93" t="n"/>
      <c r="AN34" s="93" t="n"/>
      <c r="AO34" s="93" t="n"/>
      <c r="AP34" s="93" t="n"/>
      <c r="AQ34" s="93" t="n"/>
    </row>
    <row r="35" ht="14" customHeight="1" s="518">
      <c r="A35" s="106" t="n">
        <v>6</v>
      </c>
      <c r="B35" s="93" t="n">
        <v>30</v>
      </c>
      <c r="C35" s="93" t="inlineStr">
        <is>
          <t>2013Q</t>
        </is>
      </c>
      <c r="D35" s="93" t="inlineStr">
        <is>
          <t xml:space="preserve">01184-01-006-000 </t>
        </is>
      </c>
      <c r="E35" s="92" t="inlineStr">
        <is>
          <t>Actual</t>
        </is>
      </c>
      <c r="F35" s="93" t="inlineStr">
        <is>
          <t>4851   FOREST               ST</t>
        </is>
      </c>
      <c r="G35" s="93" t="n">
        <v>44.2</v>
      </c>
      <c r="H35" s="93" t="n">
        <v>9101</v>
      </c>
      <c r="I35" s="92" t="n">
        <v>0</v>
      </c>
      <c r="J35" s="710" t="n">
        <v>6480</v>
      </c>
      <c r="K35" s="711" t="n">
        <v>9.25925925925926</v>
      </c>
      <c r="L35" s="108" t="n">
        <v>0</v>
      </c>
      <c r="M35" s="97" t="n">
        <v>0</v>
      </c>
      <c r="N35" s="93" t="n">
        <v>1987</v>
      </c>
      <c r="O35" s="93" t="n">
        <v>1744</v>
      </c>
      <c r="P35" s="93" t="n">
        <v>0</v>
      </c>
      <c r="Q35" s="93" t="n">
        <v>16</v>
      </c>
      <c r="R35" s="93" t="n">
        <v>8</v>
      </c>
      <c r="S35" s="93" t="n">
        <v>1</v>
      </c>
      <c r="T35" s="92" t="inlineStr">
        <is>
          <t xml:space="preserve">I-B         </t>
        </is>
      </c>
      <c r="U35" s="93" t="n">
        <v>398</v>
      </c>
      <c r="V35" s="710" t="n">
        <v>45216</v>
      </c>
      <c r="W35" s="710" t="n">
        <v>45000</v>
      </c>
      <c r="X35" s="712" t="inlineStr">
        <is>
          <t>7:1</t>
        </is>
      </c>
      <c r="Y35" s="710" t="n">
        <v>6000</v>
      </c>
      <c r="Z35" s="92" t="inlineStr">
        <is>
          <t xml:space="preserve">C </t>
        </is>
      </c>
      <c r="AA35" s="93" t="n"/>
      <c r="AB35" s="93" t="n"/>
      <c r="AC35" s="93" t="n"/>
      <c r="AD35" s="93" t="inlineStr">
        <is>
          <t xml:space="preserve">SEAL MASTER/DENVER  </t>
        </is>
      </c>
      <c r="AE35" s="93" t="n"/>
      <c r="AF35" s="93" t="n"/>
      <c r="AG35" s="93" t="n"/>
      <c r="AH35" s="93" t="n"/>
      <c r="AI35" s="93" t="n"/>
      <c r="AK35" s="265" t="inlineStr">
        <is>
          <t xml:space="preserve">LEASE COMMENCEMENT UNKNOWN.                                       </t>
        </is>
      </c>
      <c r="AL35">
        <f>IF(AND(ISNUMBER($S35),$S35&gt;0,ISNUMBER($K35),ISNUMBER($J35)),($K35*$J35)/$S35,"")</f>
        <v/>
      </c>
      <c r="AM35" s="93" t="n"/>
      <c r="AN35" s="93" t="n"/>
      <c r="AO35" s="93" t="n"/>
      <c r="AP35" s="93" t="n"/>
      <c r="AQ35" s="93" t="n"/>
    </row>
    <row r="36" ht="14" customHeight="1" s="518">
      <c r="A36" s="106" t="n">
        <v>6</v>
      </c>
      <c r="B36" s="93" t="n">
        <v>31</v>
      </c>
      <c r="C36" s="93" t="inlineStr">
        <is>
          <t>2013Q</t>
        </is>
      </c>
      <c r="D36" s="93" t="inlineStr">
        <is>
          <t xml:space="preserve">01191-00-059-000 </t>
        </is>
      </c>
      <c r="E36" s="92" t="inlineStr">
        <is>
          <t>Actual</t>
        </is>
      </c>
      <c r="F36" s="93" t="inlineStr">
        <is>
          <t>4747   HOLLY                ST</t>
        </is>
      </c>
      <c r="G36" s="93" t="n">
        <v>44.2</v>
      </c>
      <c r="H36" s="93" t="n">
        <v>9101</v>
      </c>
      <c r="I36" s="92" t="n">
        <v>0</v>
      </c>
      <c r="J36" s="710" t="n">
        <v>29447</v>
      </c>
      <c r="K36" s="711" t="n">
        <v>4.075118008625666</v>
      </c>
      <c r="L36" s="108" t="n">
        <v>0</v>
      </c>
      <c r="M36" s="97" t="n">
        <v>0.01960833333333333</v>
      </c>
      <c r="N36" s="93" t="n">
        <v>1967</v>
      </c>
      <c r="O36" s="93" t="n">
        <v>7053</v>
      </c>
      <c r="P36" s="93" t="n">
        <v>0</v>
      </c>
      <c r="Q36" s="93" t="n">
        <v>24</v>
      </c>
      <c r="R36" s="93" t="n">
        <v>10</v>
      </c>
      <c r="S36" s="93" t="n">
        <v>1</v>
      </c>
      <c r="T36" s="92" t="inlineStr">
        <is>
          <t xml:space="preserve">I-B         </t>
        </is>
      </c>
      <c r="U36" s="93" t="n">
        <v>398</v>
      </c>
      <c r="V36" s="710" t="n">
        <v>90213</v>
      </c>
      <c r="W36" s="710" t="n">
        <v>90000</v>
      </c>
      <c r="X36" s="712" t="inlineStr">
        <is>
          <t>3.1:1</t>
        </is>
      </c>
      <c r="Y36" s="710" t="n">
        <v>29000</v>
      </c>
      <c r="Z36" s="92" t="inlineStr">
        <is>
          <t xml:space="preserve">C </t>
        </is>
      </c>
      <c r="AA36" s="93" t="n"/>
      <c r="AB36" s="93" t="n"/>
      <c r="AC36" s="93" t="n"/>
      <c r="AD36" s="93" t="inlineStr"/>
      <c r="AE36" s="93" t="n"/>
      <c r="AF36" s="93" t="n"/>
      <c r="AG36" s="93" t="n"/>
      <c r="AH36" s="93" t="n"/>
      <c r="AI36" s="93" t="n"/>
      <c r="AK36" s="265" t="inlineStr">
        <is>
          <t xml:space="preserve">LEASE COMMENCEMENT UNKNOWN.                                       </t>
        </is>
      </c>
      <c r="AL36">
        <f>IF(AND(ISNUMBER($S36),$S36&gt;0,ISNUMBER($K36),ISNUMBER($J36)),($K36*$J36)/$S36,"")</f>
        <v/>
      </c>
      <c r="AM36" s="93" t="n"/>
      <c r="AN36" s="93" t="n"/>
      <c r="AO36" s="93" t="n"/>
      <c r="AP36" s="93" t="n"/>
      <c r="AQ36" s="93" t="n"/>
    </row>
    <row r="37" ht="14" customHeight="1" s="518">
      <c r="A37" s="106" t="n">
        <v>6</v>
      </c>
      <c r="B37" s="93" t="n">
        <v>32</v>
      </c>
      <c r="C37" s="93" t="inlineStr">
        <is>
          <t>2013Q</t>
        </is>
      </c>
      <c r="D37" s="93" t="inlineStr">
        <is>
          <t xml:space="preserve">01191-00-078-000 </t>
        </is>
      </c>
      <c r="E37" s="92" t="inlineStr">
        <is>
          <t>Actual</t>
        </is>
      </c>
      <c r="F37" s="93" t="inlineStr">
        <is>
          <t>5155 E 46TH                 AV</t>
        </is>
      </c>
      <c r="G37" s="93" t="n">
        <v>44.2</v>
      </c>
      <c r="H37" s="93" t="n">
        <v>9101</v>
      </c>
      <c r="I37" s="92" t="n">
        <v>0</v>
      </c>
      <c r="J37" s="710" t="n">
        <v>38863</v>
      </c>
      <c r="K37" s="711" t="n">
        <v>3</v>
      </c>
      <c r="L37" s="108" t="n">
        <v>0</v>
      </c>
      <c r="M37" s="97" t="n">
        <v>0</v>
      </c>
      <c r="N37" s="93" t="n">
        <v>1974</v>
      </c>
      <c r="O37" s="93" t="n">
        <v>3250</v>
      </c>
      <c r="P37" s="93" t="n">
        <v>0</v>
      </c>
      <c r="Q37" s="93" t="n">
        <v>24</v>
      </c>
      <c r="R37" s="93" t="n">
        <v>10</v>
      </c>
      <c r="S37" s="93" t="n">
        <v>1</v>
      </c>
      <c r="T37" s="92" t="inlineStr">
        <is>
          <t xml:space="preserve">I-B         </t>
        </is>
      </c>
      <c r="U37" s="93" t="n">
        <v>398</v>
      </c>
      <c r="V37" s="710" t="n">
        <v>82810</v>
      </c>
      <c r="W37" s="710" t="n">
        <v>83000</v>
      </c>
      <c r="X37" s="712" t="inlineStr">
        <is>
          <t>2.1:1</t>
        </is>
      </c>
      <c r="Y37" s="710" t="n">
        <v>39000</v>
      </c>
      <c r="Z37" s="92" t="inlineStr">
        <is>
          <t xml:space="preserve">C </t>
        </is>
      </c>
      <c r="AA37" s="93" t="n"/>
      <c r="AB37" s="93" t="n"/>
      <c r="AC37" s="93" t="n"/>
      <c r="AD37" s="93" t="inlineStr"/>
      <c r="AE37" s="93" t="n"/>
      <c r="AF37" s="93" t="n"/>
      <c r="AG37" s="93" t="n"/>
      <c r="AH37" s="93" t="n"/>
      <c r="AI37" s="93" t="n"/>
      <c r="AK37" s="265" t="inlineStr"/>
      <c r="AL37">
        <f>IF(AND(ISNUMBER($S37),$S37&gt;0,ISNUMBER($K37),ISNUMBER($J37)),($K37*$J37)/$S37,"")</f>
        <v/>
      </c>
      <c r="AM37" s="93" t="n"/>
      <c r="AN37" s="93" t="n"/>
      <c r="AO37" s="93" t="n"/>
      <c r="AP37" s="93" t="n"/>
      <c r="AQ37" s="93" t="n"/>
    </row>
    <row r="38" ht="14" customHeight="1" s="518">
      <c r="A38" s="106" t="n">
        <v>6</v>
      </c>
      <c r="B38" s="93" t="n">
        <v>33</v>
      </c>
      <c r="C38" s="93" t="inlineStr">
        <is>
          <t>2013Q</t>
        </is>
      </c>
      <c r="D38" s="93" t="inlineStr">
        <is>
          <t xml:space="preserve">01192-00-064-000 </t>
        </is>
      </c>
      <c r="E38" s="92" t="inlineStr">
        <is>
          <t>Actual</t>
        </is>
      </c>
      <c r="F38" s="93" t="inlineStr">
        <is>
          <t>4330 E 48TH                 AV</t>
        </is>
      </c>
      <c r="G38" s="93" t="n">
        <v>44.2</v>
      </c>
      <c r="H38" s="93" t="n">
        <v>9101</v>
      </c>
      <c r="I38" s="92" t="n">
        <v>0</v>
      </c>
      <c r="J38" s="710" t="n">
        <v>43824</v>
      </c>
      <c r="K38" s="711" t="n">
        <v>2.864754472435195</v>
      </c>
      <c r="L38" s="108" t="n">
        <v>0</v>
      </c>
      <c r="M38" s="97" t="n">
        <v>0</v>
      </c>
      <c r="N38" s="93" t="n">
        <v>1973</v>
      </c>
      <c r="O38" s="93" t="n">
        <v>1474</v>
      </c>
      <c r="P38" s="93" t="n">
        <v>0</v>
      </c>
      <c r="Q38" s="93" t="n">
        <v>22</v>
      </c>
      <c r="R38" s="93" t="n">
        <v>10</v>
      </c>
      <c r="S38" s="93" t="n">
        <v>1</v>
      </c>
      <c r="T38" s="92" t="inlineStr">
        <is>
          <t xml:space="preserve">I-B         </t>
        </is>
      </c>
      <c r="U38" s="93" t="n">
        <v>398</v>
      </c>
      <c r="V38" s="710" t="n">
        <v>117172</v>
      </c>
      <c r="W38" s="710" t="n">
        <v>117000</v>
      </c>
      <c r="X38" s="712" t="inlineStr">
        <is>
          <t>2.7:1</t>
        </is>
      </c>
      <c r="Y38" s="710" t="n">
        <v>44000</v>
      </c>
      <c r="Z38" s="92" t="inlineStr">
        <is>
          <t xml:space="preserve">C </t>
        </is>
      </c>
      <c r="AA38" s="93" t="n"/>
      <c r="AB38" s="93" t="n"/>
      <c r="AC38" s="93" t="n"/>
      <c r="AD38" s="93" t="inlineStr">
        <is>
          <t xml:space="preserve">DIST WHSE           </t>
        </is>
      </c>
      <c r="AE38" s="93" t="n"/>
      <c r="AF38" s="93" t="n"/>
      <c r="AG38" s="93" t="n"/>
      <c r="AH38" s="93" t="n"/>
      <c r="AI38" s="93" t="n"/>
      <c r="AK38" s="265" t="inlineStr">
        <is>
          <t xml:space="preserve">2009/2010 LEASES.                                                 </t>
        </is>
      </c>
      <c r="AL38">
        <f>IF(AND(ISNUMBER($S38),$S38&gt;0,ISNUMBER($K38),ISNUMBER($J38)),($K38*$J38)/$S38,"")</f>
        <v/>
      </c>
      <c r="AM38" s="93" t="n"/>
      <c r="AN38" s="93" t="n"/>
      <c r="AO38" s="93" t="n"/>
      <c r="AP38" s="93" t="n"/>
      <c r="AQ38" s="93" t="n"/>
    </row>
    <row r="39" ht="14" customHeight="1" s="518">
      <c r="A39" s="106" t="n">
        <v>6</v>
      </c>
      <c r="B39" s="93" t="n">
        <v>34</v>
      </c>
      <c r="C39" s="93" t="inlineStr">
        <is>
          <t>2013Q</t>
        </is>
      </c>
      <c r="D39" s="93" t="inlineStr">
        <is>
          <t xml:space="preserve">01194-00-046-000 </t>
        </is>
      </c>
      <c r="E39" s="92" t="inlineStr">
        <is>
          <t>Actual</t>
        </is>
      </c>
      <c r="F39" s="93" t="inlineStr">
        <is>
          <t>5105 E 39TH                 AV</t>
        </is>
      </c>
      <c r="G39" s="93" t="n">
        <v>44.1</v>
      </c>
      <c r="H39" s="93" t="n">
        <v>9101</v>
      </c>
      <c r="I39" s="92" t="n">
        <v>0</v>
      </c>
      <c r="J39" s="710" t="n">
        <v>13514</v>
      </c>
      <c r="K39" s="711" t="n">
        <v>5.327808198904839</v>
      </c>
      <c r="L39" s="108" t="n">
        <v>0</v>
      </c>
      <c r="M39" s="97" t="n">
        <v>0.05555555555555555</v>
      </c>
      <c r="N39" s="93" t="n">
        <v>1957</v>
      </c>
      <c r="O39" s="93" t="n">
        <v>1530</v>
      </c>
      <c r="P39" s="93" t="n">
        <v>0</v>
      </c>
      <c r="Q39" s="93" t="n">
        <v>17</v>
      </c>
      <c r="R39" s="93" t="n">
        <v>3</v>
      </c>
      <c r="S39" s="93" t="n">
        <v>1</v>
      </c>
      <c r="T39" s="92" t="inlineStr">
        <is>
          <t xml:space="preserve">I-A         </t>
        </is>
      </c>
      <c r="U39" s="93" t="n">
        <v>398</v>
      </c>
      <c r="V39" s="710" t="n">
        <v>42458</v>
      </c>
      <c r="W39" s="710" t="n">
        <v>42000</v>
      </c>
      <c r="X39" s="712" t="inlineStr">
        <is>
          <t>3.1:1</t>
        </is>
      </c>
      <c r="Y39" s="710" t="n">
        <v>14000</v>
      </c>
      <c r="Z39" s="92" t="inlineStr">
        <is>
          <t xml:space="preserve">C </t>
        </is>
      </c>
      <c r="AA39" s="93" t="n"/>
      <c r="AB39" s="93" t="n"/>
      <c r="AC39" s="93" t="n"/>
      <c r="AD39" s="93" t="inlineStr"/>
      <c r="AE39" s="93" t="n"/>
      <c r="AF39" s="93" t="n"/>
      <c r="AG39" s="93" t="n"/>
      <c r="AH39" s="93" t="n"/>
      <c r="AI39" s="93" t="n"/>
      <c r="AK39" s="265" t="inlineStr"/>
      <c r="AL39">
        <f>IF(AND(ISNUMBER($S39),$S39&gt;0,ISNUMBER($K39),ISNUMBER($J39)),($K39*$J39)/$S39,"")</f>
        <v/>
      </c>
      <c r="AM39" s="93" t="n"/>
      <c r="AN39" s="93" t="n"/>
      <c r="AO39" s="93" t="n"/>
      <c r="AP39" s="93" t="n"/>
      <c r="AQ39" s="93" t="n"/>
    </row>
    <row r="40" ht="28" customHeight="1" s="518">
      <c r="A40" s="106" t="n">
        <v>6</v>
      </c>
      <c r="B40" s="93" t="n">
        <v>35</v>
      </c>
      <c r="C40" s="93" t="inlineStr">
        <is>
          <t>2013Q</t>
        </is>
      </c>
      <c r="D40" s="93" t="inlineStr">
        <is>
          <t xml:space="preserve">01194-00-071-000 </t>
        </is>
      </c>
      <c r="E40" s="92" t="inlineStr">
        <is>
          <t>Actual</t>
        </is>
      </c>
      <c r="F40" s="93" t="inlineStr">
        <is>
          <t>3870   ELM                  ST</t>
        </is>
      </c>
      <c r="G40" s="93" t="n">
        <v>44.1</v>
      </c>
      <c r="H40" s="93" t="n">
        <v>9101</v>
      </c>
      <c r="I40" s="92" t="n">
        <v>0</v>
      </c>
      <c r="J40" s="710" t="n">
        <v>14500</v>
      </c>
      <c r="K40" s="711" t="n">
        <v>5</v>
      </c>
      <c r="L40" s="108" t="n">
        <v>1</v>
      </c>
      <c r="M40" s="97" t="n">
        <v>0</v>
      </c>
      <c r="N40" s="93" t="n">
        <v>1961</v>
      </c>
      <c r="O40" s="93" t="n">
        <v>1805</v>
      </c>
      <c r="P40" s="93" t="n">
        <v>0</v>
      </c>
      <c r="Q40" s="93" t="n">
        <v>14</v>
      </c>
      <c r="R40" s="93" t="n">
        <v>1</v>
      </c>
      <c r="S40" s="93" t="n">
        <v>1</v>
      </c>
      <c r="T40" s="92" t="inlineStr">
        <is>
          <t xml:space="preserve">I-MX-3      </t>
        </is>
      </c>
      <c r="U40" s="93" t="n">
        <v>398</v>
      </c>
      <c r="V40" s="710" t="n">
        <v>22618</v>
      </c>
      <c r="W40" s="710" t="n">
        <v>23000</v>
      </c>
      <c r="X40" s="712" t="inlineStr">
        <is>
          <t>1.6:1</t>
        </is>
      </c>
      <c r="Y40" s="710" t="n">
        <v>15000</v>
      </c>
      <c r="Z40" s="92" t="inlineStr">
        <is>
          <t xml:space="preserve">C </t>
        </is>
      </c>
      <c r="AA40" s="93" t="n"/>
      <c r="AB40" s="93" t="n"/>
      <c r="AC40" s="93" t="n"/>
      <c r="AD40" s="93" t="inlineStr"/>
      <c r="AE40" s="93" t="n"/>
      <c r="AF40" s="93" t="n"/>
      <c r="AG40" s="93" t="n"/>
      <c r="AH40" s="93" t="n"/>
      <c r="AI40" s="93" t="n"/>
      <c r="AK40" s="265" t="inlineStr">
        <is>
          <t>LEASE DATE UNKNOWN; CAN'T DIVIDE EXPENSE BETWEEN OWNER AND TENANT.</t>
        </is>
      </c>
      <c r="AL40">
        <f>IF(AND(ISNUMBER($S40),$S40&gt;0,ISNUMBER($K40),ISNUMBER($J40)),($K40*$J40)/$S40,"")</f>
        <v/>
      </c>
      <c r="AM40" s="93" t="n"/>
      <c r="AN40" s="93" t="n"/>
      <c r="AO40" s="93" t="n"/>
      <c r="AP40" s="93" t="n"/>
      <c r="AQ40" s="93" t="n"/>
    </row>
    <row r="41" ht="28" customHeight="1" s="518">
      <c r="A41" s="106" t="n">
        <v>6</v>
      </c>
      <c r="B41" s="93" t="n">
        <v>36</v>
      </c>
      <c r="C41" s="93" t="inlineStr">
        <is>
          <t>2013Q</t>
        </is>
      </c>
      <c r="D41" s="93" t="inlineStr">
        <is>
          <t xml:space="preserve">01194-00-076-000 </t>
        </is>
      </c>
      <c r="E41" s="92" t="inlineStr">
        <is>
          <t>Actual</t>
        </is>
      </c>
      <c r="F41" s="93" t="inlineStr">
        <is>
          <t>3855   ELM                  ST</t>
        </is>
      </c>
      <c r="G41" s="93" t="n">
        <v>44.2</v>
      </c>
      <c r="H41" s="93" t="n">
        <v>9101</v>
      </c>
      <c r="I41" s="92" t="n">
        <v>0</v>
      </c>
      <c r="J41" s="710" t="n">
        <v>7280</v>
      </c>
      <c r="K41" s="711" t="n">
        <v>13.33333333333333</v>
      </c>
      <c r="L41" s="108" t="n">
        <v>0</v>
      </c>
      <c r="M41" s="97" t="n">
        <v>0</v>
      </c>
      <c r="N41" s="93" t="n">
        <v>1961</v>
      </c>
      <c r="O41" s="93" t="n">
        <v>3164</v>
      </c>
      <c r="P41" s="93" t="n">
        <v>0</v>
      </c>
      <c r="Q41" s="93" t="n">
        <v>15</v>
      </c>
      <c r="R41" s="93" t="n">
        <v>3</v>
      </c>
      <c r="S41" s="93" t="n">
        <v>1</v>
      </c>
      <c r="T41" s="92" t="inlineStr">
        <is>
          <t xml:space="preserve">I-MX-3      </t>
        </is>
      </c>
      <c r="U41" s="93" t="n">
        <v>398</v>
      </c>
      <c r="V41" s="710" t="n">
        <v>14387</v>
      </c>
      <c r="W41" s="710" t="n">
        <v>14000</v>
      </c>
      <c r="X41" s="712" t="inlineStr">
        <is>
          <t>2:1</t>
        </is>
      </c>
      <c r="Y41" s="710" t="n">
        <v>7000</v>
      </c>
      <c r="Z41" s="92" t="inlineStr">
        <is>
          <t xml:space="preserve">B </t>
        </is>
      </c>
      <c r="AA41" s="93" t="n"/>
      <c r="AB41" s="93" t="n"/>
      <c r="AC41" s="93" t="n"/>
      <c r="AD41" s="93" t="inlineStr">
        <is>
          <t xml:space="preserve">CANNACOPIA          </t>
        </is>
      </c>
      <c r="AE41" s="93" t="n"/>
      <c r="AF41" s="93" t="n"/>
      <c r="AG41" s="93" t="n"/>
      <c r="AH41" s="93" t="n"/>
      <c r="AI41" s="93" t="n"/>
      <c r="AK41" s="265" t="inlineStr">
        <is>
          <t xml:space="preserve">CAN'T ALLOCATE EXPENSE BETWEEN OWNER &amp; TENANT                     </t>
        </is>
      </c>
      <c r="AL41">
        <f>IF(AND(ISNUMBER($S41),$S41&gt;0,ISNUMBER($K41),ISNUMBER($J41)),($K41*$J41)/$S41,"")</f>
        <v/>
      </c>
      <c r="AM41" s="93" t="n"/>
      <c r="AN41" s="93" t="n"/>
      <c r="AO41" s="93" t="n"/>
      <c r="AP41" s="93" t="n"/>
      <c r="AQ41" s="93" t="n"/>
    </row>
    <row r="42" ht="28" customHeight="1" s="518">
      <c r="A42" s="106" t="n">
        <v>6</v>
      </c>
      <c r="B42" s="93" t="n">
        <v>37</v>
      </c>
      <c r="C42" s="93" t="inlineStr">
        <is>
          <t>2013Q</t>
        </is>
      </c>
      <c r="D42" s="93" t="inlineStr">
        <is>
          <t xml:space="preserve">01194-00-136-000 </t>
        </is>
      </c>
      <c r="E42" s="92" t="inlineStr">
        <is>
          <t>Actual</t>
        </is>
      </c>
      <c r="F42" s="93" t="inlineStr">
        <is>
          <t>3931   HOLLY                ST</t>
        </is>
      </c>
      <c r="G42" s="93" t="n">
        <v>44.2</v>
      </c>
      <c r="H42" s="93" t="n">
        <v>9101</v>
      </c>
      <c r="I42" s="92" t="n">
        <v>0</v>
      </c>
      <c r="J42" s="710" t="n">
        <v>16770</v>
      </c>
      <c r="K42" s="711" t="n">
        <v>4.865831842576029</v>
      </c>
      <c r="L42" s="108" t="n">
        <v>0.48</v>
      </c>
      <c r="M42" s="97" t="n">
        <v>0</v>
      </c>
      <c r="N42" s="93" t="n">
        <v>1980</v>
      </c>
      <c r="O42" s="93" t="n">
        <v>3949</v>
      </c>
      <c r="P42" s="93" t="n">
        <v>0</v>
      </c>
      <c r="Q42" s="93" t="n">
        <v>16</v>
      </c>
      <c r="R42" s="93" t="n">
        <v>1</v>
      </c>
      <c r="S42" s="93" t="n">
        <v>1</v>
      </c>
      <c r="T42" s="92" t="inlineStr">
        <is>
          <t xml:space="preserve">I-A         </t>
        </is>
      </c>
      <c r="U42" s="93" t="n">
        <v>398</v>
      </c>
      <c r="V42" s="710" t="n">
        <v>39942</v>
      </c>
      <c r="W42" s="710" t="n">
        <v>40000</v>
      </c>
      <c r="X42" s="712" t="inlineStr">
        <is>
          <t>2.4:1</t>
        </is>
      </c>
      <c r="Y42" s="710" t="n">
        <v>17000</v>
      </c>
      <c r="Z42" s="92" t="inlineStr">
        <is>
          <t xml:space="preserve">C </t>
        </is>
      </c>
      <c r="AA42" s="93" t="n"/>
      <c r="AB42" s="93" t="n"/>
      <c r="AC42" s="93" t="n"/>
      <c r="AD42" s="93" t="inlineStr">
        <is>
          <t xml:space="preserve">M-W                 </t>
        </is>
      </c>
      <c r="AE42" s="93" t="n"/>
      <c r="AF42" s="93" t="n"/>
      <c r="AG42" s="93" t="n"/>
      <c r="AH42" s="93" t="n"/>
      <c r="AI42" s="93" t="n"/>
      <c r="AK42" s="265" t="inlineStr">
        <is>
          <t xml:space="preserve">OWNER PAYS TOO MUCH OF EXPENSES HERE = NOT LISTED.                </t>
        </is>
      </c>
      <c r="AL42">
        <f>IF(AND(ISNUMBER($S42),$S42&gt;0,ISNUMBER($K42),ISNUMBER($J42)),($K42*$J42)/$S42,"")</f>
        <v/>
      </c>
      <c r="AM42" s="93" t="n"/>
      <c r="AN42" s="93" t="n"/>
      <c r="AO42" s="93" t="n"/>
      <c r="AP42" s="93" t="n"/>
      <c r="AQ42" s="93" t="n"/>
    </row>
    <row r="43" ht="14" customHeight="1" s="518">
      <c r="A43" s="106" t="n">
        <v>6</v>
      </c>
      <c r="B43" s="93" t="n">
        <v>38</v>
      </c>
      <c r="C43" s="93" t="inlineStr">
        <is>
          <t>2013Q</t>
        </is>
      </c>
      <c r="D43" s="93" t="inlineStr">
        <is>
          <t xml:space="preserve">01194-00-181-000 </t>
        </is>
      </c>
      <c r="E43" s="92" t="inlineStr">
        <is>
          <t>Actual</t>
        </is>
      </c>
      <c r="F43" s="93" t="inlineStr">
        <is>
          <t>4855 E 41ST                 AV</t>
        </is>
      </c>
      <c r="G43" s="93" t="n">
        <v>44.1</v>
      </c>
      <c r="H43" s="93" t="n">
        <v>9101</v>
      </c>
      <c r="I43" s="92" t="n">
        <v>0</v>
      </c>
      <c r="J43" s="710" t="n">
        <v>8960</v>
      </c>
      <c r="K43" s="711" t="n">
        <v>5.866071428571429</v>
      </c>
      <c r="L43" s="108" t="n">
        <v>0</v>
      </c>
      <c r="M43" s="97" t="n">
        <v>0.08124048706240487</v>
      </c>
      <c r="N43" s="93" t="n">
        <v>1972</v>
      </c>
      <c r="O43" s="93" t="n">
        <v>2820</v>
      </c>
      <c r="P43" s="93" t="n">
        <v>0</v>
      </c>
      <c r="Q43" s="93" t="n">
        <v>16</v>
      </c>
      <c r="R43" s="93" t="n">
        <v>3</v>
      </c>
      <c r="S43" s="93" t="n">
        <v>1</v>
      </c>
      <c r="T43" s="92" t="inlineStr">
        <is>
          <t xml:space="preserve">I-A         </t>
        </is>
      </c>
      <c r="U43" s="93" t="n">
        <v>398</v>
      </c>
      <c r="V43" s="710" t="n">
        <v>26435</v>
      </c>
      <c r="W43" s="710" t="n">
        <v>26000</v>
      </c>
      <c r="X43" s="712" t="inlineStr">
        <is>
          <t>3:1</t>
        </is>
      </c>
      <c r="Y43" s="710" t="n">
        <v>9000</v>
      </c>
      <c r="Z43" s="92" t="inlineStr">
        <is>
          <t xml:space="preserve">C </t>
        </is>
      </c>
      <c r="AA43" s="93" t="n"/>
      <c r="AB43" s="93" t="n"/>
      <c r="AC43" s="93" t="n"/>
      <c r="AD43" s="93" t="inlineStr">
        <is>
          <t xml:space="preserve">BELLAIR EXPRESS     </t>
        </is>
      </c>
      <c r="AE43" s="93" t="n"/>
      <c r="AF43" s="93" t="n"/>
      <c r="AG43" s="93" t="n"/>
      <c r="AH43" s="93" t="n"/>
      <c r="AI43" s="93" t="n"/>
      <c r="AK43" s="265" t="inlineStr">
        <is>
          <t xml:space="preserve">LEASE COMMENCEMENT UNKNOWN.                                       </t>
        </is>
      </c>
      <c r="AL43">
        <f>IF(AND(ISNUMBER($S43),$S43&gt;0,ISNUMBER($K43),ISNUMBER($J43)),($K43*$J43)/$S43,"")</f>
        <v/>
      </c>
      <c r="AM43" s="93" t="n"/>
      <c r="AN43" s="93" t="n"/>
      <c r="AO43" s="93" t="n"/>
      <c r="AP43" s="93" t="n"/>
      <c r="AQ43" s="93" t="n"/>
    </row>
    <row r="44" ht="28" customHeight="1" s="518">
      <c r="A44" s="106" t="n">
        <v>6</v>
      </c>
      <c r="B44" s="93" t="n">
        <v>39</v>
      </c>
      <c r="C44" s="93" t="inlineStr">
        <is>
          <t>2013Q</t>
        </is>
      </c>
      <c r="D44" s="93" t="inlineStr">
        <is>
          <t xml:space="preserve">01194-00-229-000 </t>
        </is>
      </c>
      <c r="E44" s="92" t="inlineStr">
        <is>
          <t>Actual</t>
        </is>
      </c>
      <c r="F44" s="93" t="inlineStr">
        <is>
          <t>3812   DAHLIA               ST</t>
        </is>
      </c>
      <c r="G44" s="93" t="n">
        <v>44.1</v>
      </c>
      <c r="H44" s="93" t="n">
        <v>9101</v>
      </c>
      <c r="I44" s="92" t="n">
        <v>0</v>
      </c>
      <c r="J44" s="710" t="n">
        <v>6579</v>
      </c>
      <c r="K44" s="711" t="n">
        <v>2.830188679245283</v>
      </c>
      <c r="L44" s="108" t="n">
        <v>0</v>
      </c>
      <c r="M44" s="97" t="n">
        <v>0</v>
      </c>
      <c r="N44" s="93" t="n">
        <v>1926</v>
      </c>
      <c r="O44" s="93" t="n">
        <v>1620</v>
      </c>
      <c r="P44" s="93" t="n">
        <v>0</v>
      </c>
      <c r="Q44" s="93" t="n">
        <v>10</v>
      </c>
      <c r="R44" s="93" t="n">
        <v>1</v>
      </c>
      <c r="S44" s="93" t="n">
        <v>1</v>
      </c>
      <c r="T44" s="92" t="inlineStr">
        <is>
          <t xml:space="preserve">I-MX-3      </t>
        </is>
      </c>
      <c r="U44" s="93" t="n">
        <v>398</v>
      </c>
      <c r="V44" s="710" t="n">
        <v>92437</v>
      </c>
      <c r="W44" s="710" t="n">
        <v>92000</v>
      </c>
      <c r="X44" s="712" t="inlineStr">
        <is>
          <t>14.1:1</t>
        </is>
      </c>
      <c r="Y44" s="710" t="n">
        <v>7000</v>
      </c>
      <c r="Z44" s="92" t="inlineStr">
        <is>
          <t xml:space="preserve">C </t>
        </is>
      </c>
      <c r="AA44" s="93" t="n"/>
      <c r="AB44" s="93" t="n"/>
      <c r="AC44" s="93" t="n"/>
      <c r="AD44" s="93" t="inlineStr"/>
      <c r="AE44" s="93" t="n"/>
      <c r="AF44" s="93" t="n"/>
      <c r="AG44" s="93" t="n"/>
      <c r="AH44" s="93" t="n"/>
      <c r="AI44" s="93" t="n"/>
      <c r="AK44" s="265" t="inlineStr">
        <is>
          <t xml:space="preserve">OWNER PAYS TOO MUCH OF EXPENSES HERE = NOT LISTED.                </t>
        </is>
      </c>
      <c r="AL44">
        <f>IF(AND(ISNUMBER($S44),$S44&gt;0,ISNUMBER($K44),ISNUMBER($J44)),($K44*$J44)/$S44,"")</f>
        <v/>
      </c>
      <c r="AM44" s="93" t="n"/>
      <c r="AN44" s="93" t="n"/>
      <c r="AO44" s="93" t="n"/>
      <c r="AP44" s="93" t="n"/>
      <c r="AQ44" s="93" t="n"/>
    </row>
    <row r="45" ht="14" customHeight="1" s="518">
      <c r="A45" s="106" t="n">
        <v>6</v>
      </c>
      <c r="B45" s="93" t="n">
        <v>40</v>
      </c>
      <c r="C45" s="93" t="inlineStr">
        <is>
          <t>2013Q</t>
        </is>
      </c>
      <c r="D45" s="93" t="inlineStr">
        <is>
          <t xml:space="preserve">01194-00-230-000 </t>
        </is>
      </c>
      <c r="E45" s="92" t="inlineStr">
        <is>
          <t>Actual</t>
        </is>
      </c>
      <c r="F45" s="93" t="inlineStr">
        <is>
          <t>3820   FOREST               ST</t>
        </is>
      </c>
      <c r="G45" s="93" t="n">
        <v>44.1</v>
      </c>
      <c r="H45" s="93" t="n">
        <v>9101</v>
      </c>
      <c r="I45" s="92" t="n">
        <v>0</v>
      </c>
      <c r="J45" s="710" t="n">
        <v>4400</v>
      </c>
      <c r="K45" s="711" t="n">
        <v>5.626363636363636</v>
      </c>
      <c r="L45" s="108" t="n">
        <v>0</v>
      </c>
      <c r="M45" s="97" t="n">
        <v>0</v>
      </c>
      <c r="N45" s="93" t="n">
        <v>1958</v>
      </c>
      <c r="O45" s="93" t="n">
        <v>1712</v>
      </c>
      <c r="P45" s="93" t="n">
        <v>0</v>
      </c>
      <c r="Q45" s="93" t="n">
        <v>14</v>
      </c>
      <c r="R45" s="93" t="n">
        <v>4</v>
      </c>
      <c r="S45" s="93" t="n">
        <v>1</v>
      </c>
      <c r="T45" s="92" t="inlineStr">
        <is>
          <t xml:space="preserve">I-MX-3      </t>
        </is>
      </c>
      <c r="U45" s="93" t="n">
        <v>398</v>
      </c>
      <c r="V45" s="710" t="n">
        <v>9000</v>
      </c>
      <c r="W45" s="710" t="n">
        <v>9000</v>
      </c>
      <c r="X45" s="712" t="inlineStr">
        <is>
          <t>2:1</t>
        </is>
      </c>
      <c r="Y45" s="710" t="n">
        <v>4000</v>
      </c>
      <c r="Z45" s="92" t="inlineStr">
        <is>
          <t xml:space="preserve">C </t>
        </is>
      </c>
      <c r="AA45" s="93" t="n"/>
      <c r="AB45" s="93" t="n"/>
      <c r="AC45" s="93" t="n"/>
      <c r="AD45" s="93" t="inlineStr">
        <is>
          <t>S-D-LANDEROF PLUMBNG</t>
        </is>
      </c>
      <c r="AE45" s="93" t="n"/>
      <c r="AF45" s="93" t="n"/>
      <c r="AG45" s="93" t="n"/>
      <c r="AH45" s="93" t="n"/>
      <c r="AI45" s="93" t="n"/>
      <c r="AK45" s="265" t="inlineStr">
        <is>
          <t xml:space="preserve">LEASE COMMENCEMENT UNKNOWN.                                       </t>
        </is>
      </c>
      <c r="AL45">
        <f>IF(AND(ISNUMBER($S45),$S45&gt;0,ISNUMBER($K45),ISNUMBER($J45)),($K45*$J45)/$S45,"")</f>
        <v/>
      </c>
      <c r="AM45" s="93" t="n"/>
      <c r="AN45" s="93" t="n"/>
      <c r="AO45" s="93" t="n"/>
      <c r="AP45" s="93" t="n"/>
      <c r="AQ45" s="93" t="n"/>
    </row>
    <row r="46" ht="28" customHeight="1" s="518">
      <c r="A46" s="106" t="n">
        <v>6</v>
      </c>
      <c r="B46" s="93" t="n">
        <v>41</v>
      </c>
      <c r="C46" s="93" t="inlineStr">
        <is>
          <t>2013Q</t>
        </is>
      </c>
      <c r="D46" s="93" t="inlineStr">
        <is>
          <t xml:space="preserve">01194-00-239-000 </t>
        </is>
      </c>
      <c r="E46" s="92" t="inlineStr">
        <is>
          <t>Actual</t>
        </is>
      </c>
      <c r="F46" s="93" t="inlineStr">
        <is>
          <t>5255 E 38TH                 AV</t>
        </is>
      </c>
      <c r="G46" s="93" t="n">
        <v>44.1</v>
      </c>
      <c r="H46" s="93" t="n">
        <v>9101</v>
      </c>
      <c r="I46" s="92" t="n">
        <v>0</v>
      </c>
      <c r="J46" s="710" t="n">
        <v>10000</v>
      </c>
      <c r="K46" s="711" t="n">
        <v>7.288163265306123</v>
      </c>
      <c r="L46" s="108" t="n">
        <v>0</v>
      </c>
      <c r="M46" s="97" t="n">
        <v>0</v>
      </c>
      <c r="N46" s="93" t="n">
        <v>1958</v>
      </c>
      <c r="O46" s="93" t="n">
        <v>2612</v>
      </c>
      <c r="P46" s="93" t="n">
        <v>0</v>
      </c>
      <c r="Q46" s="93" t="n">
        <v>13</v>
      </c>
      <c r="R46" s="93" t="n">
        <v>1</v>
      </c>
      <c r="S46" s="93" t="n">
        <v>1</v>
      </c>
      <c r="T46" s="92" t="inlineStr">
        <is>
          <t xml:space="preserve">I-MX-3      </t>
        </is>
      </c>
      <c r="U46" s="93" t="n">
        <v>398</v>
      </c>
      <c r="V46" s="710" t="n">
        <v>21300</v>
      </c>
      <c r="W46" s="710" t="n">
        <v>21000</v>
      </c>
      <c r="X46" s="712" t="inlineStr">
        <is>
          <t>2.1:1</t>
        </is>
      </c>
      <c r="Y46" s="710" t="n">
        <v>10000</v>
      </c>
      <c r="Z46" s="92" t="inlineStr">
        <is>
          <t xml:space="preserve">C </t>
        </is>
      </c>
      <c r="AA46" s="93" t="n"/>
      <c r="AB46" s="93" t="n"/>
      <c r="AC46" s="93" t="n"/>
      <c r="AD46" s="93" t="inlineStr">
        <is>
          <t xml:space="preserve">LAWNTECH ENT'PRS    </t>
        </is>
      </c>
      <c r="AE46" s="93" t="n"/>
      <c r="AF46" s="93" t="n"/>
      <c r="AG46" s="93" t="n"/>
      <c r="AH46" s="93" t="n"/>
      <c r="AI46" s="93" t="n"/>
      <c r="AK46" s="265" t="inlineStr">
        <is>
          <t xml:space="preserve">CAN'T SEPARATE EXPENSES ATTRIBUTABLE TO OWNER &amp; TENANT.           </t>
        </is>
      </c>
      <c r="AL46">
        <f>IF(AND(ISNUMBER($S46),$S46&gt;0,ISNUMBER($K46),ISNUMBER($J46)),($K46*$J46)/$S46,"")</f>
        <v/>
      </c>
      <c r="AM46" s="93" t="n"/>
      <c r="AN46" s="93" t="n"/>
      <c r="AO46" s="93" t="n"/>
      <c r="AP46" s="93" t="n"/>
      <c r="AQ46" s="93" t="n"/>
    </row>
    <row r="47" ht="28" customHeight="1" s="518">
      <c r="A47" s="106" t="n">
        <v>6</v>
      </c>
      <c r="B47" s="93" t="n">
        <v>42</v>
      </c>
      <c r="C47" s="93" t="inlineStr">
        <is>
          <t>2013Q</t>
        </is>
      </c>
      <c r="D47" s="93" t="inlineStr">
        <is>
          <t xml:space="preserve">01194-00-262-000 </t>
        </is>
      </c>
      <c r="E47" s="92" t="inlineStr">
        <is>
          <t>Actual</t>
        </is>
      </c>
      <c r="F47" s="93" t="inlineStr">
        <is>
          <t>5105 E 41ST                 AV</t>
        </is>
      </c>
      <c r="G47" s="93" t="n">
        <v>44.2</v>
      </c>
      <c r="H47" s="93" t="n">
        <v>9101</v>
      </c>
      <c r="I47" s="92" t="n">
        <v>0</v>
      </c>
      <c r="J47" s="710" t="n">
        <v>76174</v>
      </c>
      <c r="K47" s="711" t="n">
        <v>3.872581195683567</v>
      </c>
      <c r="L47" s="108" t="n">
        <v>0</v>
      </c>
      <c r="M47" s="97" t="n">
        <v>0</v>
      </c>
      <c r="N47" s="93" t="n">
        <v>1974</v>
      </c>
      <c r="O47" s="93" t="n">
        <v>17712</v>
      </c>
      <c r="P47" s="93" t="n">
        <v>0</v>
      </c>
      <c r="Q47" s="93" t="n">
        <v>22</v>
      </c>
      <c r="R47" s="93" t="n">
        <v>14</v>
      </c>
      <c r="S47" s="93" t="n">
        <v>2</v>
      </c>
      <c r="T47" s="92" t="inlineStr"/>
      <c r="U47" s="93" t="n">
        <v>398</v>
      </c>
      <c r="V47" s="710" t="n">
        <v>154295</v>
      </c>
      <c r="W47" s="710" t="n">
        <v>154000</v>
      </c>
      <c r="X47" s="712" t="inlineStr">
        <is>
          <t>2:1</t>
        </is>
      </c>
      <c r="Y47" s="710" t="n">
        <v>76000</v>
      </c>
      <c r="Z47" s="92" t="inlineStr">
        <is>
          <t xml:space="preserve">C </t>
        </is>
      </c>
      <c r="AA47" s="93" t="n"/>
      <c r="AB47" s="93" t="n"/>
      <c r="AC47" s="93" t="n"/>
      <c r="AD47" s="93" t="inlineStr">
        <is>
          <t xml:space="preserve">DIST.               </t>
        </is>
      </c>
      <c r="AE47" s="93" t="n"/>
      <c r="AF47" s="93" t="n"/>
      <c r="AG47" s="93" t="n"/>
      <c r="AH47" s="93" t="n"/>
      <c r="AI47" s="93" t="n"/>
      <c r="AK47" s="265" t="inlineStr">
        <is>
          <t>LEASE DATES FROM 2000 - ONLY HERE TO MAKE A RECORD FOR STEVENS W.O</t>
        </is>
      </c>
      <c r="AL47">
        <f>IF(AND(ISNUMBER($S47),$S47&gt;0,ISNUMBER($K47),ISNUMBER($J47)),($K47*$J47)/$S47,"")</f>
        <v/>
      </c>
      <c r="AM47" s="93" t="n"/>
      <c r="AN47" s="93" t="n"/>
      <c r="AO47" s="93" t="n"/>
      <c r="AP47" s="93" t="n"/>
      <c r="AQ47" s="93" t="n"/>
    </row>
    <row r="48" ht="28" customHeight="1" s="518">
      <c r="A48" s="106" t="n">
        <v>6</v>
      </c>
      <c r="B48" s="93" t="n">
        <v>43</v>
      </c>
      <c r="C48" s="93" t="inlineStr">
        <is>
          <t>2013Q</t>
        </is>
      </c>
      <c r="D48" s="93" t="inlineStr">
        <is>
          <t xml:space="preserve">01194-00-264-000 </t>
        </is>
      </c>
      <c r="E48" s="92" t="inlineStr">
        <is>
          <t>Actual</t>
        </is>
      </c>
      <c r="F48" s="93" t="inlineStr">
        <is>
          <t>5180   SMITH                RD</t>
        </is>
      </c>
      <c r="G48" s="93" t="n">
        <v>44.2</v>
      </c>
      <c r="H48" s="93" t="n">
        <v>9101</v>
      </c>
      <c r="I48" s="92" t="n">
        <v>0</v>
      </c>
      <c r="J48" s="710" t="n">
        <v>26700</v>
      </c>
      <c r="K48" s="711" t="n">
        <v>5.199962546816479</v>
      </c>
      <c r="L48" s="108" t="n">
        <v>0</v>
      </c>
      <c r="M48" s="97" t="n">
        <v>0.1756134803621461</v>
      </c>
      <c r="N48" s="93" t="n">
        <v>1974</v>
      </c>
      <c r="O48" s="93" t="n">
        <v>6743</v>
      </c>
      <c r="P48" s="93" t="n">
        <v>0</v>
      </c>
      <c r="Q48" s="93" t="n">
        <v>17</v>
      </c>
      <c r="R48" s="93" t="n">
        <v>14</v>
      </c>
      <c r="S48" s="93" t="n">
        <v>6</v>
      </c>
      <c r="T48" s="92" t="inlineStr">
        <is>
          <t xml:space="preserve">I-A         </t>
        </is>
      </c>
      <c r="U48" s="93" t="n">
        <v>398</v>
      </c>
      <c r="V48" s="710" t="n">
        <v>62461</v>
      </c>
      <c r="W48" s="710" t="n">
        <v>62000</v>
      </c>
      <c r="X48" s="712" t="inlineStr">
        <is>
          <t>2.3:1</t>
        </is>
      </c>
      <c r="Y48" s="710" t="n">
        <v>27000</v>
      </c>
      <c r="Z48" s="92" t="inlineStr">
        <is>
          <t xml:space="preserve">C </t>
        </is>
      </c>
      <c r="AA48" s="93" t="n"/>
      <c r="AB48" s="93" t="n"/>
      <c r="AC48" s="93" t="n"/>
      <c r="AD48" s="93" t="inlineStr">
        <is>
          <t xml:space="preserve">DIST/OFC            </t>
        </is>
      </c>
      <c r="AE48" s="93" t="n"/>
      <c r="AF48" s="93" t="n"/>
      <c r="AG48" s="93" t="n"/>
      <c r="AH48" s="93" t="n"/>
      <c r="AI48" s="93" t="n"/>
      <c r="AK48" s="265" t="inlineStr">
        <is>
          <t xml:space="preserve">LEASES DATE FROM 2006 -2010;OWNER PAYS TOO MUCH OF EXPENSES.      </t>
        </is>
      </c>
      <c r="AL48">
        <f>IF(AND(ISNUMBER($S48),$S48&gt;0,ISNUMBER($K48),ISNUMBER($J48)),($K48*$J48)/$S48,"")</f>
        <v/>
      </c>
      <c r="AM48" s="93" t="n"/>
      <c r="AN48" s="93" t="n"/>
      <c r="AO48" s="93" t="n"/>
      <c r="AP48" s="93" t="n"/>
      <c r="AQ48" s="93" t="n"/>
    </row>
    <row r="49" ht="14" customHeight="1" s="518">
      <c r="A49" s="106" t="n">
        <v>6</v>
      </c>
      <c r="B49" s="93" t="n">
        <v>44</v>
      </c>
      <c r="C49" s="93" t="inlineStr">
        <is>
          <t>2013Q</t>
        </is>
      </c>
      <c r="D49" s="93" t="inlineStr">
        <is>
          <t xml:space="preserve">01194-01-003-000 </t>
        </is>
      </c>
      <c r="E49" s="92" t="inlineStr">
        <is>
          <t>Actual</t>
        </is>
      </c>
      <c r="F49" s="93" t="inlineStr">
        <is>
          <t>4801 E 39TH                 AV</t>
        </is>
      </c>
      <c r="G49" s="93" t="n">
        <v>44.1</v>
      </c>
      <c r="H49" s="93" t="n">
        <v>9101</v>
      </c>
      <c r="I49" s="92" t="n">
        <v>0</v>
      </c>
      <c r="J49" s="710" t="n">
        <v>11902</v>
      </c>
      <c r="K49" s="711" t="n">
        <v>7.561754327003865</v>
      </c>
      <c r="L49" s="108" t="n">
        <v>0</v>
      </c>
      <c r="M49" s="97" t="n">
        <v>0.1666666666666667</v>
      </c>
      <c r="N49" s="93" t="n">
        <v>1966</v>
      </c>
      <c r="O49" s="93" t="n">
        <v>1804</v>
      </c>
      <c r="P49" s="93" t="n">
        <v>0</v>
      </c>
      <c r="Q49" s="93" t="n">
        <v>15</v>
      </c>
      <c r="R49" s="93" t="n">
        <v>1</v>
      </c>
      <c r="S49" s="93" t="n">
        <v>1</v>
      </c>
      <c r="T49" s="92" t="inlineStr">
        <is>
          <t xml:space="preserve">I-A         </t>
        </is>
      </c>
      <c r="U49" s="93" t="n">
        <v>398</v>
      </c>
      <c r="V49" s="710" t="n">
        <v>27923</v>
      </c>
      <c r="W49" s="710" t="n">
        <v>28000</v>
      </c>
      <c r="X49" s="712" t="inlineStr">
        <is>
          <t>2.3:1</t>
        </is>
      </c>
      <c r="Y49" s="710" t="n">
        <v>12000</v>
      </c>
      <c r="Z49" s="92" t="inlineStr">
        <is>
          <t xml:space="preserve">C </t>
        </is>
      </c>
      <c r="AA49" s="93" t="n"/>
      <c r="AB49" s="93" t="n"/>
      <c r="AC49" s="93" t="n"/>
      <c r="AD49" s="93" t="inlineStr">
        <is>
          <t xml:space="preserve">DIST WAREHOUSE      </t>
        </is>
      </c>
      <c r="AE49" s="93" t="n"/>
      <c r="AF49" s="93" t="n"/>
      <c r="AG49" s="93" t="n"/>
      <c r="AH49" s="93" t="n"/>
      <c r="AI49" s="93" t="n"/>
      <c r="AK49" s="265" t="inlineStr"/>
      <c r="AL49">
        <f>IF(AND(ISNUMBER($S49),$S49&gt;0,ISNUMBER($K49),ISNUMBER($J49)),($K49*$J49)/$S49,"")</f>
        <v/>
      </c>
      <c r="AM49" s="93" t="n"/>
      <c r="AN49" s="93" t="n"/>
      <c r="AO49" s="93" t="n"/>
      <c r="AP49" s="93" t="n"/>
      <c r="AQ49" s="93" t="n"/>
    </row>
    <row r="50" ht="14" customHeight="1" s="518">
      <c r="A50" s="106" t="n">
        <v>6</v>
      </c>
      <c r="B50" s="93" t="n">
        <v>45</v>
      </c>
      <c r="C50" s="93" t="inlineStr">
        <is>
          <t>2013Q</t>
        </is>
      </c>
      <c r="D50" s="93" t="inlineStr">
        <is>
          <t xml:space="preserve">01194-03-002-000 </t>
        </is>
      </c>
      <c r="E50" s="92" t="inlineStr">
        <is>
          <t>Actual</t>
        </is>
      </c>
      <c r="F50" s="93" t="inlineStr">
        <is>
          <t>3875   ELM                  ST</t>
        </is>
      </c>
      <c r="G50" s="93" t="n">
        <v>44.1</v>
      </c>
      <c r="H50" s="93" t="n">
        <v>9101</v>
      </c>
      <c r="I50" s="92" t="n">
        <v>0</v>
      </c>
      <c r="J50" s="710" t="n">
        <v>7200</v>
      </c>
      <c r="K50" s="711" t="n">
        <v>6.333333333333333</v>
      </c>
      <c r="L50" s="108" t="n">
        <v>0</v>
      </c>
      <c r="M50" s="97" t="n">
        <v>0.02695175438596491</v>
      </c>
      <c r="N50" s="93" t="n">
        <v>1962</v>
      </c>
      <c r="O50" s="93" t="n">
        <v>2411</v>
      </c>
      <c r="P50" s="93" t="n">
        <v>0</v>
      </c>
      <c r="Q50" s="93" t="n">
        <v>12</v>
      </c>
      <c r="R50" s="93" t="n">
        <v>3</v>
      </c>
      <c r="S50" s="93" t="n">
        <v>1</v>
      </c>
      <c r="T50" s="92" t="inlineStr">
        <is>
          <t xml:space="preserve">I-MX-3      </t>
        </is>
      </c>
      <c r="U50" s="93" t="n">
        <v>398</v>
      </c>
      <c r="V50" s="710" t="n">
        <v>19800</v>
      </c>
      <c r="W50" s="710" t="n">
        <v>20000</v>
      </c>
      <c r="X50" s="712" t="inlineStr">
        <is>
          <t>2.8:1</t>
        </is>
      </c>
      <c r="Y50" s="710" t="n">
        <v>7000</v>
      </c>
      <c r="Z50" s="92" t="inlineStr">
        <is>
          <t xml:space="preserve">C </t>
        </is>
      </c>
      <c r="AA50" s="93" t="n"/>
      <c r="AB50" s="93" t="n"/>
      <c r="AC50" s="93" t="n"/>
      <c r="AD50" s="93" t="inlineStr">
        <is>
          <t xml:space="preserve">DIST    AIRPRO      </t>
        </is>
      </c>
      <c r="AE50" s="93" t="n"/>
      <c r="AF50" s="93" t="n"/>
      <c r="AG50" s="93" t="n"/>
      <c r="AH50" s="93" t="n"/>
      <c r="AI50" s="93" t="n"/>
      <c r="AK50" s="265" t="inlineStr"/>
      <c r="AL50">
        <f>IF(AND(ISNUMBER($S50),$S50&gt;0,ISNUMBER($K50),ISNUMBER($J50)),($K50*$J50)/$S50,"")</f>
        <v/>
      </c>
      <c r="AM50" s="93" t="n"/>
      <c r="AN50" s="93" t="n"/>
      <c r="AO50" s="93" t="n"/>
      <c r="AP50" s="93" t="n"/>
      <c r="AQ50" s="93" t="n"/>
    </row>
    <row r="51" ht="14" customHeight="1" s="518">
      <c r="A51" s="106" t="n">
        <v>6</v>
      </c>
      <c r="B51" s="93" t="n">
        <v>46</v>
      </c>
      <c r="C51" s="93" t="inlineStr">
        <is>
          <t>2013Q</t>
        </is>
      </c>
      <c r="D51" s="93" t="inlineStr">
        <is>
          <t xml:space="preserve">01194-03-006-000 </t>
        </is>
      </c>
      <c r="E51" s="92" t="inlineStr">
        <is>
          <t>Actual</t>
        </is>
      </c>
      <c r="F51" s="93" t="inlineStr">
        <is>
          <t>4940 E 39TH                 AV</t>
        </is>
      </c>
      <c r="G51" s="93" t="n">
        <v>43.2</v>
      </c>
      <c r="H51" s="93" t="n">
        <v>9101</v>
      </c>
      <c r="I51" s="92" t="n">
        <v>0</v>
      </c>
      <c r="J51" s="710" t="n">
        <v>6272</v>
      </c>
      <c r="K51" s="711" t="n">
        <v>7.436383928571429</v>
      </c>
      <c r="L51" s="108" t="n">
        <v>0</v>
      </c>
      <c r="M51" s="97" t="n">
        <v>0.05866083488775969</v>
      </c>
      <c r="N51" s="93" t="n">
        <v>1966</v>
      </c>
      <c r="O51" s="93" t="n">
        <v>1040</v>
      </c>
      <c r="P51" s="93" t="n">
        <v>0</v>
      </c>
      <c r="Q51" s="93" t="n">
        <v>12</v>
      </c>
      <c r="R51" s="93" t="n">
        <v>1</v>
      </c>
      <c r="S51" s="93" t="n">
        <v>1</v>
      </c>
      <c r="T51" s="92" t="inlineStr">
        <is>
          <t xml:space="preserve">I-A         </t>
        </is>
      </c>
      <c r="U51" s="93" t="n">
        <v>401</v>
      </c>
      <c r="V51" s="710" t="n">
        <v>12951</v>
      </c>
      <c r="W51" s="710" t="n">
        <v>13000</v>
      </c>
      <c r="X51" s="712" t="inlineStr">
        <is>
          <t>2.1:1</t>
        </is>
      </c>
      <c r="Y51" s="710" t="n">
        <v>6000</v>
      </c>
      <c r="Z51" s="92" t="inlineStr">
        <is>
          <t xml:space="preserve">C </t>
        </is>
      </c>
      <c r="AA51" s="93" t="n"/>
      <c r="AB51" s="93" t="n"/>
      <c r="AC51" s="93" t="n"/>
      <c r="AD51" s="93" t="inlineStr">
        <is>
          <t>S-M BC PRINTING INC.</t>
        </is>
      </c>
      <c r="AE51" s="93" t="n"/>
      <c r="AF51" s="93" t="n"/>
      <c r="AG51" s="93" t="n"/>
      <c r="AH51" s="93" t="n"/>
      <c r="AI51" s="93" t="n"/>
      <c r="AK51" s="265" t="inlineStr"/>
      <c r="AL51">
        <f>IF(AND(ISNUMBER($S51),$S51&gt;0,ISNUMBER($K51),ISNUMBER($J51)),($K51*$J51)/$S51,"")</f>
        <v/>
      </c>
      <c r="AM51" s="93" t="n"/>
      <c r="AN51" s="93" t="n"/>
      <c r="AO51" s="93" t="n"/>
      <c r="AP51" s="93" t="n"/>
      <c r="AQ51" s="93" t="n"/>
    </row>
    <row r="52" ht="28" customHeight="1" s="518">
      <c r="A52" s="106" t="n">
        <v>6</v>
      </c>
      <c r="B52" s="93" t="n">
        <v>47</v>
      </c>
      <c r="C52" s="93" t="inlineStr">
        <is>
          <t>2013Q</t>
        </is>
      </c>
      <c r="D52" s="93" t="inlineStr">
        <is>
          <t xml:space="preserve">01194-04-001-000 </t>
        </is>
      </c>
      <c r="E52" s="92" t="inlineStr">
        <is>
          <t>Actual</t>
        </is>
      </c>
      <c r="F52" s="93" t="inlineStr">
        <is>
          <t>3835   ELM                  ST</t>
        </is>
      </c>
      <c r="G52" s="93" t="n">
        <v>44.2</v>
      </c>
      <c r="H52" s="93" t="n">
        <v>9101</v>
      </c>
      <c r="I52" s="92" t="n">
        <v>0</v>
      </c>
      <c r="J52" s="710" t="n">
        <v>18000</v>
      </c>
      <c r="K52" s="711" t="n">
        <v>5.239539114614918</v>
      </c>
      <c r="L52" s="108" t="n">
        <v>0</v>
      </c>
      <c r="M52" s="97" t="n">
        <v>0</v>
      </c>
      <c r="N52" s="93" t="n">
        <v>1962</v>
      </c>
      <c r="O52" s="93" t="n">
        <v>9120</v>
      </c>
      <c r="P52" s="93" t="n">
        <v>0</v>
      </c>
      <c r="Q52" s="93" t="n">
        <v>13</v>
      </c>
      <c r="R52" s="93" t="n">
        <v>3</v>
      </c>
      <c r="S52" s="93" t="n">
        <v>6</v>
      </c>
      <c r="T52" s="92" t="inlineStr">
        <is>
          <t xml:space="preserve">I-MX-3      </t>
        </is>
      </c>
      <c r="U52" s="93" t="n">
        <v>398</v>
      </c>
      <c r="V52" s="710" t="n">
        <v>41400</v>
      </c>
      <c r="W52" s="710" t="n">
        <v>41000</v>
      </c>
      <c r="X52" s="712" t="inlineStr">
        <is>
          <t>2.3:1</t>
        </is>
      </c>
      <c r="Y52" s="710" t="n">
        <v>18000</v>
      </c>
      <c r="Z52" s="92" t="inlineStr">
        <is>
          <t xml:space="preserve">C </t>
        </is>
      </c>
      <c r="AA52" s="93" t="n"/>
      <c r="AB52" s="93" t="n"/>
      <c r="AC52" s="93" t="n"/>
      <c r="AD52" s="93" t="inlineStr">
        <is>
          <t xml:space="preserve">DIST/MULTI TENANT   </t>
        </is>
      </c>
      <c r="AE52" s="93" t="n"/>
      <c r="AF52" s="93" t="n"/>
      <c r="AG52" s="93" t="n"/>
      <c r="AH52" s="93" t="n"/>
      <c r="AI52" s="93" t="n"/>
      <c r="AK52" s="265" t="inlineStr">
        <is>
          <t xml:space="preserve">EXP LEFT OUT BECAUSE OWNER PAYS WAY TOO MUCH.                     </t>
        </is>
      </c>
      <c r="AL52">
        <f>IF(AND(ISNUMBER($S52),$S52&gt;0,ISNUMBER($K52),ISNUMBER($J52)),($K52*$J52)/$S52,"")</f>
        <v/>
      </c>
      <c r="AM52" s="93" t="n"/>
      <c r="AN52" s="93" t="n"/>
      <c r="AO52" s="93" t="n"/>
      <c r="AP52" s="93" t="n"/>
      <c r="AQ52" s="93" t="n"/>
    </row>
    <row r="53" ht="28" customHeight="1" s="518">
      <c r="A53" s="106" t="n">
        <v>6</v>
      </c>
      <c r="B53" s="93" t="n">
        <v>48</v>
      </c>
      <c r="C53" s="93" t="inlineStr">
        <is>
          <t>2013Q</t>
        </is>
      </c>
      <c r="D53" s="93" t="inlineStr">
        <is>
          <t xml:space="preserve">01201-00-042-000 </t>
        </is>
      </c>
      <c r="E53" s="92" t="inlineStr">
        <is>
          <t>Actual</t>
        </is>
      </c>
      <c r="F53" s="93" t="inlineStr">
        <is>
          <t>4300   MONACO               PY</t>
        </is>
      </c>
      <c r="G53" s="93" t="n">
        <v>44.2</v>
      </c>
      <c r="H53" s="93" t="n">
        <v>9101</v>
      </c>
      <c r="I53" s="92" t="n">
        <v>0</v>
      </c>
      <c r="J53" s="710" t="n">
        <v>20000</v>
      </c>
      <c r="K53" s="711" t="n">
        <v>2.92</v>
      </c>
      <c r="L53" s="108" t="n">
        <v>0</v>
      </c>
      <c r="M53" s="97" t="n">
        <v>0</v>
      </c>
      <c r="N53" s="93" t="n">
        <v>1969</v>
      </c>
      <c r="O53" s="93" t="n">
        <v>2350</v>
      </c>
      <c r="P53" s="93" t="n">
        <v>0</v>
      </c>
      <c r="Q53" s="93" t="n">
        <v>20</v>
      </c>
      <c r="R53" s="93" t="n">
        <v>3</v>
      </c>
      <c r="S53" s="93" t="n">
        <v>1</v>
      </c>
      <c r="T53" s="92" t="inlineStr">
        <is>
          <t xml:space="preserve">I-B         </t>
        </is>
      </c>
      <c r="U53" s="93" t="n">
        <v>398</v>
      </c>
      <c r="V53" s="710" t="n">
        <v>63328</v>
      </c>
      <c r="W53" s="710" t="n">
        <v>63000</v>
      </c>
      <c r="X53" s="712" t="inlineStr">
        <is>
          <t>3.2:1</t>
        </is>
      </c>
      <c r="Y53" s="710" t="n">
        <v>20000</v>
      </c>
      <c r="Z53" s="92" t="inlineStr">
        <is>
          <t xml:space="preserve">C </t>
        </is>
      </c>
      <c r="AA53" s="93" t="n"/>
      <c r="AB53" s="93" t="n"/>
      <c r="AC53" s="93" t="n"/>
      <c r="AD53" s="93" t="inlineStr"/>
      <c r="AE53" s="93" t="n"/>
      <c r="AF53" s="93" t="n"/>
      <c r="AG53" s="93" t="n"/>
      <c r="AH53" s="93" t="n"/>
      <c r="AI53" s="93" t="n"/>
      <c r="AK53" s="265" t="inlineStr">
        <is>
          <t xml:space="preserve">NNN LEASE SIGNED 10/2011 -- SOURCE: COSTAR                        </t>
        </is>
      </c>
      <c r="AL53">
        <f>IF(AND(ISNUMBER($S53),$S53&gt;0,ISNUMBER($K53),ISNUMBER($J53)),($K53*$J53)/$S53,"")</f>
        <v/>
      </c>
      <c r="AM53" s="93" t="n"/>
      <c r="AN53" s="93" t="n"/>
      <c r="AO53" s="93" t="n"/>
      <c r="AP53" s="93" t="n"/>
      <c r="AQ53" s="93" t="n"/>
    </row>
    <row r="54" ht="14" customHeight="1" s="518">
      <c r="A54" s="106" t="n">
        <v>6</v>
      </c>
      <c r="B54" s="93" t="n">
        <v>49</v>
      </c>
      <c r="C54" s="93" t="inlineStr">
        <is>
          <t>2013Q</t>
        </is>
      </c>
      <c r="D54" s="93" t="inlineStr">
        <is>
          <t xml:space="preserve">01201-19-020-000 </t>
        </is>
      </c>
      <c r="E54" s="92" t="inlineStr">
        <is>
          <t>Actual</t>
        </is>
      </c>
      <c r="F54" s="93" t="inlineStr">
        <is>
          <t>6804 E 48TH                 AV</t>
        </is>
      </c>
      <c r="G54" s="93" t="n">
        <v>44.2</v>
      </c>
      <c r="H54" s="93" t="n">
        <v>9101</v>
      </c>
      <c r="I54" s="92" t="n">
        <v>0</v>
      </c>
      <c r="J54" s="710" t="n">
        <v>46464</v>
      </c>
      <c r="K54" s="711" t="n">
        <v>6.149255337465565</v>
      </c>
      <c r="L54" s="108" t="n">
        <v>0.37</v>
      </c>
      <c r="M54" s="97" t="n">
        <v>0.09556592316226782</v>
      </c>
      <c r="N54" s="93" t="n">
        <v>1973</v>
      </c>
      <c r="O54" s="93" t="n">
        <v>5987</v>
      </c>
      <c r="P54" s="93" t="n">
        <v>0</v>
      </c>
      <c r="Q54" s="93" t="n">
        <v>15</v>
      </c>
      <c r="R54" s="93" t="n">
        <v>10</v>
      </c>
      <c r="S54" s="93" t="n">
        <v>8</v>
      </c>
      <c r="T54" s="92" t="inlineStr">
        <is>
          <t xml:space="preserve">I-B         </t>
        </is>
      </c>
      <c r="U54" s="93" t="n">
        <v>398</v>
      </c>
      <c r="V54" s="710" t="n">
        <v>97473</v>
      </c>
      <c r="W54" s="710" t="n">
        <v>97000</v>
      </c>
      <c r="X54" s="712" t="inlineStr">
        <is>
          <t>2.1:1</t>
        </is>
      </c>
      <c r="Y54" s="710" t="n">
        <v>46000</v>
      </c>
      <c r="Z54" s="92" t="inlineStr">
        <is>
          <t xml:space="preserve">C </t>
        </is>
      </c>
      <c r="AA54" s="93" t="n"/>
      <c r="AB54" s="93" t="n"/>
      <c r="AC54" s="93" t="n"/>
      <c r="AD54" s="93" t="inlineStr"/>
      <c r="AE54" s="93" t="n"/>
      <c r="AF54" s="93" t="n"/>
      <c r="AG54" s="93" t="n"/>
      <c r="AH54" s="93" t="n"/>
      <c r="AI54" s="93" t="n"/>
      <c r="AK54" s="265" t="inlineStr"/>
      <c r="AL54">
        <f>IF(AND(ISNUMBER($S54),$S54&gt;0,ISNUMBER($K54),ISNUMBER($J54)),($K54*$J54)/$S54,"")</f>
        <v/>
      </c>
      <c r="AM54" s="93" t="n"/>
      <c r="AN54" s="93" t="n"/>
      <c r="AO54" s="93" t="n"/>
      <c r="AP54" s="93" t="n"/>
      <c r="AQ54" s="93" t="n"/>
    </row>
    <row r="55" ht="14" customHeight="1" s="518">
      <c r="A55" s="106" t="n">
        <v>6</v>
      </c>
      <c r="B55" s="93" t="n">
        <v>50</v>
      </c>
      <c r="C55" s="93" t="inlineStr">
        <is>
          <t>2013Q</t>
        </is>
      </c>
      <c r="D55" s="93" t="inlineStr">
        <is>
          <t xml:space="preserve">01201-21-030-030 </t>
        </is>
      </c>
      <c r="E55" s="92" t="inlineStr">
        <is>
          <t>Actual</t>
        </is>
      </c>
      <c r="F55" s="93" t="inlineStr">
        <is>
          <t>7030 E 46TH AVENUE          DR</t>
        </is>
      </c>
      <c r="G55" s="93" t="n">
        <v>44.8</v>
      </c>
      <c r="H55" s="93" t="n">
        <v>9101</v>
      </c>
      <c r="I55" s="92" t="n">
        <v>0</v>
      </c>
      <c r="J55" s="710" t="n">
        <v>1688</v>
      </c>
      <c r="K55" s="711" t="n">
        <v>7.819905213270142</v>
      </c>
      <c r="L55" s="108" t="n">
        <v>0</v>
      </c>
      <c r="M55" s="97" t="n">
        <v>0.1703787878787879</v>
      </c>
      <c r="N55" s="93" t="n">
        <v>2003</v>
      </c>
      <c r="O55" s="93" t="n">
        <v>520</v>
      </c>
      <c r="P55" s="93" t="n">
        <v>0</v>
      </c>
      <c r="Q55" s="93" t="n">
        <v>22</v>
      </c>
      <c r="R55" s="93" t="n">
        <v>14</v>
      </c>
      <c r="S55" s="93" t="n">
        <v>1</v>
      </c>
      <c r="T55" s="92" t="inlineStr">
        <is>
          <t xml:space="preserve">I-B         </t>
        </is>
      </c>
      <c r="U55" s="93" t="n">
        <v>398</v>
      </c>
      <c r="V55" s="710" t="n">
        <v>4383</v>
      </c>
      <c r="W55" s="710" t="n">
        <v>4000</v>
      </c>
      <c r="X55" s="712" t="inlineStr">
        <is>
          <t>2.6:1</t>
        </is>
      </c>
      <c r="Y55" s="710" t="n">
        <v>2000</v>
      </c>
      <c r="Z55" s="92" t="inlineStr">
        <is>
          <t xml:space="preserve">C </t>
        </is>
      </c>
      <c r="AA55" s="93" t="n"/>
      <c r="AB55" s="93" t="n"/>
      <c r="AC55" s="93" t="n"/>
      <c r="AD55" s="93" t="inlineStr">
        <is>
          <t xml:space="preserve">UNIT #D             </t>
        </is>
      </c>
      <c r="AE55" s="93" t="n"/>
      <c r="AF55" s="93" t="n"/>
      <c r="AG55" s="93" t="n"/>
      <c r="AH55" s="93" t="n"/>
      <c r="AI55" s="93" t="n"/>
      <c r="AK55" s="265" t="inlineStr"/>
      <c r="AL55">
        <f>IF(AND(ISNUMBER($S55),$S55&gt;0,ISNUMBER($K55),ISNUMBER($J55)),($K55*$J55)/$S55,"")</f>
        <v/>
      </c>
      <c r="AM55" s="93" t="n"/>
      <c r="AN55" s="93" t="n"/>
      <c r="AO55" s="93" t="n"/>
      <c r="AP55" s="93" t="n"/>
      <c r="AQ55" s="93" t="n"/>
    </row>
    <row r="56" ht="14" customHeight="1" s="518">
      <c r="A56" s="106" t="n">
        <v>6</v>
      </c>
      <c r="B56" s="93" t="n">
        <v>51</v>
      </c>
      <c r="C56" s="93" t="inlineStr">
        <is>
          <t>2013Q</t>
        </is>
      </c>
      <c r="D56" s="93" t="inlineStr">
        <is>
          <t xml:space="preserve">01201-21-045-045 </t>
        </is>
      </c>
      <c r="E56" s="92" t="inlineStr">
        <is>
          <t>Actual</t>
        </is>
      </c>
      <c r="F56" s="93" t="inlineStr">
        <is>
          <t>4601   QUEBEC               ST</t>
        </is>
      </c>
      <c r="G56" s="93" t="n">
        <v>44.8</v>
      </c>
      <c r="H56" s="93" t="n">
        <v>9101</v>
      </c>
      <c r="I56" s="92" t="n">
        <v>0</v>
      </c>
      <c r="J56" s="710" t="n">
        <v>3567</v>
      </c>
      <c r="K56" s="711" t="n">
        <v>12.11101766190076</v>
      </c>
      <c r="L56" s="108" t="n">
        <v>0</v>
      </c>
      <c r="M56" s="97" t="n">
        <v>0</v>
      </c>
      <c r="N56" s="93" t="n">
        <v>2004</v>
      </c>
      <c r="O56" s="93" t="n">
        <v>0</v>
      </c>
      <c r="P56" s="93" t="n">
        <v>0</v>
      </c>
      <c r="Q56" s="93" t="n">
        <v>18</v>
      </c>
      <c r="R56" s="93" t="n">
        <v>14</v>
      </c>
      <c r="S56" s="93" t="n">
        <v>1</v>
      </c>
      <c r="T56" s="92" t="inlineStr">
        <is>
          <t xml:space="preserve">I-B         </t>
        </is>
      </c>
      <c r="U56" s="93" t="n">
        <v>398</v>
      </c>
      <c r="V56" s="710" t="n">
        <v>8767</v>
      </c>
      <c r="W56" s="710" t="n">
        <v>9000</v>
      </c>
      <c r="X56" s="712" t="inlineStr">
        <is>
          <t>2.5:1</t>
        </is>
      </c>
      <c r="Y56" s="710" t="n">
        <v>4000</v>
      </c>
      <c r="Z56" s="92" t="inlineStr">
        <is>
          <t xml:space="preserve">C </t>
        </is>
      </c>
      <c r="AA56" s="93" t="n"/>
      <c r="AB56" s="93" t="n"/>
      <c r="AC56" s="93" t="n"/>
      <c r="AD56" s="93" t="inlineStr">
        <is>
          <t xml:space="preserve">C-10 (J) STPL BUS   </t>
        </is>
      </c>
      <c r="AE56" s="93" t="n"/>
      <c r="AF56" s="93" t="n"/>
      <c r="AG56" s="93" t="n"/>
      <c r="AH56" s="93" t="n"/>
      <c r="AI56" s="93" t="n"/>
      <c r="AK56" s="265" t="inlineStr">
        <is>
          <t xml:space="preserve">LEASE COMMENCEMENT DATE UNKNOWN.                                  </t>
        </is>
      </c>
      <c r="AL56">
        <f>IF(AND(ISNUMBER($S56),$S56&gt;0,ISNUMBER($K56),ISNUMBER($J56)),($K56*$J56)/$S56,"")</f>
        <v/>
      </c>
      <c r="AM56" s="93" t="n"/>
      <c r="AN56" s="93" t="n"/>
      <c r="AO56" s="93" t="n"/>
      <c r="AP56" s="93" t="n"/>
      <c r="AQ56" s="93" t="n"/>
    </row>
    <row r="57" ht="14" customHeight="1" s="518">
      <c r="A57" s="106" t="n">
        <v>6</v>
      </c>
      <c r="B57" s="93" t="n">
        <v>52</v>
      </c>
      <c r="C57" s="93" t="inlineStr">
        <is>
          <t>2013Q</t>
        </is>
      </c>
      <c r="D57" s="93" t="inlineStr">
        <is>
          <t xml:space="preserve">01201-21-055-055 </t>
        </is>
      </c>
      <c r="E57" s="92" t="inlineStr">
        <is>
          <t>Actual</t>
        </is>
      </c>
      <c r="F57" s="93" t="inlineStr">
        <is>
          <t>4605   QUEBEC               ST</t>
        </is>
      </c>
      <c r="G57" s="93" t="n">
        <v>44.8</v>
      </c>
      <c r="H57" s="93" t="n">
        <v>9101</v>
      </c>
      <c r="I57" s="92" t="n">
        <v>0</v>
      </c>
      <c r="J57" s="710" t="n">
        <v>1433</v>
      </c>
      <c r="K57" s="711" t="n">
        <v>8.374040474528961</v>
      </c>
      <c r="L57" s="108" t="n">
        <v>0</v>
      </c>
      <c r="M57" s="97" t="n">
        <v>0.4835833333333333</v>
      </c>
      <c r="N57" s="93" t="n">
        <v>2007</v>
      </c>
      <c r="O57" s="93" t="n">
        <v>0</v>
      </c>
      <c r="P57" s="93" t="n">
        <v>0</v>
      </c>
      <c r="Q57" s="93" t="n">
        <v>18</v>
      </c>
      <c r="R57" s="93" t="n">
        <v>14</v>
      </c>
      <c r="S57" s="93" t="n">
        <v>1</v>
      </c>
      <c r="T57" s="92" t="inlineStr">
        <is>
          <t xml:space="preserve">I-B         </t>
        </is>
      </c>
      <c r="U57" s="93" t="n">
        <v>398</v>
      </c>
      <c r="V57" s="710" t="n">
        <v>3783</v>
      </c>
      <c r="W57" s="710" t="n">
        <v>4000</v>
      </c>
      <c r="X57" s="712" t="inlineStr">
        <is>
          <t>2.6:1</t>
        </is>
      </c>
      <c r="Y57" s="710" t="n">
        <v>1000</v>
      </c>
      <c r="Z57" s="92" t="inlineStr">
        <is>
          <t xml:space="preserve">C </t>
        </is>
      </c>
      <c r="AA57" s="93" t="n"/>
      <c r="AB57" s="93" t="n"/>
      <c r="AC57" s="93" t="n"/>
      <c r="AD57" s="93" t="inlineStr">
        <is>
          <t xml:space="preserve">UNIT J-4605 QUEBEC  </t>
        </is>
      </c>
      <c r="AE57" s="93" t="n"/>
      <c r="AF57" s="93" t="n"/>
      <c r="AG57" s="93" t="n"/>
      <c r="AH57" s="93" t="n"/>
      <c r="AI57" s="93" t="n"/>
      <c r="AK57" s="265" t="inlineStr"/>
      <c r="AL57">
        <f>IF(AND(ISNUMBER($S57),$S57&gt;0,ISNUMBER($K57),ISNUMBER($J57)),($K57*$J57)/$S57,"")</f>
        <v/>
      </c>
      <c r="AM57" s="93" t="n"/>
      <c r="AN57" s="93" t="n"/>
      <c r="AO57" s="93" t="n"/>
      <c r="AP57" s="93" t="n"/>
      <c r="AQ57" s="93" t="n"/>
    </row>
    <row r="58" ht="14" customHeight="1" s="518">
      <c r="A58" s="106" t="n">
        <v>6</v>
      </c>
      <c r="B58" s="93" t="n">
        <v>53</v>
      </c>
      <c r="C58" s="93" t="inlineStr">
        <is>
          <t>2013Q</t>
        </is>
      </c>
      <c r="D58" s="93" t="inlineStr">
        <is>
          <t xml:space="preserve">01201-21-056-056 </t>
        </is>
      </c>
      <c r="E58" s="92" t="inlineStr">
        <is>
          <t>Actual</t>
        </is>
      </c>
      <c r="F58" s="93" t="inlineStr">
        <is>
          <t>4605   QUEBEC               ST</t>
        </is>
      </c>
      <c r="G58" s="93" t="n">
        <v>44.8</v>
      </c>
      <c r="H58" s="93" t="n">
        <v>9101</v>
      </c>
      <c r="I58" s="92" t="n">
        <v>0</v>
      </c>
      <c r="J58" s="710" t="n">
        <v>1433</v>
      </c>
      <c r="K58" s="711" t="n">
        <v>9.043963712491276</v>
      </c>
      <c r="L58" s="108" t="n">
        <v>0</v>
      </c>
      <c r="M58" s="97" t="n">
        <v>0</v>
      </c>
      <c r="N58" s="93" t="n">
        <v>2007</v>
      </c>
      <c r="O58" s="93" t="n">
        <v>0</v>
      </c>
      <c r="P58" s="93" t="n">
        <v>0</v>
      </c>
      <c r="Q58" s="93" t="n">
        <v>18</v>
      </c>
      <c r="R58" s="93" t="n">
        <v>14</v>
      </c>
      <c r="S58" s="93" t="n">
        <v>1</v>
      </c>
      <c r="T58" s="92" t="inlineStr">
        <is>
          <t xml:space="preserve">I-B         </t>
        </is>
      </c>
      <c r="U58" s="93" t="n">
        <v>398</v>
      </c>
      <c r="V58" s="710" t="n">
        <v>3783</v>
      </c>
      <c r="W58" s="710" t="n">
        <v>4000</v>
      </c>
      <c r="X58" s="712" t="inlineStr">
        <is>
          <t>2.6:1</t>
        </is>
      </c>
      <c r="Y58" s="710" t="n">
        <v>1000</v>
      </c>
      <c r="Z58" s="92" t="inlineStr">
        <is>
          <t xml:space="preserve">C </t>
        </is>
      </c>
      <c r="AA58" s="93" t="n"/>
      <c r="AB58" s="93" t="n"/>
      <c r="AC58" s="93" t="n"/>
      <c r="AD58" s="93" t="inlineStr">
        <is>
          <t xml:space="preserve">UNIT K-4605 QUEBEC  </t>
        </is>
      </c>
      <c r="AE58" s="93" t="n"/>
      <c r="AF58" s="93" t="n"/>
      <c r="AG58" s="93" t="n"/>
      <c r="AH58" s="93" t="n"/>
      <c r="AI58" s="93" t="n"/>
      <c r="AK58" s="265" t="inlineStr">
        <is>
          <t xml:space="preserve">2010 LEASE.                                                       </t>
        </is>
      </c>
      <c r="AL58">
        <f>IF(AND(ISNUMBER($S58),$S58&gt;0,ISNUMBER($K58),ISNUMBER($J58)),($K58*$J58)/$S58,"")</f>
        <v/>
      </c>
      <c r="AM58" s="93" t="n"/>
      <c r="AN58" s="93" t="n"/>
      <c r="AO58" s="93" t="n"/>
      <c r="AP58" s="93" t="n"/>
      <c r="AQ58" s="93" t="n"/>
    </row>
    <row r="59" ht="14" customHeight="1" s="518">
      <c r="A59" s="106" t="n">
        <v>6</v>
      </c>
      <c r="B59" s="93" t="n">
        <v>54</v>
      </c>
      <c r="C59" s="93" t="inlineStr">
        <is>
          <t>2013Q</t>
        </is>
      </c>
      <c r="D59" s="93" t="inlineStr">
        <is>
          <t xml:space="preserve">01201-21-057-057 </t>
        </is>
      </c>
      <c r="E59" s="92" t="inlineStr">
        <is>
          <t>Actual</t>
        </is>
      </c>
      <c r="F59" s="93" t="inlineStr">
        <is>
          <t>4605   QUEBEC               ST</t>
        </is>
      </c>
      <c r="G59" s="93" t="n">
        <v>44.8</v>
      </c>
      <c r="H59" s="93" t="n">
        <v>9101</v>
      </c>
      <c r="I59" s="92" t="n">
        <v>0</v>
      </c>
      <c r="J59" s="710" t="n">
        <v>3396</v>
      </c>
      <c r="K59" s="711" t="n">
        <v>8.904593639575971</v>
      </c>
      <c r="L59" s="108" t="n">
        <v>0</v>
      </c>
      <c r="M59" s="97" t="n">
        <v>0</v>
      </c>
      <c r="N59" s="93" t="n">
        <v>2007</v>
      </c>
      <c r="O59" s="93" t="n">
        <v>0</v>
      </c>
      <c r="P59" s="93" t="n">
        <v>0</v>
      </c>
      <c r="Q59" s="93" t="n">
        <v>18</v>
      </c>
      <c r="R59" s="93" t="n">
        <v>14</v>
      </c>
      <c r="S59" s="93" t="n">
        <v>1</v>
      </c>
      <c r="T59" s="92" t="inlineStr">
        <is>
          <t xml:space="preserve">I-B         </t>
        </is>
      </c>
      <c r="U59" s="93" t="n">
        <v>398</v>
      </c>
      <c r="V59" s="710" t="n">
        <v>8767</v>
      </c>
      <c r="W59" s="710" t="n">
        <v>9000</v>
      </c>
      <c r="X59" s="712" t="inlineStr">
        <is>
          <t>2.6:1</t>
        </is>
      </c>
      <c r="Y59" s="710" t="n">
        <v>3000</v>
      </c>
      <c r="Z59" s="92" t="inlineStr">
        <is>
          <t xml:space="preserve">C </t>
        </is>
      </c>
      <c r="AA59" s="93" t="n"/>
      <c r="AB59" s="93" t="n"/>
      <c r="AC59" s="93" t="n"/>
      <c r="AD59" s="93" t="inlineStr">
        <is>
          <t xml:space="preserve">UNIT BLDG 3         </t>
        </is>
      </c>
      <c r="AE59" s="93" t="n"/>
      <c r="AF59" s="93" t="n"/>
      <c r="AG59" s="93" t="n"/>
      <c r="AH59" s="93" t="n"/>
      <c r="AI59" s="93" t="n"/>
      <c r="AK59" s="265" t="inlineStr">
        <is>
          <t xml:space="preserve">2010 LEASE.                                                       </t>
        </is>
      </c>
      <c r="AL59">
        <f>IF(AND(ISNUMBER($S59),$S59&gt;0,ISNUMBER($K59),ISNUMBER($J59)),($K59*$J59)/$S59,"")</f>
        <v/>
      </c>
      <c r="AM59" s="93" t="n"/>
      <c r="AN59" s="93" t="n"/>
      <c r="AO59" s="93" t="n"/>
      <c r="AP59" s="93" t="n"/>
      <c r="AQ59" s="93" t="n"/>
    </row>
    <row r="60" ht="28" customHeight="1" s="518">
      <c r="A60" s="106" t="n">
        <v>6</v>
      </c>
      <c r="B60" s="93" t="n">
        <v>55</v>
      </c>
      <c r="C60" s="93" t="inlineStr">
        <is>
          <t>2013Q</t>
        </is>
      </c>
      <c r="D60" s="93" t="inlineStr">
        <is>
          <t xml:space="preserve">01202-00-064-000 </t>
        </is>
      </c>
      <c r="E60" s="92" t="inlineStr">
        <is>
          <t>Actual</t>
        </is>
      </c>
      <c r="F60" s="93" t="inlineStr">
        <is>
          <t>4686   IVY                  ST</t>
        </is>
      </c>
      <c r="G60" s="93" t="n">
        <v>44.2</v>
      </c>
      <c r="H60" s="93" t="n">
        <v>9101</v>
      </c>
      <c r="I60" s="92" t="n">
        <v>0</v>
      </c>
      <c r="J60" s="710" t="n">
        <v>61468</v>
      </c>
      <c r="K60" s="711" t="n">
        <v>4.37442246372096</v>
      </c>
      <c r="L60" s="108" t="n">
        <v>0</v>
      </c>
      <c r="M60" s="97" t="n">
        <v>0</v>
      </c>
      <c r="N60" s="93" t="n">
        <v>1962</v>
      </c>
      <c r="O60" s="93" t="n">
        <v>9200</v>
      </c>
      <c r="P60" s="93" t="n">
        <v>0</v>
      </c>
      <c r="Q60" s="93" t="n">
        <v>20</v>
      </c>
      <c r="R60" s="93" t="n">
        <v>1</v>
      </c>
      <c r="S60" s="93" t="n">
        <v>1</v>
      </c>
      <c r="T60" s="92" t="inlineStr">
        <is>
          <t xml:space="preserve">I-B         </t>
        </is>
      </c>
      <c r="U60" s="93" t="n">
        <v>398</v>
      </c>
      <c r="V60" s="710" t="n">
        <v>241619</v>
      </c>
      <c r="W60" s="710" t="n">
        <v>242000</v>
      </c>
      <c r="X60" s="712" t="inlineStr">
        <is>
          <t>3.9:1</t>
        </is>
      </c>
      <c r="Y60" s="710" t="n">
        <v>61000</v>
      </c>
      <c r="Z60" s="92" t="inlineStr">
        <is>
          <t xml:space="preserve">C </t>
        </is>
      </c>
      <c r="AA60" s="93" t="n"/>
      <c r="AB60" s="93" t="n"/>
      <c r="AC60" s="93" t="n"/>
      <c r="AD60" s="93" t="inlineStr"/>
      <c r="AE60" s="93" t="n"/>
      <c r="AF60" s="93" t="n"/>
      <c r="AG60" s="93" t="n"/>
      <c r="AH60" s="93" t="n"/>
      <c r="AI60" s="93" t="n"/>
      <c r="AK60" s="265" t="inlineStr">
        <is>
          <t xml:space="preserve">2010 LEASE; NEED BREAKDOWN FOR EXPENSES.                          </t>
        </is>
      </c>
      <c r="AL60">
        <f>IF(AND(ISNUMBER($S60),$S60&gt;0,ISNUMBER($K60),ISNUMBER($J60)),($K60*$J60)/$S60,"")</f>
        <v/>
      </c>
      <c r="AM60" s="93" t="n"/>
      <c r="AN60" s="93" t="n"/>
      <c r="AO60" s="93" t="n"/>
      <c r="AP60" s="93" t="n"/>
      <c r="AQ60" s="93" t="n"/>
    </row>
    <row r="61" ht="14" customHeight="1" s="518">
      <c r="A61" s="106" t="n">
        <v>6</v>
      </c>
      <c r="B61" s="93" t="n">
        <v>56</v>
      </c>
      <c r="C61" s="93" t="inlineStr">
        <is>
          <t>2013Q</t>
        </is>
      </c>
      <c r="D61" s="93" t="inlineStr">
        <is>
          <t xml:space="preserve">01202-00-071-000 </t>
        </is>
      </c>
      <c r="E61" s="92" t="inlineStr">
        <is>
          <t>Actual</t>
        </is>
      </c>
      <c r="F61" s="93" t="inlineStr">
        <is>
          <t>4571   IVY                  ST</t>
        </is>
      </c>
      <c r="G61" s="93" t="n">
        <v>44.2</v>
      </c>
      <c r="H61" s="93" t="n">
        <v>9101</v>
      </c>
      <c r="I61" s="92" t="n">
        <v>0</v>
      </c>
      <c r="J61" s="710" t="n">
        <v>14628</v>
      </c>
      <c r="K61" s="711" t="n">
        <v>5.318567131528575</v>
      </c>
      <c r="L61" s="108" t="n">
        <v>0</v>
      </c>
      <c r="M61" s="97" t="n">
        <v>0.08949871465295629</v>
      </c>
      <c r="N61" s="93" t="n">
        <v>1970</v>
      </c>
      <c r="O61" s="93" t="n">
        <v>1457</v>
      </c>
      <c r="P61" s="93" t="n">
        <v>0</v>
      </c>
      <c r="Q61" s="93" t="n">
        <v>20</v>
      </c>
      <c r="R61" s="93" t="n">
        <v>14</v>
      </c>
      <c r="S61" s="93" t="n">
        <v>1</v>
      </c>
      <c r="T61" s="92" t="inlineStr">
        <is>
          <t xml:space="preserve">I-B         </t>
        </is>
      </c>
      <c r="U61" s="93" t="n">
        <v>398</v>
      </c>
      <c r="V61" s="710" t="n">
        <v>36853</v>
      </c>
      <c r="W61" s="710" t="n">
        <v>37000</v>
      </c>
      <c r="X61" s="712" t="inlineStr">
        <is>
          <t>2.5:1</t>
        </is>
      </c>
      <c r="Y61" s="710" t="n">
        <v>15000</v>
      </c>
      <c r="Z61" s="92" t="inlineStr">
        <is>
          <t xml:space="preserve">C </t>
        </is>
      </c>
      <c r="AA61" s="93" t="n"/>
      <c r="AB61" s="93" t="n"/>
      <c r="AC61" s="93" t="n"/>
      <c r="AD61" s="93" t="inlineStr">
        <is>
          <t xml:space="preserve">AMERICAN IND G/D    </t>
        </is>
      </c>
      <c r="AE61" s="93" t="n"/>
      <c r="AF61" s="93" t="n"/>
      <c r="AG61" s="93" t="n"/>
      <c r="AH61" s="93" t="n"/>
      <c r="AI61" s="93" t="n"/>
      <c r="AK61" s="265" t="inlineStr">
        <is>
          <t xml:space="preserve">2010 LEASE.                                                       </t>
        </is>
      </c>
      <c r="AL61">
        <f>IF(AND(ISNUMBER($S61),$S61&gt;0,ISNUMBER($K61),ISNUMBER($J61)),($K61*$J61)/$S61,"")</f>
        <v/>
      </c>
      <c r="AM61" s="93" t="n"/>
      <c r="AN61" s="93" t="n"/>
      <c r="AO61" s="93" t="n"/>
      <c r="AP61" s="93" t="n"/>
      <c r="AQ61" s="93" t="n"/>
    </row>
    <row r="62" ht="14" customHeight="1" s="518">
      <c r="A62" s="106" t="n">
        <v>6</v>
      </c>
      <c r="B62" s="93" t="n">
        <v>57</v>
      </c>
      <c r="C62" s="93" t="inlineStr">
        <is>
          <t>2013Q</t>
        </is>
      </c>
      <c r="D62" s="93" t="inlineStr">
        <is>
          <t xml:space="preserve">01203-00-073-000 </t>
        </is>
      </c>
      <c r="E62" s="92" t="inlineStr">
        <is>
          <t>Actual</t>
        </is>
      </c>
      <c r="F62" s="93" t="inlineStr">
        <is>
          <t>3880   HOLLY                ST</t>
        </is>
      </c>
      <c r="G62" s="93" t="n">
        <v>47.1</v>
      </c>
      <c r="H62" s="93" t="n">
        <v>9101</v>
      </c>
      <c r="I62" s="92" t="n">
        <v>0</v>
      </c>
      <c r="J62" s="710" t="n">
        <v>40388</v>
      </c>
      <c r="K62" s="711" t="n">
        <v>4.288452015450134</v>
      </c>
      <c r="L62" s="108" t="n">
        <v>0</v>
      </c>
      <c r="M62" s="97" t="n">
        <v>0.02886802692809552</v>
      </c>
      <c r="N62" s="93" t="n">
        <v>1965</v>
      </c>
      <c r="O62" s="93" t="n">
        <v>8677</v>
      </c>
      <c r="P62" s="93" t="n">
        <v>0</v>
      </c>
      <c r="Q62" s="93" t="n">
        <v>19</v>
      </c>
      <c r="R62" s="93" t="n">
        <v>4</v>
      </c>
      <c r="S62" s="93" t="n">
        <v>1</v>
      </c>
      <c r="T62" s="92" t="inlineStr">
        <is>
          <t xml:space="preserve">I-MX-3      </t>
        </is>
      </c>
      <c r="U62" s="93" t="n">
        <v>398</v>
      </c>
      <c r="V62" s="710" t="n">
        <v>106128</v>
      </c>
      <c r="W62" s="710" t="n">
        <v>106000</v>
      </c>
      <c r="X62" s="712" t="inlineStr">
        <is>
          <t>2.6:1</t>
        </is>
      </c>
      <c r="Y62" s="710" t="n">
        <v>40000</v>
      </c>
      <c r="Z62" s="92" t="inlineStr">
        <is>
          <t xml:space="preserve">C </t>
        </is>
      </c>
      <c r="AA62" s="93" t="n"/>
      <c r="AB62" s="93" t="n"/>
      <c r="AC62" s="93" t="n"/>
      <c r="AD62" s="93" t="inlineStr">
        <is>
          <t xml:space="preserve">MILE HIGH GROWS     </t>
        </is>
      </c>
      <c r="AE62" s="93" t="n"/>
      <c r="AF62" s="93" t="n"/>
      <c r="AG62" s="93" t="n"/>
      <c r="AH62" s="93" t="n"/>
      <c r="AI62" s="93" t="n"/>
      <c r="AK62" s="265" t="inlineStr">
        <is>
          <t xml:space="preserve">2010 LEASE.                                                       </t>
        </is>
      </c>
      <c r="AL62">
        <f>IF(AND(ISNUMBER($S62),$S62&gt;0,ISNUMBER($K62),ISNUMBER($J62)),($K62*$J62)/$S62,"")</f>
        <v/>
      </c>
      <c r="AM62" s="93" t="n"/>
      <c r="AN62" s="93" t="n"/>
      <c r="AO62" s="93" t="n"/>
      <c r="AP62" s="93" t="n"/>
      <c r="AQ62" s="93" t="n"/>
    </row>
    <row r="63" ht="14" customHeight="1" s="518">
      <c r="A63" s="106" t="n">
        <v>6</v>
      </c>
      <c r="B63" s="93" t="n">
        <v>58</v>
      </c>
      <c r="C63" s="93" t="inlineStr">
        <is>
          <t>2013Q</t>
        </is>
      </c>
      <c r="D63" s="93" t="inlineStr">
        <is>
          <t xml:space="preserve">01203-00-100-000 </t>
        </is>
      </c>
      <c r="E63" s="92" t="inlineStr">
        <is>
          <t>Actual</t>
        </is>
      </c>
      <c r="F63" s="93" t="inlineStr">
        <is>
          <t>5775 E 39TH                 AV</t>
        </is>
      </c>
      <c r="G63" s="93" t="n">
        <v>44.1</v>
      </c>
      <c r="H63" s="93" t="n">
        <v>9101</v>
      </c>
      <c r="I63" s="92" t="n">
        <v>0</v>
      </c>
      <c r="J63" s="710" t="n">
        <v>25212</v>
      </c>
      <c r="K63" s="711" t="n">
        <v>3.24516103442805</v>
      </c>
      <c r="L63" s="108" t="n">
        <v>0</v>
      </c>
      <c r="M63" s="97" t="n">
        <v>0.1553833555373578</v>
      </c>
      <c r="N63" s="93" t="n">
        <v>1966</v>
      </c>
      <c r="O63" s="93" t="n">
        <v>2989</v>
      </c>
      <c r="P63" s="93" t="n">
        <v>0</v>
      </c>
      <c r="Q63" s="93" t="n">
        <v>17</v>
      </c>
      <c r="R63" s="93" t="n">
        <v>1</v>
      </c>
      <c r="S63" s="93" t="n">
        <v>1</v>
      </c>
      <c r="T63" s="92" t="inlineStr">
        <is>
          <t xml:space="preserve">I-A         </t>
        </is>
      </c>
      <c r="U63" s="93" t="n">
        <v>398</v>
      </c>
      <c r="V63" s="710" t="n">
        <v>38163</v>
      </c>
      <c r="W63" s="710" t="n">
        <v>38000</v>
      </c>
      <c r="X63" s="712" t="inlineStr">
        <is>
          <t>1.5:1</t>
        </is>
      </c>
      <c r="Y63" s="710" t="n">
        <v>25000</v>
      </c>
      <c r="Z63" s="92" t="inlineStr">
        <is>
          <t xml:space="preserve">C </t>
        </is>
      </c>
      <c r="AA63" s="93" t="n"/>
      <c r="AB63" s="93" t="n"/>
      <c r="AC63" s="93" t="n"/>
      <c r="AD63" s="93" t="inlineStr"/>
      <c r="AE63" s="93" t="n"/>
      <c r="AF63" s="93" t="n"/>
      <c r="AG63" s="93" t="n"/>
      <c r="AH63" s="93" t="n"/>
      <c r="AI63" s="93" t="n"/>
      <c r="AK63" s="265" t="inlineStr">
        <is>
          <t xml:space="preserve">2010 LEASE.                                                       </t>
        </is>
      </c>
      <c r="AL63">
        <f>IF(AND(ISNUMBER($S63),$S63&gt;0,ISNUMBER($K63),ISNUMBER($J63)),($K63*$J63)/$S63,"")</f>
        <v/>
      </c>
      <c r="AM63" s="93" t="n"/>
      <c r="AN63" s="93" t="n"/>
      <c r="AO63" s="93" t="n"/>
      <c r="AP63" s="93" t="n"/>
      <c r="AQ63" s="93" t="n"/>
    </row>
    <row r="64" ht="14" customHeight="1" s="518">
      <c r="A64" s="106" t="n">
        <v>6</v>
      </c>
      <c r="B64" s="93" t="n">
        <v>59</v>
      </c>
      <c r="C64" s="93" t="inlineStr">
        <is>
          <t>2013Q</t>
        </is>
      </c>
      <c r="D64" s="93" t="inlineStr">
        <is>
          <t xml:space="preserve">01203-00-134-000 </t>
        </is>
      </c>
      <c r="E64" s="92" t="inlineStr">
        <is>
          <t>Actual</t>
        </is>
      </c>
      <c r="F64" s="93" t="inlineStr">
        <is>
          <t>6300 E 39TH                 AV</t>
        </is>
      </c>
      <c r="G64" s="93" t="n">
        <v>44.1</v>
      </c>
      <c r="H64" s="93" t="n">
        <v>9101</v>
      </c>
      <c r="I64" s="92" t="n">
        <v>0</v>
      </c>
      <c r="J64" s="710" t="n">
        <v>29376</v>
      </c>
      <c r="K64" s="711" t="n">
        <v>4.193423202614379</v>
      </c>
      <c r="L64" s="108" t="n">
        <v>0</v>
      </c>
      <c r="M64" s="97" t="n">
        <v>0</v>
      </c>
      <c r="N64" s="93" t="n">
        <v>1971</v>
      </c>
      <c r="O64" s="93" t="n">
        <v>5721</v>
      </c>
      <c r="P64" s="93" t="n">
        <v>0</v>
      </c>
      <c r="Q64" s="93" t="n">
        <v>22</v>
      </c>
      <c r="R64" s="93" t="n">
        <v>10</v>
      </c>
      <c r="S64" s="93" t="n">
        <v>1</v>
      </c>
      <c r="T64" s="92" t="inlineStr">
        <is>
          <t xml:space="preserve">I-MX-3      </t>
        </is>
      </c>
      <c r="U64" s="93" t="n">
        <v>398</v>
      </c>
      <c r="V64" s="710" t="n">
        <v>61218</v>
      </c>
      <c r="W64" s="710" t="n">
        <v>61000</v>
      </c>
      <c r="X64" s="712" t="inlineStr">
        <is>
          <t>2.1:1</t>
        </is>
      </c>
      <c r="Y64" s="710" t="n">
        <v>29000</v>
      </c>
      <c r="Z64" s="92" t="inlineStr">
        <is>
          <t xml:space="preserve">C </t>
        </is>
      </c>
      <c r="AA64" s="93" t="n"/>
      <c r="AB64" s="93" t="n"/>
      <c r="AC64" s="93" t="n"/>
      <c r="AD64" s="93" t="inlineStr"/>
      <c r="AE64" s="93" t="n"/>
      <c r="AF64" s="93" t="n"/>
      <c r="AG64" s="93" t="n"/>
      <c r="AH64" s="93" t="n"/>
      <c r="AI64" s="93" t="n"/>
      <c r="AK64" s="265" t="inlineStr"/>
      <c r="AL64">
        <f>IF(AND(ISNUMBER($S64),$S64&gt;0,ISNUMBER($K64),ISNUMBER($J64)),($K64*$J64)/$S64,"")</f>
        <v/>
      </c>
      <c r="AM64" s="93" t="n"/>
      <c r="AN64" s="93" t="n"/>
      <c r="AO64" s="93" t="n"/>
      <c r="AP64" s="93" t="n"/>
      <c r="AQ64" s="93" t="n"/>
    </row>
    <row r="65" ht="14" customHeight="1" s="518">
      <c r="A65" s="106" t="n">
        <v>6</v>
      </c>
      <c r="B65" s="93" t="n">
        <v>60</v>
      </c>
      <c r="C65" s="93" t="inlineStr">
        <is>
          <t>2013Q</t>
        </is>
      </c>
      <c r="D65" s="93" t="inlineStr">
        <is>
          <t xml:space="preserve">01203-00-160-000 </t>
        </is>
      </c>
      <c r="E65" s="92" t="inlineStr">
        <is>
          <t>Actual</t>
        </is>
      </c>
      <c r="F65" s="93" t="inlineStr">
        <is>
          <t>6211 E 42ND                 AV</t>
        </is>
      </c>
      <c r="G65" s="93" t="n">
        <v>44.6</v>
      </c>
      <c r="H65" s="93" t="n">
        <v>9101</v>
      </c>
      <c r="I65" s="92" t="n">
        <v>0</v>
      </c>
      <c r="J65" s="710" t="n">
        <v>63040</v>
      </c>
      <c r="K65" s="711" t="n">
        <v>8.123110248657431</v>
      </c>
      <c r="L65" s="108" t="n">
        <v>0</v>
      </c>
      <c r="M65" s="97" t="n">
        <v>0</v>
      </c>
      <c r="N65" s="93" t="n">
        <v>1982</v>
      </c>
      <c r="O65" s="93" t="n">
        <v>9601</v>
      </c>
      <c r="P65" s="93" t="n">
        <v>0</v>
      </c>
      <c r="Q65" s="93" t="n">
        <v>14</v>
      </c>
      <c r="R65" s="93" t="n">
        <v>14</v>
      </c>
      <c r="S65" s="93" t="n">
        <v>1</v>
      </c>
      <c r="T65" s="92" t="inlineStr">
        <is>
          <t xml:space="preserve">I-B         </t>
        </is>
      </c>
      <c r="U65" s="93" t="n">
        <v>398</v>
      </c>
      <c r="V65" s="710" t="n">
        <v>129650</v>
      </c>
      <c r="W65" s="710" t="n">
        <v>130000</v>
      </c>
      <c r="X65" s="712" t="inlineStr">
        <is>
          <t>2.1:1</t>
        </is>
      </c>
      <c r="Y65" s="710" t="n">
        <v>63000</v>
      </c>
      <c r="Z65" s="92" t="inlineStr">
        <is>
          <t xml:space="preserve">C </t>
        </is>
      </c>
      <c r="AA65" s="93" t="n"/>
      <c r="AB65" s="93" t="n"/>
      <c r="AC65" s="93" t="n"/>
      <c r="AD65" s="93" t="inlineStr">
        <is>
          <t xml:space="preserve">DIST SNGL TENANT    </t>
        </is>
      </c>
      <c r="AE65" s="93" t="n"/>
      <c r="AF65" s="93" t="n"/>
      <c r="AG65" s="93" t="n"/>
      <c r="AH65" s="93" t="n"/>
      <c r="AI65" s="93" t="n"/>
      <c r="AK65" s="265" t="inlineStr"/>
      <c r="AL65">
        <f>IF(AND(ISNUMBER($S65),$S65&gt;0,ISNUMBER($K65),ISNUMBER($J65)),($K65*$J65)/$S65,"")</f>
        <v/>
      </c>
      <c r="AM65" s="93" t="n"/>
      <c r="AN65" s="93" t="n"/>
      <c r="AO65" s="93" t="n"/>
      <c r="AP65" s="93" t="n"/>
      <c r="AQ65" s="93" t="n"/>
    </row>
    <row r="66" ht="14" customHeight="1" s="518">
      <c r="A66" s="106" t="n">
        <v>6</v>
      </c>
      <c r="B66" s="93" t="n">
        <v>61</v>
      </c>
      <c r="C66" s="93" t="inlineStr">
        <is>
          <t>2013Q</t>
        </is>
      </c>
      <c r="D66" s="93" t="inlineStr">
        <is>
          <t xml:space="preserve">01203-00-185-000 </t>
        </is>
      </c>
      <c r="E66" s="92" t="inlineStr">
        <is>
          <t>Actual</t>
        </is>
      </c>
      <c r="F66" s="93" t="inlineStr">
        <is>
          <t>3950   HOLLY                ST</t>
        </is>
      </c>
      <c r="G66" s="93" t="n">
        <v>44.1</v>
      </c>
      <c r="H66" s="93" t="n">
        <v>9101</v>
      </c>
      <c r="I66" s="92" t="n">
        <v>0</v>
      </c>
      <c r="J66" s="710" t="n">
        <v>7083</v>
      </c>
      <c r="K66" s="711" t="n">
        <v>10.16518424396442</v>
      </c>
      <c r="L66" s="108" t="n">
        <v>0</v>
      </c>
      <c r="M66" s="97" t="n">
        <v>0.03472222222222222</v>
      </c>
      <c r="N66" s="93" t="n">
        <v>1965</v>
      </c>
      <c r="O66" s="93" t="n">
        <v>1258</v>
      </c>
      <c r="P66" s="93" t="n">
        <v>0</v>
      </c>
      <c r="Q66" s="93" t="n">
        <v>14</v>
      </c>
      <c r="R66" s="93" t="n">
        <v>1</v>
      </c>
      <c r="S66" s="93" t="n">
        <v>1</v>
      </c>
      <c r="T66" s="92" t="inlineStr">
        <is>
          <t xml:space="preserve">I-A         </t>
        </is>
      </c>
      <c r="U66" s="93" t="n">
        <v>398</v>
      </c>
      <c r="V66" s="710" t="n">
        <v>11375</v>
      </c>
      <c r="W66" s="710" t="n">
        <v>11000</v>
      </c>
      <c r="X66" s="712" t="inlineStr">
        <is>
          <t>1.6:1</t>
        </is>
      </c>
      <c r="Y66" s="710" t="n">
        <v>7000</v>
      </c>
      <c r="Z66" s="92" t="inlineStr">
        <is>
          <t xml:space="preserve">C </t>
        </is>
      </c>
      <c r="AA66" s="93" t="n"/>
      <c r="AB66" s="93" t="n"/>
      <c r="AC66" s="93" t="n"/>
      <c r="AD66" s="93" t="inlineStr"/>
      <c r="AE66" s="93" t="n"/>
      <c r="AF66" s="93" t="n"/>
      <c r="AG66" s="93" t="n"/>
      <c r="AH66" s="93" t="n"/>
      <c r="AI66" s="93" t="n"/>
      <c r="AK66" s="265" t="inlineStr">
        <is>
          <t xml:space="preserve">2010 LEASE.                                                       </t>
        </is>
      </c>
      <c r="AL66">
        <f>IF(AND(ISNUMBER($S66),$S66&gt;0,ISNUMBER($K66),ISNUMBER($J66)),($K66*$J66)/$S66,"")</f>
        <v/>
      </c>
      <c r="AM66" s="93" t="n"/>
      <c r="AN66" s="93" t="n"/>
      <c r="AO66" s="93" t="n"/>
      <c r="AP66" s="93" t="n"/>
      <c r="AQ66" s="93" t="n"/>
    </row>
    <row r="67" ht="14" customHeight="1" s="518">
      <c r="A67" s="106" t="n">
        <v>6</v>
      </c>
      <c r="B67" s="93" t="n">
        <v>62</v>
      </c>
      <c r="C67" s="93" t="inlineStr">
        <is>
          <t>2013Q</t>
        </is>
      </c>
      <c r="D67" s="93" t="inlineStr">
        <is>
          <t xml:space="preserve">01213-00-038-000 </t>
        </is>
      </c>
      <c r="E67" s="92" t="inlineStr">
        <is>
          <t>Actual</t>
        </is>
      </c>
      <c r="F67" s="93" t="inlineStr">
        <is>
          <t>7777 E 40TH                 AV</t>
        </is>
      </c>
      <c r="G67" s="93" t="n">
        <v>44.1</v>
      </c>
      <c r="H67" s="93" t="n">
        <v>9101</v>
      </c>
      <c r="I67" s="92" t="n">
        <v>0</v>
      </c>
      <c r="J67" s="710" t="n">
        <v>63164</v>
      </c>
      <c r="K67" s="711" t="n">
        <v>3.229687796846305</v>
      </c>
      <c r="L67" s="108" t="n">
        <v>0</v>
      </c>
      <c r="M67" s="97" t="n">
        <v>0</v>
      </c>
      <c r="N67" s="93" t="n">
        <v>1963</v>
      </c>
      <c r="O67" s="93" t="n">
        <v>3300</v>
      </c>
      <c r="P67" s="93" t="n">
        <v>7164</v>
      </c>
      <c r="Q67" s="93" t="n">
        <v>19</v>
      </c>
      <c r="R67" s="93" t="n">
        <v>1</v>
      </c>
      <c r="S67" s="93" t="n">
        <v>1</v>
      </c>
      <c r="T67" s="92" t="inlineStr">
        <is>
          <t xml:space="preserve">I-MX-5      </t>
        </is>
      </c>
      <c r="U67" s="93" t="n">
        <v>398</v>
      </c>
      <c r="V67" s="710" t="n">
        <v>149373</v>
      </c>
      <c r="W67" s="710" t="n">
        <v>149000</v>
      </c>
      <c r="X67" s="712" t="inlineStr">
        <is>
          <t>2.4:1</t>
        </is>
      </c>
      <c r="Y67" s="710" t="n">
        <v>63000</v>
      </c>
      <c r="Z67" s="92" t="inlineStr">
        <is>
          <t>C-</t>
        </is>
      </c>
      <c r="AA67" s="93" t="n"/>
      <c r="AB67" s="93" t="n"/>
      <c r="AC67" s="93" t="n"/>
      <c r="AD67" s="93" t="inlineStr"/>
      <c r="AE67" s="93" t="n"/>
      <c r="AF67" s="93" t="n"/>
      <c r="AG67" s="93" t="n"/>
      <c r="AH67" s="93" t="n"/>
      <c r="AI67" s="93" t="n"/>
      <c r="AK67" s="265" t="inlineStr"/>
      <c r="AL67">
        <f>IF(AND(ISNUMBER($S67),$S67&gt;0,ISNUMBER($K67),ISNUMBER($J67)),($K67*$J67)/$S67,"")</f>
        <v/>
      </c>
      <c r="AM67" s="93" t="n"/>
      <c r="AN67" s="93" t="n"/>
      <c r="AO67" s="93" t="n"/>
      <c r="AP67" s="93" t="n"/>
      <c r="AQ67" s="93" t="n"/>
    </row>
    <row r="68" ht="28" customHeight="1" s="518">
      <c r="A68" s="106" t="n">
        <v>6</v>
      </c>
      <c r="B68" s="93" t="n">
        <v>63</v>
      </c>
      <c r="C68" s="93" t="inlineStr">
        <is>
          <t>2013Q</t>
        </is>
      </c>
      <c r="D68" s="93" t="inlineStr">
        <is>
          <t xml:space="preserve">01231-05-002-000 </t>
        </is>
      </c>
      <c r="E68" s="92" t="inlineStr">
        <is>
          <t>Actual</t>
        </is>
      </c>
      <c r="F68" s="93" t="inlineStr">
        <is>
          <t>4701   MOLINE               ST</t>
        </is>
      </c>
      <c r="G68" s="93" t="n">
        <v>44.4</v>
      </c>
      <c r="H68" s="93" t="n">
        <v>9102</v>
      </c>
      <c r="I68" s="92" t="n">
        <v>0</v>
      </c>
      <c r="J68" s="710" t="n">
        <v>104891</v>
      </c>
      <c r="K68" s="711" t="n">
        <v>5.216157725638997</v>
      </c>
      <c r="L68" s="108" t="n">
        <v>0</v>
      </c>
      <c r="M68" s="97" t="n">
        <v>0.3116638154143089</v>
      </c>
      <c r="N68" s="93" t="n">
        <v>1985</v>
      </c>
      <c r="O68" s="93" t="n">
        <v>14479</v>
      </c>
      <c r="P68" s="93" t="n">
        <v>0</v>
      </c>
      <c r="Q68" s="93" t="n">
        <v>24</v>
      </c>
      <c r="R68" s="93" t="n">
        <v>14</v>
      </c>
      <c r="S68" s="93" t="n">
        <v>8</v>
      </c>
      <c r="T68" s="92" t="inlineStr">
        <is>
          <t xml:space="preserve">I-B         </t>
        </is>
      </c>
      <c r="U68" s="93" t="n">
        <v>398</v>
      </c>
      <c r="V68" s="710" t="n">
        <v>219619</v>
      </c>
      <c r="W68" s="710" t="n">
        <v>220000</v>
      </c>
      <c r="X68" s="712" t="inlineStr">
        <is>
          <t>2.1:1</t>
        </is>
      </c>
      <c r="Y68" s="710" t="n">
        <v>105000</v>
      </c>
      <c r="Z68" s="92" t="inlineStr">
        <is>
          <t xml:space="preserve">C </t>
        </is>
      </c>
      <c r="AA68" s="93" t="n"/>
      <c r="AB68" s="93" t="n"/>
      <c r="AC68" s="93" t="n"/>
      <c r="AD68" s="93" t="inlineStr">
        <is>
          <t xml:space="preserve">M-W DIST WAREHOUSE  </t>
        </is>
      </c>
      <c r="AE68" s="93" t="n"/>
      <c r="AF68" s="93" t="n"/>
      <c r="AG68" s="93" t="n"/>
      <c r="AH68" s="93" t="n"/>
      <c r="AI68" s="93" t="n"/>
      <c r="AK68" s="265" t="inlineStr">
        <is>
          <t xml:space="preserve">LEASES 2008-2012; OWNER PAYS TOO BIG SHARE OF EXPENSE.            </t>
        </is>
      </c>
      <c r="AL68">
        <f>IF(AND(ISNUMBER($S68),$S68&gt;0,ISNUMBER($K68),ISNUMBER($J68)),($K68*$J68)/$S68,"")</f>
        <v/>
      </c>
      <c r="AM68" s="93" t="n"/>
      <c r="AN68" s="93" t="n"/>
      <c r="AO68" s="93" t="n"/>
      <c r="AP68" s="93" t="n"/>
      <c r="AQ68" s="93" t="n"/>
    </row>
    <row r="69" ht="14" customHeight="1" s="518">
      <c r="A69" s="106" t="n">
        <v>6</v>
      </c>
      <c r="B69" s="93" t="n">
        <v>64</v>
      </c>
      <c r="C69" s="93" t="inlineStr">
        <is>
          <t>2013Q</t>
        </is>
      </c>
      <c r="D69" s="93" t="inlineStr">
        <is>
          <t xml:space="preserve">01232-00-040-000 </t>
        </is>
      </c>
      <c r="E69" s="92" t="inlineStr">
        <is>
          <t>Actual</t>
        </is>
      </c>
      <c r="F69" s="93" t="inlineStr">
        <is>
          <t>4620   IRONTON              ST</t>
        </is>
      </c>
      <c r="G69" s="93" t="n">
        <v>44.2</v>
      </c>
      <c r="H69" s="93" t="n">
        <v>9102</v>
      </c>
      <c r="I69" s="92" t="n">
        <v>0</v>
      </c>
      <c r="J69" s="710" t="n">
        <v>19776</v>
      </c>
      <c r="K69" s="711" t="n">
        <v>4.419902912621359</v>
      </c>
      <c r="L69" s="108" t="n">
        <v>0</v>
      </c>
      <c r="M69" s="97" t="n">
        <v>0.05720300201354567</v>
      </c>
      <c r="N69" s="93" t="n">
        <v>1969</v>
      </c>
      <c r="O69" s="93" t="n">
        <v>7104</v>
      </c>
      <c r="P69" s="93" t="n">
        <v>0</v>
      </c>
      <c r="Q69" s="93" t="n">
        <v>12</v>
      </c>
      <c r="R69" s="93" t="n">
        <v>14</v>
      </c>
      <c r="S69" s="93" t="n">
        <v>1</v>
      </c>
      <c r="T69" s="92" t="inlineStr">
        <is>
          <t xml:space="preserve">I-B         </t>
        </is>
      </c>
      <c r="U69" s="93" t="n">
        <v>398</v>
      </c>
      <c r="V69" s="710" t="n">
        <v>45325</v>
      </c>
      <c r="W69" s="710" t="n">
        <v>45000</v>
      </c>
      <c r="X69" s="712" t="inlineStr">
        <is>
          <t>2.3:1</t>
        </is>
      </c>
      <c r="Y69" s="710" t="n">
        <v>20000</v>
      </c>
      <c r="Z69" s="92" t="inlineStr">
        <is>
          <t xml:space="preserve">C </t>
        </is>
      </c>
      <c r="AA69" s="93" t="n"/>
      <c r="AB69" s="93" t="n"/>
      <c r="AC69" s="93" t="n"/>
      <c r="AD69" s="93" t="inlineStr">
        <is>
          <t xml:space="preserve">PLASTIC CREATIONS   </t>
        </is>
      </c>
      <c r="AE69" s="93" t="n"/>
      <c r="AF69" s="93" t="n"/>
      <c r="AG69" s="93" t="n"/>
      <c r="AH69" s="93" t="n"/>
      <c r="AI69" s="93" t="n"/>
      <c r="AK69" s="265" t="inlineStr">
        <is>
          <t xml:space="preserve">2010 LEASE.                                                       </t>
        </is>
      </c>
      <c r="AL69">
        <f>IF(AND(ISNUMBER($S69),$S69&gt;0,ISNUMBER($K69),ISNUMBER($J69)),($K69*$J69)/$S69,"")</f>
        <v/>
      </c>
      <c r="AM69" s="93" t="n"/>
      <c r="AN69" s="93" t="n"/>
      <c r="AO69" s="93" t="n"/>
      <c r="AP69" s="93" t="n"/>
      <c r="AQ69" s="93" t="n"/>
    </row>
    <row r="70" ht="28" customHeight="1" s="518">
      <c r="A70" s="106" t="n">
        <v>6</v>
      </c>
      <c r="B70" s="93" t="n">
        <v>65</v>
      </c>
      <c r="C70" s="93" t="inlineStr">
        <is>
          <t>2013Q</t>
        </is>
      </c>
      <c r="D70" s="93" t="inlineStr">
        <is>
          <t xml:space="preserve">01232-00-051-000 </t>
        </is>
      </c>
      <c r="E70" s="92" t="inlineStr">
        <is>
          <t>Actual</t>
        </is>
      </c>
      <c r="F70" s="93" t="inlineStr">
        <is>
          <t>4690   IRONTON              ST</t>
        </is>
      </c>
      <c r="G70" s="93" t="n">
        <v>44.2</v>
      </c>
      <c r="H70" s="93" t="n">
        <v>9102</v>
      </c>
      <c r="I70" s="92" t="n">
        <v>0</v>
      </c>
      <c r="J70" s="710" t="n">
        <v>11918</v>
      </c>
      <c r="K70" s="711" t="n">
        <v>6.217486155395201</v>
      </c>
      <c r="L70" s="108" t="n">
        <v>0</v>
      </c>
      <c r="M70" s="97" t="n">
        <v>0.3345883940620783</v>
      </c>
      <c r="N70" s="93" t="n">
        <v>1967</v>
      </c>
      <c r="O70" s="93" t="n">
        <v>442</v>
      </c>
      <c r="P70" s="93" t="n">
        <v>0</v>
      </c>
      <c r="Q70" s="93" t="n">
        <v>22</v>
      </c>
      <c r="R70" s="93" t="n">
        <v>1</v>
      </c>
      <c r="S70" s="93" t="n">
        <v>1</v>
      </c>
      <c r="T70" s="92" t="inlineStr">
        <is>
          <t xml:space="preserve">I-B         </t>
        </is>
      </c>
      <c r="U70" s="93" t="n">
        <v>398</v>
      </c>
      <c r="V70" s="710" t="n">
        <v>32585</v>
      </c>
      <c r="W70" s="710" t="n">
        <v>33000</v>
      </c>
      <c r="X70" s="712" t="inlineStr">
        <is>
          <t>2.7:1</t>
        </is>
      </c>
      <c r="Y70" s="710" t="n">
        <v>12000</v>
      </c>
      <c r="Z70" s="92" t="inlineStr">
        <is>
          <t xml:space="preserve">C </t>
        </is>
      </c>
      <c r="AA70" s="93" t="n"/>
      <c r="AB70" s="93" t="n"/>
      <c r="AC70" s="93" t="n"/>
      <c r="AD70" s="93" t="inlineStr">
        <is>
          <t xml:space="preserve">M-W                 </t>
        </is>
      </c>
      <c r="AE70" s="93" t="n"/>
      <c r="AF70" s="93" t="n"/>
      <c r="AG70" s="93" t="n"/>
      <c r="AH70" s="93" t="n"/>
      <c r="AI70" s="93" t="n"/>
      <c r="AK70" s="265" t="inlineStr">
        <is>
          <t xml:space="preserve">OWNER PAYING TOO MUCH OF EXPENSES HERE.                           </t>
        </is>
      </c>
      <c r="AL70">
        <f>IF(AND(ISNUMBER($S70),$S70&gt;0,ISNUMBER($K70),ISNUMBER($J70)),($K70*$J70)/$S70,"")</f>
        <v/>
      </c>
      <c r="AM70" s="93" t="n"/>
      <c r="AN70" s="93" t="n"/>
      <c r="AO70" s="93" t="n"/>
      <c r="AP70" s="93" t="n"/>
      <c r="AQ70" s="93" t="n"/>
    </row>
    <row r="71" ht="14" customHeight="1" s="518">
      <c r="A71" s="106" t="n">
        <v>6</v>
      </c>
      <c r="B71" s="93" t="n">
        <v>66</v>
      </c>
      <c r="C71" s="93" t="inlineStr">
        <is>
          <t>2013Q</t>
        </is>
      </c>
      <c r="D71" s="93" t="inlineStr">
        <is>
          <t xml:space="preserve">01232-03-004-000 </t>
        </is>
      </c>
      <c r="E71" s="92" t="inlineStr">
        <is>
          <t>Actual</t>
        </is>
      </c>
      <c r="F71" s="93" t="inlineStr">
        <is>
          <t>4695   KINGSTON             ST</t>
        </is>
      </c>
      <c r="G71" s="93" t="n">
        <v>44.2</v>
      </c>
      <c r="H71" s="93" t="n">
        <v>9102</v>
      </c>
      <c r="I71" s="92" t="n">
        <v>0</v>
      </c>
      <c r="J71" s="710" t="n">
        <v>10794</v>
      </c>
      <c r="K71" s="711" t="n">
        <v>5.188067444876784</v>
      </c>
      <c r="L71" s="108" t="n">
        <v>0.5</v>
      </c>
      <c r="M71" s="97" t="n">
        <v>0.125</v>
      </c>
      <c r="N71" s="93" t="n">
        <v>1985</v>
      </c>
      <c r="O71" s="93" t="n">
        <v>0</v>
      </c>
      <c r="P71" s="93" t="n">
        <v>5424</v>
      </c>
      <c r="Q71" s="93" t="n">
        <v>14</v>
      </c>
      <c r="R71" s="93" t="n">
        <v>3</v>
      </c>
      <c r="S71" s="93" t="n">
        <v>1</v>
      </c>
      <c r="T71" s="92" t="inlineStr">
        <is>
          <t xml:space="preserve">I-B         </t>
        </is>
      </c>
      <c r="U71" s="93" t="n">
        <v>398</v>
      </c>
      <c r="V71" s="710" t="n">
        <v>25300</v>
      </c>
      <c r="W71" s="710" t="n">
        <v>25000</v>
      </c>
      <c r="X71" s="712" t="inlineStr">
        <is>
          <t>2.3:1</t>
        </is>
      </c>
      <c r="Y71" s="710" t="n">
        <v>11000</v>
      </c>
      <c r="Z71" s="92" t="inlineStr">
        <is>
          <t xml:space="preserve">C </t>
        </is>
      </c>
      <c r="AA71" s="93" t="n"/>
      <c r="AB71" s="93" t="n"/>
      <c r="AC71" s="93" t="n"/>
      <c r="AD71" s="93" t="inlineStr"/>
      <c r="AE71" s="93" t="n"/>
      <c r="AF71" s="93" t="n"/>
      <c r="AG71" s="93" t="n"/>
      <c r="AH71" s="93" t="n"/>
      <c r="AI71" s="93" t="n"/>
      <c r="AK71" s="265" t="inlineStr"/>
      <c r="AL71">
        <f>IF(AND(ISNUMBER($S71),$S71&gt;0,ISNUMBER($K71),ISNUMBER($J71)),($K71*$J71)/$S71,"")</f>
        <v/>
      </c>
      <c r="AM71" s="93" t="n"/>
      <c r="AN71" s="93" t="n"/>
      <c r="AO71" s="93" t="n"/>
      <c r="AP71" s="93" t="n"/>
      <c r="AQ71" s="93" t="n"/>
    </row>
    <row r="72" ht="14" customHeight="1" s="518">
      <c r="A72" s="106" t="n">
        <v>6</v>
      </c>
      <c r="B72" s="93" t="n">
        <v>67</v>
      </c>
      <c r="C72" s="93" t="inlineStr">
        <is>
          <t>2013Q</t>
        </is>
      </c>
      <c r="D72" s="93" t="inlineStr">
        <is>
          <t xml:space="preserve">01232-03-006-000 </t>
        </is>
      </c>
      <c r="E72" s="92" t="inlineStr">
        <is>
          <t>Actual</t>
        </is>
      </c>
      <c r="F72" s="93" t="inlineStr">
        <is>
          <t>4675   KINGSTON             ST</t>
        </is>
      </c>
      <c r="G72" s="93" t="n">
        <v>44.2</v>
      </c>
      <c r="H72" s="93" t="n">
        <v>9102</v>
      </c>
      <c r="I72" s="92" t="n">
        <v>0</v>
      </c>
      <c r="J72" s="710" t="n">
        <v>22922</v>
      </c>
      <c r="K72" s="711" t="n">
        <v>4.484774452491057</v>
      </c>
      <c r="L72" s="108" t="n">
        <v>0</v>
      </c>
      <c r="M72" s="97" t="n">
        <v>0</v>
      </c>
      <c r="N72" s="93" t="n">
        <v>1985</v>
      </c>
      <c r="O72" s="93" t="n">
        <v>2168</v>
      </c>
      <c r="P72" s="93" t="n">
        <v>0</v>
      </c>
      <c r="Q72" s="93" t="n">
        <v>20</v>
      </c>
      <c r="R72" s="93" t="n">
        <v>10</v>
      </c>
      <c r="S72" s="93" t="n">
        <v>1</v>
      </c>
      <c r="T72" s="92" t="inlineStr">
        <is>
          <t xml:space="preserve">I-B         </t>
        </is>
      </c>
      <c r="U72" s="93" t="n">
        <v>398</v>
      </c>
      <c r="V72" s="710" t="n">
        <v>40700</v>
      </c>
      <c r="W72" s="710" t="n">
        <v>41000</v>
      </c>
      <c r="X72" s="712" t="inlineStr">
        <is>
          <t>1.8:1</t>
        </is>
      </c>
      <c r="Y72" s="710" t="n">
        <v>23000</v>
      </c>
      <c r="Z72" s="92" t="inlineStr">
        <is>
          <t>C+</t>
        </is>
      </c>
      <c r="AA72" s="93" t="n"/>
      <c r="AB72" s="93" t="n"/>
      <c r="AC72" s="93" t="n"/>
      <c r="AD72" s="93" t="inlineStr">
        <is>
          <t xml:space="preserve">CANDY AND PECKS     </t>
        </is>
      </c>
      <c r="AE72" s="93" t="n"/>
      <c r="AF72" s="93" t="n"/>
      <c r="AG72" s="93" t="n"/>
      <c r="AH72" s="93" t="n"/>
      <c r="AI72" s="93" t="n"/>
      <c r="AK72" s="265" t="inlineStr"/>
      <c r="AL72">
        <f>IF(AND(ISNUMBER($S72),$S72&gt;0,ISNUMBER($K72),ISNUMBER($J72)),($K72*$J72)/$S72,"")</f>
        <v/>
      </c>
      <c r="AM72" s="93" t="n"/>
      <c r="AN72" s="93" t="n"/>
      <c r="AO72" s="93" t="n"/>
      <c r="AP72" s="93" t="n"/>
      <c r="AQ72" s="93" t="n"/>
    </row>
    <row r="73" ht="14" customHeight="1" s="518">
      <c r="A73" s="106" t="n">
        <v>6</v>
      </c>
      <c r="B73" s="93" t="n">
        <v>68</v>
      </c>
      <c r="C73" s="93" t="inlineStr">
        <is>
          <t>2013Q</t>
        </is>
      </c>
      <c r="D73" s="93" t="inlineStr">
        <is>
          <t xml:space="preserve">01232-07-007-000 </t>
        </is>
      </c>
      <c r="E73" s="92" t="inlineStr">
        <is>
          <t>Actual</t>
        </is>
      </c>
      <c r="F73" s="93" t="inlineStr">
        <is>
          <t>4675   JOLIET               ST</t>
        </is>
      </c>
      <c r="G73" s="93" t="n">
        <v>44.1</v>
      </c>
      <c r="H73" s="93" t="n">
        <v>9102</v>
      </c>
      <c r="I73" s="92" t="n">
        <v>0</v>
      </c>
      <c r="J73" s="710" t="n">
        <v>14848</v>
      </c>
      <c r="K73" s="711" t="n">
        <v>5.450767780172414</v>
      </c>
      <c r="L73" s="108" t="n">
        <v>0</v>
      </c>
      <c r="M73" s="97" t="n">
        <v>0</v>
      </c>
      <c r="N73" s="93" t="n">
        <v>1969</v>
      </c>
      <c r="O73" s="93" t="n">
        <v>1239</v>
      </c>
      <c r="P73" s="93" t="n">
        <v>0</v>
      </c>
      <c r="Q73" s="93" t="n">
        <v>22</v>
      </c>
      <c r="R73" s="93" t="n">
        <v>8</v>
      </c>
      <c r="S73" s="93" t="n">
        <v>1</v>
      </c>
      <c r="T73" s="92" t="inlineStr">
        <is>
          <t xml:space="preserve">I-B         </t>
        </is>
      </c>
      <c r="U73" s="93" t="n">
        <v>398</v>
      </c>
      <c r="V73" s="710" t="n">
        <v>44000</v>
      </c>
      <c r="W73" s="710" t="n">
        <v>44000</v>
      </c>
      <c r="X73" s="712" t="inlineStr">
        <is>
          <t>3:1</t>
        </is>
      </c>
      <c r="Y73" s="710" t="n">
        <v>15000</v>
      </c>
      <c r="Z73" s="92" t="inlineStr">
        <is>
          <t xml:space="preserve">C </t>
        </is>
      </c>
      <c r="AA73" s="93" t="n"/>
      <c r="AB73" s="93" t="n"/>
      <c r="AC73" s="93" t="n"/>
      <c r="AD73" s="93" t="inlineStr">
        <is>
          <t xml:space="preserve">RED-D-ARC (AIRGAS)  </t>
        </is>
      </c>
      <c r="AE73" s="93" t="n"/>
      <c r="AF73" s="93" t="n"/>
      <c r="AG73" s="93" t="n"/>
      <c r="AH73" s="93" t="n"/>
      <c r="AI73" s="93" t="n"/>
      <c r="AK73" s="265" t="inlineStr"/>
      <c r="AL73">
        <f>IF(AND(ISNUMBER($S73),$S73&gt;0,ISNUMBER($K73),ISNUMBER($J73)),($K73*$J73)/$S73,"")</f>
        <v/>
      </c>
      <c r="AM73" s="93" t="n"/>
      <c r="AN73" s="93" t="n"/>
      <c r="AO73" s="93" t="n"/>
      <c r="AP73" s="93" t="n"/>
      <c r="AQ73" s="93" t="n"/>
    </row>
    <row r="74" ht="14" customHeight="1" s="518">
      <c r="A74" s="106" t="n">
        <v>6</v>
      </c>
      <c r="B74" s="93" t="n">
        <v>69</v>
      </c>
      <c r="C74" s="93" t="inlineStr">
        <is>
          <t>2013Q</t>
        </is>
      </c>
      <c r="D74" s="93" t="inlineStr">
        <is>
          <t xml:space="preserve">01232-10-002-000 </t>
        </is>
      </c>
      <c r="E74" s="92" t="inlineStr">
        <is>
          <t>Actual</t>
        </is>
      </c>
      <c r="F74" s="93" t="inlineStr">
        <is>
          <t>10645 E 47TH                 AV</t>
        </is>
      </c>
      <c r="G74" s="93" t="n">
        <v>44.1</v>
      </c>
      <c r="H74" s="93" t="n">
        <v>9102</v>
      </c>
      <c r="I74" s="92" t="n">
        <v>0</v>
      </c>
      <c r="J74" s="710" t="n">
        <v>10527</v>
      </c>
      <c r="K74" s="711" t="n">
        <v>6.915550489218201</v>
      </c>
      <c r="L74" s="108" t="n">
        <v>1</v>
      </c>
      <c r="M74" s="97" t="n">
        <v>0.1517994505494505</v>
      </c>
      <c r="N74" s="93" t="n">
        <v>1968</v>
      </c>
      <c r="O74" s="93" t="n">
        <v>4329</v>
      </c>
      <c r="P74" s="93" t="n">
        <v>0</v>
      </c>
      <c r="Q74" s="93" t="n">
        <v>21</v>
      </c>
      <c r="R74" s="93" t="n">
        <v>1</v>
      </c>
      <c r="S74" s="93" t="n">
        <v>1</v>
      </c>
      <c r="T74" s="92" t="inlineStr">
        <is>
          <t xml:space="preserve">I-B         </t>
        </is>
      </c>
      <c r="U74" s="93" t="n">
        <v>398</v>
      </c>
      <c r="V74" s="710" t="n">
        <v>25100</v>
      </c>
      <c r="W74" s="710" t="n">
        <v>25000</v>
      </c>
      <c r="X74" s="712" t="inlineStr">
        <is>
          <t>2.4:1</t>
        </is>
      </c>
      <c r="Y74" s="710" t="n">
        <v>11000</v>
      </c>
      <c r="Z74" s="92" t="inlineStr">
        <is>
          <t xml:space="preserve">C </t>
        </is>
      </c>
      <c r="AA74" s="93" t="n"/>
      <c r="AB74" s="93" t="n"/>
      <c r="AC74" s="93" t="n"/>
      <c r="AD74" s="93" t="inlineStr">
        <is>
          <t xml:space="preserve">INETDEALS           </t>
        </is>
      </c>
      <c r="AE74" s="93" t="n"/>
      <c r="AF74" s="93" t="n"/>
      <c r="AG74" s="93" t="n"/>
      <c r="AH74" s="93" t="n"/>
      <c r="AI74" s="93" t="n"/>
      <c r="AK74" s="265" t="inlineStr"/>
      <c r="AL74">
        <f>IF(AND(ISNUMBER($S74),$S74&gt;0,ISNUMBER($K74),ISNUMBER($J74)),($K74*$J74)/$S74,"")</f>
        <v/>
      </c>
      <c r="AM74" s="93" t="n"/>
      <c r="AN74" s="93" t="n"/>
      <c r="AO74" s="93" t="n"/>
      <c r="AP74" s="93" t="n"/>
      <c r="AQ74" s="93" t="n"/>
    </row>
    <row r="75" ht="28" customHeight="1" s="518">
      <c r="A75" s="106" t="n">
        <v>6</v>
      </c>
      <c r="B75" s="93" t="n">
        <v>70</v>
      </c>
      <c r="C75" s="93" t="inlineStr">
        <is>
          <t>2013Q</t>
        </is>
      </c>
      <c r="D75" s="93" t="inlineStr">
        <is>
          <t xml:space="preserve">01234-01-014-000 </t>
        </is>
      </c>
      <c r="E75" s="92" t="inlineStr">
        <is>
          <t>Actual</t>
        </is>
      </c>
      <c r="F75" s="93" t="inlineStr">
        <is>
          <t>3841   PARIS                ST</t>
        </is>
      </c>
      <c r="G75" s="93" t="n">
        <v>44.2</v>
      </c>
      <c r="H75" s="93" t="n">
        <v>9104</v>
      </c>
      <c r="I75" s="92" t="n">
        <v>0</v>
      </c>
      <c r="J75" s="710" t="n">
        <v>20046</v>
      </c>
      <c r="K75" s="711" t="n">
        <v>6.375336725531279</v>
      </c>
      <c r="L75" s="108" t="n">
        <v>0</v>
      </c>
      <c r="M75" s="97" t="n">
        <v>0.1098278560250391</v>
      </c>
      <c r="N75" s="93" t="n">
        <v>1978</v>
      </c>
      <c r="O75" s="93" t="n">
        <v>2278</v>
      </c>
      <c r="P75" s="93" t="n">
        <v>0</v>
      </c>
      <c r="Q75" s="93" t="n">
        <v>20</v>
      </c>
      <c r="R75" s="93" t="n">
        <v>10</v>
      </c>
      <c r="S75" s="93" t="n">
        <v>1</v>
      </c>
      <c r="T75" s="92" t="inlineStr">
        <is>
          <t xml:space="preserve">I-B         </t>
        </is>
      </c>
      <c r="U75" s="93" t="n">
        <v>398</v>
      </c>
      <c r="V75" s="710" t="n">
        <v>43000</v>
      </c>
      <c r="W75" s="710" t="n">
        <v>43000</v>
      </c>
      <c r="X75" s="712" t="inlineStr">
        <is>
          <t>2.1:1</t>
        </is>
      </c>
      <c r="Y75" s="710" t="n">
        <v>20000</v>
      </c>
      <c r="Z75" s="92" t="inlineStr">
        <is>
          <t xml:space="preserve">C </t>
        </is>
      </c>
      <c r="AA75" s="93" t="n"/>
      <c r="AB75" s="93" t="n"/>
      <c r="AC75" s="93" t="n"/>
      <c r="AD75" s="93" t="inlineStr"/>
      <c r="AE75" s="93" t="n"/>
      <c r="AF75" s="93" t="n"/>
      <c r="AG75" s="93" t="n"/>
      <c r="AH75" s="93" t="n"/>
      <c r="AI75" s="93" t="n"/>
      <c r="AK75" s="265" t="inlineStr">
        <is>
          <t xml:space="preserve">TOO HIGH A PROPORTION OF EXPENSES PICKED UP BY OWNER.             </t>
        </is>
      </c>
      <c r="AL75">
        <f>IF(AND(ISNUMBER($S75),$S75&gt;0,ISNUMBER($K75),ISNUMBER($J75)),($K75*$J75)/$S75,"")</f>
        <v/>
      </c>
      <c r="AM75" s="93" t="n"/>
      <c r="AN75" s="93" t="n"/>
      <c r="AO75" s="93" t="n"/>
      <c r="AP75" s="93" t="n"/>
      <c r="AQ75" s="93" t="n"/>
    </row>
    <row r="76" ht="14" customHeight="1" s="518">
      <c r="A76" s="106" t="n">
        <v>6</v>
      </c>
      <c r="B76" s="93" t="n">
        <v>71</v>
      </c>
      <c r="C76" s="93" t="inlineStr">
        <is>
          <t>2013Q</t>
        </is>
      </c>
      <c r="D76" s="93" t="inlineStr">
        <is>
          <t xml:space="preserve">01246-00-039-000 </t>
        </is>
      </c>
      <c r="E76" s="92" t="inlineStr">
        <is>
          <t>Actual</t>
        </is>
      </c>
      <c r="F76" s="93" t="inlineStr">
        <is>
          <t>14155 E 42ND                 AV</t>
        </is>
      </c>
      <c r="G76" s="93" t="n">
        <v>44.4</v>
      </c>
      <c r="H76" s="93" t="n">
        <v>9102</v>
      </c>
      <c r="I76" s="92" t="n">
        <v>0</v>
      </c>
      <c r="J76" s="710" t="n">
        <v>198000</v>
      </c>
      <c r="K76" s="711" t="n">
        <v>5.24</v>
      </c>
      <c r="L76" s="108" t="n">
        <v>0.21</v>
      </c>
      <c r="M76" s="97" t="n">
        <v>0.3909958362248439</v>
      </c>
      <c r="N76" s="93" t="n">
        <v>1997</v>
      </c>
      <c r="O76" s="93" t="n">
        <v>38420</v>
      </c>
      <c r="P76" s="93" t="n">
        <v>0</v>
      </c>
      <c r="Q76" s="93" t="n">
        <v>26</v>
      </c>
      <c r="R76" s="93" t="n">
        <v>14</v>
      </c>
      <c r="S76" s="93" t="n">
        <v>9</v>
      </c>
      <c r="T76" s="92" t="inlineStr">
        <is>
          <t xml:space="preserve">I-0         </t>
        </is>
      </c>
      <c r="U76" s="93" t="n">
        <v>398</v>
      </c>
      <c r="V76" s="710" t="n">
        <v>489526</v>
      </c>
      <c r="W76" s="710" t="n">
        <v>490000</v>
      </c>
      <c r="X76" s="712" t="inlineStr">
        <is>
          <t>2.5:1</t>
        </is>
      </c>
      <c r="Y76" s="710" t="n">
        <v>198000</v>
      </c>
      <c r="Z76" s="92" t="inlineStr">
        <is>
          <t xml:space="preserve">C </t>
        </is>
      </c>
      <c r="AA76" s="93" t="n"/>
      <c r="AB76" s="93" t="n"/>
      <c r="AC76" s="93" t="n"/>
      <c r="AD76" s="93" t="inlineStr">
        <is>
          <t xml:space="preserve">ACCENT WINDOWS      </t>
        </is>
      </c>
      <c r="AE76" s="93" t="n"/>
      <c r="AF76" s="93" t="n"/>
      <c r="AG76" s="93" t="n"/>
      <c r="AH76" s="93" t="n"/>
      <c r="AI76" s="93" t="n"/>
      <c r="AK76" s="265" t="inlineStr"/>
      <c r="AL76">
        <f>IF(AND(ISNUMBER($S76),$S76&gt;0,ISNUMBER($K76),ISNUMBER($J76)),($K76*$J76)/$S76,"")</f>
        <v/>
      </c>
      <c r="AM76" s="93" t="n"/>
      <c r="AN76" s="93" t="n"/>
      <c r="AO76" s="93" t="n"/>
      <c r="AP76" s="93" t="n"/>
      <c r="AQ76" s="93" t="n"/>
    </row>
    <row r="77" ht="14" customHeight="1" s="518">
      <c r="A77" s="106" t="n">
        <v>6</v>
      </c>
      <c r="B77" s="93" t="n">
        <v>72</v>
      </c>
      <c r="C77" s="93" t="inlineStr">
        <is>
          <t>2013Q</t>
        </is>
      </c>
      <c r="D77" s="93" t="inlineStr">
        <is>
          <t xml:space="preserve">01246-00-039-000 </t>
        </is>
      </c>
      <c r="E77" s="92" t="inlineStr">
        <is>
          <t>Actual</t>
        </is>
      </c>
      <c r="F77" s="93" t="inlineStr">
        <is>
          <t>14155 E 42ND                 AV</t>
        </is>
      </c>
      <c r="G77" s="93" t="n">
        <v>44.4</v>
      </c>
      <c r="H77" s="93" t="n">
        <v>9102</v>
      </c>
      <c r="I77" s="92" t="n">
        <v>0</v>
      </c>
      <c r="J77" s="710" t="n">
        <v>198000</v>
      </c>
      <c r="K77" s="711" t="n">
        <v>7.65</v>
      </c>
      <c r="L77" s="108" t="n">
        <v>0.21</v>
      </c>
      <c r="M77" s="97" t="n">
        <v>0</v>
      </c>
      <c r="N77" s="93" t="n">
        <v>1997</v>
      </c>
      <c r="O77" s="93" t="n">
        <v>38420</v>
      </c>
      <c r="P77" s="93" t="n">
        <v>0</v>
      </c>
      <c r="Q77" s="93" t="n">
        <v>26</v>
      </c>
      <c r="R77" s="93" t="n">
        <v>14</v>
      </c>
      <c r="S77" s="93" t="n">
        <v>9</v>
      </c>
      <c r="T77" s="92" t="inlineStr">
        <is>
          <t xml:space="preserve">I-0         </t>
        </is>
      </c>
      <c r="U77" s="93" t="n">
        <v>398</v>
      </c>
      <c r="V77" s="710" t="n">
        <v>489526</v>
      </c>
      <c r="W77" s="710" t="n">
        <v>490000</v>
      </c>
      <c r="X77" s="712" t="inlineStr">
        <is>
          <t>2.5:1</t>
        </is>
      </c>
      <c r="Y77" s="710" t="n">
        <v>198000</v>
      </c>
      <c r="Z77" s="92" t="inlineStr">
        <is>
          <t xml:space="preserve">C </t>
        </is>
      </c>
      <c r="AA77" s="93" t="n"/>
      <c r="AB77" s="93" t="n"/>
      <c r="AC77" s="93" t="n"/>
      <c r="AD77" s="93" t="inlineStr">
        <is>
          <t xml:space="preserve">ACCENT WINDOWS      </t>
        </is>
      </c>
      <c r="AE77" s="93" t="n"/>
      <c r="AF77" s="93" t="n"/>
      <c r="AG77" s="93" t="n"/>
      <c r="AH77" s="93" t="n"/>
      <c r="AI77" s="93" t="n"/>
      <c r="AK77" s="265" t="inlineStr">
        <is>
          <t xml:space="preserve">NNN LEASE SIGNED 2/2012 -- SOURCE: COSTAR                         </t>
        </is>
      </c>
      <c r="AL77">
        <f>IF(AND(ISNUMBER($S77),$S77&gt;0,ISNUMBER($K77),ISNUMBER($J77)),($K77*$J77)/$S77,"")</f>
        <v/>
      </c>
      <c r="AM77" s="93" t="n"/>
      <c r="AN77" s="93" t="n"/>
      <c r="AO77" s="93" t="n"/>
      <c r="AP77" s="93" t="n"/>
      <c r="AQ77" s="93" t="n"/>
    </row>
    <row r="78" ht="14" customHeight="1" s="518">
      <c r="A78" s="106" t="n">
        <v>6</v>
      </c>
      <c r="B78" s="93" t="n">
        <v>73</v>
      </c>
      <c r="C78" s="93" t="inlineStr">
        <is>
          <t>2013Q</t>
        </is>
      </c>
      <c r="D78" s="93" t="inlineStr">
        <is>
          <t xml:space="preserve">01252-00-034-000 </t>
        </is>
      </c>
      <c r="E78" s="92" t="inlineStr">
        <is>
          <t>Actual</t>
        </is>
      </c>
      <c r="F78" s="93" t="inlineStr">
        <is>
          <t>12770 E 39TH                 AV</t>
        </is>
      </c>
      <c r="G78" s="93" t="n">
        <v>44.4</v>
      </c>
      <c r="H78" s="93" t="n">
        <v>9104</v>
      </c>
      <c r="I78" s="92" t="n">
        <v>0</v>
      </c>
      <c r="J78" s="710" t="n">
        <v>121360</v>
      </c>
      <c r="K78" s="711" t="n">
        <v>3.594734673698088</v>
      </c>
      <c r="L78" s="108" t="n">
        <v>0</v>
      </c>
      <c r="M78" s="97" t="n">
        <v>0.3330766039284183</v>
      </c>
      <c r="N78" s="93" t="n">
        <v>1971</v>
      </c>
      <c r="O78" s="93" t="n">
        <v>6439</v>
      </c>
      <c r="P78" s="93" t="n">
        <v>1570</v>
      </c>
      <c r="Q78" s="93" t="n">
        <v>30</v>
      </c>
      <c r="R78" s="93" t="n">
        <v>14</v>
      </c>
      <c r="S78" s="93" t="n">
        <v>2</v>
      </c>
      <c r="T78" s="92" t="inlineStr">
        <is>
          <t xml:space="preserve">I-B         </t>
        </is>
      </c>
      <c r="U78" s="93" t="n">
        <v>398</v>
      </c>
      <c r="V78" s="710" t="n">
        <v>255000</v>
      </c>
      <c r="W78" s="710" t="n">
        <v>255000</v>
      </c>
      <c r="X78" s="712" t="inlineStr">
        <is>
          <t>2.1:1</t>
        </is>
      </c>
      <c r="Y78" s="710" t="n">
        <v>121000</v>
      </c>
      <c r="Z78" s="92" t="inlineStr">
        <is>
          <t xml:space="preserve">C </t>
        </is>
      </c>
      <c r="AA78" s="93" t="n"/>
      <c r="AB78" s="93" t="n"/>
      <c r="AC78" s="93" t="n"/>
      <c r="AD78" s="93" t="inlineStr">
        <is>
          <t xml:space="preserve">M-W UNISOURCE       </t>
        </is>
      </c>
      <c r="AE78" s="93" t="n"/>
      <c r="AF78" s="93" t="n"/>
      <c r="AG78" s="93" t="n"/>
      <c r="AH78" s="93" t="n"/>
      <c r="AI78" s="93" t="n"/>
      <c r="AK78" s="265" t="inlineStr"/>
      <c r="AL78">
        <f>IF(AND(ISNUMBER($S78),$S78&gt;0,ISNUMBER($K78),ISNUMBER($J78)),($K78*$J78)/$S78,"")</f>
        <v/>
      </c>
      <c r="AM78" s="93" t="n"/>
      <c r="AN78" s="93" t="n"/>
      <c r="AO78" s="93" t="n"/>
      <c r="AP78" s="93" t="n"/>
      <c r="AQ78" s="93" t="n"/>
    </row>
    <row r="79" ht="14" customHeight="1" s="518">
      <c r="A79" s="106" t="n">
        <v>6</v>
      </c>
      <c r="B79" s="93" t="n">
        <v>74</v>
      </c>
      <c r="C79" s="93" t="inlineStr">
        <is>
          <t>2013Q</t>
        </is>
      </c>
      <c r="D79" s="93" t="inlineStr">
        <is>
          <t xml:space="preserve">01252-00-056-000 </t>
        </is>
      </c>
      <c r="E79" s="92" t="inlineStr">
        <is>
          <t>Actual</t>
        </is>
      </c>
      <c r="F79" s="93" t="inlineStr">
        <is>
          <t>3800   QUENTIN              ST</t>
        </is>
      </c>
      <c r="G79" s="93" t="n">
        <v>44.1</v>
      </c>
      <c r="H79" s="93" t="n">
        <v>9104</v>
      </c>
      <c r="I79" s="92" t="n">
        <v>0</v>
      </c>
      <c r="J79" s="710" t="n">
        <v>25095</v>
      </c>
      <c r="K79" s="711" t="n">
        <v>16.58099222952779</v>
      </c>
      <c r="L79" s="108" t="n">
        <v>0</v>
      </c>
      <c r="M79" s="97" t="n">
        <v>0</v>
      </c>
      <c r="N79" s="93" t="n">
        <v>1990</v>
      </c>
      <c r="O79" s="93" t="n">
        <v>6866</v>
      </c>
      <c r="P79" s="93" t="n">
        <v>0</v>
      </c>
      <c r="Q79" s="93" t="n">
        <v>19</v>
      </c>
      <c r="R79" s="93" t="n">
        <v>3</v>
      </c>
      <c r="S79" s="93" t="n">
        <v>1</v>
      </c>
      <c r="T79" s="92" t="inlineStr">
        <is>
          <t xml:space="preserve">I-B         </t>
        </is>
      </c>
      <c r="U79" s="93" t="n">
        <v>398</v>
      </c>
      <c r="V79" s="710" t="n">
        <v>45240</v>
      </c>
      <c r="W79" s="710" t="n">
        <v>45000</v>
      </c>
      <c r="X79" s="712" t="inlineStr">
        <is>
          <t>1.8:1</t>
        </is>
      </c>
      <c r="Y79" s="710" t="n">
        <v>25000</v>
      </c>
      <c r="Z79" s="92" t="inlineStr">
        <is>
          <t xml:space="preserve">C </t>
        </is>
      </c>
      <c r="AA79" s="93" t="n"/>
      <c r="AB79" s="93" t="n"/>
      <c r="AC79" s="93" t="n"/>
      <c r="AD79" s="93" t="inlineStr">
        <is>
          <t xml:space="preserve">PRINTING PLANT      </t>
        </is>
      </c>
      <c r="AE79" s="93" t="n"/>
      <c r="AF79" s="93" t="n"/>
      <c r="AG79" s="93" t="n"/>
      <c r="AH79" s="93" t="n"/>
      <c r="AI79" s="93" t="n"/>
      <c r="AK79" s="265" t="inlineStr">
        <is>
          <t xml:space="preserve">2009 LEASE.                                                       </t>
        </is>
      </c>
      <c r="AL79">
        <f>IF(AND(ISNUMBER($S79),$S79&gt;0,ISNUMBER($K79),ISNUMBER($J79)),($K79*$J79)/$S79,"")</f>
        <v/>
      </c>
      <c r="AM79" s="93" t="n"/>
      <c r="AN79" s="93" t="n"/>
      <c r="AO79" s="93" t="n"/>
      <c r="AP79" s="93" t="n"/>
      <c r="AQ79" s="93" t="n"/>
    </row>
    <row r="80" ht="14" customHeight="1" s="518">
      <c r="A80" s="106" t="n">
        <v>6</v>
      </c>
      <c r="B80" s="93" t="n">
        <v>75</v>
      </c>
      <c r="C80" s="93" t="inlineStr">
        <is>
          <t>2013Q</t>
        </is>
      </c>
      <c r="D80" s="93" t="inlineStr">
        <is>
          <t xml:space="preserve">01252-00-088-000 </t>
        </is>
      </c>
      <c r="E80" s="92" t="inlineStr">
        <is>
          <t>Actual</t>
        </is>
      </c>
      <c r="F80" s="93" t="inlineStr">
        <is>
          <t>3777   QUENTIN              ST</t>
        </is>
      </c>
      <c r="G80" s="93" t="n">
        <v>44.2</v>
      </c>
      <c r="H80" s="93" t="n">
        <v>9104</v>
      </c>
      <c r="I80" s="92" t="n">
        <v>0</v>
      </c>
      <c r="J80" s="710" t="n">
        <v>12107</v>
      </c>
      <c r="K80" s="711" t="n">
        <v>5.352275543074255</v>
      </c>
      <c r="L80" s="108" t="n">
        <v>0</v>
      </c>
      <c r="M80" s="97" t="n">
        <v>0.3070833333333333</v>
      </c>
      <c r="N80" s="93" t="n">
        <v>2000</v>
      </c>
      <c r="O80" s="93" t="n">
        <v>3823</v>
      </c>
      <c r="P80" s="93" t="n">
        <v>0</v>
      </c>
      <c r="Q80" s="93" t="n">
        <v>24</v>
      </c>
      <c r="R80" s="93" t="n">
        <v>3</v>
      </c>
      <c r="S80" s="93" t="n">
        <v>5</v>
      </c>
      <c r="T80" s="92" t="inlineStr">
        <is>
          <t xml:space="preserve">I-B         </t>
        </is>
      </c>
      <c r="U80" s="93" t="n">
        <v>398</v>
      </c>
      <c r="V80" s="710" t="n">
        <v>38408</v>
      </c>
      <c r="W80" s="710" t="n">
        <v>38000</v>
      </c>
      <c r="X80" s="712" t="inlineStr">
        <is>
          <t>3.2:1</t>
        </is>
      </c>
      <c r="Y80" s="710" t="n">
        <v>12000</v>
      </c>
      <c r="Z80" s="92" t="inlineStr">
        <is>
          <t xml:space="preserve">C </t>
        </is>
      </c>
      <c r="AA80" s="93" t="n"/>
      <c r="AB80" s="93" t="n"/>
      <c r="AC80" s="93" t="n"/>
      <c r="AD80" s="93" t="inlineStr">
        <is>
          <t xml:space="preserve">M-W                 </t>
        </is>
      </c>
      <c r="AE80" s="93" t="n"/>
      <c r="AF80" s="93" t="n"/>
      <c r="AG80" s="93" t="n"/>
      <c r="AH80" s="93" t="n"/>
      <c r="AI80" s="93" t="n"/>
      <c r="AK80" s="265" t="inlineStr"/>
      <c r="AL80">
        <f>IF(AND(ISNUMBER($S80),$S80&gt;0,ISNUMBER($K80),ISNUMBER($J80)),($K80*$J80)/$S80,"")</f>
        <v/>
      </c>
      <c r="AM80" s="93" t="n"/>
      <c r="AN80" s="93" t="n"/>
      <c r="AO80" s="93" t="n"/>
      <c r="AP80" s="93" t="n"/>
      <c r="AQ80" s="93" t="n"/>
    </row>
    <row r="81" ht="14" customHeight="1" s="518">
      <c r="A81" s="106" t="n">
        <v>6</v>
      </c>
      <c r="B81" s="93" t="n">
        <v>76</v>
      </c>
      <c r="C81" s="93" t="inlineStr">
        <is>
          <t>2013Q</t>
        </is>
      </c>
      <c r="D81" s="93" t="inlineStr">
        <is>
          <t xml:space="preserve">01252-00-093-000 </t>
        </is>
      </c>
      <c r="E81" s="92" t="inlineStr">
        <is>
          <t>Actual</t>
        </is>
      </c>
      <c r="F81" s="93" t="inlineStr">
        <is>
          <t>3899   QUENTIN              ST</t>
        </is>
      </c>
      <c r="G81" s="93" t="n">
        <v>44.1</v>
      </c>
      <c r="H81" s="93" t="n">
        <v>9104</v>
      </c>
      <c r="I81" s="92" t="n">
        <v>0</v>
      </c>
      <c r="J81" s="710" t="n">
        <v>8018</v>
      </c>
      <c r="K81" s="711" t="n">
        <v>11.22474432526815</v>
      </c>
      <c r="L81" s="108" t="n">
        <v>0</v>
      </c>
      <c r="M81" s="97" t="n">
        <v>0.01555555555555556</v>
      </c>
      <c r="N81" s="93" t="n">
        <v>2004</v>
      </c>
      <c r="O81" s="93" t="n">
        <v>1337</v>
      </c>
      <c r="P81" s="93" t="n">
        <v>0</v>
      </c>
      <c r="Q81" s="93" t="n">
        <v>19</v>
      </c>
      <c r="R81" s="93" t="n">
        <v>3</v>
      </c>
      <c r="S81" s="93" t="n">
        <v>1</v>
      </c>
      <c r="T81" s="92" t="inlineStr">
        <is>
          <t xml:space="preserve">I-B         </t>
        </is>
      </c>
      <c r="U81" s="93" t="n">
        <v>398</v>
      </c>
      <c r="V81" s="710" t="n">
        <v>23918</v>
      </c>
      <c r="W81" s="710" t="n">
        <v>24000</v>
      </c>
      <c r="X81" s="712" t="inlineStr">
        <is>
          <t>3:1</t>
        </is>
      </c>
      <c r="Y81" s="710" t="n">
        <v>8000</v>
      </c>
      <c r="Z81" s="92" t="inlineStr">
        <is>
          <t xml:space="preserve">C </t>
        </is>
      </c>
      <c r="AA81" s="93" t="n"/>
      <c r="AB81" s="93" t="n"/>
      <c r="AC81" s="93" t="n"/>
      <c r="AD81" s="93" t="inlineStr"/>
      <c r="AE81" s="93" t="n"/>
      <c r="AF81" s="93" t="n"/>
      <c r="AG81" s="93" t="n"/>
      <c r="AH81" s="93" t="n"/>
      <c r="AI81" s="93" t="n"/>
      <c r="AK81" s="265" t="inlineStr">
        <is>
          <t xml:space="preserve">2010 LEASE.                                                       </t>
        </is>
      </c>
      <c r="AL81">
        <f>IF(AND(ISNUMBER($S81),$S81&gt;0,ISNUMBER($K81),ISNUMBER($J81)),($K81*$J81)/$S81,"")</f>
        <v/>
      </c>
      <c r="AM81" s="93" t="n"/>
      <c r="AN81" s="93" t="n"/>
      <c r="AO81" s="93" t="n"/>
      <c r="AP81" s="93" t="n"/>
      <c r="AQ81" s="93" t="n"/>
    </row>
    <row r="82" ht="28" customHeight="1" s="518">
      <c r="A82" s="106" t="n">
        <v>6</v>
      </c>
      <c r="B82" s="93" t="n">
        <v>77</v>
      </c>
      <c r="C82" s="93" t="inlineStr">
        <is>
          <t>2013Q</t>
        </is>
      </c>
      <c r="D82" s="93" t="inlineStr">
        <is>
          <t xml:space="preserve">01252-00-095-000 </t>
        </is>
      </c>
      <c r="E82" s="92" t="inlineStr">
        <is>
          <t>Actual</t>
        </is>
      </c>
      <c r="F82" s="93" t="inlineStr">
        <is>
          <t>3751   REVERE               ST</t>
        </is>
      </c>
      <c r="G82" s="93" t="n">
        <v>44.1</v>
      </c>
      <c r="H82" s="93" t="n">
        <v>9104</v>
      </c>
      <c r="I82" s="92" t="n">
        <v>0</v>
      </c>
      <c r="J82" s="710" t="n">
        <v>54662</v>
      </c>
      <c r="K82" s="711" t="n">
        <v>5.047016208700743</v>
      </c>
      <c r="L82" s="108" t="n">
        <v>0</v>
      </c>
      <c r="M82" s="97" t="n">
        <v>0.146958822676526</v>
      </c>
      <c r="N82" s="93" t="n">
        <v>1980</v>
      </c>
      <c r="O82" s="93" t="n">
        <v>3736</v>
      </c>
      <c r="P82" s="93" t="n">
        <v>0</v>
      </c>
      <c r="Q82" s="93" t="n">
        <v>27</v>
      </c>
      <c r="R82" s="93" t="n">
        <v>14</v>
      </c>
      <c r="S82" s="93" t="n">
        <v>1</v>
      </c>
      <c r="T82" s="92" t="inlineStr">
        <is>
          <t xml:space="preserve">I-B         </t>
        </is>
      </c>
      <c r="U82" s="93" t="n">
        <v>398</v>
      </c>
      <c r="V82" s="710" t="n">
        <v>99319</v>
      </c>
      <c r="W82" s="710" t="n">
        <v>99000</v>
      </c>
      <c r="X82" s="712" t="inlineStr">
        <is>
          <t>1.8:1</t>
        </is>
      </c>
      <c r="Y82" s="710" t="n">
        <v>55000</v>
      </c>
      <c r="Z82" s="92" t="inlineStr">
        <is>
          <t xml:space="preserve">C </t>
        </is>
      </c>
      <c r="AA82" s="93" t="n"/>
      <c r="AB82" s="93" t="n"/>
      <c r="AC82" s="93" t="n"/>
      <c r="AD82" s="93" t="inlineStr">
        <is>
          <t xml:space="preserve">CONLEY              </t>
        </is>
      </c>
      <c r="AE82" s="93" t="n"/>
      <c r="AF82" s="93" t="n"/>
      <c r="AG82" s="93" t="n"/>
      <c r="AH82" s="93" t="n"/>
      <c r="AI82" s="93" t="n"/>
      <c r="AK82" s="265" t="inlineStr">
        <is>
          <t xml:space="preserve">OWNER PAY TOO LARGE A SHARE OF EXPENSES.                          </t>
        </is>
      </c>
      <c r="AL82">
        <f>IF(AND(ISNUMBER($S82),$S82&gt;0,ISNUMBER($K82),ISNUMBER($J82)),($K82*$J82)/$S82,"")</f>
        <v/>
      </c>
      <c r="AM82" s="93" t="n"/>
      <c r="AN82" s="93" t="n"/>
      <c r="AO82" s="93" t="n"/>
      <c r="AP82" s="93" t="n"/>
      <c r="AQ82" s="93" t="n"/>
    </row>
    <row r="83" ht="14" customHeight="1" s="518">
      <c r="A83" s="106" t="n">
        <v>6</v>
      </c>
      <c r="B83" s="93" t="n">
        <v>78</v>
      </c>
      <c r="C83" s="93" t="inlineStr">
        <is>
          <t>2013Q</t>
        </is>
      </c>
      <c r="D83" s="93" t="inlineStr">
        <is>
          <t xml:space="preserve">01252-04-001-000 </t>
        </is>
      </c>
      <c r="E83" s="92" t="inlineStr">
        <is>
          <t>Actual</t>
        </is>
      </c>
      <c r="F83" s="93" t="inlineStr">
        <is>
          <t>12585 E 39TH                 AV</t>
        </is>
      </c>
      <c r="G83" s="93" t="n">
        <v>44.2</v>
      </c>
      <c r="H83" s="93" t="n">
        <v>9104</v>
      </c>
      <c r="I83" s="92" t="n">
        <v>0</v>
      </c>
      <c r="J83" s="710" t="n">
        <v>9216</v>
      </c>
      <c r="K83" s="711" t="n">
        <v>6.525056095736724</v>
      </c>
      <c r="L83" s="108" t="n">
        <v>0.57</v>
      </c>
      <c r="M83" s="97" t="n">
        <v>0</v>
      </c>
      <c r="N83" s="93" t="n">
        <v>1978</v>
      </c>
      <c r="O83" s="93" t="n">
        <v>2320</v>
      </c>
      <c r="P83" s="93" t="n">
        <v>0</v>
      </c>
      <c r="Q83" s="93" t="n">
        <v>16</v>
      </c>
      <c r="R83" s="93" t="n">
        <v>14</v>
      </c>
      <c r="S83" s="93" t="n">
        <v>1</v>
      </c>
      <c r="T83" s="92" t="inlineStr">
        <is>
          <t xml:space="preserve">I-B         </t>
        </is>
      </c>
      <c r="U83" s="93" t="n">
        <v>398</v>
      </c>
      <c r="V83" s="710" t="n">
        <v>40511</v>
      </c>
      <c r="W83" s="710" t="n">
        <v>41000</v>
      </c>
      <c r="X83" s="712" t="inlineStr">
        <is>
          <t>4.4:1</t>
        </is>
      </c>
      <c r="Y83" s="710" t="n">
        <v>9000</v>
      </c>
      <c r="Z83" s="92" t="inlineStr">
        <is>
          <t xml:space="preserve">C </t>
        </is>
      </c>
      <c r="AA83" s="93" t="n"/>
      <c r="AB83" s="93" t="n"/>
      <c r="AC83" s="93" t="n"/>
      <c r="AD83" s="93" t="inlineStr"/>
      <c r="AE83" s="93" t="n"/>
      <c r="AF83" s="93" t="n"/>
      <c r="AG83" s="93" t="n"/>
      <c r="AH83" s="93" t="n"/>
      <c r="AI83" s="93" t="n"/>
      <c r="AK83" s="265" t="inlineStr">
        <is>
          <t xml:space="preserve">CAN'T ALLOCATE EXPENSES.                                          </t>
        </is>
      </c>
      <c r="AL83">
        <f>IF(AND(ISNUMBER($S83),$S83&gt;0,ISNUMBER($K83),ISNUMBER($J83)),($K83*$J83)/$S83,"")</f>
        <v/>
      </c>
      <c r="AM83" s="93" t="n"/>
      <c r="AN83" s="93" t="n"/>
      <c r="AO83" s="93" t="n"/>
      <c r="AP83" s="93" t="n"/>
      <c r="AQ83" s="93" t="n"/>
    </row>
    <row r="84" ht="14" customHeight="1" s="518">
      <c r="A84" s="106" t="n">
        <v>6</v>
      </c>
      <c r="B84" s="93" t="n">
        <v>79</v>
      </c>
      <c r="C84" s="93" t="inlineStr">
        <is>
          <t>2013Q</t>
        </is>
      </c>
      <c r="D84" s="93" t="inlineStr">
        <is>
          <t xml:space="preserve">01314-32-011-000 </t>
        </is>
      </c>
      <c r="E84" s="92" t="inlineStr">
        <is>
          <t>Actual</t>
        </is>
      </c>
      <c r="F84" s="93" t="inlineStr">
        <is>
          <t>1520   FILBERT              CT</t>
        </is>
      </c>
      <c r="G84" s="93" t="n">
        <v>44.1</v>
      </c>
      <c r="H84" s="93" t="n">
        <v>9101</v>
      </c>
      <c r="I84" s="92" t="n">
        <v>0</v>
      </c>
      <c r="J84" s="710" t="n">
        <v>5495</v>
      </c>
      <c r="K84" s="711" t="n">
        <v>4.660054595086442</v>
      </c>
      <c r="L84" s="108" t="n">
        <v>0</v>
      </c>
      <c r="M84" s="97" t="n">
        <v>0</v>
      </c>
      <c r="N84" s="93" t="n">
        <v>1946</v>
      </c>
      <c r="O84" s="93" t="n">
        <v>4847</v>
      </c>
      <c r="P84" s="93" t="n">
        <v>0</v>
      </c>
      <c r="Q84" s="93" t="n">
        <v>13</v>
      </c>
      <c r="R84" s="93" t="n">
        <v>1</v>
      </c>
      <c r="S84" s="93" t="n">
        <v>1</v>
      </c>
      <c r="T84" s="92" t="inlineStr">
        <is>
          <t xml:space="preserve">U-MS-3      </t>
        </is>
      </c>
      <c r="U84" s="93" t="n">
        <v>398</v>
      </c>
      <c r="V84" s="710" t="n">
        <v>6500</v>
      </c>
      <c r="W84" s="710" t="n">
        <v>7000</v>
      </c>
      <c r="X84" s="712" t="inlineStr">
        <is>
          <t>1.2:1</t>
        </is>
      </c>
      <c r="Y84" s="710" t="n">
        <v>5000</v>
      </c>
      <c r="Z84" s="92" t="inlineStr">
        <is>
          <t xml:space="preserve">C </t>
        </is>
      </c>
      <c r="AA84" s="93" t="n"/>
      <c r="AB84" s="93" t="n"/>
      <c r="AC84" s="93" t="n"/>
      <c r="AD84" s="93" t="inlineStr"/>
      <c r="AE84" s="93" t="n"/>
      <c r="AF84" s="93" t="n"/>
      <c r="AG84" s="93" t="n"/>
      <c r="AH84" s="93" t="n"/>
      <c r="AI84" s="93" t="n"/>
      <c r="AK84" s="265" t="inlineStr">
        <is>
          <t xml:space="preserve">MO-TO-MO LEASE.                                                   </t>
        </is>
      </c>
      <c r="AL84">
        <f>IF(AND(ISNUMBER($S84),$S84&gt;0,ISNUMBER($K84),ISNUMBER($J84)),($K84*$J84)/$S84,"")</f>
        <v/>
      </c>
      <c r="AM84" s="93" t="n"/>
      <c r="AN84" s="93" t="n"/>
      <c r="AO84" s="93" t="n"/>
      <c r="AP84" s="93" t="n"/>
      <c r="AQ84" s="93" t="n"/>
    </row>
    <row r="85" ht="14" customHeight="1" s="518">
      <c r="A85" s="106" t="n">
        <v>6</v>
      </c>
      <c r="B85" s="93" t="n">
        <v>80</v>
      </c>
      <c r="C85" s="93" t="inlineStr">
        <is>
          <t>2013Q</t>
        </is>
      </c>
      <c r="D85" s="93" t="inlineStr">
        <is>
          <t xml:space="preserve">02131-02-012-000 </t>
        </is>
      </c>
      <c r="E85" s="92" t="inlineStr">
        <is>
          <t>Actual</t>
        </is>
      </c>
      <c r="F85" s="93" t="inlineStr">
        <is>
          <t>5300   JACKSON              ST</t>
        </is>
      </c>
      <c r="G85" s="93" t="n">
        <v>44.1</v>
      </c>
      <c r="H85" s="93" t="n">
        <v>9201</v>
      </c>
      <c r="I85" s="92" t="n">
        <v>0</v>
      </c>
      <c r="J85" s="710" t="n">
        <v>4066</v>
      </c>
      <c r="K85" s="711" t="n">
        <v>3.9</v>
      </c>
      <c r="L85" s="108" t="n">
        <v>0</v>
      </c>
      <c r="M85" s="97" t="n">
        <v>0</v>
      </c>
      <c r="N85" s="93" t="n">
        <v>1985</v>
      </c>
      <c r="O85" s="93" t="n">
        <v>0</v>
      </c>
      <c r="P85" s="93" t="n">
        <v>0</v>
      </c>
      <c r="Q85" s="93" t="n">
        <v>16</v>
      </c>
      <c r="R85" s="93" t="n">
        <v>7</v>
      </c>
      <c r="S85" s="93" t="n">
        <v>1</v>
      </c>
      <c r="T85" s="92" t="inlineStr">
        <is>
          <t xml:space="preserve">I-A         </t>
        </is>
      </c>
      <c r="U85" s="93" t="n">
        <v>398</v>
      </c>
      <c r="V85" s="710" t="n">
        <v>13211</v>
      </c>
      <c r="W85" s="710" t="n">
        <v>13000</v>
      </c>
      <c r="X85" s="712" t="inlineStr">
        <is>
          <t>3.2:1</t>
        </is>
      </c>
      <c r="Y85" s="710" t="n">
        <v>4000</v>
      </c>
      <c r="Z85" s="92" t="inlineStr">
        <is>
          <t xml:space="preserve">C </t>
        </is>
      </c>
      <c r="AA85" s="93" t="n"/>
      <c r="AB85" s="93" t="n"/>
      <c r="AC85" s="93" t="n"/>
      <c r="AD85" s="93" t="inlineStr">
        <is>
          <t xml:space="preserve">S-W                 </t>
        </is>
      </c>
      <c r="AE85" s="93" t="n"/>
      <c r="AF85" s="93" t="n"/>
      <c r="AG85" s="93" t="n"/>
      <c r="AH85" s="93" t="n"/>
      <c r="AI85" s="93" t="n"/>
      <c r="AK85" s="265" t="inlineStr">
        <is>
          <t xml:space="preserve">MO-TO-MO LEASE.                                                   </t>
        </is>
      </c>
      <c r="AL85">
        <f>IF(AND(ISNUMBER($S85),$S85&gt;0,ISNUMBER($K85),ISNUMBER($J85)),($K85*$J85)/$S85,"")</f>
        <v/>
      </c>
      <c r="AM85" s="93" t="n"/>
      <c r="AN85" s="93" t="n"/>
      <c r="AO85" s="93" t="n"/>
      <c r="AP85" s="93" t="n"/>
      <c r="AQ85" s="93" t="n"/>
    </row>
    <row r="86" ht="28" customHeight="1" s="518">
      <c r="A86" s="106" t="n">
        <v>6</v>
      </c>
      <c r="B86" s="93" t="n">
        <v>81</v>
      </c>
      <c r="C86" s="93" t="inlineStr">
        <is>
          <t>2013Q</t>
        </is>
      </c>
      <c r="D86" s="93" t="inlineStr">
        <is>
          <t xml:space="preserve">02131-02-014-000 </t>
        </is>
      </c>
      <c r="E86" s="92" t="inlineStr">
        <is>
          <t>Actual</t>
        </is>
      </c>
      <c r="F86" s="93" t="inlineStr">
        <is>
          <t>5335   HARRISON             ST</t>
        </is>
      </c>
      <c r="G86" s="93" t="n">
        <v>44.1</v>
      </c>
      <c r="H86" s="93" t="n">
        <v>9201</v>
      </c>
      <c r="I86" s="92" t="n">
        <v>0</v>
      </c>
      <c r="J86" s="710" t="n">
        <v>7272</v>
      </c>
      <c r="K86" s="711" t="n">
        <v>3.45</v>
      </c>
      <c r="L86" s="108" t="n">
        <v>0</v>
      </c>
      <c r="M86" s="97" t="n">
        <v>0</v>
      </c>
      <c r="N86" s="93" t="n">
        <v>1959</v>
      </c>
      <c r="O86" s="93" t="n">
        <v>2304</v>
      </c>
      <c r="P86" s="93" t="n">
        <v>0</v>
      </c>
      <c r="Q86" s="93" t="n">
        <v>10</v>
      </c>
      <c r="R86" s="93" t="n">
        <v>7</v>
      </c>
      <c r="S86" s="93" t="n">
        <v>1</v>
      </c>
      <c r="T86" s="92" t="inlineStr">
        <is>
          <t xml:space="preserve">I-A         </t>
        </is>
      </c>
      <c r="U86" s="93" t="n">
        <v>398</v>
      </c>
      <c r="V86" s="710" t="n">
        <v>53111</v>
      </c>
      <c r="W86" s="710" t="n">
        <v>53000</v>
      </c>
      <c r="X86" s="712" t="inlineStr">
        <is>
          <t>7.3:1</t>
        </is>
      </c>
      <c r="Y86" s="710" t="n">
        <v>7000</v>
      </c>
      <c r="Z86" s="92" t="inlineStr">
        <is>
          <t xml:space="preserve">C </t>
        </is>
      </c>
      <c r="AA86" s="93" t="n"/>
      <c r="AB86" s="93" t="n"/>
      <c r="AC86" s="93" t="n"/>
      <c r="AD86" s="93" t="inlineStr">
        <is>
          <t xml:space="preserve">DIST/SINGLE TENANT  </t>
        </is>
      </c>
      <c r="AE86" s="93" t="n"/>
      <c r="AF86" s="93" t="n"/>
      <c r="AG86" s="93" t="n"/>
      <c r="AH86" s="93" t="n"/>
      <c r="AI86" s="93" t="n"/>
      <c r="AK86" s="265" t="inlineStr">
        <is>
          <t xml:space="preserve">MO-TO-MO LEASE; CAN'T ALLOCATE EXPENSES BETWEEN O &amp; T.            </t>
        </is>
      </c>
      <c r="AL86">
        <f>IF(AND(ISNUMBER($S86),$S86&gt;0,ISNUMBER($K86),ISNUMBER($J86)),($K86*$J86)/$S86,"")</f>
        <v/>
      </c>
      <c r="AM86" s="93" t="n"/>
      <c r="AN86" s="93" t="n"/>
      <c r="AO86" s="93" t="n"/>
      <c r="AP86" s="93" t="n"/>
      <c r="AQ86" s="93" t="n"/>
    </row>
    <row r="87" ht="14" customHeight="1" s="518">
      <c r="A87" s="106" t="n">
        <v>6</v>
      </c>
      <c r="B87" s="93" t="n">
        <v>82</v>
      </c>
      <c r="C87" s="93" t="inlineStr">
        <is>
          <t>2013Q</t>
        </is>
      </c>
      <c r="D87" s="93" t="inlineStr">
        <is>
          <t xml:space="preserve">02131-04-003-000 </t>
        </is>
      </c>
      <c r="E87" s="92" t="inlineStr">
        <is>
          <t>Actual</t>
        </is>
      </c>
      <c r="F87" s="93" t="inlineStr">
        <is>
          <t>5300   MONROE               ST</t>
        </is>
      </c>
      <c r="G87" s="93" t="n">
        <v>44.1</v>
      </c>
      <c r="H87" s="93" t="n">
        <v>9201</v>
      </c>
      <c r="I87" s="92" t="n">
        <v>0</v>
      </c>
      <c r="J87" s="710" t="n">
        <v>15699</v>
      </c>
      <c r="K87" s="711" t="n">
        <v>4.586279380852283</v>
      </c>
      <c r="L87" s="108" t="n">
        <v>0</v>
      </c>
      <c r="M87" s="97" t="n">
        <v>0</v>
      </c>
      <c r="N87" s="93" t="n">
        <v>1964</v>
      </c>
      <c r="O87" s="93" t="n">
        <v>778</v>
      </c>
      <c r="P87" s="93" t="n">
        <v>0</v>
      </c>
      <c r="Q87" s="93" t="n">
        <v>17</v>
      </c>
      <c r="R87" s="93" t="n">
        <v>3</v>
      </c>
      <c r="S87" s="93" t="n">
        <v>1</v>
      </c>
      <c r="T87" s="92" t="inlineStr">
        <is>
          <t xml:space="preserve">I-A         </t>
        </is>
      </c>
      <c r="U87" s="93" t="n">
        <v>398</v>
      </c>
      <c r="V87" s="710" t="n">
        <v>25000</v>
      </c>
      <c r="W87" s="710" t="n">
        <v>25000</v>
      </c>
      <c r="X87" s="712" t="inlineStr">
        <is>
          <t>1.6:1</t>
        </is>
      </c>
      <c r="Y87" s="710" t="n">
        <v>16000</v>
      </c>
      <c r="Z87" s="92" t="inlineStr">
        <is>
          <t xml:space="preserve">C </t>
        </is>
      </c>
      <c r="AA87" s="93" t="n"/>
      <c r="AB87" s="93" t="n"/>
      <c r="AC87" s="93" t="n"/>
      <c r="AD87" s="93" t="inlineStr"/>
      <c r="AE87" s="93" t="n"/>
      <c r="AF87" s="93" t="n"/>
      <c r="AG87" s="93" t="n"/>
      <c r="AH87" s="93" t="n"/>
      <c r="AI87" s="93" t="n"/>
      <c r="AK87" s="265" t="inlineStr"/>
      <c r="AL87">
        <f>IF(AND(ISNUMBER($S87),$S87&gt;0,ISNUMBER($K87),ISNUMBER($J87)),($K87*$J87)/$S87,"")</f>
        <v/>
      </c>
      <c r="AM87" s="93" t="n"/>
      <c r="AN87" s="93" t="n"/>
      <c r="AO87" s="93" t="n"/>
      <c r="AP87" s="93" t="n"/>
      <c r="AQ87" s="93" t="n"/>
    </row>
    <row r="88" ht="28" customHeight="1" s="518">
      <c r="A88" s="106" t="n">
        <v>6</v>
      </c>
      <c r="B88" s="93" t="n">
        <v>83</v>
      </c>
      <c r="C88" s="93" t="inlineStr">
        <is>
          <t>2013Q</t>
        </is>
      </c>
      <c r="D88" s="93" t="inlineStr">
        <is>
          <t xml:space="preserve">02131-08-020-000 </t>
        </is>
      </c>
      <c r="E88" s="92" t="inlineStr">
        <is>
          <t>Actual</t>
        </is>
      </c>
      <c r="F88" s="93" t="inlineStr">
        <is>
          <t>3333 E 52ND                 AV</t>
        </is>
      </c>
      <c r="G88" s="93" t="n">
        <v>44.1</v>
      </c>
      <c r="H88" s="93" t="n">
        <v>9201</v>
      </c>
      <c r="I88" s="92" t="n">
        <v>0</v>
      </c>
      <c r="J88" s="710" t="n">
        <v>37440</v>
      </c>
      <c r="K88" s="711" t="n">
        <v>6.185897435897436</v>
      </c>
      <c r="L88" s="108" t="n">
        <v>0</v>
      </c>
      <c r="M88" s="97" t="n">
        <v>0</v>
      </c>
      <c r="N88" s="93" t="n">
        <v>1970</v>
      </c>
      <c r="O88" s="93" t="n">
        <v>8400</v>
      </c>
      <c r="P88" s="93" t="n">
        <v>0</v>
      </c>
      <c r="Q88" s="93" t="n">
        <v>15</v>
      </c>
      <c r="R88" s="93" t="n">
        <v>7</v>
      </c>
      <c r="S88" s="93" t="n">
        <v>1</v>
      </c>
      <c r="T88" s="92" t="inlineStr">
        <is>
          <t xml:space="preserve">I-A         </t>
        </is>
      </c>
      <c r="U88" s="93" t="n">
        <v>398</v>
      </c>
      <c r="V88" s="710" t="n">
        <v>81300</v>
      </c>
      <c r="W88" s="710" t="n">
        <v>81000</v>
      </c>
      <c r="X88" s="712" t="inlineStr">
        <is>
          <t>2.2:1</t>
        </is>
      </c>
      <c r="Y88" s="710" t="n">
        <v>37000</v>
      </c>
      <c r="Z88" s="92" t="inlineStr">
        <is>
          <t xml:space="preserve">C </t>
        </is>
      </c>
      <c r="AA88" s="93" t="n"/>
      <c r="AB88" s="93" t="n"/>
      <c r="AC88" s="93" t="n"/>
      <c r="AD88" s="93" t="inlineStr">
        <is>
          <t xml:space="preserve">COLORADO DOORWAYS   </t>
        </is>
      </c>
      <c r="AE88" s="93" t="n"/>
      <c r="AF88" s="93" t="n"/>
      <c r="AG88" s="93" t="n"/>
      <c r="AH88" s="93" t="n"/>
      <c r="AI88" s="93" t="n"/>
      <c r="AK88" s="265" t="inlineStr">
        <is>
          <t xml:space="preserve">2009 LEASE; PARCEL 02131-08-021 INCLUDED IN LEASE.                </t>
        </is>
      </c>
      <c r="AL88">
        <f>IF(AND(ISNUMBER($S88),$S88&gt;0,ISNUMBER($K88),ISNUMBER($J88)),($K88*$J88)/$S88,"")</f>
        <v/>
      </c>
      <c r="AM88" s="93" t="n"/>
      <c r="AN88" s="93" t="n"/>
      <c r="AO88" s="93" t="n"/>
      <c r="AP88" s="93" t="n"/>
      <c r="AQ88" s="93" t="n"/>
    </row>
    <row r="89" ht="28" customHeight="1" s="518">
      <c r="A89" s="106" t="n">
        <v>6</v>
      </c>
      <c r="B89" s="93" t="n">
        <v>84</v>
      </c>
      <c r="C89" s="93" t="inlineStr">
        <is>
          <t>2013Q</t>
        </is>
      </c>
      <c r="D89" s="93" t="inlineStr">
        <is>
          <t xml:space="preserve">02132-00-039-000 </t>
        </is>
      </c>
      <c r="E89" s="92" t="inlineStr">
        <is>
          <t>Actual</t>
        </is>
      </c>
      <c r="F89" s="93" t="inlineStr">
        <is>
          <t>3055 E 52ND                 AV</t>
        </is>
      </c>
      <c r="G89" s="93" t="n">
        <v>44.2</v>
      </c>
      <c r="H89" s="93" t="n">
        <v>9201</v>
      </c>
      <c r="I89" s="92" t="n">
        <v>0</v>
      </c>
      <c r="J89" s="710" t="n">
        <v>24250</v>
      </c>
      <c r="K89" s="711" t="n">
        <v>3.562886597938145</v>
      </c>
      <c r="L89" s="108" t="n">
        <v>0</v>
      </c>
      <c r="M89" s="97" t="n">
        <v>0</v>
      </c>
      <c r="N89" s="93" t="n">
        <v>1963</v>
      </c>
      <c r="O89" s="93" t="n">
        <v>2784</v>
      </c>
      <c r="P89" s="93" t="n">
        <v>0</v>
      </c>
      <c r="Q89" s="93" t="n">
        <v>14</v>
      </c>
      <c r="R89" s="93" t="n">
        <v>3</v>
      </c>
      <c r="S89" s="93" t="n">
        <v>5</v>
      </c>
      <c r="T89" s="92" t="inlineStr">
        <is>
          <t xml:space="preserve">I-A         </t>
        </is>
      </c>
      <c r="U89" s="93" t="n">
        <v>398</v>
      </c>
      <c r="V89" s="710" t="n">
        <v>58000</v>
      </c>
      <c r="W89" s="710" t="n">
        <v>58000</v>
      </c>
      <c r="X89" s="712" t="inlineStr">
        <is>
          <t>2.4:1</t>
        </is>
      </c>
      <c r="Y89" s="710" t="n">
        <v>24000</v>
      </c>
      <c r="Z89" s="92" t="inlineStr">
        <is>
          <t xml:space="preserve">C </t>
        </is>
      </c>
      <c r="AA89" s="93" t="n"/>
      <c r="AB89" s="93" t="n"/>
      <c r="AC89" s="93" t="n"/>
      <c r="AD89" s="93" t="inlineStr">
        <is>
          <t xml:space="preserve">DIST/STRGE WHSE     </t>
        </is>
      </c>
      <c r="AE89" s="93" t="n"/>
      <c r="AF89" s="93" t="n"/>
      <c r="AG89" s="93" t="n"/>
      <c r="AH89" s="93" t="n"/>
      <c r="AI89" s="93" t="n"/>
      <c r="AK89" s="265" t="inlineStr">
        <is>
          <t xml:space="preserve">EXP NOT ENTERED - OWNER BEAR WAY TOO MUCH OF EXPENSES.            </t>
        </is>
      </c>
      <c r="AL89">
        <f>IF(AND(ISNUMBER($S89),$S89&gt;0,ISNUMBER($K89),ISNUMBER($J89)),($K89*$J89)/$S89,"")</f>
        <v/>
      </c>
      <c r="AM89" s="93" t="n"/>
      <c r="AN89" s="93" t="n"/>
      <c r="AO89" s="93" t="n"/>
      <c r="AP89" s="93" t="n"/>
      <c r="AQ89" s="93" t="n"/>
    </row>
    <row r="90" ht="14" customHeight="1" s="518">
      <c r="A90" s="106" t="n">
        <v>6</v>
      </c>
      <c r="B90" s="93" t="n">
        <v>85</v>
      </c>
      <c r="C90" s="93" t="inlineStr">
        <is>
          <t>2013Q</t>
        </is>
      </c>
      <c r="D90" s="93" t="inlineStr">
        <is>
          <t xml:space="preserve">02134-00-158-000 </t>
        </is>
      </c>
      <c r="E90" s="92" t="inlineStr">
        <is>
          <t>Actual</t>
        </is>
      </c>
      <c r="F90" s="93" t="inlineStr">
        <is>
          <t>5105   COOK                 ST</t>
        </is>
      </c>
      <c r="G90" s="93" t="n">
        <v>44.1</v>
      </c>
      <c r="H90" s="93" t="n">
        <v>9201</v>
      </c>
      <c r="I90" s="92" t="n">
        <v>0</v>
      </c>
      <c r="J90" s="710" t="n">
        <v>29787</v>
      </c>
      <c r="K90" s="711" t="n">
        <v>5.237184006445765</v>
      </c>
      <c r="L90" s="108" t="n">
        <v>0</v>
      </c>
      <c r="M90" s="97" t="n">
        <v>0</v>
      </c>
      <c r="N90" s="93" t="n">
        <v>1983</v>
      </c>
      <c r="O90" s="93" t="n">
        <v>1063</v>
      </c>
      <c r="P90" s="93" t="n">
        <v>0</v>
      </c>
      <c r="Q90" s="93" t="n">
        <v>18</v>
      </c>
      <c r="R90" s="93" t="n">
        <v>10</v>
      </c>
      <c r="S90" s="93" t="n">
        <v>1</v>
      </c>
      <c r="T90" s="92" t="inlineStr">
        <is>
          <t xml:space="preserve">I-A         </t>
        </is>
      </c>
      <c r="U90" s="93" t="n">
        <v>398</v>
      </c>
      <c r="V90" s="710" t="n">
        <v>130639</v>
      </c>
      <c r="W90" s="710" t="n">
        <v>131000</v>
      </c>
      <c r="X90" s="712" t="inlineStr">
        <is>
          <t>4.4:1</t>
        </is>
      </c>
      <c r="Y90" s="710" t="n">
        <v>30000</v>
      </c>
      <c r="Z90" s="92" t="inlineStr">
        <is>
          <t xml:space="preserve">C </t>
        </is>
      </c>
      <c r="AA90" s="93" t="n"/>
      <c r="AB90" s="93" t="n"/>
      <c r="AC90" s="93" t="n"/>
      <c r="AD90" s="93" t="inlineStr">
        <is>
          <t xml:space="preserve">SAMS PRODUCE        </t>
        </is>
      </c>
      <c r="AE90" s="93" t="n"/>
      <c r="AF90" s="93" t="n"/>
      <c r="AG90" s="93" t="n"/>
      <c r="AH90" s="93" t="n"/>
      <c r="AI90" s="93" t="n"/>
      <c r="AK90" s="265" t="inlineStr">
        <is>
          <t xml:space="preserve">2010 LEASE.                                                       </t>
        </is>
      </c>
      <c r="AL90">
        <f>IF(AND(ISNUMBER($S90),$S90&gt;0,ISNUMBER($K90),ISNUMBER($J90)),($K90*$J90)/$S90,"")</f>
        <v/>
      </c>
      <c r="AM90" s="93" t="n"/>
      <c r="AN90" s="93" t="n"/>
      <c r="AO90" s="93" t="n"/>
      <c r="AP90" s="93" t="n"/>
      <c r="AQ90" s="93" t="n"/>
    </row>
    <row r="91" ht="14" customHeight="1" s="518">
      <c r="A91" s="106" t="n">
        <v>6</v>
      </c>
      <c r="B91" s="93" t="n">
        <v>86</v>
      </c>
      <c r="C91" s="93" t="inlineStr">
        <is>
          <t>2013Q</t>
        </is>
      </c>
      <c r="D91" s="93" t="inlineStr">
        <is>
          <t xml:space="preserve">02134-01-021-000 </t>
        </is>
      </c>
      <c r="E91" s="92" t="inlineStr">
        <is>
          <t>Actual</t>
        </is>
      </c>
      <c r="F91" s="93" t="inlineStr">
        <is>
          <t>4985   COLORADO             BV</t>
        </is>
      </c>
      <c r="G91" s="93" t="n">
        <v>44.1</v>
      </c>
      <c r="H91" s="93" t="n">
        <v>9201</v>
      </c>
      <c r="I91" s="92" t="n">
        <v>5</v>
      </c>
      <c r="J91" s="710" t="n">
        <v>24416</v>
      </c>
      <c r="K91" s="711" t="n">
        <v>3.931847968545216</v>
      </c>
      <c r="L91" s="108" t="n">
        <v>0</v>
      </c>
      <c r="M91" s="97" t="n">
        <v>0.037625</v>
      </c>
      <c r="N91" s="93" t="n">
        <v>1973</v>
      </c>
      <c r="O91" s="93" t="n">
        <v>1560</v>
      </c>
      <c r="P91" s="93" t="n">
        <v>0</v>
      </c>
      <c r="Q91" s="93" t="n">
        <v>18</v>
      </c>
      <c r="R91" s="93" t="n">
        <v>1</v>
      </c>
      <c r="S91" s="93" t="n">
        <v>1</v>
      </c>
      <c r="T91" s="92" t="inlineStr">
        <is>
          <t xml:space="preserve">I-A         </t>
        </is>
      </c>
      <c r="U91" s="93" t="n">
        <v>398</v>
      </c>
      <c r="V91" s="710" t="n">
        <v>45515</v>
      </c>
      <c r="W91" s="710" t="n">
        <v>46000</v>
      </c>
      <c r="X91" s="712" t="inlineStr">
        <is>
          <t>1.9:1</t>
        </is>
      </c>
      <c r="Y91" s="710" t="n">
        <v>24000</v>
      </c>
      <c r="Z91" s="92" t="inlineStr">
        <is>
          <t xml:space="preserve">C </t>
        </is>
      </c>
      <c r="AA91" s="93" t="n"/>
      <c r="AB91" s="93" t="n"/>
      <c r="AC91" s="93" t="n"/>
      <c r="AD91" s="93" t="inlineStr">
        <is>
          <t xml:space="preserve">FOREE TIRE          </t>
        </is>
      </c>
      <c r="AE91" s="93" t="n"/>
      <c r="AF91" s="93" t="n"/>
      <c r="AG91" s="93" t="n"/>
      <c r="AH91" s="93" t="n"/>
      <c r="AI91" s="93" t="n"/>
      <c r="AK91" s="265" t="inlineStr"/>
      <c r="AL91">
        <f>IF(AND(ISNUMBER($S91),$S91&gt;0,ISNUMBER($K91),ISNUMBER($J91)),($K91*$J91)/$S91,"")</f>
        <v/>
      </c>
      <c r="AM91" s="93" t="n"/>
      <c r="AN91" s="93" t="n"/>
      <c r="AO91" s="93" t="n"/>
      <c r="AP91" s="93" t="n"/>
      <c r="AQ91" s="93" t="n"/>
    </row>
    <row r="92" ht="14" customHeight="1" s="518">
      <c r="A92" s="106" t="n">
        <v>6</v>
      </c>
      <c r="B92" s="93" t="n">
        <v>87</v>
      </c>
      <c r="C92" s="93" t="inlineStr">
        <is>
          <t>2013Q</t>
        </is>
      </c>
      <c r="D92" s="93" t="inlineStr">
        <is>
          <t xml:space="preserve">02134-01-044-000 </t>
        </is>
      </c>
      <c r="E92" s="92" t="inlineStr">
        <is>
          <t>Actual</t>
        </is>
      </c>
      <c r="F92" s="93" t="inlineStr">
        <is>
          <t>4975   COLORADO             BV</t>
        </is>
      </c>
      <c r="G92" s="93" t="n">
        <v>44.1</v>
      </c>
      <c r="H92" s="93" t="n">
        <v>9201</v>
      </c>
      <c r="I92" s="92" t="n">
        <v>5</v>
      </c>
      <c r="J92" s="710" t="n">
        <v>8520</v>
      </c>
      <c r="K92" s="711" t="n">
        <v>5.600704225352112</v>
      </c>
      <c r="L92" s="108" t="n">
        <v>0</v>
      </c>
      <c r="M92" s="97" t="n">
        <v>0.3995766796596672</v>
      </c>
      <c r="N92" s="93" t="n">
        <v>1954</v>
      </c>
      <c r="O92" s="93" t="n">
        <v>2531</v>
      </c>
      <c r="P92" s="93" t="n">
        <v>0</v>
      </c>
      <c r="Q92" s="93" t="n">
        <v>17</v>
      </c>
      <c r="R92" s="93" t="n">
        <v>1</v>
      </c>
      <c r="S92" s="93" t="n">
        <v>1</v>
      </c>
      <c r="T92" s="92" t="inlineStr">
        <is>
          <t xml:space="preserve">I-A         </t>
        </is>
      </c>
      <c r="U92" s="93" t="n">
        <v>398</v>
      </c>
      <c r="V92" s="710" t="n">
        <v>34314</v>
      </c>
      <c r="W92" s="710" t="n">
        <v>34000</v>
      </c>
      <c r="X92" s="712" t="inlineStr">
        <is>
          <t>4:1</t>
        </is>
      </c>
      <c r="Y92" s="710" t="n">
        <v>9000</v>
      </c>
      <c r="Z92" s="92" t="inlineStr">
        <is>
          <t xml:space="preserve">C </t>
        </is>
      </c>
      <c r="AA92" s="93" t="n"/>
      <c r="AB92" s="93" t="n"/>
      <c r="AC92" s="93" t="n"/>
      <c r="AD92" s="93" t="inlineStr">
        <is>
          <t xml:space="preserve">VACANT              </t>
        </is>
      </c>
      <c r="AE92" s="93" t="n"/>
      <c r="AF92" s="93" t="n"/>
      <c r="AG92" s="93" t="n"/>
      <c r="AH92" s="93" t="n"/>
      <c r="AI92" s="93" t="n"/>
      <c r="AK92" s="265" t="inlineStr">
        <is>
          <t xml:space="preserve">DATE OF LEASE COMMENCEMENT UNKNOWN.                               </t>
        </is>
      </c>
      <c r="AL92">
        <f>IF(AND(ISNUMBER($S92),$S92&gt;0,ISNUMBER($K92),ISNUMBER($J92)),($K92*$J92)/$S92,"")</f>
        <v/>
      </c>
      <c r="AM92" s="93" t="n"/>
      <c r="AN92" s="93" t="n"/>
      <c r="AO92" s="93" t="n"/>
      <c r="AP92" s="93" t="n"/>
      <c r="AQ92" s="93" t="n"/>
    </row>
    <row r="93" ht="28" customHeight="1" s="518">
      <c r="A93" s="106" t="n">
        <v>6</v>
      </c>
      <c r="B93" s="93" t="n">
        <v>88</v>
      </c>
      <c r="C93" s="93" t="inlineStr">
        <is>
          <t>2013Q</t>
        </is>
      </c>
      <c r="D93" s="93" t="inlineStr">
        <is>
          <t xml:space="preserve">02143-00-032-000 </t>
        </is>
      </c>
      <c r="E93" s="92" t="inlineStr">
        <is>
          <t>Actual</t>
        </is>
      </c>
      <c r="F93" s="93" t="inlineStr">
        <is>
          <t>707 E 50TH                 AV</t>
        </is>
      </c>
      <c r="G93" s="93" t="n">
        <v>45.6</v>
      </c>
      <c r="H93" s="93" t="n">
        <v>9201</v>
      </c>
      <c r="I93" s="92" t="n">
        <v>0</v>
      </c>
      <c r="J93" s="710" t="n">
        <v>15977</v>
      </c>
      <c r="K93" s="711" t="n">
        <v>10.64029542467297</v>
      </c>
      <c r="L93" s="108" t="n">
        <v>0</v>
      </c>
      <c r="M93" s="97" t="n">
        <v>0</v>
      </c>
      <c r="N93" s="93" t="n">
        <v>1956</v>
      </c>
      <c r="O93" s="93" t="n">
        <v>851</v>
      </c>
      <c r="P93" s="93" t="n">
        <v>0</v>
      </c>
      <c r="Q93" s="93" t="n">
        <v>15</v>
      </c>
      <c r="R93" s="93" t="n">
        <v>1</v>
      </c>
      <c r="S93" s="93" t="n">
        <v>1</v>
      </c>
      <c r="T93" s="92" t="inlineStr">
        <is>
          <t xml:space="preserve">I-A         </t>
        </is>
      </c>
      <c r="U93" s="93" t="n">
        <v>401</v>
      </c>
      <c r="V93" s="710" t="n">
        <v>31600</v>
      </c>
      <c r="W93" s="710" t="n">
        <v>32000</v>
      </c>
      <c r="X93" s="712" t="inlineStr">
        <is>
          <t>2:1</t>
        </is>
      </c>
      <c r="Y93" s="710" t="n">
        <v>16000</v>
      </c>
      <c r="Z93" s="92" t="inlineStr">
        <is>
          <t xml:space="preserve">C </t>
        </is>
      </c>
      <c r="AA93" s="93" t="n"/>
      <c r="AB93" s="93" t="n"/>
      <c r="AC93" s="93" t="n"/>
      <c r="AD93" s="93" t="inlineStr">
        <is>
          <t xml:space="preserve">CASTLE ROCK MEATS   </t>
        </is>
      </c>
      <c r="AE93" s="93" t="n"/>
      <c r="AF93" s="93" t="n"/>
      <c r="AG93" s="93" t="n"/>
      <c r="AH93" s="93" t="n"/>
      <c r="AI93" s="93" t="n"/>
      <c r="AK93" s="265" t="inlineStr">
        <is>
          <t xml:space="preserve">PER COSTAR, THIS MAY BE OWNER-OCCUPIED PROPERTY.                  </t>
        </is>
      </c>
      <c r="AL93">
        <f>IF(AND(ISNUMBER($S93),$S93&gt;0,ISNUMBER($K93),ISNUMBER($J93)),($K93*$J93)/$S93,"")</f>
        <v/>
      </c>
      <c r="AM93" s="93" t="n"/>
      <c r="AN93" s="93" t="n"/>
      <c r="AO93" s="93" t="n"/>
      <c r="AP93" s="93" t="n"/>
      <c r="AQ93" s="93" t="n"/>
    </row>
    <row r="94" ht="14" customHeight="1" s="518">
      <c r="A94" s="106" t="n">
        <v>6</v>
      </c>
      <c r="B94" s="93" t="n">
        <v>89</v>
      </c>
      <c r="C94" s="93" t="inlineStr">
        <is>
          <t>2013Q</t>
        </is>
      </c>
      <c r="D94" s="93" t="inlineStr">
        <is>
          <t xml:space="preserve">02143-00-093-000 </t>
        </is>
      </c>
      <c r="E94" s="92" t="inlineStr">
        <is>
          <t>Actual</t>
        </is>
      </c>
      <c r="F94" s="93" t="inlineStr">
        <is>
          <t>770 E 51ST                 AV</t>
        </is>
      </c>
      <c r="G94" s="93" t="n">
        <v>44.2</v>
      </c>
      <c r="H94" s="93" t="n">
        <v>9201</v>
      </c>
      <c r="I94" s="92" t="n">
        <v>0</v>
      </c>
      <c r="J94" s="710" t="n">
        <v>2982</v>
      </c>
      <c r="K94" s="711" t="n">
        <v>4.426559356136821</v>
      </c>
      <c r="L94" s="108" t="n">
        <v>0</v>
      </c>
      <c r="M94" s="97" t="n">
        <v>0.07136363636363637</v>
      </c>
      <c r="N94" s="93" t="n">
        <v>1961</v>
      </c>
      <c r="O94" s="93" t="n">
        <v>0</v>
      </c>
      <c r="P94" s="93" t="n">
        <v>1656</v>
      </c>
      <c r="Q94" s="93" t="n">
        <v>9</v>
      </c>
      <c r="R94" s="93" t="n">
        <v>1</v>
      </c>
      <c r="S94" s="93" t="n">
        <v>1</v>
      </c>
      <c r="T94" s="92" t="inlineStr">
        <is>
          <t xml:space="preserve">I-A         </t>
        </is>
      </c>
      <c r="U94" s="93" t="n">
        <v>353</v>
      </c>
      <c r="V94" s="710" t="n">
        <v>6711</v>
      </c>
      <c r="W94" s="710" t="n">
        <v>7000</v>
      </c>
      <c r="X94" s="712" t="inlineStr">
        <is>
          <t>2.3:1</t>
        </is>
      </c>
      <c r="Y94" s="710" t="n">
        <v>3000</v>
      </c>
      <c r="Z94" s="92" t="inlineStr">
        <is>
          <t xml:space="preserve">C </t>
        </is>
      </c>
      <c r="AA94" s="93" t="n"/>
      <c r="AB94" s="93" t="n"/>
      <c r="AC94" s="93" t="n"/>
      <c r="AD94" s="93" t="inlineStr"/>
      <c r="AE94" s="93" t="n"/>
      <c r="AF94" s="93" t="n"/>
      <c r="AG94" s="93" t="n"/>
      <c r="AH94" s="93" t="n"/>
      <c r="AI94" s="93" t="n"/>
      <c r="AK94" s="265" t="inlineStr"/>
      <c r="AL94">
        <f>IF(AND(ISNUMBER($S94),$S94&gt;0,ISNUMBER($K94),ISNUMBER($J94)),($K94*$J94)/$S94,"")</f>
        <v/>
      </c>
      <c r="AM94" s="93" t="n"/>
      <c r="AN94" s="93" t="n"/>
      <c r="AO94" s="93" t="n"/>
      <c r="AP94" s="93" t="n"/>
      <c r="AQ94" s="93" t="n"/>
    </row>
    <row r="95" ht="14" customHeight="1" s="518">
      <c r="A95" s="106" t="n">
        <v>6</v>
      </c>
      <c r="B95" s="93" t="n">
        <v>90</v>
      </c>
      <c r="C95" s="93" t="inlineStr">
        <is>
          <t>2013Q</t>
        </is>
      </c>
      <c r="D95" s="93" t="inlineStr">
        <is>
          <t xml:space="preserve">02143-00-148-000 </t>
        </is>
      </c>
      <c r="E95" s="92" t="inlineStr">
        <is>
          <t>Actual</t>
        </is>
      </c>
      <c r="F95" s="93" t="inlineStr">
        <is>
          <t>5151   FRANKLIN             ST</t>
        </is>
      </c>
      <c r="G95" s="93" t="n">
        <v>44.4</v>
      </c>
      <c r="H95" s="93" t="n">
        <v>9201</v>
      </c>
      <c r="I95" s="92" t="n">
        <v>0</v>
      </c>
      <c r="J95" s="710" t="n">
        <v>143328</v>
      </c>
      <c r="K95" s="711" t="n">
        <v>3.215568486269257</v>
      </c>
      <c r="L95" s="108" t="n">
        <v>0</v>
      </c>
      <c r="M95" s="97" t="n">
        <v>0.09042681299511153</v>
      </c>
      <c r="N95" s="93" t="n">
        <v>1980</v>
      </c>
      <c r="O95" s="93" t="n">
        <v>6391</v>
      </c>
      <c r="P95" s="93" t="n">
        <v>0</v>
      </c>
      <c r="Q95" s="93" t="n">
        <v>25</v>
      </c>
      <c r="R95" s="93" t="n">
        <v>3</v>
      </c>
      <c r="S95" s="93" t="n">
        <v>1</v>
      </c>
      <c r="T95" s="92" t="inlineStr">
        <is>
          <t xml:space="preserve">I-B         </t>
        </is>
      </c>
      <c r="U95" s="93" t="n">
        <v>398</v>
      </c>
      <c r="V95" s="710" t="n">
        <v>286723</v>
      </c>
      <c r="W95" s="710" t="n">
        <v>287000</v>
      </c>
      <c r="X95" s="712" t="inlineStr">
        <is>
          <t>2:1</t>
        </is>
      </c>
      <c r="Y95" s="710" t="n">
        <v>143000</v>
      </c>
      <c r="Z95" s="92" t="inlineStr">
        <is>
          <t xml:space="preserve">C </t>
        </is>
      </c>
      <c r="AA95" s="93" t="n"/>
      <c r="AB95" s="93" t="n"/>
      <c r="AC95" s="93" t="n"/>
      <c r="AD95" s="93" t="inlineStr">
        <is>
          <t>MW PLATTE R DISTRIB.</t>
        </is>
      </c>
      <c r="AE95" s="93" t="n"/>
      <c r="AF95" s="93" t="n"/>
      <c r="AG95" s="93" t="n"/>
      <c r="AH95" s="93" t="n"/>
      <c r="AI95" s="93" t="n"/>
      <c r="AK95" s="265" t="inlineStr">
        <is>
          <t xml:space="preserve">2010-2011 LEASES.                                                 </t>
        </is>
      </c>
      <c r="AL95">
        <f>IF(AND(ISNUMBER($S95),$S95&gt;0,ISNUMBER($K95),ISNUMBER($J95)),($K95*$J95)/$S95,"")</f>
        <v/>
      </c>
      <c r="AM95" s="93" t="n"/>
      <c r="AN95" s="93" t="n"/>
      <c r="AO95" s="93" t="n"/>
      <c r="AP95" s="93" t="n"/>
      <c r="AQ95" s="93" t="n"/>
    </row>
    <row r="96" ht="14" customHeight="1" s="518">
      <c r="A96" s="106" t="n">
        <v>6</v>
      </c>
      <c r="B96" s="93" t="n">
        <v>91</v>
      </c>
      <c r="C96" s="93" t="inlineStr">
        <is>
          <t>2013Q</t>
        </is>
      </c>
      <c r="D96" s="93" t="inlineStr">
        <is>
          <t xml:space="preserve">02143-05-039-000 </t>
        </is>
      </c>
      <c r="E96" s="92" t="inlineStr">
        <is>
          <t>Actual</t>
        </is>
      </c>
      <c r="F96" s="93" t="inlineStr">
        <is>
          <t>5113   CLARKSON             ST</t>
        </is>
      </c>
      <c r="G96" s="93" t="n">
        <v>44.2</v>
      </c>
      <c r="H96" s="93" t="n">
        <v>9201</v>
      </c>
      <c r="I96" s="92" t="n">
        <v>0</v>
      </c>
      <c r="J96" s="710" t="n">
        <v>2304</v>
      </c>
      <c r="K96" s="711" t="n">
        <v>5.208333333333333</v>
      </c>
      <c r="L96" s="108" t="n">
        <v>0</v>
      </c>
      <c r="M96" s="97" t="n">
        <v>0</v>
      </c>
      <c r="N96" s="93" t="n">
        <v>2000</v>
      </c>
      <c r="O96" s="93" t="n">
        <v>0</v>
      </c>
      <c r="P96" s="93" t="n">
        <v>0</v>
      </c>
      <c r="Q96" s="93" t="n">
        <v>13</v>
      </c>
      <c r="R96" s="93" t="n">
        <v>3</v>
      </c>
      <c r="S96" s="93" t="n">
        <v>1</v>
      </c>
      <c r="T96" s="92" t="inlineStr">
        <is>
          <t xml:space="preserve">I-A         </t>
        </is>
      </c>
      <c r="U96" s="93" t="n">
        <v>398</v>
      </c>
      <c r="V96" s="710" t="n">
        <v>15000</v>
      </c>
      <c r="W96" s="710" t="n">
        <v>15000</v>
      </c>
      <c r="X96" s="712" t="inlineStr">
        <is>
          <t>6.5:1</t>
        </is>
      </c>
      <c r="Y96" s="710" t="n">
        <v>2000</v>
      </c>
      <c r="Z96" s="92" t="inlineStr">
        <is>
          <t xml:space="preserve">C </t>
        </is>
      </c>
      <c r="AA96" s="93" t="n"/>
      <c r="AB96" s="93" t="n"/>
      <c r="AC96" s="93" t="n"/>
      <c r="AD96" s="93" t="inlineStr">
        <is>
          <t xml:space="preserve">S-W                 </t>
        </is>
      </c>
      <c r="AE96" s="93" t="n"/>
      <c r="AF96" s="93" t="n"/>
      <c r="AG96" s="93" t="n"/>
      <c r="AH96" s="93" t="n"/>
      <c r="AI96" s="93" t="n"/>
      <c r="AK96" s="265" t="inlineStr"/>
      <c r="AL96">
        <f>IF(AND(ISNUMBER($S96),$S96&gt;0,ISNUMBER($K96),ISNUMBER($J96)),($K96*$J96)/$S96,"")</f>
        <v/>
      </c>
      <c r="AM96" s="93" t="n"/>
      <c r="AN96" s="93" t="n"/>
      <c r="AO96" s="93" t="n"/>
      <c r="AP96" s="93" t="n"/>
      <c r="AQ96" s="93" t="n"/>
    </row>
    <row r="97" ht="14" customHeight="1" s="518">
      <c r="A97" s="106" t="n">
        <v>6</v>
      </c>
      <c r="B97" s="93" t="n">
        <v>92</v>
      </c>
      <c r="C97" s="93" t="inlineStr">
        <is>
          <t>2013Q</t>
        </is>
      </c>
      <c r="D97" s="93" t="inlineStr">
        <is>
          <t xml:space="preserve">02144-00-098-000 </t>
        </is>
      </c>
      <c r="E97" s="92" t="inlineStr">
        <is>
          <t>Actual</t>
        </is>
      </c>
      <c r="F97" s="93" t="inlineStr">
        <is>
          <t>5150   RACE                 CT</t>
        </is>
      </c>
      <c r="G97" s="93" t="n">
        <v>44.2</v>
      </c>
      <c r="H97" s="93" t="n">
        <v>9201</v>
      </c>
      <c r="I97" s="92" t="n">
        <v>0</v>
      </c>
      <c r="J97" s="710" t="n">
        <v>27624</v>
      </c>
      <c r="K97" s="711" t="n">
        <v>6.697075007240081</v>
      </c>
      <c r="L97" s="108" t="n">
        <v>0</v>
      </c>
      <c r="M97" s="97" t="n">
        <v>0.002405405405405405</v>
      </c>
      <c r="N97" s="93" t="n">
        <v>1999</v>
      </c>
      <c r="O97" s="93" t="n">
        <v>4027</v>
      </c>
      <c r="P97" s="93" t="n">
        <v>1052</v>
      </c>
      <c r="Q97" s="93" t="n">
        <v>19</v>
      </c>
      <c r="R97" s="93" t="n">
        <v>3</v>
      </c>
      <c r="S97" s="93" t="n">
        <v>1</v>
      </c>
      <c r="T97" s="92" t="inlineStr">
        <is>
          <t xml:space="preserve">I-B         </t>
        </is>
      </c>
      <c r="U97" s="93" t="n">
        <v>398</v>
      </c>
      <c r="V97" s="710" t="n">
        <v>144374</v>
      </c>
      <c r="W97" s="710" t="n">
        <v>144000</v>
      </c>
      <c r="X97" s="712" t="inlineStr">
        <is>
          <t>5.2:1</t>
        </is>
      </c>
      <c r="Y97" s="710" t="n">
        <v>28000</v>
      </c>
      <c r="Z97" s="92" t="inlineStr">
        <is>
          <t xml:space="preserve">C </t>
        </is>
      </c>
      <c r="AA97" s="93" t="n"/>
      <c r="AB97" s="93" t="n"/>
      <c r="AC97" s="93" t="n"/>
      <c r="AD97" s="93" t="inlineStr">
        <is>
          <t xml:space="preserve">S-W                 </t>
        </is>
      </c>
      <c r="AE97" s="93" t="n"/>
      <c r="AF97" s="93" t="n"/>
      <c r="AG97" s="93" t="n"/>
      <c r="AH97" s="93" t="n"/>
      <c r="AI97" s="93" t="n"/>
      <c r="AK97" s="265" t="inlineStr"/>
      <c r="AL97">
        <f>IF(AND(ISNUMBER($S97),$S97&gt;0,ISNUMBER($K97),ISNUMBER($J97)),($K97*$J97)/$S97,"")</f>
        <v/>
      </c>
      <c r="AM97" s="93" t="n"/>
      <c r="AN97" s="93" t="n"/>
      <c r="AO97" s="93" t="n"/>
      <c r="AP97" s="93" t="n"/>
      <c r="AQ97" s="93" t="n"/>
    </row>
    <row r="98" ht="14" customHeight="1" s="518">
      <c r="A98" s="106" t="n">
        <v>6</v>
      </c>
      <c r="B98" s="93" t="n">
        <v>93</v>
      </c>
      <c r="C98" s="93" t="inlineStr">
        <is>
          <t>2013Q</t>
        </is>
      </c>
      <c r="D98" s="93" t="inlineStr">
        <is>
          <t xml:space="preserve">02153-00-014-000 </t>
        </is>
      </c>
      <c r="E98" s="92" t="inlineStr">
        <is>
          <t>Actual</t>
        </is>
      </c>
      <c r="F98" s="93" t="inlineStr">
        <is>
          <t>555 W 48TH                 AV</t>
        </is>
      </c>
      <c r="G98" s="93" t="n">
        <v>44.4</v>
      </c>
      <c r="H98" s="93" t="n">
        <v>9208</v>
      </c>
      <c r="I98" s="92" t="n">
        <v>0</v>
      </c>
      <c r="J98" s="710" t="n">
        <v>109323</v>
      </c>
      <c r="K98" s="711" t="n">
        <v>5.370004482130933</v>
      </c>
      <c r="L98" s="108" t="n">
        <v>0.25</v>
      </c>
      <c r="M98" s="97" t="n">
        <v>0.1462103855620757</v>
      </c>
      <c r="N98" s="93" t="n">
        <v>1955</v>
      </c>
      <c r="O98" s="93" t="n">
        <v>27857</v>
      </c>
      <c r="P98" s="93" t="n">
        <v>0</v>
      </c>
      <c r="Q98" s="93" t="n">
        <v>20</v>
      </c>
      <c r="R98" s="93" t="n">
        <v>1</v>
      </c>
      <c r="S98" s="93" t="n">
        <v>5</v>
      </c>
      <c r="T98" s="92" t="inlineStr">
        <is>
          <t xml:space="preserve">I-B         </t>
        </is>
      </c>
      <c r="U98" s="93" t="n">
        <v>398</v>
      </c>
      <c r="V98" s="710" t="n">
        <v>240000</v>
      </c>
      <c r="W98" s="710" t="n">
        <v>240000</v>
      </c>
      <c r="X98" s="712" t="inlineStr">
        <is>
          <t>2.2:1</t>
        </is>
      </c>
      <c r="Y98" s="710" t="n">
        <v>109000</v>
      </c>
      <c r="Z98" s="92" t="inlineStr">
        <is>
          <t xml:space="preserve">C </t>
        </is>
      </c>
      <c r="AA98" s="93" t="n"/>
      <c r="AB98" s="93" t="n"/>
      <c r="AC98" s="93" t="n"/>
      <c r="AD98" s="93" t="inlineStr">
        <is>
          <t>M-W-LINCOLN BUS PARK</t>
        </is>
      </c>
      <c r="AE98" s="93" t="n"/>
      <c r="AF98" s="93" t="n"/>
      <c r="AG98" s="93" t="n"/>
      <c r="AH98" s="93" t="n"/>
      <c r="AI98" s="93" t="n"/>
      <c r="AK98" s="265" t="inlineStr"/>
      <c r="AL98">
        <f>IF(AND(ISNUMBER($S98),$S98&gt;0,ISNUMBER($K98),ISNUMBER($J98)),($K98*$J98)/$S98,"")</f>
        <v/>
      </c>
      <c r="AM98" s="93" t="n"/>
      <c r="AN98" s="93" t="n"/>
      <c r="AO98" s="93" t="n"/>
      <c r="AP98" s="93" t="n"/>
      <c r="AQ98" s="93" t="n"/>
    </row>
    <row r="99" ht="14" customHeight="1" s="518">
      <c r="A99" s="106" t="n">
        <v>6</v>
      </c>
      <c r="B99" s="93" t="n">
        <v>94</v>
      </c>
      <c r="C99" s="93" t="inlineStr">
        <is>
          <t>2013Q</t>
        </is>
      </c>
      <c r="D99" s="93" t="inlineStr">
        <is>
          <t xml:space="preserve">02153-00-047-000 </t>
        </is>
      </c>
      <c r="E99" s="92" t="inlineStr">
        <is>
          <t>Actual</t>
        </is>
      </c>
      <c r="F99" s="93" t="inlineStr">
        <is>
          <t>601 W 50TH                 AV</t>
        </is>
      </c>
      <c r="G99" s="93" t="n">
        <v>44.2</v>
      </c>
      <c r="H99" s="93" t="n">
        <v>9208</v>
      </c>
      <c r="I99" s="92" t="n">
        <v>0</v>
      </c>
      <c r="J99" s="710" t="n">
        <v>95263</v>
      </c>
      <c r="K99" s="711" t="n">
        <v>4.512245047919968</v>
      </c>
      <c r="L99" s="108" t="n">
        <v>0</v>
      </c>
      <c r="M99" s="97" t="n">
        <v>0.04397115272769571</v>
      </c>
      <c r="N99" s="93" t="n">
        <v>1977</v>
      </c>
      <c r="O99" s="93" t="n">
        <v>1935</v>
      </c>
      <c r="P99" s="93" t="n">
        <v>0</v>
      </c>
      <c r="Q99" s="93" t="n">
        <v>24</v>
      </c>
      <c r="R99" s="93" t="n">
        <v>1</v>
      </c>
      <c r="S99" s="93" t="n">
        <v>1</v>
      </c>
      <c r="T99" s="92" t="inlineStr">
        <is>
          <t xml:space="preserve">I-B         </t>
        </is>
      </c>
      <c r="U99" s="93" t="n">
        <v>398</v>
      </c>
      <c r="V99" s="710" t="n">
        <v>153950</v>
      </c>
      <c r="W99" s="710" t="n">
        <v>154000</v>
      </c>
      <c r="X99" s="712" t="inlineStr">
        <is>
          <t>1.6:1</t>
        </is>
      </c>
      <c r="Y99" s="710" t="n">
        <v>95000</v>
      </c>
      <c r="Z99" s="92" t="inlineStr">
        <is>
          <t xml:space="preserve">C </t>
        </is>
      </c>
      <c r="AA99" s="93" t="n"/>
      <c r="AB99" s="93" t="n"/>
      <c r="AC99" s="93" t="n"/>
      <c r="AD99" s="93" t="inlineStr">
        <is>
          <t xml:space="preserve">DIST WAREHOUSE      </t>
        </is>
      </c>
      <c r="AE99" s="93" t="n"/>
      <c r="AF99" s="93" t="n"/>
      <c r="AG99" s="93" t="n"/>
      <c r="AH99" s="93" t="n"/>
      <c r="AI99" s="93" t="n"/>
      <c r="AK99" s="265" t="inlineStr">
        <is>
          <t xml:space="preserve">2010-2011 LEASES.                                                 </t>
        </is>
      </c>
      <c r="AL99">
        <f>IF(AND(ISNUMBER($S99),$S99&gt;0,ISNUMBER($K99),ISNUMBER($J99)),($K99*$J99)/$S99,"")</f>
        <v/>
      </c>
      <c r="AM99" s="93" t="n"/>
      <c r="AN99" s="93" t="n"/>
      <c r="AO99" s="93" t="n"/>
      <c r="AP99" s="93" t="n"/>
      <c r="AQ99" s="93" t="n"/>
    </row>
    <row r="100" ht="28" customHeight="1" s="518">
      <c r="A100" s="106" t="n">
        <v>6</v>
      </c>
      <c r="B100" s="93" t="n">
        <v>95</v>
      </c>
      <c r="C100" s="93" t="inlineStr">
        <is>
          <t>2013Q</t>
        </is>
      </c>
      <c r="D100" s="93" t="inlineStr">
        <is>
          <t xml:space="preserve">02153-00-047-000 </t>
        </is>
      </c>
      <c r="E100" s="92" t="inlineStr">
        <is>
          <t>Actual</t>
        </is>
      </c>
      <c r="F100" s="93" t="inlineStr">
        <is>
          <t>601 W 50TH                 AV</t>
        </is>
      </c>
      <c r="G100" s="93" t="n">
        <v>44.2</v>
      </c>
      <c r="H100" s="93" t="n">
        <v>9208</v>
      </c>
      <c r="I100" s="92" t="n">
        <v>0</v>
      </c>
      <c r="J100" s="710" t="n">
        <v>95263</v>
      </c>
      <c r="K100" s="711" t="n">
        <v>3.8</v>
      </c>
      <c r="L100" s="108" t="n">
        <v>0</v>
      </c>
      <c r="M100" s="97" t="n">
        <v>0</v>
      </c>
      <c r="N100" s="93" t="n">
        <v>1977</v>
      </c>
      <c r="O100" s="93" t="n">
        <v>1935</v>
      </c>
      <c r="P100" s="93" t="n">
        <v>0</v>
      </c>
      <c r="Q100" s="93" t="n">
        <v>24</v>
      </c>
      <c r="R100" s="93" t="n">
        <v>1</v>
      </c>
      <c r="S100" s="93" t="n">
        <v>1</v>
      </c>
      <c r="T100" s="92" t="inlineStr">
        <is>
          <t xml:space="preserve">I-B         </t>
        </is>
      </c>
      <c r="U100" s="93" t="n">
        <v>398</v>
      </c>
      <c r="V100" s="710" t="n">
        <v>153950</v>
      </c>
      <c r="W100" s="710" t="n">
        <v>154000</v>
      </c>
      <c r="X100" s="712" t="inlineStr">
        <is>
          <t>1.6:1</t>
        </is>
      </c>
      <c r="Y100" s="710" t="n">
        <v>95000</v>
      </c>
      <c r="Z100" s="92" t="inlineStr">
        <is>
          <t xml:space="preserve">C </t>
        </is>
      </c>
      <c r="AA100" s="93" t="n"/>
      <c r="AB100" s="93" t="n"/>
      <c r="AC100" s="93" t="n"/>
      <c r="AD100" s="93" t="inlineStr">
        <is>
          <t xml:space="preserve">DIST WAREHOUSE      </t>
        </is>
      </c>
      <c r="AE100" s="93" t="n"/>
      <c r="AF100" s="93" t="n"/>
      <c r="AG100" s="93" t="n"/>
      <c r="AH100" s="93" t="n"/>
      <c r="AI100" s="93" t="n"/>
      <c r="AK100" s="265" t="inlineStr">
        <is>
          <t xml:space="preserve">NNN -- LEASE SIGNED 4/2012 -- SOURCE: COSTAR                      </t>
        </is>
      </c>
      <c r="AL100">
        <f>IF(AND(ISNUMBER($S100),$S100&gt;0,ISNUMBER($K100),ISNUMBER($J100)),($K100*$J100)/$S100,"")</f>
        <v/>
      </c>
      <c r="AM100" s="93" t="n"/>
      <c r="AN100" s="93" t="n"/>
      <c r="AO100" s="93" t="n"/>
      <c r="AP100" s="93" t="n"/>
      <c r="AQ100" s="93" t="n"/>
    </row>
    <row r="101" ht="28" customHeight="1" s="518">
      <c r="A101" s="106" t="n">
        <v>6</v>
      </c>
      <c r="B101" s="93" t="n">
        <v>96</v>
      </c>
      <c r="C101" s="93" t="inlineStr">
        <is>
          <t>2013Q</t>
        </is>
      </c>
      <c r="D101" s="93" t="inlineStr">
        <is>
          <t xml:space="preserve">02153-09-014-000 </t>
        </is>
      </c>
      <c r="E101" s="92" t="inlineStr">
        <is>
          <t>Actual</t>
        </is>
      </c>
      <c r="F101" s="93" t="inlineStr">
        <is>
          <t>4855   BROADWAY             ST</t>
        </is>
      </c>
      <c r="G101" s="93" t="n">
        <v>44.2</v>
      </c>
      <c r="H101" s="93" t="n">
        <v>9201</v>
      </c>
      <c r="I101" s="92" t="n">
        <v>0</v>
      </c>
      <c r="J101" s="710" t="n">
        <v>14000</v>
      </c>
      <c r="K101" s="711" t="n">
        <v>3.985714285714286</v>
      </c>
      <c r="L101" s="108" t="n">
        <v>0</v>
      </c>
      <c r="M101" s="97" t="n">
        <v>0</v>
      </c>
      <c r="N101" s="93" t="n">
        <v>1968</v>
      </c>
      <c r="O101" s="93" t="n">
        <v>1143</v>
      </c>
      <c r="P101" s="93" t="n">
        <v>0</v>
      </c>
      <c r="Q101" s="93" t="n">
        <v>18</v>
      </c>
      <c r="R101" s="93" t="n">
        <v>10</v>
      </c>
      <c r="S101" s="93" t="n">
        <v>2</v>
      </c>
      <c r="T101" s="92" t="inlineStr">
        <is>
          <t xml:space="preserve">I-A         </t>
        </is>
      </c>
      <c r="U101" s="93" t="n">
        <v>398</v>
      </c>
      <c r="V101" s="710" t="n">
        <v>24000</v>
      </c>
      <c r="W101" s="710" t="n">
        <v>24000</v>
      </c>
      <c r="X101" s="712" t="inlineStr">
        <is>
          <t>1.7:1</t>
        </is>
      </c>
      <c r="Y101" s="710" t="n">
        <v>14000</v>
      </c>
      <c r="Z101" s="92" t="inlineStr">
        <is>
          <t xml:space="preserve">C </t>
        </is>
      </c>
      <c r="AA101" s="93" t="n"/>
      <c r="AB101" s="93" t="n"/>
      <c r="AC101" s="93" t="n"/>
      <c r="AD101" s="93" t="inlineStr"/>
      <c r="AE101" s="93" t="n"/>
      <c r="AF101" s="93" t="n"/>
      <c r="AG101" s="93" t="n"/>
      <c r="AH101" s="93" t="n"/>
      <c r="AI101" s="93" t="n"/>
      <c r="AK101" s="265" t="inlineStr">
        <is>
          <t xml:space="preserve">OWNER PAYS TOO LARGE A PROPORTION OF EXP = NOT ENTERED.           </t>
        </is>
      </c>
      <c r="AL101">
        <f>IF(AND(ISNUMBER($S101),$S101&gt;0,ISNUMBER($K101),ISNUMBER($J101)),($K101*$J101)/$S101,"")</f>
        <v/>
      </c>
      <c r="AM101" s="93" t="n"/>
      <c r="AN101" s="93" t="n"/>
      <c r="AO101" s="93" t="n"/>
      <c r="AP101" s="93" t="n"/>
      <c r="AQ101" s="93" t="n"/>
    </row>
    <row r="102" ht="14" customHeight="1" s="518">
      <c r="A102" s="106" t="n">
        <v>6</v>
      </c>
      <c r="B102" s="93" t="n">
        <v>97</v>
      </c>
      <c r="C102" s="93" t="inlineStr">
        <is>
          <t>2013Q</t>
        </is>
      </c>
      <c r="D102" s="93" t="inlineStr">
        <is>
          <t xml:space="preserve">02154-00-045-000 </t>
        </is>
      </c>
      <c r="E102" s="92" t="inlineStr">
        <is>
          <t>Actual</t>
        </is>
      </c>
      <c r="F102" s="93" t="inlineStr">
        <is>
          <t>5055   WASHINGTON           ST</t>
        </is>
      </c>
      <c r="G102" s="93" t="n">
        <v>44.1</v>
      </c>
      <c r="H102" s="93" t="n">
        <v>9201</v>
      </c>
      <c r="I102" s="92" t="n">
        <v>0</v>
      </c>
      <c r="J102" s="710" t="n">
        <v>16140</v>
      </c>
      <c r="K102" s="711" t="n">
        <v>5.712763320941759</v>
      </c>
      <c r="L102" s="108" t="n">
        <v>0</v>
      </c>
      <c r="M102" s="97" t="n">
        <v>0</v>
      </c>
      <c r="N102" s="93" t="n">
        <v>1951</v>
      </c>
      <c r="O102" s="93" t="n">
        <v>0</v>
      </c>
      <c r="P102" s="93" t="n">
        <v>0</v>
      </c>
      <c r="Q102" s="93" t="n">
        <v>17</v>
      </c>
      <c r="R102" s="93" t="n">
        <v>3</v>
      </c>
      <c r="S102" s="93" t="n">
        <v>1</v>
      </c>
      <c r="T102" s="92" t="inlineStr">
        <is>
          <t xml:space="preserve">I-A         </t>
        </is>
      </c>
      <c r="U102" s="93" t="n">
        <v>398</v>
      </c>
      <c r="V102" s="710" t="n">
        <v>47915</v>
      </c>
      <c r="W102" s="710" t="n">
        <v>48000</v>
      </c>
      <c r="X102" s="712" t="inlineStr">
        <is>
          <t>3:1</t>
        </is>
      </c>
      <c r="Y102" s="710" t="n">
        <v>16000</v>
      </c>
      <c r="Z102" s="92" t="inlineStr">
        <is>
          <t xml:space="preserve">C </t>
        </is>
      </c>
      <c r="AA102" s="93" t="n"/>
      <c r="AB102" s="93" t="n"/>
      <c r="AC102" s="93" t="n"/>
      <c r="AD102" s="93" t="inlineStr">
        <is>
          <t>WESTERN WATERPROOFIN</t>
        </is>
      </c>
      <c r="AE102" s="93" t="n"/>
      <c r="AF102" s="93" t="n"/>
      <c r="AG102" s="93" t="n"/>
      <c r="AH102" s="93" t="n"/>
      <c r="AI102" s="93" t="n"/>
      <c r="AK102" s="265" t="inlineStr"/>
      <c r="AL102">
        <f>IF(AND(ISNUMBER($S102),$S102&gt;0,ISNUMBER($K102),ISNUMBER($J102)),($K102*$J102)/$S102,"")</f>
        <v/>
      </c>
      <c r="AM102" s="93" t="n"/>
      <c r="AN102" s="93" t="n"/>
      <c r="AO102" s="93" t="n"/>
      <c r="AP102" s="93" t="n"/>
      <c r="AQ102" s="93" t="n"/>
    </row>
    <row r="103" ht="28" customHeight="1" s="518">
      <c r="A103" s="106" t="n">
        <v>6</v>
      </c>
      <c r="B103" s="93" t="n">
        <v>98</v>
      </c>
      <c r="C103" s="93" t="inlineStr">
        <is>
          <t>2013Q</t>
        </is>
      </c>
      <c r="D103" s="93" t="inlineStr">
        <is>
          <t xml:space="preserve">02154-17-014-000 </t>
        </is>
      </c>
      <c r="E103" s="92" t="inlineStr">
        <is>
          <t>Actual</t>
        </is>
      </c>
      <c r="F103" s="93" t="inlineStr">
        <is>
          <t>4850   BROADWAY             ST</t>
        </is>
      </c>
      <c r="G103" s="93" t="n">
        <v>46.2</v>
      </c>
      <c r="H103" s="93" t="n">
        <v>9201</v>
      </c>
      <c r="I103" s="92" t="n">
        <v>0</v>
      </c>
      <c r="J103" s="710" t="n">
        <v>10354</v>
      </c>
      <c r="K103" s="711" t="n">
        <v>5.423990728220978</v>
      </c>
      <c r="L103" s="108" t="n">
        <v>0</v>
      </c>
      <c r="M103" s="97" t="n">
        <v>0.1776175213675214</v>
      </c>
      <c r="N103" s="93" t="n">
        <v>1967</v>
      </c>
      <c r="O103" s="93" t="n">
        <v>3174</v>
      </c>
      <c r="P103" s="93" t="n">
        <v>0</v>
      </c>
      <c r="Q103" s="93" t="n">
        <v>17</v>
      </c>
      <c r="R103" s="93" t="n">
        <v>14</v>
      </c>
      <c r="S103" s="93" t="n">
        <v>3</v>
      </c>
      <c r="T103" s="92" t="inlineStr">
        <is>
          <t xml:space="preserve">I-A         </t>
        </is>
      </c>
      <c r="U103" s="93" t="n">
        <v>401</v>
      </c>
      <c r="V103" s="710" t="n">
        <v>21063</v>
      </c>
      <c r="W103" s="710" t="n">
        <v>21000</v>
      </c>
      <c r="X103" s="712" t="inlineStr">
        <is>
          <t>2:1</t>
        </is>
      </c>
      <c r="Y103" s="710" t="n">
        <v>10000</v>
      </c>
      <c r="Z103" s="92" t="inlineStr">
        <is>
          <t xml:space="preserve">C </t>
        </is>
      </c>
      <c r="AA103" s="93" t="n"/>
      <c r="AB103" s="93" t="n"/>
      <c r="AC103" s="93" t="n"/>
      <c r="AD103" s="93" t="inlineStr"/>
      <c r="AE103" s="93" t="n"/>
      <c r="AF103" s="93" t="n"/>
      <c r="AG103" s="93" t="n"/>
      <c r="AH103" s="93" t="n"/>
      <c r="AI103" s="93" t="n"/>
      <c r="AK103" s="265" t="inlineStr">
        <is>
          <t xml:space="preserve">OWNER FOOTS TOO HIGH A PROPORTION OF THE EXPENSES.                </t>
        </is>
      </c>
      <c r="AL103">
        <f>IF(AND(ISNUMBER($S103),$S103&gt;0,ISNUMBER($K103),ISNUMBER($J103)),($K103*$J103)/$S103,"")</f>
        <v/>
      </c>
      <c r="AM103" s="93" t="n"/>
      <c r="AN103" s="93" t="n"/>
      <c r="AO103" s="93" t="n"/>
      <c r="AP103" s="93" t="n"/>
      <c r="AQ103" s="93" t="n"/>
    </row>
    <row r="104" ht="28" customHeight="1" s="518">
      <c r="A104" s="106" t="n">
        <v>6</v>
      </c>
      <c r="B104" s="93" t="n">
        <v>99</v>
      </c>
      <c r="C104" s="93" t="inlineStr">
        <is>
          <t>2013Q</t>
        </is>
      </c>
      <c r="D104" s="93" t="inlineStr">
        <is>
          <t xml:space="preserve">02154-17-014-000 </t>
        </is>
      </c>
      <c r="E104" s="92" t="inlineStr">
        <is>
          <t>Actual</t>
        </is>
      </c>
      <c r="F104" s="93" t="inlineStr">
        <is>
          <t>4850   BROADWAY             ST</t>
        </is>
      </c>
      <c r="G104" s="93" t="n">
        <v>46.2</v>
      </c>
      <c r="H104" s="93" t="n">
        <v>9201</v>
      </c>
      <c r="I104" s="92" t="n">
        <v>0</v>
      </c>
      <c r="J104" s="710" t="n">
        <v>10354</v>
      </c>
      <c r="K104" s="711" t="n">
        <v>6.729186787714893</v>
      </c>
      <c r="L104" s="108" t="n">
        <v>0</v>
      </c>
      <c r="M104" s="97" t="n">
        <v>0</v>
      </c>
      <c r="N104" s="93" t="n">
        <v>1967</v>
      </c>
      <c r="O104" s="93" t="n">
        <v>3174</v>
      </c>
      <c r="P104" s="93" t="n">
        <v>0</v>
      </c>
      <c r="Q104" s="93" t="n">
        <v>17</v>
      </c>
      <c r="R104" s="93" t="n">
        <v>14</v>
      </c>
      <c r="S104" s="93" t="n">
        <v>3</v>
      </c>
      <c r="T104" s="92" t="inlineStr">
        <is>
          <t xml:space="preserve">I-A         </t>
        </is>
      </c>
      <c r="U104" s="93" t="n">
        <v>401</v>
      </c>
      <c r="V104" s="710" t="n">
        <v>21063</v>
      </c>
      <c r="W104" s="710" t="n">
        <v>21000</v>
      </c>
      <c r="X104" s="712" t="inlineStr">
        <is>
          <t>2:1</t>
        </is>
      </c>
      <c r="Y104" s="710" t="n">
        <v>10000</v>
      </c>
      <c r="Z104" s="92" t="inlineStr">
        <is>
          <t xml:space="preserve">C </t>
        </is>
      </c>
      <c r="AA104" s="93" t="n"/>
      <c r="AB104" s="93" t="n"/>
      <c r="AC104" s="93" t="n"/>
      <c r="AD104" s="93" t="inlineStr"/>
      <c r="AE104" s="93" t="n"/>
      <c r="AF104" s="93" t="n"/>
      <c r="AG104" s="93" t="n"/>
      <c r="AH104" s="93" t="n"/>
      <c r="AI104" s="93" t="n"/>
      <c r="AK104" s="265" t="inlineStr">
        <is>
          <t xml:space="preserve">7.42 PSF NNN LEASE SIGNED 10/2011 PER COSTAR CONFIRMED            </t>
        </is>
      </c>
      <c r="AL104">
        <f>IF(AND(ISNUMBER($S104),$S104&gt;0,ISNUMBER($K104),ISNUMBER($J104)),($K104*$J104)/$S104,"")</f>
        <v/>
      </c>
      <c r="AM104" s="93" t="n"/>
      <c r="AN104" s="93" t="n"/>
      <c r="AO104" s="93" t="n"/>
      <c r="AP104" s="93" t="n"/>
      <c r="AQ104" s="93" t="n"/>
    </row>
    <row r="105" ht="28" customHeight="1" s="518">
      <c r="A105" s="106" t="n">
        <v>6</v>
      </c>
      <c r="B105" s="93" t="n">
        <v>100</v>
      </c>
      <c r="C105" s="93" t="inlineStr">
        <is>
          <t>2013Q</t>
        </is>
      </c>
      <c r="D105" s="93" t="inlineStr">
        <is>
          <t xml:space="preserve">02154-18-021-000 </t>
        </is>
      </c>
      <c r="E105" s="92" t="inlineStr">
        <is>
          <t>Actual</t>
        </is>
      </c>
      <c r="F105" s="93" t="inlineStr">
        <is>
          <t>4836   LEAF                 CT</t>
        </is>
      </c>
      <c r="G105" s="93" t="n">
        <v>44.1</v>
      </c>
      <c r="H105" s="93" t="n">
        <v>9201</v>
      </c>
      <c r="I105" s="92" t="n">
        <v>0</v>
      </c>
      <c r="J105" s="710" t="n">
        <v>23874</v>
      </c>
      <c r="K105" s="711" t="n">
        <v>4.533802462930384</v>
      </c>
      <c r="L105" s="108" t="n">
        <v>0</v>
      </c>
      <c r="M105" s="97" t="n">
        <v>0.1595343680709534</v>
      </c>
      <c r="N105" s="93" t="n">
        <v>1969</v>
      </c>
      <c r="O105" s="93" t="n">
        <v>2605</v>
      </c>
      <c r="P105" s="93" t="n">
        <v>0</v>
      </c>
      <c r="Q105" s="93" t="n">
        <v>23</v>
      </c>
      <c r="R105" s="93" t="n">
        <v>14</v>
      </c>
      <c r="S105" s="93" t="n">
        <v>2</v>
      </c>
      <c r="T105" s="92" t="inlineStr">
        <is>
          <t xml:space="preserve">I-MX-3      </t>
        </is>
      </c>
      <c r="U105" s="93" t="n">
        <v>398</v>
      </c>
      <c r="V105" s="710" t="n">
        <v>47500</v>
      </c>
      <c r="W105" s="710" t="n">
        <v>48000</v>
      </c>
      <c r="X105" s="712" t="inlineStr">
        <is>
          <t>2:1</t>
        </is>
      </c>
      <c r="Y105" s="710" t="n">
        <v>24000</v>
      </c>
      <c r="Z105" s="92" t="inlineStr">
        <is>
          <t xml:space="preserve">C </t>
        </is>
      </c>
      <c r="AA105" s="93" t="n"/>
      <c r="AB105" s="93" t="n"/>
      <c r="AC105" s="93" t="n"/>
      <c r="AD105" s="93" t="inlineStr">
        <is>
          <t xml:space="preserve">WAREHOUSE DIST.     </t>
        </is>
      </c>
      <c r="AE105" s="93" t="n"/>
      <c r="AF105" s="93" t="n"/>
      <c r="AG105" s="93" t="n"/>
      <c r="AH105" s="93" t="n"/>
      <c r="AI105" s="93" t="n"/>
      <c r="AK105" s="265" t="inlineStr">
        <is>
          <t xml:space="preserve">2010-11 LEASES.  OWNER FOOTS TOO MANY OF THE EXPENSES.            </t>
        </is>
      </c>
      <c r="AL105">
        <f>IF(AND(ISNUMBER($S105),$S105&gt;0,ISNUMBER($K105),ISNUMBER($J105)),($K105*$J105)/$S105,"")</f>
        <v/>
      </c>
      <c r="AM105" s="93" t="n"/>
      <c r="AN105" s="93" t="n"/>
      <c r="AO105" s="93" t="n"/>
      <c r="AP105" s="93" t="n"/>
      <c r="AQ105" s="93" t="n"/>
    </row>
    <row r="106" ht="14" customHeight="1" s="518">
      <c r="A106" s="106" t="n">
        <v>6</v>
      </c>
      <c r="B106" s="93" t="n">
        <v>101</v>
      </c>
      <c r="C106" s="93" t="inlineStr">
        <is>
          <t>2013Q</t>
        </is>
      </c>
      <c r="D106" s="93" t="inlineStr">
        <is>
          <t xml:space="preserve">02164-09-028-000 </t>
        </is>
      </c>
      <c r="E106" s="92" t="inlineStr">
        <is>
          <t>Actual</t>
        </is>
      </c>
      <c r="F106" s="93" t="inlineStr">
        <is>
          <t>4800   OSAGE                ST</t>
        </is>
      </c>
      <c r="G106" s="93" t="n">
        <v>44.4</v>
      </c>
      <c r="H106" s="93" t="n">
        <v>9208</v>
      </c>
      <c r="I106" s="92" t="n">
        <v>0</v>
      </c>
      <c r="J106" s="710" t="n">
        <v>108000</v>
      </c>
      <c r="K106" s="711" t="n">
        <v>4.95</v>
      </c>
      <c r="L106" s="108" t="n">
        <v>0</v>
      </c>
      <c r="M106" s="97" t="n">
        <v>0</v>
      </c>
      <c r="N106" s="93" t="n">
        <v>2003</v>
      </c>
      <c r="O106" s="93" t="n">
        <v>27707</v>
      </c>
      <c r="P106" s="93" t="n">
        <v>0</v>
      </c>
      <c r="Q106" s="93" t="n">
        <v>35</v>
      </c>
      <c r="R106" s="93" t="n">
        <v>14</v>
      </c>
      <c r="S106" s="93" t="n">
        <v>2</v>
      </c>
      <c r="T106" s="92" t="inlineStr">
        <is>
          <t xml:space="preserve">I-MX-3      </t>
        </is>
      </c>
      <c r="U106" s="93" t="n">
        <v>398</v>
      </c>
      <c r="V106" s="710" t="n">
        <v>259651</v>
      </c>
      <c r="W106" s="710" t="n">
        <v>260000</v>
      </c>
      <c r="X106" s="712" t="inlineStr">
        <is>
          <t>2.4:1</t>
        </is>
      </c>
      <c r="Y106" s="710" t="n">
        <v>108000</v>
      </c>
      <c r="Z106" s="92" t="inlineStr">
        <is>
          <t xml:space="preserve">C </t>
        </is>
      </c>
      <c r="AA106" s="93" t="n"/>
      <c r="AB106" s="93" t="n"/>
      <c r="AC106" s="93" t="n"/>
      <c r="AD106" s="93" t="inlineStr">
        <is>
          <t>CENTERPARK M-T WHSE.</t>
        </is>
      </c>
      <c r="AE106" s="93" t="n"/>
      <c r="AF106" s="93" t="n"/>
      <c r="AG106" s="93" t="n"/>
      <c r="AH106" s="93" t="n"/>
      <c r="AI106" s="93" t="n"/>
      <c r="AK106" s="265" t="inlineStr"/>
      <c r="AL106">
        <f>IF(AND(ISNUMBER($S106),$S106&gt;0,ISNUMBER($K106),ISNUMBER($J106)),($K106*$J106)/$S106,"")</f>
        <v/>
      </c>
      <c r="AM106" s="93" t="n"/>
      <c r="AN106" s="93" t="n"/>
      <c r="AO106" s="93" t="n"/>
      <c r="AP106" s="93" t="n"/>
      <c r="AQ106" s="93" t="n"/>
    </row>
    <row r="107" ht="14" customHeight="1" s="518">
      <c r="A107" s="106" t="n">
        <v>6</v>
      </c>
      <c r="B107" s="93" t="n">
        <v>102</v>
      </c>
      <c r="C107" s="93" t="inlineStr">
        <is>
          <t>2013Q</t>
        </is>
      </c>
      <c r="D107" s="93" t="inlineStr">
        <is>
          <t xml:space="preserve">02194-28-018-000 </t>
        </is>
      </c>
      <c r="E107" s="92" t="inlineStr">
        <is>
          <t>Actual</t>
        </is>
      </c>
      <c r="F107" s="93" t="inlineStr">
        <is>
          <t>3868   TENNYSON             ST</t>
        </is>
      </c>
      <c r="G107" s="93" t="n">
        <v>44.2</v>
      </c>
      <c r="H107" s="93" t="n">
        <v>9208</v>
      </c>
      <c r="I107" s="92" t="n">
        <v>3</v>
      </c>
      <c r="J107" s="710" t="n">
        <v>4240</v>
      </c>
      <c r="K107" s="711" t="n">
        <v>2.889858490566038</v>
      </c>
      <c r="L107" s="108" t="n">
        <v>0</v>
      </c>
      <c r="M107" s="97" t="n">
        <v>0.03982698114747409</v>
      </c>
      <c r="N107" s="93" t="n">
        <v>1972</v>
      </c>
      <c r="O107" s="93" t="n">
        <v>640</v>
      </c>
      <c r="P107" s="93" t="n">
        <v>0</v>
      </c>
      <c r="Q107" s="93" t="n">
        <v>14</v>
      </c>
      <c r="R107" s="93" t="n">
        <v>3</v>
      </c>
      <c r="S107" s="93" t="n">
        <v>1</v>
      </c>
      <c r="T107" s="92" t="inlineStr">
        <is>
          <t xml:space="preserve">U-MS-5      </t>
        </is>
      </c>
      <c r="U107" s="93" t="n">
        <v>398</v>
      </c>
      <c r="V107" s="710" t="n">
        <v>9518</v>
      </c>
      <c r="W107" s="710" t="n">
        <v>10000</v>
      </c>
      <c r="X107" s="712" t="inlineStr">
        <is>
          <t>2.2:1</t>
        </is>
      </c>
      <c r="Y107" s="710" t="n">
        <v>4000</v>
      </c>
      <c r="Z107" s="92" t="inlineStr">
        <is>
          <t xml:space="preserve">C </t>
        </is>
      </c>
      <c r="AA107" s="93" t="n"/>
      <c r="AB107" s="93" t="n"/>
      <c r="AC107" s="93" t="n"/>
      <c r="AD107" s="93" t="inlineStr">
        <is>
          <t xml:space="preserve">S-W TULLAR ELECTRIC </t>
        </is>
      </c>
      <c r="AE107" s="93" t="n"/>
      <c r="AF107" s="93" t="n"/>
      <c r="AG107" s="93" t="n"/>
      <c r="AH107" s="93" t="n"/>
      <c r="AI107" s="93" t="n"/>
      <c r="AK107" s="265" t="inlineStr">
        <is>
          <t xml:space="preserve">PER COSTAR, LEASE ORIGINATED IN 1998.                             </t>
        </is>
      </c>
      <c r="AL107">
        <f>IF(AND(ISNUMBER($S107),$S107&gt;0,ISNUMBER($K107),ISNUMBER($J107)),($K107*$J107)/$S107,"")</f>
        <v/>
      </c>
      <c r="AM107" s="93" t="n"/>
      <c r="AN107" s="93" t="n"/>
      <c r="AO107" s="93" t="n"/>
      <c r="AP107" s="93" t="n"/>
      <c r="AQ107" s="93" t="n"/>
    </row>
    <row r="108" ht="14" customHeight="1" s="518">
      <c r="A108" s="106" t="n">
        <v>6</v>
      </c>
      <c r="B108" s="93" t="n">
        <v>103</v>
      </c>
      <c r="C108" s="93" t="inlineStr">
        <is>
          <t>2013Q</t>
        </is>
      </c>
      <c r="D108" s="93" t="inlineStr">
        <is>
          <t xml:space="preserve">02211-08-007-000 </t>
        </is>
      </c>
      <c r="E108" s="92" t="inlineStr">
        <is>
          <t>Actual</t>
        </is>
      </c>
      <c r="F108" s="93" t="inlineStr">
        <is>
          <t>1111 W 47TH                 AV</t>
        </is>
      </c>
      <c r="G108" s="93" t="n">
        <v>44.2</v>
      </c>
      <c r="H108" s="93" t="n">
        <v>9208</v>
      </c>
      <c r="I108" s="92" t="n">
        <v>0</v>
      </c>
      <c r="J108" s="710" t="n">
        <v>10840</v>
      </c>
      <c r="K108" s="711" t="n">
        <v>6.088560885608856</v>
      </c>
      <c r="L108" s="108" t="n">
        <v>0</v>
      </c>
      <c r="M108" s="97" t="n">
        <v>0</v>
      </c>
      <c r="N108" s="93" t="n">
        <v>1972</v>
      </c>
      <c r="O108" s="93" t="n">
        <v>2160</v>
      </c>
      <c r="P108" s="93" t="n">
        <v>0</v>
      </c>
      <c r="Q108" s="93" t="n">
        <v>18</v>
      </c>
      <c r="R108" s="93" t="n">
        <v>7</v>
      </c>
      <c r="S108" s="93" t="n">
        <v>1</v>
      </c>
      <c r="T108" s="92" t="inlineStr">
        <is>
          <t xml:space="preserve">I-A         </t>
        </is>
      </c>
      <c r="U108" s="93" t="n">
        <v>398</v>
      </c>
      <c r="V108" s="710" t="n">
        <v>41250</v>
      </c>
      <c r="W108" s="710" t="n">
        <v>41000</v>
      </c>
      <c r="X108" s="712" t="inlineStr">
        <is>
          <t>3.8:1</t>
        </is>
      </c>
      <c r="Y108" s="710" t="n">
        <v>11000</v>
      </c>
      <c r="Z108" s="92" t="inlineStr">
        <is>
          <t xml:space="preserve">C </t>
        </is>
      </c>
      <c r="AA108" s="93" t="n"/>
      <c r="AB108" s="93" t="n"/>
      <c r="AC108" s="93" t="n"/>
      <c r="AD108" s="93" t="inlineStr">
        <is>
          <t xml:space="preserve">MW BOTH OWNERS      </t>
        </is>
      </c>
      <c r="AE108" s="93" t="n"/>
      <c r="AF108" s="93" t="n"/>
      <c r="AG108" s="93" t="n"/>
      <c r="AH108" s="93" t="n"/>
      <c r="AI108" s="93" t="n"/>
      <c r="AK108" s="265" t="inlineStr"/>
      <c r="AL108">
        <f>IF(AND(ISNUMBER($S108),$S108&gt;0,ISNUMBER($K108),ISNUMBER($J108)),($K108*$J108)/$S108,"")</f>
        <v/>
      </c>
      <c r="AM108" s="93" t="n"/>
      <c r="AN108" s="93" t="n"/>
      <c r="AO108" s="93" t="n"/>
      <c r="AP108" s="93" t="n"/>
      <c r="AQ108" s="93" t="n"/>
    </row>
    <row r="109" ht="14" customHeight="1" s="518">
      <c r="A109" s="106" t="n">
        <v>6</v>
      </c>
      <c r="B109" s="93" t="n">
        <v>104</v>
      </c>
      <c r="C109" s="93" t="inlineStr">
        <is>
          <t>2013Q</t>
        </is>
      </c>
      <c r="D109" s="93" t="inlineStr">
        <is>
          <t xml:space="preserve">02211-13-022-000 </t>
        </is>
      </c>
      <c r="E109" s="92" t="inlineStr">
        <is>
          <t>Actual</t>
        </is>
      </c>
      <c r="F109" s="93" t="inlineStr">
        <is>
          <t>1051 W 46TH                 AV</t>
        </is>
      </c>
      <c r="G109" s="93" t="n">
        <v>44.1</v>
      </c>
      <c r="H109" s="93" t="n">
        <v>9208</v>
      </c>
      <c r="I109" s="92" t="n">
        <v>0</v>
      </c>
      <c r="J109" s="710" t="n">
        <v>4008</v>
      </c>
      <c r="K109" s="711" t="n">
        <v>6.736526946107785</v>
      </c>
      <c r="L109" s="108" t="n">
        <v>0</v>
      </c>
      <c r="M109" s="97" t="n">
        <v>0.126</v>
      </c>
      <c r="N109" s="93" t="n">
        <v>1980</v>
      </c>
      <c r="O109" s="93" t="n">
        <v>484</v>
      </c>
      <c r="P109" s="93" t="n">
        <v>0</v>
      </c>
      <c r="Q109" s="93" t="n">
        <v>17</v>
      </c>
      <c r="R109" s="93" t="n">
        <v>3</v>
      </c>
      <c r="S109" s="93" t="n">
        <v>1</v>
      </c>
      <c r="T109" s="92" t="inlineStr">
        <is>
          <t xml:space="preserve">I-A         </t>
        </is>
      </c>
      <c r="U109" s="93" t="n">
        <v>398</v>
      </c>
      <c r="V109" s="710" t="n">
        <v>6625</v>
      </c>
      <c r="W109" s="710" t="n">
        <v>7000</v>
      </c>
      <c r="X109" s="712" t="inlineStr">
        <is>
          <t>1.7:1</t>
        </is>
      </c>
      <c r="Y109" s="710" t="n">
        <v>4000</v>
      </c>
      <c r="Z109" s="92" t="inlineStr">
        <is>
          <t xml:space="preserve">C </t>
        </is>
      </c>
      <c r="AA109" s="93" t="n"/>
      <c r="AB109" s="93" t="n"/>
      <c r="AC109" s="93" t="n"/>
      <c r="AD109" s="93" t="inlineStr">
        <is>
          <t xml:space="preserve">MILE HIGH DOOR SEAL </t>
        </is>
      </c>
      <c r="AE109" s="93" t="n"/>
      <c r="AF109" s="93" t="n"/>
      <c r="AG109" s="93" t="n"/>
      <c r="AH109" s="93" t="n"/>
      <c r="AI109" s="93" t="n"/>
      <c r="AK109" s="265" t="inlineStr">
        <is>
          <t xml:space="preserve">DATE OF LEASE COMMENCEMENT UNKNOWN.                               </t>
        </is>
      </c>
      <c r="AL109">
        <f>IF(AND(ISNUMBER($S109),$S109&gt;0,ISNUMBER($K109),ISNUMBER($J109)),($K109*$J109)/$S109,"")</f>
        <v/>
      </c>
      <c r="AM109" s="93" t="n"/>
      <c r="AN109" s="93" t="n"/>
      <c r="AO109" s="93" t="n"/>
      <c r="AP109" s="93" t="n"/>
      <c r="AQ109" s="93" t="n"/>
    </row>
    <row r="110" ht="14" customHeight="1" s="518">
      <c r="A110" s="106" t="n">
        <v>6</v>
      </c>
      <c r="B110" s="93" t="n">
        <v>105</v>
      </c>
      <c r="C110" s="93" t="inlineStr">
        <is>
          <t>2013Q</t>
        </is>
      </c>
      <c r="D110" s="93" t="inlineStr">
        <is>
          <t xml:space="preserve">02214-19-007-000 </t>
        </is>
      </c>
      <c r="E110" s="92" t="inlineStr">
        <is>
          <t>Actual</t>
        </is>
      </c>
      <c r="F110" s="93" t="inlineStr">
        <is>
          <t>4105   JASON                ST</t>
        </is>
      </c>
      <c r="G110" s="93" t="n">
        <v>44.1</v>
      </c>
      <c r="H110" s="93" t="n">
        <v>9208</v>
      </c>
      <c r="I110" s="92" t="n">
        <v>0</v>
      </c>
      <c r="J110" s="710" t="n">
        <v>5000</v>
      </c>
      <c r="K110" s="711" t="n">
        <v>5.0304</v>
      </c>
      <c r="L110" s="108" t="n">
        <v>0</v>
      </c>
      <c r="M110" s="97" t="n">
        <v>0.08997296437659033</v>
      </c>
      <c r="N110" s="93" t="n">
        <v>1967</v>
      </c>
      <c r="O110" s="93" t="n">
        <v>0</v>
      </c>
      <c r="P110" s="93" t="n">
        <v>0</v>
      </c>
      <c r="Q110" s="93" t="n">
        <v>12</v>
      </c>
      <c r="R110" s="93" t="n">
        <v>1</v>
      </c>
      <c r="S110" s="93" t="n">
        <v>1</v>
      </c>
      <c r="T110" s="92" t="inlineStr">
        <is>
          <t xml:space="preserve">I-MX-3      </t>
        </is>
      </c>
      <c r="U110" s="93" t="n">
        <v>397</v>
      </c>
      <c r="V110" s="710" t="n">
        <v>12500</v>
      </c>
      <c r="W110" s="710" t="n">
        <v>13000</v>
      </c>
      <c r="X110" s="712" t="inlineStr">
        <is>
          <t>2.5:1</t>
        </is>
      </c>
      <c r="Y110" s="710" t="n">
        <v>5000</v>
      </c>
      <c r="Z110" s="92" t="inlineStr">
        <is>
          <t xml:space="preserve">C </t>
        </is>
      </c>
      <c r="AA110" s="93" t="n"/>
      <c r="AB110" s="93" t="n"/>
      <c r="AC110" s="93" t="n"/>
      <c r="AD110" s="93" t="inlineStr"/>
      <c r="AE110" s="93" t="n"/>
      <c r="AF110" s="93" t="n"/>
      <c r="AG110" s="93" t="n"/>
      <c r="AH110" s="93" t="n"/>
      <c r="AI110" s="93" t="n"/>
      <c r="AK110" s="265" t="inlineStr">
        <is>
          <t xml:space="preserve">DATE OF LEASE ORIGINATION UNKNOWN.                                </t>
        </is>
      </c>
      <c r="AL110">
        <f>IF(AND(ISNUMBER($S110),$S110&gt;0,ISNUMBER($K110),ISNUMBER($J110)),($K110*$J110)/$S110,"")</f>
        <v/>
      </c>
      <c r="AM110" s="93" t="n"/>
      <c r="AN110" s="93" t="n"/>
      <c r="AO110" s="93" t="n"/>
      <c r="AP110" s="93" t="n"/>
      <c r="AQ110" s="93" t="n"/>
    </row>
    <row r="111" ht="14" customHeight="1" s="518">
      <c r="A111" s="106" t="n">
        <v>6</v>
      </c>
      <c r="B111" s="93" t="n">
        <v>106</v>
      </c>
      <c r="C111" s="93" t="inlineStr">
        <is>
          <t>2013Q</t>
        </is>
      </c>
      <c r="D111" s="93" t="inlineStr">
        <is>
          <t xml:space="preserve">02214-31-003-000 </t>
        </is>
      </c>
      <c r="E111" s="92" t="inlineStr">
        <is>
          <t>Actual</t>
        </is>
      </c>
      <c r="F111" s="93" t="inlineStr">
        <is>
          <t>4024   JASON                ST</t>
        </is>
      </c>
      <c r="G111" s="93" t="n">
        <v>44.1</v>
      </c>
      <c r="H111" s="93" t="n">
        <v>9208</v>
      </c>
      <c r="I111" s="92" t="n">
        <v>0</v>
      </c>
      <c r="J111" s="710" t="n">
        <v>5000</v>
      </c>
      <c r="K111" s="711" t="n">
        <v>8.4</v>
      </c>
      <c r="L111" s="108" t="n">
        <v>0</v>
      </c>
      <c r="M111" s="97" t="n">
        <v>0.06573809523809523</v>
      </c>
      <c r="N111" s="93" t="n">
        <v>1968</v>
      </c>
      <c r="O111" s="93" t="n">
        <v>500</v>
      </c>
      <c r="P111" s="93" t="n">
        <v>0</v>
      </c>
      <c r="Q111" s="93" t="n">
        <v>11</v>
      </c>
      <c r="R111" s="93" t="n">
        <v>3</v>
      </c>
      <c r="S111" s="93" t="n">
        <v>2</v>
      </c>
      <c r="T111" s="92" t="inlineStr">
        <is>
          <t xml:space="preserve">I-A         </t>
        </is>
      </c>
      <c r="U111" s="93" t="n">
        <v>398</v>
      </c>
      <c r="V111" s="710" t="n">
        <v>9370</v>
      </c>
      <c r="W111" s="710" t="n">
        <v>9000</v>
      </c>
      <c r="X111" s="712" t="inlineStr">
        <is>
          <t>1.9:1</t>
        </is>
      </c>
      <c r="Y111" s="710" t="n">
        <v>5000</v>
      </c>
      <c r="Z111" s="92" t="inlineStr">
        <is>
          <t xml:space="preserve">C </t>
        </is>
      </c>
      <c r="AA111" s="93" t="n"/>
      <c r="AB111" s="93" t="n"/>
      <c r="AC111" s="93" t="n"/>
      <c r="AD111" s="93" t="inlineStr"/>
      <c r="AE111" s="93" t="n"/>
      <c r="AF111" s="93" t="n"/>
      <c r="AG111" s="93" t="n"/>
      <c r="AH111" s="93" t="n"/>
      <c r="AI111" s="93" t="n"/>
      <c r="AK111" s="265" t="inlineStr">
        <is>
          <t xml:space="preserve">DATE OF LEASE ORIGINATION UNKNOWN.                                </t>
        </is>
      </c>
      <c r="AL111">
        <f>IF(AND(ISNUMBER($S111),$S111&gt;0,ISNUMBER($K111),ISNUMBER($J111)),($K111*$J111)/$S111,"")</f>
        <v/>
      </c>
      <c r="AM111" s="93" t="n"/>
      <c r="AN111" s="93" t="n"/>
      <c r="AO111" s="93" t="n"/>
      <c r="AP111" s="93" t="n"/>
      <c r="AQ111" s="93" t="n"/>
    </row>
    <row r="112" ht="14" customHeight="1" s="518">
      <c r="A112" s="106" t="n">
        <v>6</v>
      </c>
      <c r="B112" s="93" t="n">
        <v>107</v>
      </c>
      <c r="C112" s="93" t="inlineStr">
        <is>
          <t>2013Q</t>
        </is>
      </c>
      <c r="D112" s="93" t="inlineStr">
        <is>
          <t xml:space="preserve">02214-31-007-000 </t>
        </is>
      </c>
      <c r="E112" s="92" t="inlineStr">
        <is>
          <t>Actual</t>
        </is>
      </c>
      <c r="F112" s="93" t="inlineStr">
        <is>
          <t>4090   JASON                ST</t>
        </is>
      </c>
      <c r="G112" s="93" t="n">
        <v>44.1</v>
      </c>
      <c r="H112" s="93" t="n">
        <v>9208</v>
      </c>
      <c r="I112" s="92" t="n">
        <v>0</v>
      </c>
      <c r="J112" s="710" t="n">
        <v>2909</v>
      </c>
      <c r="K112" s="711" t="n">
        <v>6.187693365417669</v>
      </c>
      <c r="L112" s="108" t="n">
        <v>0</v>
      </c>
      <c r="M112" s="97" t="n">
        <v>0.1093333333333333</v>
      </c>
      <c r="N112" s="93" t="n">
        <v>1951</v>
      </c>
      <c r="O112" s="93" t="n">
        <v>431</v>
      </c>
      <c r="P112" s="93" t="n">
        <v>0</v>
      </c>
      <c r="Q112" s="93" t="n">
        <v>10</v>
      </c>
      <c r="R112" s="93" t="n">
        <v>3</v>
      </c>
      <c r="S112" s="93" t="n">
        <v>1</v>
      </c>
      <c r="T112" s="92" t="inlineStr">
        <is>
          <t xml:space="preserve">I-A         </t>
        </is>
      </c>
      <c r="U112" s="93" t="n">
        <v>398</v>
      </c>
      <c r="V112" s="710" t="n">
        <v>9375</v>
      </c>
      <c r="W112" s="710" t="n">
        <v>9000</v>
      </c>
      <c r="X112" s="712" t="inlineStr">
        <is>
          <t>3.2:1</t>
        </is>
      </c>
      <c r="Y112" s="710" t="n">
        <v>3000</v>
      </c>
      <c r="Z112" s="92" t="inlineStr">
        <is>
          <t xml:space="preserve">C </t>
        </is>
      </c>
      <c r="AA112" s="93" t="n"/>
      <c r="AB112" s="93" t="n"/>
      <c r="AC112" s="93" t="n"/>
      <c r="AD112" s="93" t="inlineStr">
        <is>
          <t xml:space="preserve">S-W CONCRETE CORING </t>
        </is>
      </c>
      <c r="AE112" s="93" t="n"/>
      <c r="AF112" s="93" t="n"/>
      <c r="AG112" s="93" t="n"/>
      <c r="AH112" s="93" t="n"/>
      <c r="AI112" s="93" t="n"/>
      <c r="AK112" s="265" t="inlineStr">
        <is>
          <t xml:space="preserve">2010 LEASE PER COSTAR.                                            </t>
        </is>
      </c>
      <c r="AL112">
        <f>IF(AND(ISNUMBER($S112),$S112&gt;0,ISNUMBER($K112),ISNUMBER($J112)),($K112*$J112)/$S112,"")</f>
        <v/>
      </c>
      <c r="AM112" s="93" t="n"/>
      <c r="AN112" s="93" t="n"/>
      <c r="AO112" s="93" t="n"/>
      <c r="AP112" s="93" t="n"/>
      <c r="AQ112" s="93" t="n"/>
    </row>
    <row r="113" ht="14" customHeight="1" s="518">
      <c r="A113" s="106" t="n">
        <v>6</v>
      </c>
      <c r="B113" s="93" t="n">
        <v>108</v>
      </c>
      <c r="C113" s="93" t="inlineStr">
        <is>
          <t>2013Q</t>
        </is>
      </c>
      <c r="D113" s="93" t="inlineStr">
        <is>
          <t xml:space="preserve">02214-41-006-000 </t>
        </is>
      </c>
      <c r="E113" s="92" t="inlineStr">
        <is>
          <t>Actual</t>
        </is>
      </c>
      <c r="F113" s="93" t="inlineStr">
        <is>
          <t>1627 W 38TH                 AV</t>
        </is>
      </c>
      <c r="G113" s="93" t="n">
        <v>44.1</v>
      </c>
      <c r="H113" s="93" t="n">
        <v>9208</v>
      </c>
      <c r="I113" s="92" t="n">
        <v>9</v>
      </c>
      <c r="J113" s="710" t="n">
        <v>6599</v>
      </c>
      <c r="K113" s="711" t="n">
        <v>7.001060766782846</v>
      </c>
      <c r="L113" s="108" t="n">
        <v>0</v>
      </c>
      <c r="M113" s="97" t="n">
        <v>0.1844805194805195</v>
      </c>
      <c r="N113" s="93" t="n">
        <v>1952</v>
      </c>
      <c r="O113" s="93" t="n">
        <v>0</v>
      </c>
      <c r="P113" s="93" t="n">
        <v>0</v>
      </c>
      <c r="Q113" s="93" t="n">
        <v>12</v>
      </c>
      <c r="R113" s="93" t="n">
        <v>3</v>
      </c>
      <c r="S113" s="93" t="n">
        <v>3</v>
      </c>
      <c r="T113" s="92" t="inlineStr">
        <is>
          <t xml:space="preserve">U-MX-3      </t>
        </is>
      </c>
      <c r="U113" s="93" t="n">
        <v>398</v>
      </c>
      <c r="V113" s="710" t="n">
        <v>9440</v>
      </c>
      <c r="W113" s="710" t="n">
        <v>9000</v>
      </c>
      <c r="X113" s="712" t="inlineStr">
        <is>
          <t>1.4:1</t>
        </is>
      </c>
      <c r="Y113" s="710" t="n">
        <v>7000</v>
      </c>
      <c r="Z113" s="92" t="inlineStr">
        <is>
          <t xml:space="preserve">C </t>
        </is>
      </c>
      <c r="AA113" s="93" t="n"/>
      <c r="AB113" s="93" t="n"/>
      <c r="AC113" s="93" t="n"/>
      <c r="AD113" s="93" t="inlineStr"/>
      <c r="AE113" s="93" t="n"/>
      <c r="AF113" s="93" t="n"/>
      <c r="AG113" s="93" t="n"/>
      <c r="AH113" s="93" t="n"/>
      <c r="AI113" s="93" t="n"/>
      <c r="AK113" s="265" t="inlineStr">
        <is>
          <t xml:space="preserve">COMMENCEMENT DATE OF LEASES UNKNOWN.                              </t>
        </is>
      </c>
      <c r="AL113">
        <f>IF(AND(ISNUMBER($S113),$S113&gt;0,ISNUMBER($K113),ISNUMBER($J113)),($K113*$J113)/$S113,"")</f>
        <v/>
      </c>
      <c r="AM113" s="93" t="n"/>
      <c r="AN113" s="93" t="n"/>
      <c r="AO113" s="93" t="n"/>
      <c r="AP113" s="93" t="n"/>
      <c r="AQ113" s="93" t="n"/>
    </row>
    <row r="114" ht="14" customHeight="1" s="518">
      <c r="A114" s="106" t="n">
        <v>6</v>
      </c>
      <c r="B114" s="93" t="n">
        <v>109</v>
      </c>
      <c r="C114" s="93" t="inlineStr">
        <is>
          <t>2013Q</t>
        </is>
      </c>
      <c r="D114" s="93" t="inlineStr">
        <is>
          <t xml:space="preserve">02214-43-017-000 </t>
        </is>
      </c>
      <c r="E114" s="92" t="inlineStr">
        <is>
          <t>Actual</t>
        </is>
      </c>
      <c r="F114" s="93" t="inlineStr">
        <is>
          <t>3855   MARIPOSA             ST</t>
        </is>
      </c>
      <c r="G114" s="93" t="n">
        <v>44.2</v>
      </c>
      <c r="H114" s="93" t="n">
        <v>9208</v>
      </c>
      <c r="I114" s="92" t="n">
        <v>9</v>
      </c>
      <c r="J114" s="710" t="n">
        <v>27955</v>
      </c>
      <c r="K114" s="711" t="n">
        <v>5.499982114111965</v>
      </c>
      <c r="L114" s="108" t="n">
        <v>0.5</v>
      </c>
      <c r="M114" s="97" t="n">
        <v>0.2116590353296217</v>
      </c>
      <c r="N114" s="93" t="n">
        <v>1956</v>
      </c>
      <c r="O114" s="93" t="n">
        <v>7498</v>
      </c>
      <c r="P114" s="93" t="n">
        <v>0</v>
      </c>
      <c r="Q114" s="93" t="n">
        <v>16</v>
      </c>
      <c r="R114" s="93" t="n">
        <v>3</v>
      </c>
      <c r="S114" s="93" t="n">
        <v>1</v>
      </c>
      <c r="T114" s="92" t="inlineStr">
        <is>
          <t xml:space="preserve">U-MX-3      </t>
        </is>
      </c>
      <c r="U114" s="93" t="n">
        <v>398</v>
      </c>
      <c r="V114" s="710" t="n">
        <v>47006</v>
      </c>
      <c r="W114" s="710" t="n">
        <v>47000</v>
      </c>
      <c r="X114" s="712" t="inlineStr">
        <is>
          <t>1.7:1</t>
        </is>
      </c>
      <c r="Y114" s="710" t="n">
        <v>28000</v>
      </c>
      <c r="Z114" s="92" t="inlineStr">
        <is>
          <t xml:space="preserve">C </t>
        </is>
      </c>
      <c r="AA114" s="93" t="n"/>
      <c r="AB114" s="93" t="n"/>
      <c r="AC114" s="93" t="n"/>
      <c r="AD114" s="93" t="inlineStr">
        <is>
          <t>M-W URBAN FABRICAT'N</t>
        </is>
      </c>
      <c r="AE114" s="93" t="n"/>
      <c r="AF114" s="93" t="n"/>
      <c r="AG114" s="93" t="n"/>
      <c r="AH114" s="93" t="n"/>
      <c r="AI114" s="93" t="n"/>
      <c r="AK114" s="265" t="inlineStr">
        <is>
          <t xml:space="preserve">LEASES 2010-2012.                                                 </t>
        </is>
      </c>
      <c r="AL114">
        <f>IF(AND(ISNUMBER($S114),$S114&gt;0,ISNUMBER($K114),ISNUMBER($J114)),($K114*$J114)/$S114,"")</f>
        <v/>
      </c>
      <c r="AM114" s="93" t="n"/>
      <c r="AN114" s="93" t="n"/>
      <c r="AO114" s="93" t="n"/>
      <c r="AP114" s="93" t="n"/>
      <c r="AQ114" s="93" t="n"/>
    </row>
    <row r="115" ht="28" customHeight="1" s="518">
      <c r="A115" s="106" t="n">
        <v>6</v>
      </c>
      <c r="B115" s="93" t="n">
        <v>110</v>
      </c>
      <c r="C115" s="93" t="inlineStr">
        <is>
          <t>2013Q</t>
        </is>
      </c>
      <c r="D115" s="93" t="inlineStr">
        <is>
          <t xml:space="preserve">02223-00-078-000 </t>
        </is>
      </c>
      <c r="E115" s="92" t="inlineStr">
        <is>
          <t>Actual</t>
        </is>
      </c>
      <c r="F115" s="93" t="inlineStr">
        <is>
          <t>2570   31ST                 ST</t>
        </is>
      </c>
      <c r="G115" s="93" t="n">
        <v>44.1</v>
      </c>
      <c r="H115" s="93" t="n">
        <v>9208</v>
      </c>
      <c r="I115" s="92" t="n">
        <v>0</v>
      </c>
      <c r="J115" s="710" t="n">
        <v>33280</v>
      </c>
      <c r="K115" s="711" t="n">
        <v>3.119718309859155</v>
      </c>
      <c r="L115" s="108" t="n">
        <v>0</v>
      </c>
      <c r="M115" s="97" t="n">
        <v>0</v>
      </c>
      <c r="N115" s="93" t="n">
        <v>1968</v>
      </c>
      <c r="O115" s="93" t="n">
        <v>4285</v>
      </c>
      <c r="P115" s="93" t="n">
        <v>0</v>
      </c>
      <c r="Q115" s="93" t="n">
        <v>25</v>
      </c>
      <c r="R115" s="93" t="n">
        <v>10</v>
      </c>
      <c r="S115" s="93" t="n">
        <v>1</v>
      </c>
      <c r="T115" s="92" t="inlineStr">
        <is>
          <t xml:space="preserve">I-A         </t>
        </is>
      </c>
      <c r="U115" s="93" t="n">
        <v>398</v>
      </c>
      <c r="V115" s="710" t="n">
        <v>62400</v>
      </c>
      <c r="W115" s="710" t="n">
        <v>62000</v>
      </c>
      <c r="X115" s="712" t="inlineStr">
        <is>
          <t>1.9:1</t>
        </is>
      </c>
      <c r="Y115" s="710" t="n">
        <v>33000</v>
      </c>
      <c r="Z115" s="92" t="inlineStr">
        <is>
          <t xml:space="preserve">C </t>
        </is>
      </c>
      <c r="AA115" s="93" t="n"/>
      <c r="AB115" s="93" t="n"/>
      <c r="AC115" s="93" t="n"/>
      <c r="AD115" s="93" t="inlineStr"/>
      <c r="AE115" s="93" t="n"/>
      <c r="AF115" s="93" t="n"/>
      <c r="AG115" s="93" t="n"/>
      <c r="AH115" s="93" t="n"/>
      <c r="AI115" s="93" t="n"/>
      <c r="AK115" s="265" t="inlineStr">
        <is>
          <t xml:space="preserve">INSUFF. INFO TO ALLOCATE EXP. BETWEEN BUSINESS &amp; R.E.             </t>
        </is>
      </c>
      <c r="AL115">
        <f>IF(AND(ISNUMBER($S115),$S115&gt;0,ISNUMBER($K115),ISNUMBER($J115)),($K115*$J115)/$S115,"")</f>
        <v/>
      </c>
      <c r="AM115" s="93" t="n"/>
      <c r="AN115" s="93" t="n"/>
      <c r="AO115" s="93" t="n"/>
      <c r="AP115" s="93" t="n"/>
      <c r="AQ115" s="93" t="n"/>
    </row>
    <row r="116" ht="14" customHeight="1" s="518">
      <c r="A116" s="106" t="n">
        <v>6</v>
      </c>
      <c r="B116" s="93" t="n">
        <v>111</v>
      </c>
      <c r="C116" s="93" t="inlineStr">
        <is>
          <t>2013Q</t>
        </is>
      </c>
      <c r="D116" s="93" t="inlineStr">
        <is>
          <t xml:space="preserve">02223-11-011-000 </t>
        </is>
      </c>
      <c r="E116" s="92" t="inlineStr">
        <is>
          <t>Actual</t>
        </is>
      </c>
      <c r="F116" s="93" t="inlineStr">
        <is>
          <t>642 W 43RD                 AV</t>
        </is>
      </c>
      <c r="G116" s="93" t="n">
        <v>44.1</v>
      </c>
      <c r="H116" s="93" t="n">
        <v>9208</v>
      </c>
      <c r="I116" s="92" t="n">
        <v>0</v>
      </c>
      <c r="J116" s="710" t="n">
        <v>9000</v>
      </c>
      <c r="K116" s="711" t="n">
        <v>6.666666666666667</v>
      </c>
      <c r="L116" s="108" t="n">
        <v>0</v>
      </c>
      <c r="M116" s="97" t="n">
        <v>0.1</v>
      </c>
      <c r="N116" s="93" t="n">
        <v>1978</v>
      </c>
      <c r="O116" s="93" t="n">
        <v>330</v>
      </c>
      <c r="P116" s="93" t="n">
        <v>1000</v>
      </c>
      <c r="Q116" s="93" t="n">
        <v>16</v>
      </c>
      <c r="R116" s="93" t="n">
        <v>7</v>
      </c>
      <c r="S116" s="93" t="n">
        <v>1</v>
      </c>
      <c r="T116" s="92" t="inlineStr">
        <is>
          <t xml:space="preserve">I-A         </t>
        </is>
      </c>
      <c r="U116" s="93" t="n">
        <v>398</v>
      </c>
      <c r="V116" s="710" t="n">
        <v>12485</v>
      </c>
      <c r="W116" s="710" t="n">
        <v>12000</v>
      </c>
      <c r="X116" s="712" t="inlineStr">
        <is>
          <t>1.4:1</t>
        </is>
      </c>
      <c r="Y116" s="710" t="n">
        <v>9000</v>
      </c>
      <c r="Z116" s="92" t="inlineStr">
        <is>
          <t xml:space="preserve">C </t>
        </is>
      </c>
      <c r="AA116" s="93" t="n"/>
      <c r="AB116" s="93" t="n"/>
      <c r="AC116" s="93" t="n"/>
      <c r="AD116" s="93" t="inlineStr"/>
      <c r="AE116" s="93" t="n"/>
      <c r="AF116" s="93" t="n"/>
      <c r="AG116" s="93" t="n"/>
      <c r="AH116" s="93" t="n"/>
      <c r="AI116" s="93" t="n"/>
      <c r="AK116" s="265" t="inlineStr">
        <is>
          <t xml:space="preserve">2009 LEASE.                                                       </t>
        </is>
      </c>
      <c r="AL116">
        <f>IF(AND(ISNUMBER($S116),$S116&gt;0,ISNUMBER($K116),ISNUMBER($J116)),($K116*$J116)/$S116,"")</f>
        <v/>
      </c>
      <c r="AM116" s="93" t="n"/>
      <c r="AN116" s="93" t="n"/>
      <c r="AO116" s="93" t="n"/>
      <c r="AP116" s="93" t="n"/>
      <c r="AQ116" s="93" t="n"/>
    </row>
    <row r="117" ht="28" customHeight="1" s="518">
      <c r="A117" s="106" t="n">
        <v>6</v>
      </c>
      <c r="B117" s="93" t="n">
        <v>112</v>
      </c>
      <c r="C117" s="93" t="inlineStr">
        <is>
          <t>2013Q</t>
        </is>
      </c>
      <c r="D117" s="93" t="inlineStr">
        <is>
          <t xml:space="preserve">02223-12-017-000 </t>
        </is>
      </c>
      <c r="E117" s="92" t="inlineStr">
        <is>
          <t>Actual</t>
        </is>
      </c>
      <c r="F117" s="93" t="inlineStr">
        <is>
          <t>4225   ELATI                ST</t>
        </is>
      </c>
      <c r="G117" s="93" t="n">
        <v>44.1</v>
      </c>
      <c r="H117" s="93" t="n">
        <v>9208</v>
      </c>
      <c r="I117" s="92" t="n">
        <v>0</v>
      </c>
      <c r="J117" s="710" t="n">
        <v>1320</v>
      </c>
      <c r="K117" s="711" t="n">
        <v>16.36363636363636</v>
      </c>
      <c r="L117" s="108" t="n">
        <v>0</v>
      </c>
      <c r="M117" s="97" t="n">
        <v>0.01759259259259259</v>
      </c>
      <c r="N117" s="93" t="n">
        <v>1972</v>
      </c>
      <c r="O117" s="93" t="n">
        <v>580</v>
      </c>
      <c r="P117" s="93" t="n">
        <v>0</v>
      </c>
      <c r="Q117" s="93" t="n">
        <v>12</v>
      </c>
      <c r="R117" s="93" t="n">
        <v>7</v>
      </c>
      <c r="S117" s="93" t="n">
        <v>1</v>
      </c>
      <c r="T117" s="92" t="inlineStr">
        <is>
          <t xml:space="preserve">I-A         </t>
        </is>
      </c>
      <c r="U117" s="93" t="n">
        <v>398</v>
      </c>
      <c r="V117" s="710" t="n">
        <v>25000</v>
      </c>
      <c r="W117" s="710" t="n">
        <v>25000</v>
      </c>
      <c r="X117" s="712" t="inlineStr">
        <is>
          <t>18.9:1</t>
        </is>
      </c>
      <c r="Y117" s="710" t="n">
        <v>1000</v>
      </c>
      <c r="Z117" s="92" t="inlineStr">
        <is>
          <t xml:space="preserve">C </t>
        </is>
      </c>
      <c r="AA117" s="93" t="n"/>
      <c r="AB117" s="93" t="n"/>
      <c r="AC117" s="93" t="n"/>
      <c r="AD117" s="93" t="inlineStr">
        <is>
          <t xml:space="preserve">S-W DENVER BRICK    </t>
        </is>
      </c>
      <c r="AE117" s="93" t="n"/>
      <c r="AF117" s="93" t="n"/>
      <c r="AG117" s="93" t="n"/>
      <c r="AH117" s="93" t="n"/>
      <c r="AI117" s="93" t="n"/>
      <c r="AK117" s="265" t="inlineStr">
        <is>
          <t xml:space="preserve">LEASE ORIGINATION UNKNOWN; HIGH LAND-TO-BLDG RATIO/EXCESS LAND.   </t>
        </is>
      </c>
      <c r="AL117">
        <f>IF(AND(ISNUMBER($S117),$S117&gt;0,ISNUMBER($K117),ISNUMBER($J117)),($K117*$J117)/$S117,"")</f>
        <v/>
      </c>
      <c r="AM117" s="93" t="n"/>
      <c r="AN117" s="93" t="n"/>
      <c r="AO117" s="93" t="n"/>
      <c r="AP117" s="93" t="n"/>
      <c r="AQ117" s="93" t="n"/>
    </row>
    <row r="118" ht="28" customHeight="1" s="518">
      <c r="A118" s="106" t="n">
        <v>6</v>
      </c>
      <c r="B118" s="93" t="n">
        <v>113</v>
      </c>
      <c r="C118" s="93" t="inlineStr">
        <is>
          <t>2013Q</t>
        </is>
      </c>
      <c r="D118" s="93" t="inlineStr">
        <is>
          <t xml:space="preserve">02223-13-024-000 </t>
        </is>
      </c>
      <c r="E118" s="92" t="inlineStr">
        <is>
          <t>Actual</t>
        </is>
      </c>
      <c r="F118" s="93" t="inlineStr">
        <is>
          <t>4256   ELATI                ST</t>
        </is>
      </c>
      <c r="G118" s="93" t="inlineStr">
        <is>
          <t>44.M</t>
        </is>
      </c>
      <c r="H118" s="93" t="n">
        <v>9208</v>
      </c>
      <c r="I118" s="92" t="n">
        <v>0</v>
      </c>
      <c r="J118" s="710" t="n">
        <v>2000</v>
      </c>
      <c r="K118" s="711" t="n">
        <v>6</v>
      </c>
      <c r="L118" s="108" t="n">
        <v>1</v>
      </c>
      <c r="M118" s="97" t="n">
        <v>0</v>
      </c>
      <c r="N118" s="93" t="n">
        <v>1978</v>
      </c>
      <c r="O118" s="93" t="n">
        <v>150</v>
      </c>
      <c r="P118" s="93" t="n">
        <v>0</v>
      </c>
      <c r="Q118" s="93" t="n">
        <v>10</v>
      </c>
      <c r="R118" s="93" t="n">
        <v>7</v>
      </c>
      <c r="S118" s="93" t="n">
        <v>1</v>
      </c>
      <c r="T118" s="92" t="inlineStr">
        <is>
          <t xml:space="preserve">I-A         </t>
        </is>
      </c>
      <c r="U118" s="93" t="n">
        <v>398</v>
      </c>
      <c r="V118" s="710" t="n">
        <v>7175</v>
      </c>
      <c r="W118" s="710" t="n">
        <v>7000</v>
      </c>
      <c r="X118" s="712" t="inlineStr">
        <is>
          <t>3.6:1</t>
        </is>
      </c>
      <c r="Y118" s="710" t="n">
        <v>2000</v>
      </c>
      <c r="Z118" s="92" t="inlineStr">
        <is>
          <t xml:space="preserve">C </t>
        </is>
      </c>
      <c r="AA118" s="93" t="n"/>
      <c r="AB118" s="93" t="n"/>
      <c r="AC118" s="93" t="n"/>
      <c r="AD118" s="93" t="inlineStr">
        <is>
          <t>S-W ALEX MANUFACTURG</t>
        </is>
      </c>
      <c r="AE118" s="93" t="n"/>
      <c r="AF118" s="93" t="n"/>
      <c r="AG118" s="93" t="n"/>
      <c r="AH118" s="93" t="n"/>
      <c r="AI118" s="93" t="n"/>
      <c r="AK118" s="265" t="inlineStr">
        <is>
          <t xml:space="preserve">C&amp;R - CAN'T ALLOCATE EXPENSES BETWEEN THE USES.                   </t>
        </is>
      </c>
      <c r="AL118">
        <f>IF(AND(ISNUMBER($S118),$S118&gt;0,ISNUMBER($K118),ISNUMBER($J118)),($K118*$J118)/$S118,"")</f>
        <v/>
      </c>
      <c r="AM118" s="93" t="n"/>
      <c r="AN118" s="93" t="n"/>
      <c r="AO118" s="93" t="n"/>
      <c r="AP118" s="93" t="n"/>
      <c r="AQ118" s="93" t="n"/>
    </row>
    <row r="119" ht="14" customHeight="1" s="518">
      <c r="A119" s="106" t="n">
        <v>6</v>
      </c>
      <c r="B119" s="93" t="n">
        <v>114</v>
      </c>
      <c r="C119" s="93" t="inlineStr">
        <is>
          <t>2013Q</t>
        </is>
      </c>
      <c r="D119" s="93" t="inlineStr">
        <is>
          <t xml:space="preserve">02223-19-009-000 </t>
        </is>
      </c>
      <c r="E119" s="92" t="inlineStr">
        <is>
          <t>Actual</t>
        </is>
      </c>
      <c r="F119" s="93" t="inlineStr">
        <is>
          <t>450 W 42ND                 AV</t>
        </is>
      </c>
      <c r="G119" s="93" t="n">
        <v>44.1</v>
      </c>
      <c r="H119" s="93" t="n">
        <v>9208</v>
      </c>
      <c r="I119" s="92" t="n">
        <v>0</v>
      </c>
      <c r="J119" s="710" t="n">
        <v>6144</v>
      </c>
      <c r="K119" s="711" t="n">
        <v>5.227864583333333</v>
      </c>
      <c r="L119" s="108" t="n">
        <v>0</v>
      </c>
      <c r="M119" s="97" t="n">
        <v>0</v>
      </c>
      <c r="N119" s="93" t="n">
        <v>1973</v>
      </c>
      <c r="O119" s="93" t="n">
        <v>1593</v>
      </c>
      <c r="P119" s="93" t="n">
        <v>0</v>
      </c>
      <c r="Q119" s="93" t="n">
        <v>14</v>
      </c>
      <c r="R119" s="93" t="n">
        <v>14</v>
      </c>
      <c r="S119" s="93" t="n">
        <v>1</v>
      </c>
      <c r="T119" s="92" t="inlineStr">
        <is>
          <t xml:space="preserve">I-A         </t>
        </is>
      </c>
      <c r="U119" s="93" t="n">
        <v>398</v>
      </c>
      <c r="V119" s="710" t="n">
        <v>30805</v>
      </c>
      <c r="W119" s="710" t="n">
        <v>31000</v>
      </c>
      <c r="X119" s="712" t="inlineStr">
        <is>
          <t>5:1</t>
        </is>
      </c>
      <c r="Y119" s="710" t="n">
        <v>6000</v>
      </c>
      <c r="Z119" s="92" t="inlineStr">
        <is>
          <t xml:space="preserve">C </t>
        </is>
      </c>
      <c r="AA119" s="93" t="n"/>
      <c r="AB119" s="93" t="n"/>
      <c r="AC119" s="93" t="n"/>
      <c r="AD119" s="93" t="inlineStr">
        <is>
          <t xml:space="preserve">SHERMAN WILLIAMS    </t>
        </is>
      </c>
      <c r="AE119" s="93" t="n"/>
      <c r="AF119" s="93" t="n"/>
      <c r="AG119" s="93" t="n"/>
      <c r="AH119" s="93" t="n"/>
      <c r="AI119" s="93" t="n"/>
      <c r="AK119" s="265" t="inlineStr">
        <is>
          <t xml:space="preserve">2010 LEASE.                                                       </t>
        </is>
      </c>
      <c r="AL119">
        <f>IF(AND(ISNUMBER($S119),$S119&gt;0,ISNUMBER($K119),ISNUMBER($J119)),($K119*$J119)/$S119,"")</f>
        <v/>
      </c>
      <c r="AM119" s="93" t="n"/>
      <c r="AN119" s="93" t="n"/>
      <c r="AO119" s="93" t="n"/>
      <c r="AP119" s="93" t="n"/>
      <c r="AQ119" s="93" t="n"/>
    </row>
    <row r="120" ht="28" customHeight="1" s="518">
      <c r="A120" s="106" t="n">
        <v>6</v>
      </c>
      <c r="B120" s="93" t="n">
        <v>115</v>
      </c>
      <c r="C120" s="93" t="inlineStr">
        <is>
          <t>2013Q</t>
        </is>
      </c>
      <c r="D120" s="93" t="inlineStr">
        <is>
          <t xml:space="preserve">02231-30-009-000 </t>
        </is>
      </c>
      <c r="E120" s="92" t="inlineStr">
        <is>
          <t>Actual</t>
        </is>
      </c>
      <c r="F120" s="93" t="inlineStr">
        <is>
          <t>4301   CLAUDE               CT</t>
        </is>
      </c>
      <c r="G120" s="93" t="n">
        <v>47.2</v>
      </c>
      <c r="H120" s="93" t="n">
        <v>9201</v>
      </c>
      <c r="I120" s="92" t="n">
        <v>0</v>
      </c>
      <c r="J120" s="710" t="n">
        <v>24266</v>
      </c>
      <c r="K120" s="711" t="n">
        <v>6.666666666666667</v>
      </c>
      <c r="L120" s="108" t="n">
        <v>0</v>
      </c>
      <c r="M120" s="97" t="n">
        <v>0</v>
      </c>
      <c r="N120" s="93" t="n">
        <v>1964</v>
      </c>
      <c r="O120" s="93" t="n">
        <v>600</v>
      </c>
      <c r="P120" s="93" t="n">
        <v>0</v>
      </c>
      <c r="Q120" s="93" t="n">
        <v>18</v>
      </c>
      <c r="R120" s="93" t="n">
        <v>1</v>
      </c>
      <c r="S120" s="93" t="n">
        <v>1</v>
      </c>
      <c r="T120" s="92" t="inlineStr">
        <is>
          <t xml:space="preserve">I-A         </t>
        </is>
      </c>
      <c r="U120" s="93" t="n">
        <v>401</v>
      </c>
      <c r="V120" s="710" t="n">
        <v>25425</v>
      </c>
      <c r="W120" s="710" t="n">
        <v>25000</v>
      </c>
      <c r="X120" s="712" t="inlineStr">
        <is>
          <t>1:1</t>
        </is>
      </c>
      <c r="Y120" s="710" t="n">
        <v>24000</v>
      </c>
      <c r="Z120" s="92" t="inlineStr">
        <is>
          <t xml:space="preserve">C </t>
        </is>
      </c>
      <c r="AA120" s="93" t="n"/>
      <c r="AB120" s="93" t="n"/>
      <c r="AC120" s="93" t="n"/>
      <c r="AD120" s="93" t="inlineStr"/>
      <c r="AE120" s="93" t="n"/>
      <c r="AF120" s="93" t="n"/>
      <c r="AG120" s="93" t="n"/>
      <c r="AH120" s="93" t="n"/>
      <c r="AI120" s="93" t="n"/>
      <c r="AK120" s="265" t="inlineStr">
        <is>
          <t xml:space="preserve">2010 COMMENCEMENT; CAN'T SEPARATE OWNER &amp; TENANT EXPENSES.        </t>
        </is>
      </c>
      <c r="AL120">
        <f>IF(AND(ISNUMBER($S120),$S120&gt;0,ISNUMBER($K120),ISNUMBER($J120)),($K120*$J120)/$S120,"")</f>
        <v/>
      </c>
      <c r="AM120" s="93" t="n"/>
      <c r="AN120" s="93" t="n"/>
      <c r="AO120" s="93" t="n"/>
      <c r="AP120" s="93" t="n"/>
      <c r="AQ120" s="93" t="n"/>
    </row>
    <row r="121" ht="28" customHeight="1" s="518">
      <c r="A121" s="106" t="n">
        <v>6</v>
      </c>
      <c r="B121" s="93" t="n">
        <v>116</v>
      </c>
      <c r="C121" s="93" t="inlineStr">
        <is>
          <t>2013Q</t>
        </is>
      </c>
      <c r="D121" s="93" t="inlineStr">
        <is>
          <t xml:space="preserve">02232-00-194-000 </t>
        </is>
      </c>
      <c r="E121" s="92" t="inlineStr">
        <is>
          <t>Actual</t>
        </is>
      </c>
      <c r="F121" s="93" t="inlineStr">
        <is>
          <t>4701   PACKING HOUSE        RD</t>
        </is>
      </c>
      <c r="G121" s="93" t="n">
        <v>44.2</v>
      </c>
      <c r="H121" s="93" t="n">
        <v>9201</v>
      </c>
      <c r="I121" s="92" t="n">
        <v>0</v>
      </c>
      <c r="J121" s="710" t="n">
        <v>18540</v>
      </c>
      <c r="K121" s="711" t="n">
        <v>5.139979977622049</v>
      </c>
      <c r="L121" s="108" t="n">
        <v>0</v>
      </c>
      <c r="M121" s="97" t="n">
        <v>0.2068696867624482</v>
      </c>
      <c r="N121" s="93" t="n">
        <v>1918</v>
      </c>
      <c r="O121" s="93" t="n">
        <v>300</v>
      </c>
      <c r="P121" s="93" t="n">
        <v>0</v>
      </c>
      <c r="Q121" s="93" t="n">
        <v>14</v>
      </c>
      <c r="R121" s="93" t="n">
        <v>1</v>
      </c>
      <c r="S121" s="93" t="n">
        <v>1</v>
      </c>
      <c r="T121" s="92" t="inlineStr">
        <is>
          <t xml:space="preserve">I-B         </t>
        </is>
      </c>
      <c r="U121" s="93" t="n">
        <v>398</v>
      </c>
      <c r="V121" s="710" t="n">
        <v>27040</v>
      </c>
      <c r="W121" s="710" t="n">
        <v>27000</v>
      </c>
      <c r="X121" s="712" t="inlineStr">
        <is>
          <t>1.5:1</t>
        </is>
      </c>
      <c r="Y121" s="710" t="n">
        <v>19000</v>
      </c>
      <c r="Z121" s="92" t="inlineStr">
        <is>
          <t xml:space="preserve">C </t>
        </is>
      </c>
      <c r="AA121" s="93" t="n"/>
      <c r="AB121" s="93" t="n"/>
      <c r="AC121" s="93" t="n"/>
      <c r="AD121" s="93" t="inlineStr">
        <is>
          <t xml:space="preserve">ARTIST STUDIOS      </t>
        </is>
      </c>
      <c r="AE121" s="93" t="n"/>
      <c r="AF121" s="93" t="n"/>
      <c r="AG121" s="93" t="n"/>
      <c r="AH121" s="93" t="n"/>
      <c r="AI121" s="93" t="n"/>
      <c r="AK121" s="265" t="inlineStr">
        <is>
          <t xml:space="preserve">EXPENSES STABILIZED - OWNER'S SHARE TOO HIGH.                     </t>
        </is>
      </c>
      <c r="AL121">
        <f>IF(AND(ISNUMBER($S121),$S121&gt;0,ISNUMBER($K121),ISNUMBER($J121)),($K121*$J121)/$S121,"")</f>
        <v/>
      </c>
      <c r="AM121" s="93" t="n"/>
      <c r="AN121" s="93" t="n"/>
      <c r="AO121" s="93" t="n"/>
      <c r="AP121" s="93" t="n"/>
      <c r="AQ121" s="93" t="n"/>
    </row>
    <row r="122" ht="14" customHeight="1" s="518">
      <c r="A122" s="106" t="n">
        <v>6</v>
      </c>
      <c r="B122" s="93" t="n">
        <v>117</v>
      </c>
      <c r="C122" s="93" t="inlineStr">
        <is>
          <t>2013Q</t>
        </is>
      </c>
      <c r="D122" s="93" t="inlineStr">
        <is>
          <t xml:space="preserve">02232-00-221-000 </t>
        </is>
      </c>
      <c r="E122" s="92" t="inlineStr">
        <is>
          <t>Actual</t>
        </is>
      </c>
      <c r="F122" s="93" t="inlineStr">
        <is>
          <t>4800   WASHINGTON           ST</t>
        </is>
      </c>
      <c r="G122" s="93" t="n">
        <v>44.2</v>
      </c>
      <c r="H122" s="93" t="n">
        <v>9201</v>
      </c>
      <c r="I122" s="92" t="n">
        <v>0</v>
      </c>
      <c r="J122" s="710" t="n">
        <v>59837</v>
      </c>
      <c r="K122" s="711" t="n">
        <v>3.514297173989338</v>
      </c>
      <c r="L122" s="108" t="n">
        <v>0</v>
      </c>
      <c r="M122" s="97" t="n">
        <v>0.4178662291651806</v>
      </c>
      <c r="N122" s="93" t="n">
        <v>1931</v>
      </c>
      <c r="O122" s="93" t="n">
        <v>5992</v>
      </c>
      <c r="P122" s="93" t="n">
        <v>0</v>
      </c>
      <c r="Q122" s="93" t="n">
        <v>12</v>
      </c>
      <c r="R122" s="93" t="n">
        <v>1</v>
      </c>
      <c r="S122" s="93" t="n">
        <v>5</v>
      </c>
      <c r="T122" s="92" t="inlineStr">
        <is>
          <t xml:space="preserve">I-B         </t>
        </is>
      </c>
      <c r="U122" s="93" t="n">
        <v>398</v>
      </c>
      <c r="V122" s="710" t="n">
        <v>109420</v>
      </c>
      <c r="W122" s="710" t="n">
        <v>109000</v>
      </c>
      <c r="X122" s="712" t="inlineStr">
        <is>
          <t>1.8:1</t>
        </is>
      </c>
      <c r="Y122" s="710" t="n">
        <v>60000</v>
      </c>
      <c r="Z122" s="92" t="inlineStr">
        <is>
          <t xml:space="preserve">C </t>
        </is>
      </c>
      <c r="AA122" s="93" t="n"/>
      <c r="AB122" s="93" t="n"/>
      <c r="AC122" s="93" t="n"/>
      <c r="AD122" s="93" t="inlineStr">
        <is>
          <t xml:space="preserve">M-2 MULTI DISTWHSE  </t>
        </is>
      </c>
      <c r="AE122" s="93" t="n"/>
      <c r="AF122" s="93" t="n"/>
      <c r="AG122" s="93" t="n"/>
      <c r="AH122" s="93" t="n"/>
      <c r="AI122" s="93" t="n"/>
      <c r="AK122" s="265" t="inlineStr">
        <is>
          <t xml:space="preserve">SOME LEASES GO BACK AS FAR AS 1998.                               </t>
        </is>
      </c>
      <c r="AL122">
        <f>IF(AND(ISNUMBER($S122),$S122&gt;0,ISNUMBER($K122),ISNUMBER($J122)),($K122*$J122)/$S122,"")</f>
        <v/>
      </c>
      <c r="AM122" s="93" t="n"/>
      <c r="AN122" s="93" t="n"/>
      <c r="AO122" s="93" t="n"/>
      <c r="AP122" s="93" t="n"/>
      <c r="AQ122" s="93" t="n"/>
    </row>
    <row r="123" ht="14" customHeight="1" s="518">
      <c r="A123" s="106" t="n">
        <v>6</v>
      </c>
      <c r="B123" s="93" t="n">
        <v>118</v>
      </c>
      <c r="C123" s="93" t="inlineStr">
        <is>
          <t>2013Q</t>
        </is>
      </c>
      <c r="D123" s="93" t="inlineStr">
        <is>
          <t xml:space="preserve">02234-00-055-000 </t>
        </is>
      </c>
      <c r="E123" s="92" t="inlineStr">
        <is>
          <t>Actual</t>
        </is>
      </c>
      <c r="F123" s="93" t="inlineStr">
        <is>
          <t>3975   YORK                 ST</t>
        </is>
      </c>
      <c r="G123" s="93" t="n">
        <v>47.1</v>
      </c>
      <c r="H123" s="93" t="n">
        <v>9201</v>
      </c>
      <c r="I123" s="92" t="n">
        <v>0</v>
      </c>
      <c r="J123" s="710" t="n">
        <v>20773</v>
      </c>
      <c r="K123" s="711" t="n">
        <v>5.199056467529966</v>
      </c>
      <c r="L123" s="108" t="n">
        <v>0</v>
      </c>
      <c r="M123" s="97" t="n">
        <v>0</v>
      </c>
      <c r="N123" s="93" t="n">
        <v>1949</v>
      </c>
      <c r="O123" s="93" t="n">
        <v>2655</v>
      </c>
      <c r="P123" s="93" t="n">
        <v>0</v>
      </c>
      <c r="Q123" s="93" t="n">
        <v>18</v>
      </c>
      <c r="R123" s="93" t="n">
        <v>7</v>
      </c>
      <c r="S123" s="93" t="n">
        <v>1</v>
      </c>
      <c r="T123" s="92" t="inlineStr">
        <is>
          <t xml:space="preserve">I-B         </t>
        </is>
      </c>
      <c r="U123" s="93" t="n">
        <v>401</v>
      </c>
      <c r="V123" s="710" t="n">
        <v>173969</v>
      </c>
      <c r="W123" s="710" t="n">
        <v>174000</v>
      </c>
      <c r="X123" s="712" t="inlineStr">
        <is>
          <t>8.4:1</t>
        </is>
      </c>
      <c r="Y123" s="710" t="n">
        <v>21000</v>
      </c>
      <c r="Z123" s="92" t="inlineStr">
        <is>
          <t xml:space="preserve">C </t>
        </is>
      </c>
      <c r="AA123" s="93" t="n"/>
      <c r="AB123" s="93" t="n"/>
      <c r="AC123" s="93" t="n"/>
      <c r="AD123" s="93" t="inlineStr">
        <is>
          <t xml:space="preserve">FELIX'S TOWING      </t>
        </is>
      </c>
      <c r="AE123" s="93" t="n"/>
      <c r="AF123" s="93" t="n"/>
      <c r="AG123" s="93" t="n"/>
      <c r="AH123" s="93" t="n"/>
      <c r="AI123" s="93" t="n"/>
      <c r="AK123" s="265" t="inlineStr"/>
      <c r="AL123">
        <f>IF(AND(ISNUMBER($S123),$S123&gt;0,ISNUMBER($K123),ISNUMBER($J123)),($K123*$J123)/$S123,"")</f>
        <v/>
      </c>
      <c r="AM123" s="93" t="n"/>
      <c r="AN123" s="93" t="n"/>
      <c r="AO123" s="93" t="n"/>
      <c r="AP123" s="93" t="n"/>
      <c r="AQ123" s="93" t="n"/>
    </row>
    <row r="124" ht="14" customHeight="1" s="518">
      <c r="A124" s="106" t="n">
        <v>6</v>
      </c>
      <c r="B124" s="93" t="n">
        <v>119</v>
      </c>
      <c r="C124" s="93" t="inlineStr">
        <is>
          <t>2013Q</t>
        </is>
      </c>
      <c r="D124" s="93" t="inlineStr">
        <is>
          <t xml:space="preserve">02241-00-013-000 </t>
        </is>
      </c>
      <c r="E124" s="92" t="inlineStr">
        <is>
          <t>Actual</t>
        </is>
      </c>
      <c r="F124" s="93" t="inlineStr">
        <is>
          <t>4701   JACKSON              ST</t>
        </is>
      </c>
      <c r="G124" s="93" t="n">
        <v>44.2</v>
      </c>
      <c r="H124" s="93" t="n">
        <v>9201</v>
      </c>
      <c r="I124" s="92" t="n">
        <v>0</v>
      </c>
      <c r="J124" s="710" t="n">
        <v>5258</v>
      </c>
      <c r="K124" s="711" t="n">
        <v>5.753138075313807</v>
      </c>
      <c r="L124" s="108" t="n">
        <v>0</v>
      </c>
      <c r="M124" s="97" t="n">
        <v>0</v>
      </c>
      <c r="N124" s="93" t="n">
        <v>1955</v>
      </c>
      <c r="O124" s="93" t="n">
        <v>2032</v>
      </c>
      <c r="P124" s="93" t="n">
        <v>0</v>
      </c>
      <c r="Q124" s="93" t="n">
        <v>15</v>
      </c>
      <c r="R124" s="93" t="n">
        <v>1</v>
      </c>
      <c r="S124" s="93" t="n">
        <v>1</v>
      </c>
      <c r="T124" s="92" t="inlineStr">
        <is>
          <t xml:space="preserve">I-A         </t>
        </is>
      </c>
      <c r="U124" s="93" t="n">
        <v>398</v>
      </c>
      <c r="V124" s="710" t="n">
        <v>23375</v>
      </c>
      <c r="W124" s="710" t="n">
        <v>23000</v>
      </c>
      <c r="X124" s="712" t="inlineStr">
        <is>
          <t>4.4:1</t>
        </is>
      </c>
      <c r="Y124" s="710" t="n">
        <v>5000</v>
      </c>
      <c r="Z124" s="92" t="inlineStr">
        <is>
          <t xml:space="preserve">C </t>
        </is>
      </c>
      <c r="AA124" s="93" t="n"/>
      <c r="AB124" s="93" t="n"/>
      <c r="AC124" s="93" t="n"/>
      <c r="AD124" s="93" t="inlineStr">
        <is>
          <t xml:space="preserve">S-W                 </t>
        </is>
      </c>
      <c r="AE124" s="93" t="n"/>
      <c r="AF124" s="93" t="n"/>
      <c r="AG124" s="93" t="n"/>
      <c r="AH124" s="93" t="n"/>
      <c r="AI124" s="93" t="n"/>
      <c r="AK124" s="265" t="inlineStr">
        <is>
          <t xml:space="preserve">LEASE COMMENCEMENT UNKNOWN.                                       </t>
        </is>
      </c>
      <c r="AL124">
        <f>IF(AND(ISNUMBER($S124),$S124&gt;0,ISNUMBER($K124),ISNUMBER($J124)),($K124*$J124)/$S124,"")</f>
        <v/>
      </c>
      <c r="AM124" s="93" t="n"/>
      <c r="AN124" s="93" t="n"/>
      <c r="AO124" s="93" t="n"/>
      <c r="AP124" s="93" t="n"/>
      <c r="AQ124" s="93" t="n"/>
    </row>
    <row r="125" ht="14" customHeight="1" s="518">
      <c r="A125" s="106" t="n">
        <v>6</v>
      </c>
      <c r="B125" s="93" t="n">
        <v>120</v>
      </c>
      <c r="C125" s="93" t="inlineStr">
        <is>
          <t>2013Q</t>
        </is>
      </c>
      <c r="D125" s="93" t="inlineStr">
        <is>
          <t xml:space="preserve">02241-02-009-000 </t>
        </is>
      </c>
      <c r="E125" s="92" t="inlineStr">
        <is>
          <t>Actual</t>
        </is>
      </c>
      <c r="F125" s="93" t="inlineStr">
        <is>
          <t>4550   JACKSON              ST</t>
        </is>
      </c>
      <c r="G125" s="93" t="n">
        <v>47.2</v>
      </c>
      <c r="H125" s="93" t="n">
        <v>9201</v>
      </c>
      <c r="I125" s="92" t="n">
        <v>0</v>
      </c>
      <c r="J125" s="710" t="n">
        <v>27492</v>
      </c>
      <c r="K125" s="711" t="n">
        <v>3.153280954459479</v>
      </c>
      <c r="L125" s="108" t="n">
        <v>0</v>
      </c>
      <c r="M125" s="97" t="n">
        <v>0.0384704118122044</v>
      </c>
      <c r="N125" s="93" t="n">
        <v>1978</v>
      </c>
      <c r="O125" s="93" t="n">
        <v>3564</v>
      </c>
      <c r="P125" s="93" t="n">
        <v>0</v>
      </c>
      <c r="Q125" s="93" t="n">
        <v>16</v>
      </c>
      <c r="R125" s="93" t="n">
        <v>3</v>
      </c>
      <c r="S125" s="93" t="n">
        <v>4</v>
      </c>
      <c r="T125" s="92" t="inlineStr">
        <is>
          <t xml:space="preserve">I-A         </t>
        </is>
      </c>
      <c r="U125" s="93" t="n">
        <v>401</v>
      </c>
      <c r="V125" s="710" t="n">
        <v>44379</v>
      </c>
      <c r="W125" s="710" t="n">
        <v>44000</v>
      </c>
      <c r="X125" s="712" t="inlineStr">
        <is>
          <t>1.6:1</t>
        </is>
      </c>
      <c r="Y125" s="710" t="n">
        <v>27000</v>
      </c>
      <c r="Z125" s="92" t="inlineStr">
        <is>
          <t xml:space="preserve">C </t>
        </is>
      </c>
      <c r="AA125" s="93" t="n"/>
      <c r="AB125" s="93" t="n"/>
      <c r="AC125" s="93" t="n"/>
      <c r="AD125" s="93" t="inlineStr"/>
      <c r="AE125" s="93" t="n"/>
      <c r="AF125" s="93" t="n"/>
      <c r="AG125" s="93" t="n"/>
      <c r="AH125" s="93" t="n"/>
      <c r="AI125" s="93" t="n"/>
      <c r="AK125" s="265" t="inlineStr">
        <is>
          <t xml:space="preserve">2010 LEASE.                                                       </t>
        </is>
      </c>
      <c r="AL125">
        <f>IF(AND(ISNUMBER($S125),$S125&gt;0,ISNUMBER($K125),ISNUMBER($J125)),($K125*$J125)/$S125,"")</f>
        <v/>
      </c>
      <c r="AM125" s="93" t="n"/>
      <c r="AN125" s="93" t="n"/>
      <c r="AO125" s="93" t="n"/>
      <c r="AP125" s="93" t="n"/>
      <c r="AQ125" s="93" t="n"/>
    </row>
    <row r="126" ht="14" customHeight="1" s="518">
      <c r="A126" s="106" t="n">
        <v>6</v>
      </c>
      <c r="B126" s="93" t="n">
        <v>121</v>
      </c>
      <c r="C126" s="93" t="inlineStr">
        <is>
          <t>2013Q</t>
        </is>
      </c>
      <c r="D126" s="93" t="inlineStr">
        <is>
          <t xml:space="preserve">02241-25-014-000 </t>
        </is>
      </c>
      <c r="E126" s="92" t="inlineStr">
        <is>
          <t>Actual</t>
        </is>
      </c>
      <c r="F126" s="93" t="inlineStr">
        <is>
          <t>4715   COLORADO             BV</t>
        </is>
      </c>
      <c r="G126" s="93" t="n">
        <v>44.1</v>
      </c>
      <c r="H126" s="93" t="n">
        <v>9201</v>
      </c>
      <c r="I126" s="92" t="n">
        <v>5</v>
      </c>
      <c r="J126" s="710" t="n">
        <v>37044</v>
      </c>
      <c r="K126" s="711" t="n">
        <v>2.751862649821834</v>
      </c>
      <c r="L126" s="108" t="n">
        <v>0</v>
      </c>
      <c r="M126" s="97" t="n">
        <v>0</v>
      </c>
      <c r="N126" s="93" t="n">
        <v>1954</v>
      </c>
      <c r="O126" s="93" t="n">
        <v>7620</v>
      </c>
      <c r="P126" s="93" t="n">
        <v>0</v>
      </c>
      <c r="Q126" s="93" t="n">
        <v>16</v>
      </c>
      <c r="R126" s="93" t="n">
        <v>1</v>
      </c>
      <c r="S126" s="93" t="n">
        <v>1</v>
      </c>
      <c r="T126" s="92" t="inlineStr">
        <is>
          <t xml:space="preserve">I-A         </t>
        </is>
      </c>
      <c r="U126" s="93" t="n">
        <v>398</v>
      </c>
      <c r="V126" s="710" t="n">
        <v>91930</v>
      </c>
      <c r="W126" s="710" t="n">
        <v>92000</v>
      </c>
      <c r="X126" s="712" t="inlineStr">
        <is>
          <t>2.5:1</t>
        </is>
      </c>
      <c r="Y126" s="710" t="n">
        <v>37000</v>
      </c>
      <c r="Z126" s="92" t="inlineStr">
        <is>
          <t xml:space="preserve">C </t>
        </is>
      </c>
      <c r="AA126" s="93" t="n"/>
      <c r="AB126" s="93" t="n"/>
      <c r="AC126" s="93" t="n"/>
      <c r="AD126" s="93" t="inlineStr"/>
      <c r="AE126" s="93" t="n"/>
      <c r="AF126" s="93" t="n"/>
      <c r="AG126" s="93" t="n"/>
      <c r="AH126" s="93" t="n"/>
      <c r="AI126" s="93" t="n"/>
      <c r="AK126" s="265" t="inlineStr"/>
      <c r="AL126">
        <f>IF(AND(ISNUMBER($S126),$S126&gt;0,ISNUMBER($K126),ISNUMBER($J126)),($K126*$J126)/$S126,"")</f>
        <v/>
      </c>
      <c r="AM126" s="93" t="n"/>
      <c r="AN126" s="93" t="n"/>
      <c r="AO126" s="93" t="n"/>
      <c r="AP126" s="93" t="n"/>
      <c r="AQ126" s="93" t="n"/>
    </row>
    <row r="127" ht="14" customHeight="1" s="518">
      <c r="A127" s="106" t="n">
        <v>6</v>
      </c>
      <c r="B127" s="93" t="n">
        <v>122</v>
      </c>
      <c r="C127" s="93" t="inlineStr">
        <is>
          <t>2013Q</t>
        </is>
      </c>
      <c r="D127" s="93" t="inlineStr">
        <is>
          <t xml:space="preserve">02243-01-012-000 </t>
        </is>
      </c>
      <c r="E127" s="92" t="inlineStr">
        <is>
          <t>Actual</t>
        </is>
      </c>
      <c r="F127" s="93" t="inlineStr">
        <is>
          <t>3100 E 43RD                 AV</t>
        </is>
      </c>
      <c r="G127" s="93" t="n">
        <v>47.2</v>
      </c>
      <c r="H127" s="93" t="n">
        <v>9201</v>
      </c>
      <c r="I127" s="92" t="n">
        <v>0</v>
      </c>
      <c r="J127" s="710" t="n">
        <v>33001</v>
      </c>
      <c r="K127" s="711" t="n">
        <v>5.45438017029787</v>
      </c>
      <c r="L127" s="108" t="n">
        <v>0</v>
      </c>
      <c r="M127" s="97" t="n">
        <v>0</v>
      </c>
      <c r="N127" s="93" t="n">
        <v>1958</v>
      </c>
      <c r="O127" s="93" t="n">
        <v>1215</v>
      </c>
      <c r="P127" s="93" t="n">
        <v>0</v>
      </c>
      <c r="Q127" s="93" t="n">
        <v>13</v>
      </c>
      <c r="R127" s="93" t="n">
        <v>3</v>
      </c>
      <c r="S127" s="93" t="n">
        <v>1</v>
      </c>
      <c r="T127" s="92" t="inlineStr">
        <is>
          <t xml:space="preserve">I-A         </t>
        </is>
      </c>
      <c r="U127" s="93" t="n">
        <v>401</v>
      </c>
      <c r="V127" s="710" t="n">
        <v>36515</v>
      </c>
      <c r="W127" s="710" t="n">
        <v>37000</v>
      </c>
      <c r="X127" s="712" t="inlineStr">
        <is>
          <t>1.1:1</t>
        </is>
      </c>
      <c r="Y127" s="710" t="n">
        <v>33000</v>
      </c>
      <c r="Z127" s="92" t="inlineStr">
        <is>
          <t xml:space="preserve">C </t>
        </is>
      </c>
      <c r="AA127" s="93" t="n"/>
      <c r="AB127" s="93" t="n"/>
      <c r="AC127" s="93" t="n"/>
      <c r="AD127" s="93" t="inlineStr">
        <is>
          <t>DENVER METAL FINSHNG</t>
        </is>
      </c>
      <c r="AE127" s="93" t="n"/>
      <c r="AF127" s="93" t="n"/>
      <c r="AG127" s="93" t="n"/>
      <c r="AH127" s="93" t="n"/>
      <c r="AI127" s="93" t="n"/>
      <c r="AK127" s="265" t="inlineStr">
        <is>
          <t xml:space="preserve">2009 LEASE.                                                       </t>
        </is>
      </c>
      <c r="AL127">
        <f>IF(AND(ISNUMBER($S127),$S127&gt;0,ISNUMBER($K127),ISNUMBER($J127)),($K127*$J127)/$S127,"")</f>
        <v/>
      </c>
      <c r="AM127" s="93" t="n"/>
      <c r="AN127" s="93" t="n"/>
      <c r="AO127" s="93" t="n"/>
      <c r="AP127" s="93" t="n"/>
      <c r="AQ127" s="93" t="n"/>
    </row>
    <row r="128" ht="14" customHeight="1" s="518">
      <c r="A128" s="106" t="n">
        <v>6</v>
      </c>
      <c r="B128" s="93" t="n">
        <v>123</v>
      </c>
      <c r="C128" s="93" t="inlineStr">
        <is>
          <t>2013Q</t>
        </is>
      </c>
      <c r="D128" s="93" t="inlineStr">
        <is>
          <t xml:space="preserve">02243-02-020-000 </t>
        </is>
      </c>
      <c r="E128" s="92" t="inlineStr">
        <is>
          <t>Actual</t>
        </is>
      </c>
      <c r="F128" s="93" t="inlineStr">
        <is>
          <t>3020 E 43RD                 AV</t>
        </is>
      </c>
      <c r="G128" s="93" t="n">
        <v>44.1</v>
      </c>
      <c r="H128" s="93" t="n">
        <v>9201</v>
      </c>
      <c r="I128" s="92" t="n">
        <v>0</v>
      </c>
      <c r="J128" s="710" t="n">
        <v>13968</v>
      </c>
      <c r="K128" s="711" t="n">
        <v>6.571428571428571</v>
      </c>
      <c r="L128" s="108" t="n">
        <v>0.25</v>
      </c>
      <c r="M128" s="97" t="n">
        <v>0.02898550724637681</v>
      </c>
      <c r="N128" s="93" t="n">
        <v>1946</v>
      </c>
      <c r="O128" s="93" t="n">
        <v>1650</v>
      </c>
      <c r="P128" s="93" t="n">
        <v>0</v>
      </c>
      <c r="Q128" s="93" t="n">
        <v>12</v>
      </c>
      <c r="R128" s="93" t="n">
        <v>3</v>
      </c>
      <c r="S128" s="93" t="n">
        <v>1</v>
      </c>
      <c r="T128" s="92" t="inlineStr">
        <is>
          <t xml:space="preserve">I-A         </t>
        </is>
      </c>
      <c r="U128" s="93" t="n">
        <v>398</v>
      </c>
      <c r="V128" s="710" t="n">
        <v>24533</v>
      </c>
      <c r="W128" s="710" t="n">
        <v>25000</v>
      </c>
      <c r="X128" s="712" t="inlineStr">
        <is>
          <t>1.8:1</t>
        </is>
      </c>
      <c r="Y128" s="710" t="n">
        <v>14000</v>
      </c>
      <c r="Z128" s="92" t="inlineStr">
        <is>
          <t xml:space="preserve">C </t>
        </is>
      </c>
      <c r="AA128" s="93" t="n"/>
      <c r="AB128" s="93" t="n"/>
      <c r="AC128" s="93" t="n"/>
      <c r="AD128" s="93" t="inlineStr">
        <is>
          <t xml:space="preserve">MW-GOSPEL CHURCH    </t>
        </is>
      </c>
      <c r="AE128" s="93" t="n"/>
      <c r="AF128" s="93" t="n"/>
      <c r="AG128" s="93" t="n"/>
      <c r="AH128" s="93" t="n"/>
      <c r="AI128" s="93" t="n"/>
      <c r="AK128" s="265" t="inlineStr">
        <is>
          <t xml:space="preserve">2010/2011 LEASES.                                                 </t>
        </is>
      </c>
      <c r="AL128">
        <f>IF(AND(ISNUMBER($S128),$S128&gt;0,ISNUMBER($K128),ISNUMBER($J128)),($K128*$J128)/$S128,"")</f>
        <v/>
      </c>
      <c r="AM128" s="93" t="n"/>
      <c r="AN128" s="93" t="n"/>
      <c r="AO128" s="93" t="n"/>
      <c r="AP128" s="93" t="n"/>
      <c r="AQ128" s="93" t="n"/>
    </row>
    <row r="129" ht="28" customHeight="1" s="518">
      <c r="A129" s="106" t="n">
        <v>6</v>
      </c>
      <c r="B129" s="93" t="n">
        <v>124</v>
      </c>
      <c r="C129" s="93" t="inlineStr">
        <is>
          <t>2013Q</t>
        </is>
      </c>
      <c r="D129" s="93" t="inlineStr">
        <is>
          <t xml:space="preserve">02243-07-007-000 </t>
        </is>
      </c>
      <c r="E129" s="92" t="inlineStr">
        <is>
          <t>Actual</t>
        </is>
      </c>
      <c r="F129" s="93" t="inlineStr">
        <is>
          <t>4242   COLUMBINE            ST</t>
        </is>
      </c>
      <c r="G129" s="93" t="n">
        <v>44.2</v>
      </c>
      <c r="H129" s="93" t="n">
        <v>9201</v>
      </c>
      <c r="I129" s="92" t="n">
        <v>0</v>
      </c>
      <c r="J129" s="710" t="n">
        <v>7200</v>
      </c>
      <c r="K129" s="711" t="n">
        <v>2</v>
      </c>
      <c r="L129" s="108" t="n">
        <v>0</v>
      </c>
      <c r="M129" s="97" t="n">
        <v>0</v>
      </c>
      <c r="N129" s="93" t="n">
        <v>1953</v>
      </c>
      <c r="O129" s="93" t="n">
        <v>800</v>
      </c>
      <c r="P129" s="93" t="n">
        <v>0</v>
      </c>
      <c r="Q129" s="93" t="n">
        <v>16</v>
      </c>
      <c r="R129" s="93" t="n">
        <v>1</v>
      </c>
      <c r="S129" s="93" t="n">
        <v>1</v>
      </c>
      <c r="T129" s="92" t="inlineStr">
        <is>
          <t xml:space="preserve">I-A         </t>
        </is>
      </c>
      <c r="U129" s="93" t="n">
        <v>398</v>
      </c>
      <c r="V129" s="710" t="n">
        <v>13800</v>
      </c>
      <c r="W129" s="710" t="n">
        <v>14000</v>
      </c>
      <c r="X129" s="712" t="inlineStr">
        <is>
          <t>1.9:1</t>
        </is>
      </c>
      <c r="Y129" s="710" t="n">
        <v>7000</v>
      </c>
      <c r="Z129" s="92" t="inlineStr">
        <is>
          <t xml:space="preserve">C </t>
        </is>
      </c>
      <c r="AA129" s="93" t="n"/>
      <c r="AB129" s="93" t="n"/>
      <c r="AC129" s="93" t="n"/>
      <c r="AD129" s="93" t="inlineStr">
        <is>
          <t>SW-T&amp;G CATERING, INC</t>
        </is>
      </c>
      <c r="AE129" s="93" t="n"/>
      <c r="AF129" s="93" t="n"/>
      <c r="AG129" s="93" t="n"/>
      <c r="AH129" s="93" t="n"/>
      <c r="AI129" s="93" t="n"/>
      <c r="AK129" s="265" t="inlineStr">
        <is>
          <t xml:space="preserve">INADEQUATE BREAKDOWN OF EXPENSES = NOT ENTERED.                   </t>
        </is>
      </c>
      <c r="AL129">
        <f>IF(AND(ISNUMBER($S129),$S129&gt;0,ISNUMBER($K129),ISNUMBER($J129)),($K129*$J129)/$S129,"")</f>
        <v/>
      </c>
      <c r="AM129" s="93" t="n"/>
      <c r="AN129" s="93" t="n"/>
      <c r="AO129" s="93" t="n"/>
      <c r="AP129" s="93" t="n"/>
      <c r="AQ129" s="93" t="n"/>
    </row>
    <row r="130" ht="14" customHeight="1" s="518">
      <c r="A130" s="106" t="n">
        <v>6</v>
      </c>
      <c r="B130" s="93" t="n">
        <v>125</v>
      </c>
      <c r="C130" s="93" t="inlineStr">
        <is>
          <t>2013Q</t>
        </is>
      </c>
      <c r="D130" s="93" t="inlineStr">
        <is>
          <t xml:space="preserve">02243-08-007-000 </t>
        </is>
      </c>
      <c r="E130" s="92" t="inlineStr">
        <is>
          <t>Actual</t>
        </is>
      </c>
      <c r="F130" s="93" t="inlineStr">
        <is>
          <t>4215   COLUMBINE            ST</t>
        </is>
      </c>
      <c r="G130" s="93" t="n">
        <v>44.1</v>
      </c>
      <c r="H130" s="93" t="n">
        <v>9201</v>
      </c>
      <c r="I130" s="92" t="n">
        <v>0</v>
      </c>
      <c r="J130" s="710" t="n">
        <v>3500</v>
      </c>
      <c r="K130" s="711" t="n">
        <v>10.13766666666667</v>
      </c>
      <c r="L130" s="108" t="n">
        <v>0</v>
      </c>
      <c r="M130" s="97" t="n">
        <v>0.1853812514385296</v>
      </c>
      <c r="N130" s="93" t="n">
        <v>1930</v>
      </c>
      <c r="O130" s="93" t="n">
        <v>0</v>
      </c>
      <c r="P130" s="93" t="n">
        <v>0</v>
      </c>
      <c r="Q130" s="93" t="n">
        <v>15</v>
      </c>
      <c r="R130" s="93" t="n">
        <v>7</v>
      </c>
      <c r="S130" s="93" t="n">
        <v>1</v>
      </c>
      <c r="T130" s="92" t="inlineStr">
        <is>
          <t xml:space="preserve">I-A         </t>
        </is>
      </c>
      <c r="U130" s="93" t="n">
        <v>399</v>
      </c>
      <c r="V130" s="710" t="n">
        <v>8100</v>
      </c>
      <c r="W130" s="710" t="n">
        <v>8000</v>
      </c>
      <c r="X130" s="712" t="inlineStr">
        <is>
          <t>2.3:1</t>
        </is>
      </c>
      <c r="Y130" s="710" t="n">
        <v>4000</v>
      </c>
      <c r="Z130" s="92" t="inlineStr">
        <is>
          <t xml:space="preserve">C </t>
        </is>
      </c>
      <c r="AA130" s="93" t="n"/>
      <c r="AB130" s="93" t="n"/>
      <c r="AC130" s="93" t="n"/>
      <c r="AD130" s="93" t="inlineStr">
        <is>
          <t>B &amp; D AUTO  RECYCLNG</t>
        </is>
      </c>
      <c r="AE130" s="93" t="n"/>
      <c r="AF130" s="93" t="n"/>
      <c r="AG130" s="93" t="n"/>
      <c r="AH130" s="93" t="n"/>
      <c r="AI130" s="93" t="n"/>
      <c r="AK130" s="265" t="inlineStr">
        <is>
          <t xml:space="preserve">2009-2010 LEASES.                                                 </t>
        </is>
      </c>
      <c r="AL130">
        <f>IF(AND(ISNUMBER($S130),$S130&gt;0,ISNUMBER($K130),ISNUMBER($J130)),($K130*$J130)/$S130,"")</f>
        <v/>
      </c>
      <c r="AM130" s="93" t="n"/>
      <c r="AN130" s="93" t="n"/>
      <c r="AO130" s="93" t="n"/>
      <c r="AP130" s="93" t="n"/>
      <c r="AQ130" s="93" t="n"/>
    </row>
    <row r="131" ht="14" customHeight="1" s="518">
      <c r="A131" s="106" t="n">
        <v>6</v>
      </c>
      <c r="B131" s="93" t="n">
        <v>126</v>
      </c>
      <c r="C131" s="93" t="inlineStr">
        <is>
          <t>2013Q</t>
        </is>
      </c>
      <c r="D131" s="93" t="inlineStr">
        <is>
          <t xml:space="preserve">02243-09-019-019 </t>
        </is>
      </c>
      <c r="E131" s="92" t="inlineStr">
        <is>
          <t>Actual</t>
        </is>
      </c>
      <c r="F131" s="93" t="inlineStr">
        <is>
          <t>4228   YORK                 ST</t>
        </is>
      </c>
      <c r="G131" s="93" t="n">
        <v>44.8</v>
      </c>
      <c r="H131" s="93" t="n">
        <v>9201</v>
      </c>
      <c r="I131" s="92" t="n">
        <v>0</v>
      </c>
      <c r="J131" s="710" t="n">
        <v>4381</v>
      </c>
      <c r="K131" s="711" t="n">
        <v>5.478201323898653</v>
      </c>
      <c r="L131" s="108" t="n">
        <v>0</v>
      </c>
      <c r="M131" s="97" t="n">
        <v>0</v>
      </c>
      <c r="N131" s="93" t="n">
        <v>1946</v>
      </c>
      <c r="O131" s="93" t="n">
        <v>720</v>
      </c>
      <c r="P131" s="93" t="n">
        <v>0</v>
      </c>
      <c r="Q131" s="93" t="n">
        <v>14</v>
      </c>
      <c r="R131" s="93" t="n">
        <v>4</v>
      </c>
      <c r="S131" s="93" t="n">
        <v>1</v>
      </c>
      <c r="T131" s="92" t="inlineStr">
        <is>
          <t xml:space="preserve">I-A         </t>
        </is>
      </c>
      <c r="U131" s="93" t="n">
        <v>398</v>
      </c>
      <c r="V131" s="710" t="n">
        <v>8241</v>
      </c>
      <c r="W131" s="710" t="n">
        <v>8000</v>
      </c>
      <c r="X131" s="712" t="inlineStr">
        <is>
          <t>1.9:1</t>
        </is>
      </c>
      <c r="Y131" s="710" t="n">
        <v>4000</v>
      </c>
      <c r="Z131" s="92" t="inlineStr">
        <is>
          <t xml:space="preserve">C </t>
        </is>
      </c>
      <c r="AA131" s="93" t="n"/>
      <c r="AB131" s="93" t="n"/>
      <c r="AC131" s="93" t="n"/>
      <c r="AD131" s="93" t="inlineStr">
        <is>
          <t>YORK ST IND COND#101</t>
        </is>
      </c>
      <c r="AE131" s="93" t="n"/>
      <c r="AF131" s="93" t="n"/>
      <c r="AG131" s="93" t="n"/>
      <c r="AH131" s="93" t="n"/>
      <c r="AI131" s="93" t="n"/>
      <c r="AK131" s="265" t="inlineStr">
        <is>
          <t xml:space="preserve">2010 LEASE.                                                       </t>
        </is>
      </c>
      <c r="AL131">
        <f>IF(AND(ISNUMBER($S131),$S131&gt;0,ISNUMBER($K131),ISNUMBER($J131)),($K131*$J131)/$S131,"")</f>
        <v/>
      </c>
      <c r="AM131" s="93" t="n"/>
      <c r="AN131" s="93" t="n"/>
      <c r="AO131" s="93" t="n"/>
      <c r="AP131" s="93" t="n"/>
      <c r="AQ131" s="93" t="n"/>
    </row>
    <row r="132" ht="14" customHeight="1" s="518">
      <c r="A132" s="106" t="n">
        <v>6</v>
      </c>
      <c r="B132" s="93" t="n">
        <v>127</v>
      </c>
      <c r="C132" s="93" t="inlineStr">
        <is>
          <t>2013Q</t>
        </is>
      </c>
      <c r="D132" s="93" t="inlineStr">
        <is>
          <t xml:space="preserve">02243-09-022-022 </t>
        </is>
      </c>
      <c r="E132" s="92" t="inlineStr">
        <is>
          <t>Actual</t>
        </is>
      </c>
      <c r="F132" s="93" t="inlineStr">
        <is>
          <t>4228   YORK                 ST</t>
        </is>
      </c>
      <c r="G132" s="93" t="n">
        <v>44.8</v>
      </c>
      <c r="H132" s="93" t="n">
        <v>9201</v>
      </c>
      <c r="I132" s="92" t="n">
        <v>0</v>
      </c>
      <c r="J132" s="710" t="n">
        <v>2071</v>
      </c>
      <c r="K132" s="711" t="n">
        <v>5.142443264123612</v>
      </c>
      <c r="L132" s="108" t="n">
        <v>0</v>
      </c>
      <c r="M132" s="97" t="n">
        <v>0.3267605633802817</v>
      </c>
      <c r="N132" s="93" t="n">
        <v>1946</v>
      </c>
      <c r="O132" s="93" t="n">
        <v>160</v>
      </c>
      <c r="P132" s="93" t="n">
        <v>0</v>
      </c>
      <c r="Q132" s="93" t="n">
        <v>14</v>
      </c>
      <c r="R132" s="93" t="n">
        <v>4</v>
      </c>
      <c r="S132" s="93" t="n">
        <v>1</v>
      </c>
      <c r="T132" s="92" t="inlineStr">
        <is>
          <t xml:space="preserve">I-A         </t>
        </is>
      </c>
      <c r="U132" s="93" t="n">
        <v>398</v>
      </c>
      <c r="V132" s="710" t="n">
        <v>3850</v>
      </c>
      <c r="W132" s="710" t="n">
        <v>4000</v>
      </c>
      <c r="X132" s="712" t="inlineStr">
        <is>
          <t>1.9:1</t>
        </is>
      </c>
      <c r="Y132" s="710" t="n">
        <v>2000</v>
      </c>
      <c r="Z132" s="92" t="inlineStr">
        <is>
          <t xml:space="preserve">C </t>
        </is>
      </c>
      <c r="AA132" s="93" t="n"/>
      <c r="AB132" s="93" t="n"/>
      <c r="AC132" s="93" t="n"/>
      <c r="AD132" s="93" t="inlineStr">
        <is>
          <t>YORK ST IND COND#104</t>
        </is>
      </c>
      <c r="AE132" s="93" t="n"/>
      <c r="AF132" s="93" t="n"/>
      <c r="AG132" s="93" t="n"/>
      <c r="AH132" s="93" t="n"/>
      <c r="AI132" s="93" t="n"/>
      <c r="AK132" s="265" t="inlineStr">
        <is>
          <t xml:space="preserve">OTHER IS P.O.A. DUES.                                             </t>
        </is>
      </c>
      <c r="AL132">
        <f>IF(AND(ISNUMBER($S132),$S132&gt;0,ISNUMBER($K132),ISNUMBER($J132)),($K132*$J132)/$S132,"")</f>
        <v/>
      </c>
      <c r="AM132" s="93" t="n"/>
      <c r="AN132" s="93" t="n"/>
      <c r="AO132" s="93" t="n"/>
      <c r="AP132" s="93" t="n"/>
      <c r="AQ132" s="93" t="n"/>
    </row>
    <row r="133" ht="14" customHeight="1" s="518">
      <c r="A133" s="106" t="n">
        <v>6</v>
      </c>
      <c r="B133" s="93" t="n">
        <v>128</v>
      </c>
      <c r="C133" s="93" t="inlineStr">
        <is>
          <t>2013Q</t>
        </is>
      </c>
      <c r="D133" s="93" t="inlineStr">
        <is>
          <t xml:space="preserve">02244-00-053-000 </t>
        </is>
      </c>
      <c r="E133" s="92" t="inlineStr">
        <is>
          <t>Actual</t>
        </is>
      </c>
      <c r="F133" s="93" t="inlineStr">
        <is>
          <t>3660 E 40TH                 AV</t>
        </is>
      </c>
      <c r="G133" s="93" t="n">
        <v>44.1</v>
      </c>
      <c r="H133" s="93" t="n">
        <v>9201</v>
      </c>
      <c r="I133" s="92" t="n">
        <v>0</v>
      </c>
      <c r="J133" s="710" t="n">
        <v>18027</v>
      </c>
      <c r="K133" s="711" t="n">
        <v>4.659677150940256</v>
      </c>
      <c r="L133" s="108" t="n">
        <v>0</v>
      </c>
      <c r="M133" s="97" t="n">
        <v>0</v>
      </c>
      <c r="N133" s="93" t="n">
        <v>1951</v>
      </c>
      <c r="O133" s="93" t="n">
        <v>6393</v>
      </c>
      <c r="P133" s="93" t="n">
        <v>0</v>
      </c>
      <c r="Q133" s="93" t="n">
        <v>14</v>
      </c>
      <c r="R133" s="93" t="n">
        <v>1</v>
      </c>
      <c r="S133" s="93" t="n">
        <v>1</v>
      </c>
      <c r="T133" s="92" t="inlineStr">
        <is>
          <t xml:space="preserve">I-MX-3      </t>
        </is>
      </c>
      <c r="U133" s="93" t="n">
        <v>398</v>
      </c>
      <c r="V133" s="710" t="n">
        <v>62177</v>
      </c>
      <c r="W133" s="710" t="n">
        <v>62000</v>
      </c>
      <c r="X133" s="712" t="inlineStr">
        <is>
          <t>3.4:1</t>
        </is>
      </c>
      <c r="Y133" s="710" t="n">
        <v>18000</v>
      </c>
      <c r="Z133" s="92" t="inlineStr">
        <is>
          <t xml:space="preserve">C </t>
        </is>
      </c>
      <c r="AA133" s="93" t="n"/>
      <c r="AB133" s="93" t="n"/>
      <c r="AC133" s="93" t="n"/>
      <c r="AD133" s="93" t="inlineStr">
        <is>
          <t xml:space="preserve">S-W CLASSIC SPORT   </t>
        </is>
      </c>
      <c r="AE133" s="93" t="n"/>
      <c r="AF133" s="93" t="n"/>
      <c r="AG133" s="93" t="n"/>
      <c r="AH133" s="93" t="n"/>
      <c r="AI133" s="93" t="n"/>
      <c r="AK133" s="265" t="inlineStr"/>
      <c r="AL133">
        <f>IF(AND(ISNUMBER($S133),$S133&gt;0,ISNUMBER($K133),ISNUMBER($J133)),($K133*$J133)/$S133,"")</f>
        <v/>
      </c>
      <c r="AM133" s="93" t="n"/>
      <c r="AN133" s="93" t="n"/>
      <c r="AO133" s="93" t="n"/>
      <c r="AP133" s="93" t="n"/>
      <c r="AQ133" s="93" t="n"/>
    </row>
    <row r="134" ht="28" customHeight="1" s="518">
      <c r="A134" s="106" t="n">
        <v>6</v>
      </c>
      <c r="B134" s="93" t="n">
        <v>129</v>
      </c>
      <c r="C134" s="93" t="inlineStr">
        <is>
          <t>2013Q</t>
        </is>
      </c>
      <c r="D134" s="93" t="inlineStr">
        <is>
          <t xml:space="preserve">02244-08-016-000 </t>
        </is>
      </c>
      <c r="E134" s="92" t="inlineStr">
        <is>
          <t>Actual</t>
        </is>
      </c>
      <c r="F134" s="93" t="inlineStr">
        <is>
          <t>3215 E 42ND                 AV</t>
        </is>
      </c>
      <c r="G134" s="93" t="n">
        <v>46.2</v>
      </c>
      <c r="H134" s="93" t="n">
        <v>9201</v>
      </c>
      <c r="I134" s="92" t="n">
        <v>0</v>
      </c>
      <c r="J134" s="710" t="n">
        <v>33194</v>
      </c>
      <c r="K134" s="711" t="n">
        <v>7.425172197871008</v>
      </c>
      <c r="L134" s="108" t="n">
        <v>0.04</v>
      </c>
      <c r="M134" s="97" t="n">
        <v>0</v>
      </c>
      <c r="N134" s="93" t="n">
        <v>1958</v>
      </c>
      <c r="O134" s="93" t="n">
        <v>2768</v>
      </c>
      <c r="P134" s="93" t="n">
        <v>0</v>
      </c>
      <c r="Q134" s="93" t="n">
        <v>17</v>
      </c>
      <c r="R134" s="93" t="n">
        <v>1</v>
      </c>
      <c r="S134" s="93" t="n">
        <v>1</v>
      </c>
      <c r="T134" s="92" t="inlineStr">
        <is>
          <t xml:space="preserve">I-A         </t>
        </is>
      </c>
      <c r="U134" s="93" t="n">
        <v>391</v>
      </c>
      <c r="V134" s="710" t="n">
        <v>47376</v>
      </c>
      <c r="W134" s="710" t="n">
        <v>47000</v>
      </c>
      <c r="X134" s="712" t="inlineStr">
        <is>
          <t>1.4:1</t>
        </is>
      </c>
      <c r="Y134" s="710" t="n">
        <v>33000</v>
      </c>
      <c r="Z134" s="92" t="inlineStr">
        <is>
          <t xml:space="preserve">C </t>
        </is>
      </c>
      <c r="AA134" s="93" t="n"/>
      <c r="AB134" s="93" t="n"/>
      <c r="AC134" s="93" t="n"/>
      <c r="AD134" s="93" t="inlineStr">
        <is>
          <t xml:space="preserve">SAFEWAY ICE CREAM   </t>
        </is>
      </c>
      <c r="AE134" s="93" t="n"/>
      <c r="AF134" s="93" t="n"/>
      <c r="AG134" s="93" t="n"/>
      <c r="AH134" s="93" t="n"/>
      <c r="AI134" s="93" t="n"/>
      <c r="AK134" s="265" t="inlineStr">
        <is>
          <t xml:space="preserve">2010/2011 LEASES; VAST MAJORITY OWNER-OCC=EXP NOT USEFUL.         </t>
        </is>
      </c>
      <c r="AL134">
        <f>IF(AND(ISNUMBER($S134),$S134&gt;0,ISNUMBER($K134),ISNUMBER($J134)),($K134*$J134)/$S134,"")</f>
        <v/>
      </c>
      <c r="AM134" s="93" t="n"/>
      <c r="AN134" s="93" t="n"/>
      <c r="AO134" s="93" t="n"/>
      <c r="AP134" s="93" t="n"/>
      <c r="AQ134" s="93" t="n"/>
    </row>
    <row r="135" ht="28" customHeight="1" s="518">
      <c r="A135" s="106" t="n">
        <v>6</v>
      </c>
      <c r="B135" s="93" t="n">
        <v>130</v>
      </c>
      <c r="C135" s="93" t="inlineStr">
        <is>
          <t>2013Q</t>
        </is>
      </c>
      <c r="D135" s="93" t="inlineStr">
        <is>
          <t xml:space="preserve">02244-12-014-000 </t>
        </is>
      </c>
      <c r="E135" s="92" t="inlineStr">
        <is>
          <t>Actual</t>
        </is>
      </c>
      <c r="F135" s="93" t="inlineStr">
        <is>
          <t>4190   MADISON              ST</t>
        </is>
      </c>
      <c r="G135" s="93" t="n">
        <v>44.2</v>
      </c>
      <c r="H135" s="93" t="n">
        <v>9201</v>
      </c>
      <c r="I135" s="92" t="n">
        <v>0</v>
      </c>
      <c r="J135" s="710" t="n">
        <v>10591</v>
      </c>
      <c r="K135" s="711" t="n">
        <v>4.815409309791332</v>
      </c>
      <c r="L135" s="108" t="n">
        <v>0</v>
      </c>
      <c r="M135" s="97" t="n">
        <v>0</v>
      </c>
      <c r="N135" s="93" t="n">
        <v>1970</v>
      </c>
      <c r="O135" s="93" t="n">
        <v>760</v>
      </c>
      <c r="P135" s="93" t="n">
        <v>0</v>
      </c>
      <c r="Q135" s="93" t="n">
        <v>13</v>
      </c>
      <c r="R135" s="93" t="n">
        <v>3</v>
      </c>
      <c r="S135" s="93" t="n">
        <v>1</v>
      </c>
      <c r="T135" s="92" t="inlineStr">
        <is>
          <t xml:space="preserve">I-MX-3      </t>
        </is>
      </c>
      <c r="U135" s="93" t="n">
        <v>398</v>
      </c>
      <c r="V135" s="710" t="n">
        <v>19013</v>
      </c>
      <c r="W135" s="710" t="n">
        <v>19000</v>
      </c>
      <c r="X135" s="712" t="inlineStr">
        <is>
          <t>1.8:1</t>
        </is>
      </c>
      <c r="Y135" s="710" t="n">
        <v>11000</v>
      </c>
      <c r="Z135" s="92" t="inlineStr">
        <is>
          <t xml:space="preserve">C </t>
        </is>
      </c>
      <c r="AA135" s="93" t="n"/>
      <c r="AB135" s="93" t="n"/>
      <c r="AC135" s="93" t="n"/>
      <c r="AD135" s="93" t="inlineStr">
        <is>
          <t xml:space="preserve">SW-WODEN WOODS      </t>
        </is>
      </c>
      <c r="AE135" s="93" t="n"/>
      <c r="AF135" s="93" t="n"/>
      <c r="AG135" s="93" t="n"/>
      <c r="AH135" s="93" t="n"/>
      <c r="AI135" s="93" t="n"/>
      <c r="AK135" s="265" t="inlineStr">
        <is>
          <t xml:space="preserve">ORIGINATION OF MO-TO-MO ARRANGMENT UNKNOWN.                       </t>
        </is>
      </c>
      <c r="AL135">
        <f>IF(AND(ISNUMBER($S135),$S135&gt;0,ISNUMBER($K135),ISNUMBER($J135)),($K135*$J135)/$S135,"")</f>
        <v/>
      </c>
      <c r="AM135" s="93" t="n"/>
      <c r="AN135" s="93" t="n"/>
      <c r="AO135" s="93" t="n"/>
      <c r="AP135" s="93" t="n"/>
      <c r="AQ135" s="93" t="n"/>
    </row>
    <row r="136" ht="14" customHeight="1" s="518">
      <c r="A136" s="106" t="n">
        <v>6</v>
      </c>
      <c r="B136" s="93" t="n">
        <v>131</v>
      </c>
      <c r="C136" s="93" t="inlineStr">
        <is>
          <t>2013Q</t>
        </is>
      </c>
      <c r="D136" s="93" t="inlineStr">
        <is>
          <t xml:space="preserve">02244-20-015-000 </t>
        </is>
      </c>
      <c r="E136" s="92" t="inlineStr">
        <is>
          <t>Actual</t>
        </is>
      </c>
      <c r="F136" s="93" t="inlineStr">
        <is>
          <t>3649 E 40TH                 AV</t>
        </is>
      </c>
      <c r="G136" s="93" t="n">
        <v>44.2</v>
      </c>
      <c r="H136" s="93" t="n">
        <v>9201</v>
      </c>
      <c r="I136" s="92" t="n">
        <v>0</v>
      </c>
      <c r="J136" s="710" t="n">
        <v>9177</v>
      </c>
      <c r="K136" s="711" t="n">
        <v>4.383131742399477</v>
      </c>
      <c r="L136" s="108" t="n">
        <v>0</v>
      </c>
      <c r="M136" s="97" t="n">
        <v>0</v>
      </c>
      <c r="N136" s="93" t="n">
        <v>1958</v>
      </c>
      <c r="O136" s="93" t="n">
        <v>598</v>
      </c>
      <c r="P136" s="93" t="n">
        <v>0</v>
      </c>
      <c r="Q136" s="93" t="n">
        <v>12</v>
      </c>
      <c r="R136" s="93" t="n">
        <v>3</v>
      </c>
      <c r="S136" s="93" t="n">
        <v>1</v>
      </c>
      <c r="T136" s="92" t="inlineStr">
        <is>
          <t xml:space="preserve">I-A         </t>
        </is>
      </c>
      <c r="U136" s="93" t="n">
        <v>398</v>
      </c>
      <c r="V136" s="710" t="n">
        <v>25653</v>
      </c>
      <c r="W136" s="710" t="n">
        <v>26000</v>
      </c>
      <c r="X136" s="712" t="inlineStr">
        <is>
          <t>2.8:1</t>
        </is>
      </c>
      <c r="Y136" s="710" t="n">
        <v>9000</v>
      </c>
      <c r="Z136" s="92" t="inlineStr">
        <is>
          <t xml:space="preserve">C </t>
        </is>
      </c>
      <c r="AA136" s="93" t="n"/>
      <c r="AB136" s="93" t="n"/>
      <c r="AC136" s="93" t="n"/>
      <c r="AD136" s="93" t="inlineStr">
        <is>
          <t>SPECTRUM GEN CONTCTR</t>
        </is>
      </c>
      <c r="AE136" s="93" t="n"/>
      <c r="AF136" s="93" t="n"/>
      <c r="AG136" s="93" t="n"/>
      <c r="AH136" s="93" t="n"/>
      <c r="AI136" s="93" t="n"/>
      <c r="AK136" s="265" t="inlineStr"/>
      <c r="AL136">
        <f>IF(AND(ISNUMBER($S136),$S136&gt;0,ISNUMBER($K136),ISNUMBER($J136)),($K136*$J136)/$S136,"")</f>
        <v/>
      </c>
      <c r="AM136" s="93" t="n"/>
      <c r="AN136" s="93" t="n"/>
      <c r="AO136" s="93" t="n"/>
      <c r="AP136" s="93" t="n"/>
      <c r="AQ136" s="93" t="n"/>
    </row>
    <row r="137" ht="28" customHeight="1" s="518">
      <c r="A137" s="106" t="n">
        <v>6</v>
      </c>
      <c r="B137" s="93" t="n">
        <v>132</v>
      </c>
      <c r="C137" s="93" t="inlineStr">
        <is>
          <t>2013Q</t>
        </is>
      </c>
      <c r="D137" s="93" t="inlineStr">
        <is>
          <t xml:space="preserve">02244-28-013-000 </t>
        </is>
      </c>
      <c r="E137" s="92" t="inlineStr">
        <is>
          <t>Actual</t>
        </is>
      </c>
      <c r="F137" s="93" t="inlineStr">
        <is>
          <t>3601 E 39TH                 AV</t>
        </is>
      </c>
      <c r="G137" s="93" t="n">
        <v>44.1</v>
      </c>
      <c r="H137" s="93" t="n">
        <v>9201</v>
      </c>
      <c r="I137" s="92" t="n">
        <v>0</v>
      </c>
      <c r="J137" s="710" t="n">
        <v>20520</v>
      </c>
      <c r="K137" s="711" t="n">
        <v>5.570760233918128</v>
      </c>
      <c r="L137" s="108" t="n">
        <v>0</v>
      </c>
      <c r="M137" s="97" t="n">
        <v>0</v>
      </c>
      <c r="N137" s="93" t="n">
        <v>1967</v>
      </c>
      <c r="O137" s="93" t="n">
        <v>3980</v>
      </c>
      <c r="P137" s="93" t="n">
        <v>0</v>
      </c>
      <c r="Q137" s="93" t="n">
        <v>0</v>
      </c>
      <c r="R137" s="93" t="n">
        <v>4</v>
      </c>
      <c r="S137" s="93" t="n">
        <v>1</v>
      </c>
      <c r="T137" s="92" t="inlineStr">
        <is>
          <t xml:space="preserve">I-MX-3      </t>
        </is>
      </c>
      <c r="U137" s="93" t="n">
        <v>398</v>
      </c>
      <c r="V137" s="710" t="n">
        <v>93179</v>
      </c>
      <c r="W137" s="710" t="n">
        <v>93000</v>
      </c>
      <c r="X137" s="712" t="inlineStr">
        <is>
          <t>4.5:1</t>
        </is>
      </c>
      <c r="Y137" s="710" t="n">
        <v>21000</v>
      </c>
      <c r="Z137" s="92" t="inlineStr">
        <is>
          <t xml:space="preserve">C </t>
        </is>
      </c>
      <c r="AA137" s="93" t="n"/>
      <c r="AB137" s="93" t="n"/>
      <c r="AC137" s="93" t="n"/>
      <c r="AD137" s="93" t="inlineStr">
        <is>
          <t>EXPERT PIPING SUPPLY</t>
        </is>
      </c>
      <c r="AE137" s="93" t="n"/>
      <c r="AF137" s="93" t="n"/>
      <c r="AG137" s="93" t="n"/>
      <c r="AH137" s="93" t="n"/>
      <c r="AI137" s="93" t="n"/>
      <c r="AK137" s="265" t="inlineStr">
        <is>
          <t xml:space="preserve">ORIGINATION OF MO-TO-MO ARRANGEMENT UNKNOWN.                      </t>
        </is>
      </c>
      <c r="AL137">
        <f>IF(AND(ISNUMBER($S137),$S137&gt;0,ISNUMBER($K137),ISNUMBER($J137)),($K137*$J137)/$S137,"")</f>
        <v/>
      </c>
      <c r="AM137" s="93" t="n"/>
      <c r="AN137" s="93" t="n"/>
      <c r="AO137" s="93" t="n"/>
      <c r="AP137" s="93" t="n"/>
      <c r="AQ137" s="93" t="n"/>
    </row>
    <row r="138" ht="14" customHeight="1" s="518">
      <c r="A138" s="106" t="n">
        <v>6</v>
      </c>
      <c r="B138" s="93" t="n">
        <v>133</v>
      </c>
      <c r="C138" s="93" t="inlineStr">
        <is>
          <t>2013Q</t>
        </is>
      </c>
      <c r="D138" s="93" t="inlineStr">
        <is>
          <t xml:space="preserve">02263-04-016-000 </t>
        </is>
      </c>
      <c r="E138" s="92" t="inlineStr">
        <is>
          <t>Actual</t>
        </is>
      </c>
      <c r="F138" s="93" t="inlineStr">
        <is>
          <t>3518   LARIMER              ST</t>
        </is>
      </c>
      <c r="G138" s="93" t="n">
        <v>44.1</v>
      </c>
      <c r="H138" s="93" t="n">
        <v>9210</v>
      </c>
      <c r="I138" s="92" t="n">
        <v>0</v>
      </c>
      <c r="J138" s="710" t="n">
        <v>8312</v>
      </c>
      <c r="K138" s="711" t="n">
        <v>4.451395572666025</v>
      </c>
      <c r="L138" s="108" t="n">
        <v>0</v>
      </c>
      <c r="M138" s="97" t="n">
        <v>0.02702702702702703</v>
      </c>
      <c r="N138" s="93" t="n">
        <v>1958</v>
      </c>
      <c r="O138" s="93" t="n">
        <v>1137</v>
      </c>
      <c r="P138" s="93" t="n">
        <v>0</v>
      </c>
      <c r="Q138" s="93" t="n">
        <v>14</v>
      </c>
      <c r="R138" s="93" t="n">
        <v>3</v>
      </c>
      <c r="S138" s="93" t="n">
        <v>1</v>
      </c>
      <c r="T138" s="92" t="inlineStr">
        <is>
          <t xml:space="preserve">I-MX-3      </t>
        </is>
      </c>
      <c r="U138" s="93" t="n">
        <v>398</v>
      </c>
      <c r="V138" s="710" t="n">
        <v>12488</v>
      </c>
      <c r="W138" s="710" t="n">
        <v>12000</v>
      </c>
      <c r="X138" s="712" t="inlineStr">
        <is>
          <t>1.5:1</t>
        </is>
      </c>
      <c r="Y138" s="710" t="n">
        <v>8000</v>
      </c>
      <c r="Z138" s="92" t="inlineStr">
        <is>
          <t xml:space="preserve">C </t>
        </is>
      </c>
      <c r="AA138" s="93" t="n"/>
      <c r="AB138" s="93" t="n"/>
      <c r="AC138" s="93" t="n"/>
      <c r="AD138" s="93" t="inlineStr">
        <is>
          <t xml:space="preserve">SCHERER METALS, INC </t>
        </is>
      </c>
      <c r="AE138" s="93" t="n"/>
      <c r="AF138" s="93" t="n"/>
      <c r="AG138" s="93" t="n"/>
      <c r="AH138" s="93" t="n"/>
      <c r="AI138" s="93" t="n"/>
      <c r="AK138" s="265" t="inlineStr"/>
      <c r="AL138">
        <f>IF(AND(ISNUMBER($S138),$S138&gt;0,ISNUMBER($K138),ISNUMBER($J138)),($K138*$J138)/$S138,"")</f>
        <v/>
      </c>
      <c r="AM138" s="93" t="n"/>
      <c r="AN138" s="93" t="n"/>
      <c r="AO138" s="93" t="n"/>
      <c r="AP138" s="93" t="n"/>
      <c r="AQ138" s="93" t="n"/>
    </row>
    <row r="139" ht="14" customHeight="1" s="518">
      <c r="A139" s="106" t="n">
        <v>6</v>
      </c>
      <c r="B139" s="93" t="n">
        <v>134</v>
      </c>
      <c r="C139" s="93" t="inlineStr">
        <is>
          <t>2013Q</t>
        </is>
      </c>
      <c r="D139" s="93" t="inlineStr">
        <is>
          <t xml:space="preserve">02271-00-019-000 </t>
        </is>
      </c>
      <c r="E139" s="92" t="inlineStr">
        <is>
          <t>Actual</t>
        </is>
      </c>
      <c r="F139" s="93" t="inlineStr">
        <is>
          <t>3325   BRIGHTON             BV</t>
        </is>
      </c>
      <c r="G139" s="93" t="n">
        <v>44.1</v>
      </c>
      <c r="H139" s="93" t="n">
        <v>9210</v>
      </c>
      <c r="I139" s="92" t="n">
        <v>0</v>
      </c>
      <c r="J139" s="710" t="n">
        <v>7668</v>
      </c>
      <c r="K139" s="711" t="n">
        <v>12</v>
      </c>
      <c r="L139" s="108" t="n">
        <v>0</v>
      </c>
      <c r="M139" s="97" t="n">
        <v>0.2854</v>
      </c>
      <c r="N139" s="93" t="n">
        <v>1948</v>
      </c>
      <c r="O139" s="93" t="n">
        <v>1800</v>
      </c>
      <c r="P139" s="93" t="n">
        <v>0</v>
      </c>
      <c r="Q139" s="93" t="n">
        <v>20</v>
      </c>
      <c r="R139" s="93" t="n">
        <v>3</v>
      </c>
      <c r="S139" s="93" t="n">
        <v>1</v>
      </c>
      <c r="T139" s="92" t="inlineStr">
        <is>
          <t xml:space="preserve">C-MX-8      </t>
        </is>
      </c>
      <c r="U139" s="93" t="n">
        <v>398</v>
      </c>
      <c r="V139" s="710" t="n">
        <v>18830</v>
      </c>
      <c r="W139" s="710" t="n">
        <v>19000</v>
      </c>
      <c r="X139" s="712" t="inlineStr">
        <is>
          <t>2.5:1</t>
        </is>
      </c>
      <c r="Y139" s="710" t="n">
        <v>8000</v>
      </c>
      <c r="Z139" s="92" t="inlineStr">
        <is>
          <t xml:space="preserve">C </t>
        </is>
      </c>
      <c r="AA139" s="93" t="n"/>
      <c r="AB139" s="93" t="n"/>
      <c r="AC139" s="93" t="n"/>
      <c r="AD139" s="93" t="inlineStr">
        <is>
          <t>PYRAMID PRINT&amp;GRPHCS</t>
        </is>
      </c>
      <c r="AE139" s="93" t="n"/>
      <c r="AF139" s="93" t="n"/>
      <c r="AG139" s="93" t="n"/>
      <c r="AH139" s="93" t="n"/>
      <c r="AI139" s="93" t="n"/>
      <c r="AK139" s="265" t="inlineStr">
        <is>
          <t xml:space="preserve">2010 LEASE.                                                       </t>
        </is>
      </c>
      <c r="AL139">
        <f>IF(AND(ISNUMBER($S139),$S139&gt;0,ISNUMBER($K139),ISNUMBER($J139)),($K139*$J139)/$S139,"")</f>
        <v/>
      </c>
      <c r="AM139" s="93" t="n"/>
      <c r="AN139" s="93" t="n"/>
      <c r="AO139" s="93" t="n"/>
      <c r="AP139" s="93" t="n"/>
      <c r="AQ139" s="93" t="n"/>
    </row>
    <row r="140" ht="14" customHeight="1" s="518">
      <c r="A140" s="106" t="n">
        <v>6</v>
      </c>
      <c r="B140" s="93" t="n">
        <v>135</v>
      </c>
      <c r="C140" s="93" t="inlineStr">
        <is>
          <t>2013Q</t>
        </is>
      </c>
      <c r="D140" s="93" t="inlineStr">
        <is>
          <t xml:space="preserve">02271-08-038-000 </t>
        </is>
      </c>
      <c r="E140" s="92" t="inlineStr">
        <is>
          <t>Actual</t>
        </is>
      </c>
      <c r="F140" s="93" t="inlineStr">
        <is>
          <t>3615   DELGANY              ST</t>
        </is>
      </c>
      <c r="G140" s="93" t="n">
        <v>44.1</v>
      </c>
      <c r="H140" s="93" t="n">
        <v>9210</v>
      </c>
      <c r="I140" s="92" t="n">
        <v>0</v>
      </c>
      <c r="J140" s="710" t="n">
        <v>4400</v>
      </c>
      <c r="K140" s="711" t="n">
        <v>7.090909090909091</v>
      </c>
      <c r="L140" s="108" t="n">
        <v>0</v>
      </c>
      <c r="M140" s="97" t="n">
        <v>0.02067307692307692</v>
      </c>
      <c r="N140" s="93" t="n">
        <v>1954</v>
      </c>
      <c r="O140" s="93" t="n">
        <v>247</v>
      </c>
      <c r="P140" s="93" t="n">
        <v>0</v>
      </c>
      <c r="Q140" s="93" t="n">
        <v>13</v>
      </c>
      <c r="R140" s="93" t="n">
        <v>3</v>
      </c>
      <c r="S140" s="93" t="n">
        <v>1</v>
      </c>
      <c r="T140" s="92" t="inlineStr">
        <is>
          <t xml:space="preserve">I-MX-5      </t>
        </is>
      </c>
      <c r="U140" s="93" t="n">
        <v>398</v>
      </c>
      <c r="V140" s="710" t="n">
        <v>17625</v>
      </c>
      <c r="W140" s="710" t="n">
        <v>18000</v>
      </c>
      <c r="X140" s="712" t="inlineStr">
        <is>
          <t>4:1</t>
        </is>
      </c>
      <c r="Y140" s="710" t="n">
        <v>4000</v>
      </c>
      <c r="Z140" s="92" t="inlineStr">
        <is>
          <t xml:space="preserve">C </t>
        </is>
      </c>
      <c r="AA140" s="93" t="n"/>
      <c r="AB140" s="93" t="n"/>
      <c r="AC140" s="93" t="n"/>
      <c r="AD140" s="93" t="inlineStr">
        <is>
          <t>S-W LIGHT BLUB SERVC</t>
        </is>
      </c>
      <c r="AE140" s="93" t="n"/>
      <c r="AF140" s="93" t="n"/>
      <c r="AG140" s="93" t="n"/>
      <c r="AH140" s="93" t="n"/>
      <c r="AI140" s="93" t="n"/>
      <c r="AK140" s="265" t="inlineStr">
        <is>
          <t xml:space="preserve">2009 LEASE.                                                       </t>
        </is>
      </c>
      <c r="AL140">
        <f>IF(AND(ISNUMBER($S140),$S140&gt;0,ISNUMBER($K140),ISNUMBER($J140)),($K140*$J140)/$S140,"")</f>
        <v/>
      </c>
      <c r="AM140" s="93" t="n"/>
      <c r="AN140" s="93" t="n"/>
      <c r="AO140" s="93" t="n"/>
      <c r="AP140" s="93" t="n"/>
      <c r="AQ140" s="93" t="n"/>
    </row>
    <row r="141" ht="28" customHeight="1" s="518">
      <c r="A141" s="106" t="n">
        <v>6</v>
      </c>
      <c r="B141" s="93" t="n">
        <v>136</v>
      </c>
      <c r="C141" s="93" t="inlineStr">
        <is>
          <t>2013Q</t>
        </is>
      </c>
      <c r="D141" s="93" t="inlineStr">
        <is>
          <t xml:space="preserve">02271-12-020-000 </t>
        </is>
      </c>
      <c r="E141" s="92" t="inlineStr">
        <is>
          <t>Actual</t>
        </is>
      </c>
      <c r="F141" s="93" t="inlineStr">
        <is>
          <t>3551   BRIGHTON             BV</t>
        </is>
      </c>
      <c r="G141" s="93" t="n">
        <v>44.2</v>
      </c>
      <c r="H141" s="93" t="n">
        <v>9210</v>
      </c>
      <c r="I141" s="92" t="n">
        <v>0</v>
      </c>
      <c r="J141" s="710" t="n">
        <v>5340</v>
      </c>
      <c r="K141" s="711" t="n">
        <v>5.617977528089888</v>
      </c>
      <c r="L141" s="108" t="n">
        <v>0</v>
      </c>
      <c r="M141" s="97" t="n">
        <v>0</v>
      </c>
      <c r="N141" s="93" t="n">
        <v>1955</v>
      </c>
      <c r="O141" s="93" t="n">
        <v>2960</v>
      </c>
      <c r="P141" s="93" t="n">
        <v>0</v>
      </c>
      <c r="Q141" s="93" t="n">
        <v>16</v>
      </c>
      <c r="R141" s="93" t="n">
        <v>3</v>
      </c>
      <c r="S141" s="93" t="n">
        <v>1</v>
      </c>
      <c r="T141" s="92" t="inlineStr">
        <is>
          <t xml:space="preserve">I-MX-5      </t>
        </is>
      </c>
      <c r="U141" s="93" t="n">
        <v>398</v>
      </c>
      <c r="V141" s="710" t="n">
        <v>6250</v>
      </c>
      <c r="W141" s="710" t="n">
        <v>6000</v>
      </c>
      <c r="X141" s="712" t="inlineStr">
        <is>
          <t>1.2:1</t>
        </is>
      </c>
      <c r="Y141" s="710" t="n">
        <v>5000</v>
      </c>
      <c r="Z141" s="92" t="inlineStr">
        <is>
          <t xml:space="preserve">C </t>
        </is>
      </c>
      <c r="AA141" s="93" t="n"/>
      <c r="AB141" s="93" t="n"/>
      <c r="AC141" s="93" t="n"/>
      <c r="AD141" s="93" t="inlineStr"/>
      <c r="AE141" s="93" t="n"/>
      <c r="AF141" s="93" t="n"/>
      <c r="AG141" s="93" t="n"/>
      <c r="AH141" s="93" t="n"/>
      <c r="AI141" s="93" t="n"/>
      <c r="AK141" s="265" t="inlineStr">
        <is>
          <t xml:space="preserve">2009-10 LEASES; EXPENSES UNREALISTIC = NOT POSTED.                </t>
        </is>
      </c>
      <c r="AL141">
        <f>IF(AND(ISNUMBER($S141),$S141&gt;0,ISNUMBER($K141),ISNUMBER($J141)),($K141*$J141)/$S141,"")</f>
        <v/>
      </c>
      <c r="AM141" s="93" t="n"/>
      <c r="AN141" s="93" t="n"/>
      <c r="AO141" s="93" t="n"/>
      <c r="AP141" s="93" t="n"/>
      <c r="AQ141" s="93" t="n"/>
    </row>
    <row r="142" ht="28" customHeight="1" s="518">
      <c r="A142" s="106" t="n">
        <v>6</v>
      </c>
      <c r="B142" s="93" t="n">
        <v>137</v>
      </c>
      <c r="C142" s="93" t="inlineStr">
        <is>
          <t>2013Q</t>
        </is>
      </c>
      <c r="D142" s="93" t="inlineStr">
        <is>
          <t xml:space="preserve">02271-12-021-000 </t>
        </is>
      </c>
      <c r="E142" s="92" t="inlineStr">
        <is>
          <t>Actual</t>
        </is>
      </c>
      <c r="F142" s="93" t="inlineStr">
        <is>
          <t>3559   BRIGHTON             BV</t>
        </is>
      </c>
      <c r="G142" s="93" t="n">
        <v>44.2</v>
      </c>
      <c r="H142" s="93" t="n">
        <v>9210</v>
      </c>
      <c r="I142" s="92" t="n">
        <v>0</v>
      </c>
      <c r="J142" s="710" t="n">
        <v>5015</v>
      </c>
      <c r="K142" s="711" t="n">
        <v>5.931804586241276</v>
      </c>
      <c r="L142" s="108" t="n">
        <v>0</v>
      </c>
      <c r="M142" s="97" t="n">
        <v>0</v>
      </c>
      <c r="N142" s="93" t="n">
        <v>1950</v>
      </c>
      <c r="O142" s="93" t="n">
        <v>0</v>
      </c>
      <c r="P142" s="93" t="n">
        <v>0</v>
      </c>
      <c r="Q142" s="93" t="n">
        <v>14</v>
      </c>
      <c r="R142" s="93" t="n">
        <v>3</v>
      </c>
      <c r="S142" s="93" t="n">
        <v>2</v>
      </c>
      <c r="T142" s="92" t="inlineStr">
        <is>
          <t xml:space="preserve">I-MX-5      </t>
        </is>
      </c>
      <c r="U142" s="93" t="n">
        <v>398</v>
      </c>
      <c r="V142" s="710" t="n">
        <v>6250</v>
      </c>
      <c r="W142" s="710" t="n">
        <v>6000</v>
      </c>
      <c r="X142" s="712" t="inlineStr">
        <is>
          <t>1.2:1</t>
        </is>
      </c>
      <c r="Y142" s="710" t="n">
        <v>5000</v>
      </c>
      <c r="Z142" s="92" t="inlineStr">
        <is>
          <t xml:space="preserve">C </t>
        </is>
      </c>
      <c r="AA142" s="93" t="n"/>
      <c r="AB142" s="93" t="n"/>
      <c r="AC142" s="93" t="n"/>
      <c r="AD142" s="93" t="inlineStr">
        <is>
          <t xml:space="preserve">5280 DESIGNS        </t>
        </is>
      </c>
      <c r="AE142" s="93" t="n"/>
      <c r="AF142" s="93" t="n"/>
      <c r="AG142" s="93" t="n"/>
      <c r="AH142" s="93" t="n"/>
      <c r="AI142" s="93" t="n"/>
      <c r="AK142" s="265" t="inlineStr">
        <is>
          <t xml:space="preserve">2009 LEASE; EXPENSES UNREALISTIC = NOT POSTED.                    </t>
        </is>
      </c>
      <c r="AL142">
        <f>IF(AND(ISNUMBER($S142),$S142&gt;0,ISNUMBER($K142),ISNUMBER($J142)),($K142*$J142)/$S142,"")</f>
        <v/>
      </c>
      <c r="AM142" s="93" t="n"/>
      <c r="AN142" s="93" t="n"/>
      <c r="AO142" s="93" t="n"/>
      <c r="AP142" s="93" t="n"/>
      <c r="AQ142" s="93" t="n"/>
    </row>
    <row r="143" ht="14" customHeight="1" s="518">
      <c r="A143" s="106" t="n">
        <v>6</v>
      </c>
      <c r="B143" s="93" t="n">
        <v>138</v>
      </c>
      <c r="C143" s="93" t="inlineStr">
        <is>
          <t>2013Q</t>
        </is>
      </c>
      <c r="D143" s="93" t="inlineStr">
        <is>
          <t xml:space="preserve">02271-12-031-000 </t>
        </is>
      </c>
      <c r="E143" s="92" t="inlineStr">
        <is>
          <t>Actual</t>
        </is>
      </c>
      <c r="F143" s="93" t="inlineStr">
        <is>
          <t>3535   BRIGHTON             BL</t>
        </is>
      </c>
      <c r="G143" s="93" t="n">
        <v>44.1</v>
      </c>
      <c r="H143" s="93" t="n">
        <v>9210</v>
      </c>
      <c r="I143" s="92" t="n">
        <v>0</v>
      </c>
      <c r="J143" s="710" t="n">
        <v>9880</v>
      </c>
      <c r="K143" s="711" t="n">
        <v>6.781376518218623</v>
      </c>
      <c r="L143" s="108" t="n">
        <v>0.35</v>
      </c>
      <c r="M143" s="97" t="n">
        <v>0</v>
      </c>
      <c r="N143" s="93" t="n">
        <v>1973</v>
      </c>
      <c r="O143" s="93" t="n">
        <v>384</v>
      </c>
      <c r="P143" s="93" t="n">
        <v>0</v>
      </c>
      <c r="Q143" s="93" t="n">
        <v>15</v>
      </c>
      <c r="R143" s="93" t="n">
        <v>3</v>
      </c>
      <c r="S143" s="93" t="n">
        <v>1</v>
      </c>
      <c r="T143" s="92" t="inlineStr">
        <is>
          <t xml:space="preserve">C-MX-12     </t>
        </is>
      </c>
      <c r="U143" s="93" t="n">
        <v>398</v>
      </c>
      <c r="V143" s="710" t="n">
        <v>12500</v>
      </c>
      <c r="W143" s="710" t="n">
        <v>13000</v>
      </c>
      <c r="X143" s="712" t="inlineStr">
        <is>
          <t>1.3:1</t>
        </is>
      </c>
      <c r="Y143" s="710" t="n">
        <v>10000</v>
      </c>
      <c r="Z143" s="92" t="inlineStr">
        <is>
          <t xml:space="preserve">C </t>
        </is>
      </c>
      <c r="AA143" s="93" t="n"/>
      <c r="AB143" s="93" t="n"/>
      <c r="AC143" s="93" t="n"/>
      <c r="AD143" s="93" t="inlineStr"/>
      <c r="AE143" s="93" t="n"/>
      <c r="AF143" s="93" t="n"/>
      <c r="AG143" s="93" t="n"/>
      <c r="AH143" s="93" t="n"/>
      <c r="AI143" s="93" t="n"/>
      <c r="AK143" s="265" t="inlineStr">
        <is>
          <t xml:space="preserve">EXPENSES UNREALISTIC = NOT POSTED.                                </t>
        </is>
      </c>
      <c r="AL143">
        <f>IF(AND(ISNUMBER($S143),$S143&gt;0,ISNUMBER($K143),ISNUMBER($J143)),($K143*$J143)/$S143,"")</f>
        <v/>
      </c>
      <c r="AM143" s="93" t="n"/>
      <c r="AN143" s="93" t="n"/>
      <c r="AO143" s="93" t="n"/>
      <c r="AP143" s="93" t="n"/>
      <c r="AQ143" s="93" t="n"/>
    </row>
    <row r="144" ht="28" customHeight="1" s="518">
      <c r="A144" s="106" t="n">
        <v>6</v>
      </c>
      <c r="B144" s="93" t="n">
        <v>139</v>
      </c>
      <c r="C144" s="93" t="inlineStr">
        <is>
          <t>2013Q</t>
        </is>
      </c>
      <c r="D144" s="93" t="inlineStr">
        <is>
          <t xml:space="preserve">02271-18-022-000 </t>
        </is>
      </c>
      <c r="E144" s="92" t="inlineStr">
        <is>
          <t>Actual</t>
        </is>
      </c>
      <c r="F144" s="93" t="inlineStr">
        <is>
          <t>3400   WALNUT               ST</t>
        </is>
      </c>
      <c r="G144" s="93" t="inlineStr">
        <is>
          <t>44.M</t>
        </is>
      </c>
      <c r="H144" s="93" t="n">
        <v>9210</v>
      </c>
      <c r="I144" s="92" t="n">
        <v>0</v>
      </c>
      <c r="J144" s="710" t="n">
        <v>21350</v>
      </c>
      <c r="K144" s="711" t="n">
        <v>8.980046838407494</v>
      </c>
      <c r="L144" s="108" t="n">
        <v>0</v>
      </c>
      <c r="M144" s="97" t="n">
        <v>0.3533673405520436</v>
      </c>
      <c r="N144" s="93" t="n">
        <v>1950</v>
      </c>
      <c r="O144" s="93" t="n">
        <v>0</v>
      </c>
      <c r="P144" s="93" t="n">
        <v>0</v>
      </c>
      <c r="Q144" s="93" t="n">
        <v>11</v>
      </c>
      <c r="R144" s="93" t="n">
        <v>1</v>
      </c>
      <c r="S144" s="93" t="n">
        <v>85</v>
      </c>
      <c r="T144" s="92" t="inlineStr">
        <is>
          <t xml:space="preserve">I-MX-3      </t>
        </is>
      </c>
      <c r="U144" s="93" t="n">
        <v>396</v>
      </c>
      <c r="V144" s="710" t="n">
        <v>31250</v>
      </c>
      <c r="W144" s="710" t="n">
        <v>31000</v>
      </c>
      <c r="X144" s="712" t="inlineStr">
        <is>
          <t>1.5:1</t>
        </is>
      </c>
      <c r="Y144" s="710" t="n">
        <v>21000</v>
      </c>
      <c r="Z144" s="92" t="inlineStr">
        <is>
          <t xml:space="preserve">C </t>
        </is>
      </c>
      <c r="AA144" s="93" t="n"/>
      <c r="AB144" s="93" t="n"/>
      <c r="AC144" s="93" t="n"/>
      <c r="AD144" s="93" t="inlineStr">
        <is>
          <t xml:space="preserve">DOWNTOWN SELF STRG  </t>
        </is>
      </c>
      <c r="AE144" s="93" t="n"/>
      <c r="AF144" s="93" t="n"/>
      <c r="AG144" s="93" t="n"/>
      <c r="AH144" s="93" t="n"/>
      <c r="AI144" s="93" t="n"/>
      <c r="AK144" s="265" t="inlineStr">
        <is>
          <t xml:space="preserve">SELF-STORAGE FACILITY,TENANTS ARE TEMPORARY                       </t>
        </is>
      </c>
      <c r="AL144">
        <f>IF(AND(ISNUMBER($S144),$S144&gt;0,ISNUMBER($K144),ISNUMBER($J144)),($K144*$J144)/$S144,"")</f>
        <v/>
      </c>
      <c r="AM144" s="93" t="n"/>
      <c r="AN144" s="93" t="n"/>
      <c r="AO144" s="93" t="n"/>
      <c r="AP144" s="93" t="n"/>
      <c r="AQ144" s="93" t="n"/>
    </row>
    <row r="145" ht="14" customHeight="1" s="518">
      <c r="A145" s="106" t="n">
        <v>6</v>
      </c>
      <c r="B145" s="93" t="n">
        <v>140</v>
      </c>
      <c r="C145" s="93" t="inlineStr">
        <is>
          <t>2013Q</t>
        </is>
      </c>
      <c r="D145" s="93" t="inlineStr">
        <is>
          <t xml:space="preserve">02271-20-005-000 </t>
        </is>
      </c>
      <c r="E145" s="92" t="inlineStr">
        <is>
          <t>Actual</t>
        </is>
      </c>
      <c r="F145" s="93" t="inlineStr">
        <is>
          <t>3433   BLAKE                ST</t>
        </is>
      </c>
      <c r="G145" s="93" t="n">
        <v>44.1</v>
      </c>
      <c r="H145" s="93" t="n">
        <v>9210</v>
      </c>
      <c r="I145" s="92" t="n">
        <v>0</v>
      </c>
      <c r="J145" s="710" t="n">
        <v>2501</v>
      </c>
      <c r="K145" s="711" t="n">
        <v>18.40063974410236</v>
      </c>
      <c r="L145" s="108" t="n">
        <v>0</v>
      </c>
      <c r="M145" s="97" t="n">
        <v>0</v>
      </c>
      <c r="N145" s="93" t="n">
        <v>1932</v>
      </c>
      <c r="O145" s="93" t="n">
        <v>722</v>
      </c>
      <c r="P145" s="93" t="n">
        <v>0</v>
      </c>
      <c r="Q145" s="93" t="n">
        <v>12</v>
      </c>
      <c r="R145" s="93" t="n">
        <v>1</v>
      </c>
      <c r="S145" s="93" t="n">
        <v>1</v>
      </c>
      <c r="T145" s="92" t="inlineStr">
        <is>
          <t xml:space="preserve">C-MX-5      </t>
        </is>
      </c>
      <c r="U145" s="93" t="n">
        <v>398</v>
      </c>
      <c r="V145" s="710" t="n">
        <v>6250</v>
      </c>
      <c r="W145" s="710" t="n">
        <v>6000</v>
      </c>
      <c r="X145" s="712" t="inlineStr">
        <is>
          <t>2.5:1</t>
        </is>
      </c>
      <c r="Y145" s="710" t="n">
        <v>3000</v>
      </c>
      <c r="Z145" s="92" t="inlineStr">
        <is>
          <t xml:space="preserve">C </t>
        </is>
      </c>
      <c r="AA145" s="93" t="n"/>
      <c r="AB145" s="93" t="n"/>
      <c r="AC145" s="93" t="n"/>
      <c r="AD145" s="93" t="inlineStr">
        <is>
          <t xml:space="preserve">S-W BLAKE ST GLASS  </t>
        </is>
      </c>
      <c r="AE145" s="93" t="n"/>
      <c r="AF145" s="93" t="n"/>
      <c r="AG145" s="93" t="n"/>
      <c r="AH145" s="93" t="n"/>
      <c r="AI145" s="93" t="n"/>
      <c r="AK145" s="265" t="inlineStr">
        <is>
          <t xml:space="preserve">2009 LEASE.                                                       </t>
        </is>
      </c>
      <c r="AL145">
        <f>IF(AND(ISNUMBER($S145),$S145&gt;0,ISNUMBER($K145),ISNUMBER($J145)),($K145*$J145)/$S145,"")</f>
        <v/>
      </c>
      <c r="AM145" s="93" t="n"/>
      <c r="AN145" s="93" t="n"/>
      <c r="AO145" s="93" t="n"/>
      <c r="AP145" s="93" t="n"/>
      <c r="AQ145" s="93" t="n"/>
    </row>
    <row r="146" ht="28" customHeight="1" s="518">
      <c r="A146" s="106" t="n">
        <v>6</v>
      </c>
      <c r="B146" s="93" t="n">
        <v>141</v>
      </c>
      <c r="C146" s="93" t="inlineStr">
        <is>
          <t>2013Q</t>
        </is>
      </c>
      <c r="D146" s="93" t="inlineStr">
        <is>
          <t xml:space="preserve">02271-22-005-000 </t>
        </is>
      </c>
      <c r="E146" s="92" t="inlineStr">
        <is>
          <t>Actual</t>
        </is>
      </c>
      <c r="F146" s="93" t="inlineStr">
        <is>
          <t>3430   BRIGHTON             BV</t>
        </is>
      </c>
      <c r="G146" s="93" t="n">
        <v>44.1</v>
      </c>
      <c r="H146" s="93" t="n">
        <v>9210</v>
      </c>
      <c r="I146" s="92" t="n">
        <v>0</v>
      </c>
      <c r="J146" s="710" t="n">
        <v>7464</v>
      </c>
      <c r="K146" s="711" t="n">
        <v>4.501607717041801</v>
      </c>
      <c r="L146" s="108" t="n">
        <v>0</v>
      </c>
      <c r="M146" s="97" t="n">
        <v>0</v>
      </c>
      <c r="N146" s="93" t="n">
        <v>1931</v>
      </c>
      <c r="O146" s="93" t="n">
        <v>180</v>
      </c>
      <c r="P146" s="93" t="n">
        <v>0</v>
      </c>
      <c r="Q146" s="93" t="n">
        <v>14</v>
      </c>
      <c r="R146" s="93" t="n">
        <v>7</v>
      </c>
      <c r="S146" s="93" t="n">
        <v>1</v>
      </c>
      <c r="T146" s="92" t="inlineStr">
        <is>
          <t xml:space="preserve">I-MX-8      </t>
        </is>
      </c>
      <c r="U146" s="93" t="n">
        <v>398</v>
      </c>
      <c r="V146" s="710" t="n">
        <v>12500</v>
      </c>
      <c r="W146" s="710" t="n">
        <v>13000</v>
      </c>
      <c r="X146" s="712" t="inlineStr">
        <is>
          <t>1.7:1</t>
        </is>
      </c>
      <c r="Y146" s="710" t="n">
        <v>7000</v>
      </c>
      <c r="Z146" s="92" t="inlineStr">
        <is>
          <t xml:space="preserve">C </t>
        </is>
      </c>
      <c r="AA146" s="93" t="n"/>
      <c r="AB146" s="93" t="n"/>
      <c r="AC146" s="93" t="n"/>
      <c r="AD146" s="93" t="inlineStr">
        <is>
          <t xml:space="preserve">SANTA FE HTG &amp; AC   </t>
        </is>
      </c>
      <c r="AE146" s="93" t="n"/>
      <c r="AF146" s="93" t="n"/>
      <c r="AG146" s="93" t="n"/>
      <c r="AH146" s="93" t="n"/>
      <c r="AI146" s="93" t="n"/>
      <c r="AK146" s="265" t="inlineStr">
        <is>
          <t xml:space="preserve">2010 LEASE; EXPENSES UNREALISTIC = NOT POSTED.                    </t>
        </is>
      </c>
      <c r="AL146">
        <f>IF(AND(ISNUMBER($S146),$S146&gt;0,ISNUMBER($K146),ISNUMBER($J146)),($K146*$J146)/$S146,"")</f>
        <v/>
      </c>
      <c r="AM146" s="93" t="n"/>
      <c r="AN146" s="93" t="n"/>
      <c r="AO146" s="93" t="n"/>
      <c r="AP146" s="93" t="n"/>
      <c r="AQ146" s="93" t="n"/>
    </row>
    <row r="147" ht="14" customHeight="1" s="518">
      <c r="A147" s="106" t="n">
        <v>6</v>
      </c>
      <c r="B147" s="93" t="n">
        <v>142</v>
      </c>
      <c r="C147" s="93" t="inlineStr">
        <is>
          <t>2013Q</t>
        </is>
      </c>
      <c r="D147" s="93" t="inlineStr">
        <is>
          <t xml:space="preserve">02271-22-014-000 </t>
        </is>
      </c>
      <c r="E147" s="92" t="inlineStr">
        <is>
          <t>Actual</t>
        </is>
      </c>
      <c r="F147" s="93" t="inlineStr">
        <is>
          <t>3400   BRIGHTON             BV</t>
        </is>
      </c>
      <c r="G147" s="93" t="n">
        <v>47.1</v>
      </c>
      <c r="H147" s="93" t="n">
        <v>9210</v>
      </c>
      <c r="I147" s="92" t="n">
        <v>0</v>
      </c>
      <c r="J147" s="710" t="n">
        <v>6832</v>
      </c>
      <c r="K147" s="711" t="n">
        <v>6.706088992974239</v>
      </c>
      <c r="L147" s="108" t="n">
        <v>0</v>
      </c>
      <c r="M147" s="97" t="n">
        <v>0</v>
      </c>
      <c r="N147" s="93" t="n">
        <v>1957</v>
      </c>
      <c r="O147" s="93" t="n">
        <v>432</v>
      </c>
      <c r="P147" s="93" t="n">
        <v>0</v>
      </c>
      <c r="Q147" s="93" t="n">
        <v>22</v>
      </c>
      <c r="R147" s="93" t="n">
        <v>3</v>
      </c>
      <c r="S147" s="93" t="n">
        <v>1</v>
      </c>
      <c r="T147" s="92" t="inlineStr">
        <is>
          <t xml:space="preserve">I-MX-8      </t>
        </is>
      </c>
      <c r="U147" s="93" t="n">
        <v>401</v>
      </c>
      <c r="V147" s="710" t="n">
        <v>27680</v>
      </c>
      <c r="W147" s="710" t="n">
        <v>28000</v>
      </c>
      <c r="X147" s="712" t="inlineStr">
        <is>
          <t>4.1:1</t>
        </is>
      </c>
      <c r="Y147" s="710" t="n">
        <v>7000</v>
      </c>
      <c r="Z147" s="92" t="inlineStr">
        <is>
          <t xml:space="preserve">C </t>
        </is>
      </c>
      <c r="AA147" s="93" t="n"/>
      <c r="AB147" s="93" t="n"/>
      <c r="AC147" s="93" t="n"/>
      <c r="AD147" s="93" t="inlineStr">
        <is>
          <t>QUINN PROCESS EQPMNT</t>
        </is>
      </c>
      <c r="AE147" s="93" t="n"/>
      <c r="AF147" s="93" t="n"/>
      <c r="AG147" s="93" t="n"/>
      <c r="AH147" s="93" t="n"/>
      <c r="AI147" s="93" t="n"/>
      <c r="AK147" s="265" t="inlineStr">
        <is>
          <t xml:space="preserve">EXPENSES UNREALISTIC = NOT POSTED.                                </t>
        </is>
      </c>
      <c r="AL147">
        <f>IF(AND(ISNUMBER($S147),$S147&gt;0,ISNUMBER($K147),ISNUMBER($J147)),($K147*$J147)/$S147,"")</f>
        <v/>
      </c>
      <c r="AM147" s="93" t="n"/>
      <c r="AN147" s="93" t="n"/>
      <c r="AO147" s="93" t="n"/>
      <c r="AP147" s="93" t="n"/>
      <c r="AQ147" s="93" t="n"/>
    </row>
    <row r="148" ht="14" customHeight="1" s="518">
      <c r="A148" s="106" t="n">
        <v>6</v>
      </c>
      <c r="B148" s="93" t="n">
        <v>143</v>
      </c>
      <c r="C148" s="93" t="inlineStr">
        <is>
          <t>2013Q</t>
        </is>
      </c>
      <c r="D148" s="93" t="inlineStr">
        <is>
          <t xml:space="preserve">02275-06-027-000 </t>
        </is>
      </c>
      <c r="E148" s="92" t="inlineStr">
        <is>
          <t>Actual</t>
        </is>
      </c>
      <c r="F148" s="93" t="inlineStr">
        <is>
          <t>3150   WALNUT               ST</t>
        </is>
      </c>
      <c r="G148" s="93" t="n">
        <v>47.1</v>
      </c>
      <c r="H148" s="93" t="n">
        <v>9210</v>
      </c>
      <c r="I148" s="92" t="n">
        <v>0</v>
      </c>
      <c r="J148" s="710" t="n">
        <v>3750</v>
      </c>
      <c r="K148" s="711" t="n">
        <v>8.739960238568589</v>
      </c>
      <c r="L148" s="108" t="n">
        <v>0</v>
      </c>
      <c r="M148" s="97" t="n">
        <v>0</v>
      </c>
      <c r="N148" s="93" t="n">
        <v>1886</v>
      </c>
      <c r="O148" s="93" t="n">
        <v>0</v>
      </c>
      <c r="P148" s="93" t="n">
        <v>0</v>
      </c>
      <c r="Q148" s="93" t="n">
        <v>13</v>
      </c>
      <c r="R148" s="93" t="n">
        <v>1</v>
      </c>
      <c r="S148" s="93" t="n">
        <v>1</v>
      </c>
      <c r="T148" s="92" t="inlineStr">
        <is>
          <t xml:space="preserve">R-MU-30     </t>
        </is>
      </c>
      <c r="U148" s="93" t="n">
        <v>401</v>
      </c>
      <c r="V148" s="710" t="n">
        <v>18720</v>
      </c>
      <c r="W148" s="710" t="n">
        <v>19000</v>
      </c>
      <c r="X148" s="712" t="inlineStr">
        <is>
          <t>5:1</t>
        </is>
      </c>
      <c r="Y148" s="710" t="n">
        <v>4000</v>
      </c>
      <c r="Z148" s="92" t="inlineStr">
        <is>
          <t xml:space="preserve">C </t>
        </is>
      </c>
      <c r="AA148" s="93" t="n"/>
      <c r="AB148" s="93" t="n"/>
      <c r="AC148" s="93" t="n"/>
      <c r="AD148" s="93" t="inlineStr"/>
      <c r="AE148" s="93" t="n"/>
      <c r="AF148" s="93" t="n"/>
      <c r="AG148" s="93" t="n"/>
      <c r="AH148" s="93" t="n"/>
      <c r="AI148" s="93" t="n"/>
      <c r="AK148" s="265" t="inlineStr">
        <is>
          <t xml:space="preserve">NNN -- SIGNED 9.11 SOURCE: COSTAR                                 </t>
        </is>
      </c>
      <c r="AL148">
        <f>IF(AND(ISNUMBER($S148),$S148&gt;0,ISNUMBER($K148),ISNUMBER($J148)),($K148*$J148)/$S148,"")</f>
        <v/>
      </c>
      <c r="AM148" s="93" t="n"/>
      <c r="AN148" s="93" t="n"/>
      <c r="AO148" s="93" t="n"/>
      <c r="AP148" s="93" t="n"/>
      <c r="AQ148" s="93" t="n"/>
    </row>
    <row r="149" ht="14" customHeight="1" s="518">
      <c r="A149" s="106" t="n">
        <v>6</v>
      </c>
      <c r="B149" s="93" t="n">
        <v>144</v>
      </c>
      <c r="C149" s="93" t="inlineStr">
        <is>
          <t>2013Q</t>
        </is>
      </c>
      <c r="D149" s="93" t="inlineStr">
        <is>
          <t xml:space="preserve">02275-12-015-000 </t>
        </is>
      </c>
      <c r="E149" s="92" t="inlineStr">
        <is>
          <t>Actual</t>
        </is>
      </c>
      <c r="F149" s="93" t="inlineStr">
        <is>
          <t>2975   WALNUT               ST</t>
        </is>
      </c>
      <c r="G149" s="93" t="n">
        <v>44.1</v>
      </c>
      <c r="H149" s="93" t="n">
        <v>9210</v>
      </c>
      <c r="I149" s="92" t="n">
        <v>0</v>
      </c>
      <c r="J149" s="710" t="n">
        <v>20196</v>
      </c>
      <c r="K149" s="711" t="n">
        <v>8.113685878391761</v>
      </c>
      <c r="L149" s="108" t="n">
        <v>0</v>
      </c>
      <c r="M149" s="97" t="n">
        <v>0.09606747058536347</v>
      </c>
      <c r="N149" s="93" t="n">
        <v>1973</v>
      </c>
      <c r="O149" s="93" t="n">
        <v>18501</v>
      </c>
      <c r="P149" s="93" t="n">
        <v>0</v>
      </c>
      <c r="Q149" s="93" t="n">
        <v>20</v>
      </c>
      <c r="R149" s="93" t="n">
        <v>3</v>
      </c>
      <c r="S149" s="93" t="n">
        <v>1</v>
      </c>
      <c r="T149" s="92" t="inlineStr">
        <is>
          <t xml:space="preserve">I-MX-5      </t>
        </is>
      </c>
      <c r="U149" s="93" t="n">
        <v>398</v>
      </c>
      <c r="V149" s="710" t="n">
        <v>31287</v>
      </c>
      <c r="W149" s="710" t="n">
        <v>31000</v>
      </c>
      <c r="X149" s="712" t="inlineStr">
        <is>
          <t>1.5:1</t>
        </is>
      </c>
      <c r="Y149" s="710" t="n">
        <v>20000</v>
      </c>
      <c r="Z149" s="92" t="inlineStr">
        <is>
          <t xml:space="preserve">C </t>
        </is>
      </c>
      <c r="AA149" s="93" t="n"/>
      <c r="AB149" s="93" t="n"/>
      <c r="AC149" s="93" t="n"/>
      <c r="AD149" s="93" t="inlineStr"/>
      <c r="AE149" s="93" t="n"/>
      <c r="AF149" s="93" t="n"/>
      <c r="AG149" s="93" t="n"/>
      <c r="AH149" s="93" t="n"/>
      <c r="AI149" s="93" t="n"/>
      <c r="AK149" s="265" t="inlineStr"/>
      <c r="AL149">
        <f>IF(AND(ISNUMBER($S149),$S149&gt;0,ISNUMBER($K149),ISNUMBER($J149)),($K149*$J149)/$S149,"")</f>
        <v/>
      </c>
      <c r="AM149" s="93" t="n"/>
      <c r="AN149" s="93" t="n"/>
      <c r="AO149" s="93" t="n"/>
      <c r="AP149" s="93" t="n"/>
      <c r="AQ149" s="93" t="n"/>
    </row>
    <row r="150" ht="14" customHeight="1" s="518">
      <c r="A150" s="106" t="n">
        <v>6</v>
      </c>
      <c r="B150" s="93" t="n">
        <v>145</v>
      </c>
      <c r="C150" s="93" t="inlineStr">
        <is>
          <t>2013Q</t>
        </is>
      </c>
      <c r="D150" s="93" t="inlineStr">
        <is>
          <t xml:space="preserve">02275-13-030-000 </t>
        </is>
      </c>
      <c r="E150" s="92" t="inlineStr">
        <is>
          <t>Actual</t>
        </is>
      </c>
      <c r="F150" s="93" t="inlineStr">
        <is>
          <t>2964   WALNUT               ST</t>
        </is>
      </c>
      <c r="G150" s="93" t="n">
        <v>44.1</v>
      </c>
      <c r="H150" s="93" t="n">
        <v>9210</v>
      </c>
      <c r="I150" s="92" t="n">
        <v>0</v>
      </c>
      <c r="J150" s="710" t="n">
        <v>3444</v>
      </c>
      <c r="K150" s="711" t="n">
        <v>2.271777003484321</v>
      </c>
      <c r="L150" s="108" t="n">
        <v>0</v>
      </c>
      <c r="M150" s="97" t="n">
        <v>0</v>
      </c>
      <c r="N150" s="93" t="n">
        <v>1958</v>
      </c>
      <c r="O150" s="93" t="n">
        <v>700</v>
      </c>
      <c r="P150" s="93" t="n">
        <v>0</v>
      </c>
      <c r="Q150" s="93" t="n">
        <v>13</v>
      </c>
      <c r="R150" s="93" t="n">
        <v>7</v>
      </c>
      <c r="S150" s="93" t="n">
        <v>1</v>
      </c>
      <c r="T150" s="92" t="inlineStr">
        <is>
          <t xml:space="preserve">I-MX-5      </t>
        </is>
      </c>
      <c r="U150" s="93" t="n">
        <v>398</v>
      </c>
      <c r="V150" s="710" t="n">
        <v>15644</v>
      </c>
      <c r="W150" s="710" t="n">
        <v>16000</v>
      </c>
      <c r="X150" s="712" t="inlineStr">
        <is>
          <t>4.5:1</t>
        </is>
      </c>
      <c r="Y150" s="710" t="n">
        <v>3000</v>
      </c>
      <c r="Z150" s="92" t="inlineStr">
        <is>
          <t xml:space="preserve">C </t>
        </is>
      </c>
      <c r="AA150" s="93" t="n"/>
      <c r="AB150" s="93" t="n"/>
      <c r="AC150" s="93" t="n"/>
      <c r="AD150" s="93" t="inlineStr">
        <is>
          <t xml:space="preserve">S-W                 </t>
        </is>
      </c>
      <c r="AE150" s="93" t="n"/>
      <c r="AF150" s="93" t="n"/>
      <c r="AG150" s="93" t="n"/>
      <c r="AH150" s="93" t="n"/>
      <c r="AI150" s="93" t="n"/>
      <c r="AK150" s="265" t="inlineStr"/>
      <c r="AL150">
        <f>IF(AND(ISNUMBER($S150),$S150&gt;0,ISNUMBER($K150),ISNUMBER($J150)),($K150*$J150)/$S150,"")</f>
        <v/>
      </c>
      <c r="AM150" s="93" t="n"/>
      <c r="AN150" s="93" t="n"/>
      <c r="AO150" s="93" t="n"/>
      <c r="AP150" s="93" t="n"/>
      <c r="AQ150" s="93" t="n"/>
    </row>
    <row r="151" ht="14" customHeight="1" s="518">
      <c r="A151" s="106" t="n">
        <v>6</v>
      </c>
      <c r="B151" s="93" t="n">
        <v>146</v>
      </c>
      <c r="C151" s="93" t="inlineStr">
        <is>
          <t>2013Q</t>
        </is>
      </c>
      <c r="D151" s="93" t="inlineStr">
        <is>
          <t xml:space="preserve">02275-15-025-000 </t>
        </is>
      </c>
      <c r="E151" s="92" t="inlineStr">
        <is>
          <t>Actual</t>
        </is>
      </c>
      <c r="F151" s="93" t="inlineStr">
        <is>
          <t>2801   WALNUT               ST</t>
        </is>
      </c>
      <c r="G151" s="93" t="n">
        <v>44.2</v>
      </c>
      <c r="H151" s="93" t="n">
        <v>9210</v>
      </c>
      <c r="I151" s="92" t="n">
        <v>0</v>
      </c>
      <c r="J151" s="710" t="n">
        <v>18816</v>
      </c>
      <c r="K151" s="711" t="n">
        <v>5.739795918367347</v>
      </c>
      <c r="L151" s="108" t="n">
        <v>0.66</v>
      </c>
      <c r="M151" s="97" t="n">
        <v>0</v>
      </c>
      <c r="N151" s="93" t="n">
        <v>1934</v>
      </c>
      <c r="O151" s="93" t="n">
        <v>2358</v>
      </c>
      <c r="P151" s="93" t="n">
        <v>0</v>
      </c>
      <c r="Q151" s="93" t="n">
        <v>14</v>
      </c>
      <c r="R151" s="93" t="n">
        <v>1</v>
      </c>
      <c r="S151" s="93" t="n">
        <v>1</v>
      </c>
      <c r="T151" s="92" t="inlineStr">
        <is>
          <t xml:space="preserve">I-MX-5      </t>
        </is>
      </c>
      <c r="U151" s="93" t="n">
        <v>398</v>
      </c>
      <c r="V151" s="710" t="n">
        <v>31313</v>
      </c>
      <c r="W151" s="710" t="n">
        <v>31000</v>
      </c>
      <c r="X151" s="712" t="inlineStr">
        <is>
          <t>1.7:1</t>
        </is>
      </c>
      <c r="Y151" s="710" t="n">
        <v>19000</v>
      </c>
      <c r="Z151" s="92" t="inlineStr">
        <is>
          <t xml:space="preserve">C </t>
        </is>
      </c>
      <c r="AA151" s="93" t="n"/>
      <c r="AB151" s="93" t="n"/>
      <c r="AC151" s="93" t="n"/>
      <c r="AD151" s="93" t="inlineStr">
        <is>
          <t xml:space="preserve">M-W                 </t>
        </is>
      </c>
      <c r="AE151" s="93" t="n"/>
      <c r="AF151" s="93" t="n"/>
      <c r="AG151" s="93" t="n"/>
      <c r="AH151" s="93" t="n"/>
      <c r="AI151" s="93" t="n"/>
      <c r="AK151" s="265" t="inlineStr"/>
      <c r="AL151">
        <f>IF(AND(ISNUMBER($S151),$S151&gt;0,ISNUMBER($K151),ISNUMBER($J151)),($K151*$J151)/$S151,"")</f>
        <v/>
      </c>
      <c r="AM151" s="93" t="n"/>
      <c r="AN151" s="93" t="n"/>
      <c r="AO151" s="93" t="n"/>
      <c r="AP151" s="93" t="n"/>
      <c r="AQ151" s="93" t="n"/>
    </row>
    <row r="152" ht="14" customHeight="1" s="518">
      <c r="A152" s="106" t="n">
        <v>6</v>
      </c>
      <c r="B152" s="93" t="n">
        <v>147</v>
      </c>
      <c r="C152" s="93" t="inlineStr">
        <is>
          <t>2013Q</t>
        </is>
      </c>
      <c r="D152" s="93" t="inlineStr">
        <is>
          <t xml:space="preserve">02275-15-025-000 </t>
        </is>
      </c>
      <c r="E152" s="92" t="inlineStr">
        <is>
          <t>Actual</t>
        </is>
      </c>
      <c r="F152" s="93" t="inlineStr">
        <is>
          <t>2801   WALNUT               ST</t>
        </is>
      </c>
      <c r="G152" s="93" t="n">
        <v>44.2</v>
      </c>
      <c r="H152" s="93" t="n">
        <v>9210</v>
      </c>
      <c r="I152" s="92" t="n">
        <v>0</v>
      </c>
      <c r="J152" s="710" t="n">
        <v>18816</v>
      </c>
      <c r="K152" s="711" t="n">
        <v>6.74</v>
      </c>
      <c r="L152" s="108" t="n">
        <v>0</v>
      </c>
      <c r="M152" s="97" t="n">
        <v>0</v>
      </c>
      <c r="N152" s="93" t="n">
        <v>1934</v>
      </c>
      <c r="O152" s="93" t="n">
        <v>2358</v>
      </c>
      <c r="P152" s="93" t="n">
        <v>0</v>
      </c>
      <c r="Q152" s="93" t="n">
        <v>14</v>
      </c>
      <c r="R152" s="93" t="n">
        <v>1</v>
      </c>
      <c r="S152" s="93" t="n">
        <v>1</v>
      </c>
      <c r="T152" s="92" t="inlineStr">
        <is>
          <t xml:space="preserve">I-MX-5      </t>
        </is>
      </c>
      <c r="U152" s="93" t="n">
        <v>398</v>
      </c>
      <c r="V152" s="710" t="n">
        <v>31313</v>
      </c>
      <c r="W152" s="710" t="n">
        <v>31000</v>
      </c>
      <c r="X152" s="712" t="inlineStr">
        <is>
          <t>1.7:1</t>
        </is>
      </c>
      <c r="Y152" s="710" t="n">
        <v>19000</v>
      </c>
      <c r="Z152" s="92" t="inlineStr">
        <is>
          <t xml:space="preserve">C </t>
        </is>
      </c>
      <c r="AA152" s="93" t="n"/>
      <c r="AB152" s="93" t="n"/>
      <c r="AC152" s="93" t="n"/>
      <c r="AD152" s="93" t="inlineStr">
        <is>
          <t xml:space="preserve">M-W                 </t>
        </is>
      </c>
      <c r="AE152" s="93" t="n"/>
      <c r="AF152" s="93" t="n"/>
      <c r="AG152" s="93" t="n"/>
      <c r="AH152" s="93" t="n"/>
      <c r="AI152" s="93" t="n"/>
      <c r="AK152" s="265" t="inlineStr">
        <is>
          <t xml:space="preserve">NNN LEASE SIGNED 7/2012 -- SOURCE: COSTAR                         </t>
        </is>
      </c>
      <c r="AL152">
        <f>IF(AND(ISNUMBER($S152),$S152&gt;0,ISNUMBER($K152),ISNUMBER($J152)),($K152*$J152)/$S152,"")</f>
        <v/>
      </c>
      <c r="AM152" s="93" t="n"/>
      <c r="AN152" s="93" t="n"/>
      <c r="AO152" s="93" t="n"/>
      <c r="AP152" s="93" t="n"/>
      <c r="AQ152" s="93" t="n"/>
    </row>
    <row r="153" ht="14" customHeight="1" s="518">
      <c r="A153" s="106" t="n">
        <v>6</v>
      </c>
      <c r="B153" s="93" t="n">
        <v>148</v>
      </c>
      <c r="C153" s="93" t="inlineStr">
        <is>
          <t>2013Q</t>
        </is>
      </c>
      <c r="D153" s="93" t="inlineStr">
        <is>
          <t xml:space="preserve">02276-21-002-000 </t>
        </is>
      </c>
      <c r="E153" s="92" t="inlineStr">
        <is>
          <t>Actual</t>
        </is>
      </c>
      <c r="F153" s="93" t="inlineStr">
        <is>
          <t>2854   LARIMER              ST</t>
        </is>
      </c>
      <c r="G153" s="93" t="n">
        <v>44.1</v>
      </c>
      <c r="H153" s="93" t="n">
        <v>9210</v>
      </c>
      <c r="I153" s="92" t="n">
        <v>0</v>
      </c>
      <c r="J153" s="710" t="n">
        <v>3398</v>
      </c>
      <c r="K153" s="711" t="n">
        <v>7.062978222483814</v>
      </c>
      <c r="L153" s="108" t="n">
        <v>0</v>
      </c>
      <c r="M153" s="97" t="n">
        <v>0.1089583333333333</v>
      </c>
      <c r="N153" s="93" t="n">
        <v>1957</v>
      </c>
      <c r="O153" s="93" t="n">
        <v>598</v>
      </c>
      <c r="P153" s="93" t="n">
        <v>0</v>
      </c>
      <c r="Q153" s="93" t="n">
        <v>12</v>
      </c>
      <c r="R153" s="93" t="n">
        <v>3</v>
      </c>
      <c r="S153" s="93" t="n">
        <v>1</v>
      </c>
      <c r="T153" s="92" t="inlineStr">
        <is>
          <t xml:space="preserve">I-MX-3      </t>
        </is>
      </c>
      <c r="U153" s="93" t="n">
        <v>398</v>
      </c>
      <c r="V153" s="710" t="n">
        <v>6277</v>
      </c>
      <c r="W153" s="710" t="n">
        <v>6000</v>
      </c>
      <c r="X153" s="712" t="inlineStr">
        <is>
          <t>1.8:1</t>
        </is>
      </c>
      <c r="Y153" s="710" t="n">
        <v>3000</v>
      </c>
      <c r="Z153" s="92" t="inlineStr">
        <is>
          <t xml:space="preserve">C </t>
        </is>
      </c>
      <c r="AA153" s="93" t="n"/>
      <c r="AB153" s="93" t="n"/>
      <c r="AC153" s="93" t="n"/>
      <c r="AD153" s="93" t="inlineStr">
        <is>
          <t xml:space="preserve">S-W                 </t>
        </is>
      </c>
      <c r="AE153" s="93" t="n"/>
      <c r="AF153" s="93" t="n"/>
      <c r="AG153" s="93" t="n"/>
      <c r="AH153" s="93" t="n"/>
      <c r="AI153" s="93" t="n"/>
      <c r="AK153" s="265" t="inlineStr"/>
      <c r="AL153">
        <f>IF(AND(ISNUMBER($S153),$S153&gt;0,ISNUMBER($K153),ISNUMBER($J153)),($K153*$J153)/$S153,"")</f>
        <v/>
      </c>
      <c r="AM153" s="93" t="n"/>
      <c r="AN153" s="93" t="n"/>
      <c r="AO153" s="93" t="n"/>
      <c r="AP153" s="93" t="n"/>
      <c r="AQ153" s="93" t="n"/>
    </row>
    <row r="154" ht="14" customHeight="1" s="518">
      <c r="A154" s="106" t="n">
        <v>6</v>
      </c>
      <c r="B154" s="93" t="n">
        <v>149</v>
      </c>
      <c r="C154" s="93" t="inlineStr">
        <is>
          <t>2013Q</t>
        </is>
      </c>
      <c r="D154" s="93" t="inlineStr">
        <is>
          <t xml:space="preserve">02277-07-017-000 </t>
        </is>
      </c>
      <c r="E154" s="92" t="inlineStr">
        <is>
          <t>Actual</t>
        </is>
      </c>
      <c r="F154" s="93" t="inlineStr">
        <is>
          <t>2590   WALNUT               ST</t>
        </is>
      </c>
      <c r="G154" s="93" t="n">
        <v>44.2</v>
      </c>
      <c r="H154" s="93" t="n">
        <v>9210</v>
      </c>
      <c r="I154" s="92" t="n">
        <v>0</v>
      </c>
      <c r="J154" s="710" t="n">
        <v>12500</v>
      </c>
      <c r="K154" s="711" t="n">
        <v>7.36</v>
      </c>
      <c r="L154" s="108" t="n">
        <v>0</v>
      </c>
      <c r="M154" s="97" t="n">
        <v>0</v>
      </c>
      <c r="N154" s="93" t="n">
        <v>1926</v>
      </c>
      <c r="O154" s="93" t="n">
        <v>1512</v>
      </c>
      <c r="P154" s="93" t="n">
        <v>0</v>
      </c>
      <c r="Q154" s="93" t="n">
        <v>16</v>
      </c>
      <c r="R154" s="93" t="n">
        <v>1</v>
      </c>
      <c r="S154" s="93" t="n">
        <v>3</v>
      </c>
      <c r="T154" s="92" t="inlineStr">
        <is>
          <t xml:space="preserve">C-MX-5      </t>
        </is>
      </c>
      <c r="U154" s="93" t="n">
        <v>398</v>
      </c>
      <c r="V154" s="710" t="n">
        <v>12525</v>
      </c>
      <c r="W154" s="710" t="n">
        <v>13000</v>
      </c>
      <c r="X154" s="712" t="inlineStr">
        <is>
          <t>1:1</t>
        </is>
      </c>
      <c r="Y154" s="710" t="n">
        <v>13000</v>
      </c>
      <c r="Z154" s="92" t="inlineStr">
        <is>
          <t xml:space="preserve">C </t>
        </is>
      </c>
      <c r="AA154" s="93" t="n"/>
      <c r="AB154" s="93" t="n"/>
      <c r="AC154" s="93" t="n"/>
      <c r="AD154" s="93" t="inlineStr">
        <is>
          <t xml:space="preserve">M-WHS/OFC/SHOWROOM  </t>
        </is>
      </c>
      <c r="AE154" s="93" t="n"/>
      <c r="AF154" s="93" t="n"/>
      <c r="AG154" s="93" t="n"/>
      <c r="AH154" s="93" t="n"/>
      <c r="AI154" s="93" t="n"/>
      <c r="AK154" s="265" t="inlineStr"/>
      <c r="AL154">
        <f>IF(AND(ISNUMBER($S154),$S154&gt;0,ISNUMBER($K154),ISNUMBER($J154)),($K154*$J154)/$S154,"")</f>
        <v/>
      </c>
      <c r="AM154" s="93" t="n"/>
      <c r="AN154" s="93" t="n"/>
      <c r="AO154" s="93" t="n"/>
      <c r="AP154" s="93" t="n"/>
      <c r="AQ154" s="93" t="n"/>
    </row>
    <row r="155" ht="14" customHeight="1" s="518">
      <c r="A155" s="106" t="n">
        <v>6</v>
      </c>
      <c r="B155" s="93" t="n">
        <v>150</v>
      </c>
      <c r="C155" s="93" t="inlineStr">
        <is>
          <t>2013Q</t>
        </is>
      </c>
      <c r="D155" s="93" t="inlineStr">
        <is>
          <t xml:space="preserve">02281-03-008-000 </t>
        </is>
      </c>
      <c r="E155" s="92" t="inlineStr">
        <is>
          <t>Actual</t>
        </is>
      </c>
      <c r="F155" s="93" t="inlineStr">
        <is>
          <t>3725   JASON                ST</t>
        </is>
      </c>
      <c r="G155" s="93" t="n">
        <v>47.1</v>
      </c>
      <c r="H155" s="93" t="n">
        <v>9208</v>
      </c>
      <c r="I155" s="92" t="n">
        <v>0</v>
      </c>
      <c r="J155" s="710" t="n">
        <v>5760</v>
      </c>
      <c r="K155" s="711" t="n">
        <v>5.208333333333333</v>
      </c>
      <c r="L155" s="108" t="n">
        <v>0</v>
      </c>
      <c r="M155" s="97" t="n">
        <v>0</v>
      </c>
      <c r="N155" s="93" t="n">
        <v>1971</v>
      </c>
      <c r="O155" s="93" t="n">
        <v>992</v>
      </c>
      <c r="P155" s="93" t="n">
        <v>0</v>
      </c>
      <c r="Q155" s="93" t="n">
        <v>15</v>
      </c>
      <c r="R155" s="93" t="n">
        <v>7</v>
      </c>
      <c r="S155" s="93" t="n">
        <v>1</v>
      </c>
      <c r="T155" s="92" t="inlineStr">
        <is>
          <t xml:space="preserve">I-MX-3      </t>
        </is>
      </c>
      <c r="U155" s="93" t="n">
        <v>401</v>
      </c>
      <c r="V155" s="710" t="n">
        <v>18750</v>
      </c>
      <c r="W155" s="710" t="n">
        <v>19000</v>
      </c>
      <c r="X155" s="712" t="inlineStr">
        <is>
          <t>3.3:1</t>
        </is>
      </c>
      <c r="Y155" s="710" t="n">
        <v>6000</v>
      </c>
      <c r="Z155" s="92" t="inlineStr">
        <is>
          <t xml:space="preserve">C </t>
        </is>
      </c>
      <c r="AA155" s="93" t="n"/>
      <c r="AB155" s="93" t="n"/>
      <c r="AC155" s="93" t="n"/>
      <c r="AD155" s="93" t="inlineStr">
        <is>
          <t xml:space="preserve">SILVER STATE FOODS  </t>
        </is>
      </c>
      <c r="AE155" s="93" t="n"/>
      <c r="AF155" s="93" t="n"/>
      <c r="AG155" s="93" t="n"/>
      <c r="AH155" s="93" t="n"/>
      <c r="AI155" s="93" t="n"/>
      <c r="AK155" s="265" t="inlineStr"/>
      <c r="AL155">
        <f>IF(AND(ISNUMBER($S155),$S155&gt;0,ISNUMBER($K155),ISNUMBER($J155)),($K155*$J155)/$S155,"")</f>
        <v/>
      </c>
      <c r="AM155" s="93" t="n"/>
      <c r="AN155" s="93" t="n"/>
      <c r="AO155" s="93" t="n"/>
      <c r="AP155" s="93" t="n"/>
      <c r="AQ155" s="93" t="n"/>
    </row>
    <row r="156" ht="14" customHeight="1" s="518">
      <c r="A156" s="106" t="n">
        <v>6</v>
      </c>
      <c r="B156" s="93" t="n">
        <v>151</v>
      </c>
      <c r="C156" s="93" t="inlineStr">
        <is>
          <t>2013Q</t>
        </is>
      </c>
      <c r="D156" s="93" t="inlineStr">
        <is>
          <t xml:space="preserve">02281-31-020-000 </t>
        </is>
      </c>
      <c r="E156" s="92" t="inlineStr">
        <is>
          <t>Actual</t>
        </is>
      </c>
      <c r="F156" s="93" t="inlineStr">
        <is>
          <t>1415 W 33RD                 AV</t>
        </is>
      </c>
      <c r="G156" s="93" t="n">
        <v>44.1</v>
      </c>
      <c r="H156" s="93" t="n">
        <v>9208</v>
      </c>
      <c r="I156" s="92" t="n">
        <v>0</v>
      </c>
      <c r="J156" s="710" t="n">
        <v>5652</v>
      </c>
      <c r="K156" s="711" t="n">
        <v>6.369426751592357</v>
      </c>
      <c r="L156" s="108" t="n">
        <v>0</v>
      </c>
      <c r="M156" s="97" t="n">
        <v>0</v>
      </c>
      <c r="N156" s="93" t="n">
        <v>1960</v>
      </c>
      <c r="O156" s="93" t="n">
        <v>1658</v>
      </c>
      <c r="P156" s="93" t="n">
        <v>0</v>
      </c>
      <c r="Q156" s="93" t="n">
        <v>15</v>
      </c>
      <c r="R156" s="93" t="n">
        <v>1</v>
      </c>
      <c r="S156" s="93" t="n">
        <v>1</v>
      </c>
      <c r="T156" s="92" t="inlineStr">
        <is>
          <t xml:space="preserve">C-MX-5      </t>
        </is>
      </c>
      <c r="U156" s="93" t="n">
        <v>398</v>
      </c>
      <c r="V156" s="710" t="n">
        <v>9588</v>
      </c>
      <c r="W156" s="710" t="n">
        <v>10000</v>
      </c>
      <c r="X156" s="712" t="inlineStr">
        <is>
          <t>1.7:1</t>
        </is>
      </c>
      <c r="Y156" s="710" t="n">
        <v>6000</v>
      </c>
      <c r="Z156" s="92" t="inlineStr">
        <is>
          <t xml:space="preserve">C </t>
        </is>
      </c>
      <c r="AA156" s="93" t="n"/>
      <c r="AB156" s="93" t="n"/>
      <c r="AC156" s="93" t="n"/>
      <c r="AD156" s="93" t="inlineStr">
        <is>
          <t xml:space="preserve">DENVER DISTRIBUTORS </t>
        </is>
      </c>
      <c r="AE156" s="93" t="n"/>
      <c r="AF156" s="93" t="n"/>
      <c r="AG156" s="93" t="n"/>
      <c r="AH156" s="93" t="n"/>
      <c r="AI156" s="93" t="n"/>
      <c r="AK156" s="265" t="inlineStr"/>
      <c r="AL156">
        <f>IF(AND(ISNUMBER($S156),$S156&gt;0,ISNUMBER($K156),ISNUMBER($J156)),($K156*$J156)/$S156,"")</f>
        <v/>
      </c>
      <c r="AM156" s="93" t="n"/>
      <c r="AN156" s="93" t="n"/>
      <c r="AO156" s="93" t="n"/>
      <c r="AP156" s="93" t="n"/>
      <c r="AQ156" s="93" t="n"/>
    </row>
    <row r="157" ht="14" customHeight="1" s="518">
      <c r="A157" s="106" t="n">
        <v>6</v>
      </c>
      <c r="B157" s="93" t="n">
        <v>152</v>
      </c>
      <c r="C157" s="93" t="inlineStr">
        <is>
          <t>2013Q</t>
        </is>
      </c>
      <c r="D157" s="93" t="inlineStr">
        <is>
          <t xml:space="preserve">02281-31-034-000 </t>
        </is>
      </c>
      <c r="E157" s="92" t="inlineStr">
        <is>
          <t>Actual</t>
        </is>
      </c>
      <c r="F157" s="93" t="inlineStr">
        <is>
          <t>3323   MARIPOSA             ST</t>
        </is>
      </c>
      <c r="G157" s="93" t="n">
        <v>44.1</v>
      </c>
      <c r="H157" s="93" t="n">
        <v>9208</v>
      </c>
      <c r="I157" s="92" t="n">
        <v>0</v>
      </c>
      <c r="J157" s="710" t="n">
        <v>6545</v>
      </c>
      <c r="K157" s="711" t="n">
        <v>5.500381970970206</v>
      </c>
      <c r="L157" s="108" t="n">
        <v>0</v>
      </c>
      <c r="M157" s="97" t="n">
        <v>0</v>
      </c>
      <c r="N157" s="93" t="n">
        <v>1960</v>
      </c>
      <c r="O157" s="93" t="n">
        <v>800</v>
      </c>
      <c r="P157" s="93" t="n">
        <v>0</v>
      </c>
      <c r="Q157" s="93" t="n">
        <v>14</v>
      </c>
      <c r="R157" s="93" t="n">
        <v>3</v>
      </c>
      <c r="S157" s="93" t="n">
        <v>1</v>
      </c>
      <c r="T157" s="92" t="inlineStr">
        <is>
          <t xml:space="preserve">C-MX-5      </t>
        </is>
      </c>
      <c r="U157" s="93" t="n">
        <v>398</v>
      </c>
      <c r="V157" s="710" t="n">
        <v>10793</v>
      </c>
      <c r="W157" s="710" t="n">
        <v>11000</v>
      </c>
      <c r="X157" s="712" t="inlineStr">
        <is>
          <t>1.6:1</t>
        </is>
      </c>
      <c r="Y157" s="710" t="n">
        <v>7000</v>
      </c>
      <c r="Z157" s="92" t="inlineStr">
        <is>
          <t xml:space="preserve">C </t>
        </is>
      </c>
      <c r="AA157" s="93" t="n"/>
      <c r="AB157" s="93" t="n"/>
      <c r="AC157" s="93" t="n"/>
      <c r="AD157" s="93" t="inlineStr"/>
      <c r="AE157" s="93" t="n"/>
      <c r="AF157" s="93" t="n"/>
      <c r="AG157" s="93" t="n"/>
      <c r="AH157" s="93" t="n"/>
      <c r="AI157" s="93" t="n"/>
      <c r="AK157" s="265" t="inlineStr"/>
      <c r="AL157">
        <f>IF(AND(ISNUMBER($S157),$S157&gt;0,ISNUMBER($K157),ISNUMBER($J157)),($K157*$J157)/$S157,"")</f>
        <v/>
      </c>
      <c r="AM157" s="93" t="n"/>
      <c r="AN157" s="93" t="n"/>
      <c r="AO157" s="93" t="n"/>
      <c r="AP157" s="93" t="n"/>
      <c r="AQ157" s="93" t="n"/>
    </row>
    <row r="158" ht="14" customHeight="1" s="518">
      <c r="A158" s="106" t="n">
        <v>6</v>
      </c>
      <c r="B158" s="93" t="n">
        <v>153</v>
      </c>
      <c r="C158" s="93" t="inlineStr">
        <is>
          <t>2013Q</t>
        </is>
      </c>
      <c r="D158" s="93" t="inlineStr">
        <is>
          <t xml:space="preserve">02282-33-019-000 </t>
        </is>
      </c>
      <c r="E158" s="92" t="inlineStr">
        <is>
          <t>Actual</t>
        </is>
      </c>
      <c r="F158" s="93" t="inlineStr">
        <is>
          <t>2020 W 33RD                 AV</t>
        </is>
      </c>
      <c r="G158" s="93" t="n">
        <v>44.2</v>
      </c>
      <c r="H158" s="93" t="n">
        <v>9208</v>
      </c>
      <c r="I158" s="92" t="n">
        <v>0</v>
      </c>
      <c r="J158" s="710" t="n">
        <v>4080</v>
      </c>
      <c r="K158" s="711" t="n">
        <v>8.578431372549019</v>
      </c>
      <c r="L158" s="108" t="n">
        <v>0.2</v>
      </c>
      <c r="M158" s="97" t="n">
        <v>0</v>
      </c>
      <c r="N158" s="93" t="n">
        <v>1948</v>
      </c>
      <c r="O158" s="93" t="n">
        <v>144</v>
      </c>
      <c r="P158" s="93" t="n">
        <v>0</v>
      </c>
      <c r="Q158" s="93" t="n">
        <v>11</v>
      </c>
      <c r="R158" s="93" t="n">
        <v>3</v>
      </c>
      <c r="S158" s="93" t="n">
        <v>3</v>
      </c>
      <c r="T158" s="92" t="inlineStr">
        <is>
          <t xml:space="preserve">U-MX-3      </t>
        </is>
      </c>
      <c r="U158" s="93" t="n">
        <v>398</v>
      </c>
      <c r="V158" s="710" t="n">
        <v>16812</v>
      </c>
      <c r="W158" s="710" t="n">
        <v>17000</v>
      </c>
      <c r="X158" s="712" t="inlineStr">
        <is>
          <t>4.1:1</t>
        </is>
      </c>
      <c r="Y158" s="710" t="n">
        <v>4000</v>
      </c>
      <c r="Z158" s="92" t="inlineStr">
        <is>
          <t xml:space="preserve">C </t>
        </is>
      </c>
      <c r="AA158" s="93" t="n"/>
      <c r="AB158" s="93" t="n"/>
      <c r="AC158" s="93" t="n"/>
      <c r="AD158" s="93" t="inlineStr">
        <is>
          <t xml:space="preserve">M-T WAREHOUSE       </t>
        </is>
      </c>
      <c r="AE158" s="93" t="n"/>
      <c r="AF158" s="93" t="n"/>
      <c r="AG158" s="93" t="n"/>
      <c r="AH158" s="93" t="n"/>
      <c r="AI158" s="93" t="n"/>
      <c r="AK158" s="265" t="inlineStr"/>
      <c r="AL158">
        <f>IF(AND(ISNUMBER($S158),$S158&gt;0,ISNUMBER($K158),ISNUMBER($J158)),($K158*$J158)/$S158,"")</f>
        <v/>
      </c>
      <c r="AM158" s="93" t="n"/>
      <c r="AN158" s="93" t="n"/>
      <c r="AO158" s="93" t="n"/>
      <c r="AP158" s="93" t="n"/>
      <c r="AQ158" s="93" t="n"/>
    </row>
    <row r="159" ht="14" customHeight="1" s="518">
      <c r="A159" s="106" t="n">
        <v>6</v>
      </c>
      <c r="B159" s="93" t="n">
        <v>154</v>
      </c>
      <c r="C159" s="93" t="inlineStr">
        <is>
          <t>2013Q</t>
        </is>
      </c>
      <c r="D159" s="93" t="inlineStr">
        <is>
          <t xml:space="preserve">02294-16-008-000 </t>
        </is>
      </c>
      <c r="E159" s="92" t="inlineStr">
        <is>
          <t>Actual</t>
        </is>
      </c>
      <c r="F159" s="93" t="inlineStr">
        <is>
          <t>2520 W 29TH                 AV</t>
        </is>
      </c>
      <c r="G159" s="93" t="n">
        <v>46.1</v>
      </c>
      <c r="H159" s="93" t="n">
        <v>9208</v>
      </c>
      <c r="I159" s="92" t="n">
        <v>0</v>
      </c>
      <c r="J159" s="710" t="n">
        <v>7240</v>
      </c>
      <c r="K159" s="711" t="n">
        <v>19.88950276243094</v>
      </c>
      <c r="L159" s="108" t="n">
        <v>0</v>
      </c>
      <c r="M159" s="97" t="n">
        <v>0.02483333333333333</v>
      </c>
      <c r="N159" s="93" t="n">
        <v>1952</v>
      </c>
      <c r="O159" s="93" t="n">
        <v>3462</v>
      </c>
      <c r="P159" s="93" t="n">
        <v>0</v>
      </c>
      <c r="Q159" s="93" t="n">
        <v>12</v>
      </c>
      <c r="R159" s="93" t="n">
        <v>3</v>
      </c>
      <c r="S159" s="93" t="n">
        <v>1</v>
      </c>
      <c r="T159" s="92" t="inlineStr">
        <is>
          <t xml:space="preserve">C-MX-5      </t>
        </is>
      </c>
      <c r="U159" s="93" t="n">
        <v>391</v>
      </c>
      <c r="V159" s="710" t="n">
        <v>12500</v>
      </c>
      <c r="W159" s="710" t="n">
        <v>13000</v>
      </c>
      <c r="X159" s="712" t="inlineStr">
        <is>
          <t>1.7:1</t>
        </is>
      </c>
      <c r="Y159" s="710" t="n">
        <v>7000</v>
      </c>
      <c r="Z159" s="92" t="inlineStr">
        <is>
          <t xml:space="preserve">C </t>
        </is>
      </c>
      <c r="AA159" s="93" t="n"/>
      <c r="AB159" s="93" t="n"/>
      <c r="AC159" s="93" t="n"/>
      <c r="AD159" s="93" t="inlineStr">
        <is>
          <t xml:space="preserve">CATERING            </t>
        </is>
      </c>
      <c r="AE159" s="93" t="n"/>
      <c r="AF159" s="93" t="n"/>
      <c r="AG159" s="93" t="n"/>
      <c r="AH159" s="93" t="n"/>
      <c r="AI159" s="93" t="n"/>
      <c r="AK159" s="265" t="inlineStr">
        <is>
          <t xml:space="preserve">COMMENCEMENT DATE OF LEASE UNKNOWN.                               </t>
        </is>
      </c>
      <c r="AL159">
        <f>IF(AND(ISNUMBER($S159),$S159&gt;0,ISNUMBER($K159),ISNUMBER($J159)),($K159*$J159)/$S159,"")</f>
        <v/>
      </c>
      <c r="AM159" s="93" t="n"/>
      <c r="AN159" s="93" t="n"/>
      <c r="AO159" s="93" t="n"/>
      <c r="AP159" s="93" t="n"/>
      <c r="AQ159" s="93" t="n"/>
    </row>
    <row r="160" ht="14" customHeight="1" s="518">
      <c r="A160" s="106" t="n">
        <v>6</v>
      </c>
      <c r="B160" s="93" t="n">
        <v>155</v>
      </c>
      <c r="C160" s="93" t="inlineStr">
        <is>
          <t>2013Q</t>
        </is>
      </c>
      <c r="D160" s="93" t="inlineStr">
        <is>
          <t xml:space="preserve">02323-01-021-000 </t>
        </is>
      </c>
      <c r="E160" s="92" t="inlineStr">
        <is>
          <t>Actual</t>
        </is>
      </c>
      <c r="F160" s="93" t="inlineStr">
        <is>
          <t>1919   FEDERAL              BV</t>
        </is>
      </c>
      <c r="G160" s="93" t="n">
        <v>44.1</v>
      </c>
      <c r="H160" s="93" t="n">
        <v>9208</v>
      </c>
      <c r="I160" s="92" t="n">
        <v>6</v>
      </c>
      <c r="J160" s="710" t="n">
        <v>10620</v>
      </c>
      <c r="K160" s="711" t="n">
        <v>6.214689265536723</v>
      </c>
      <c r="L160" s="108" t="n">
        <v>0</v>
      </c>
      <c r="M160" s="97" t="n">
        <v>0</v>
      </c>
      <c r="N160" s="93" t="n">
        <v>1977</v>
      </c>
      <c r="O160" s="93" t="n">
        <v>2651</v>
      </c>
      <c r="P160" s="93" t="n">
        <v>0</v>
      </c>
      <c r="Q160" s="93" t="n">
        <v>15</v>
      </c>
      <c r="R160" s="93" t="n">
        <v>1</v>
      </c>
      <c r="S160" s="93" t="n">
        <v>1</v>
      </c>
      <c r="T160" s="92" t="inlineStr">
        <is>
          <t xml:space="preserve">C-MX-5      </t>
        </is>
      </c>
      <c r="U160" s="93" t="n">
        <v>398</v>
      </c>
      <c r="V160" s="710" t="n">
        <v>17569</v>
      </c>
      <c r="W160" s="710" t="n">
        <v>18000</v>
      </c>
      <c r="X160" s="712" t="inlineStr">
        <is>
          <t>1.7:1</t>
        </is>
      </c>
      <c r="Y160" s="710" t="n">
        <v>11000</v>
      </c>
      <c r="Z160" s="92" t="inlineStr">
        <is>
          <t xml:space="preserve">B </t>
        </is>
      </c>
      <c r="AA160" s="93" t="n"/>
      <c r="AB160" s="93" t="n"/>
      <c r="AC160" s="93" t="n"/>
      <c r="AD160" s="93" t="inlineStr">
        <is>
          <t xml:space="preserve">PERMAGRAPHICS       </t>
        </is>
      </c>
      <c r="AE160" s="93" t="n"/>
      <c r="AF160" s="93" t="n"/>
      <c r="AG160" s="93" t="n"/>
      <c r="AH160" s="93" t="n"/>
      <c r="AI160" s="93" t="n"/>
      <c r="AK160" s="265" t="inlineStr"/>
      <c r="AL160">
        <f>IF(AND(ISNUMBER($S160),$S160&gt;0,ISNUMBER($K160),ISNUMBER($J160)),($K160*$J160)/$S160,"")</f>
        <v/>
      </c>
      <c r="AM160" s="93" t="n"/>
      <c r="AN160" s="93" t="n"/>
      <c r="AO160" s="93" t="n"/>
      <c r="AP160" s="93" t="n"/>
      <c r="AQ160" s="93" t="n"/>
    </row>
    <row r="161" ht="14" customHeight="1" s="518">
      <c r="A161" s="106" t="n">
        <v>6</v>
      </c>
      <c r="B161" s="93" t="n">
        <v>156</v>
      </c>
      <c r="C161" s="93" t="inlineStr">
        <is>
          <t>2013Q</t>
        </is>
      </c>
      <c r="D161" s="93" t="inlineStr">
        <is>
          <t xml:space="preserve">02323-13-015-000 </t>
        </is>
      </c>
      <c r="E161" s="92" t="inlineStr">
        <is>
          <t>Actual</t>
        </is>
      </c>
      <c r="F161" s="93" t="inlineStr">
        <is>
          <t>1729   FEDERAL              BV</t>
        </is>
      </c>
      <c r="G161" s="93" t="n">
        <v>44.2</v>
      </c>
      <c r="H161" s="93" t="n">
        <v>9208</v>
      </c>
      <c r="I161" s="92" t="n">
        <v>6</v>
      </c>
      <c r="J161" s="710" t="n">
        <v>6200</v>
      </c>
      <c r="K161" s="711" t="n">
        <v>6.387096774193548</v>
      </c>
      <c r="L161" s="108" t="n">
        <v>0</v>
      </c>
      <c r="M161" s="97" t="n">
        <v>0.1435606060606061</v>
      </c>
      <c r="N161" s="93" t="n">
        <v>1962</v>
      </c>
      <c r="O161" s="93" t="n">
        <v>780</v>
      </c>
      <c r="P161" s="93" t="n">
        <v>0</v>
      </c>
      <c r="Q161" s="93" t="n">
        <v>10</v>
      </c>
      <c r="R161" s="93" t="n">
        <v>1</v>
      </c>
      <c r="S161" s="93" t="n">
        <v>3</v>
      </c>
      <c r="T161" s="92" t="inlineStr">
        <is>
          <t xml:space="preserve">C-MX-5      </t>
        </is>
      </c>
      <c r="U161" s="93" t="n">
        <v>398</v>
      </c>
      <c r="V161" s="710" t="n">
        <v>14360</v>
      </c>
      <c r="W161" s="710" t="n">
        <v>14000</v>
      </c>
      <c r="X161" s="712" t="inlineStr">
        <is>
          <t>2.3:1</t>
        </is>
      </c>
      <c r="Y161" s="710" t="n">
        <v>6000</v>
      </c>
      <c r="Z161" s="92" t="inlineStr">
        <is>
          <t xml:space="preserve">C </t>
        </is>
      </c>
      <c r="AA161" s="93" t="n"/>
      <c r="AB161" s="93" t="n"/>
      <c r="AC161" s="93" t="n"/>
      <c r="AD161" s="93" t="inlineStr">
        <is>
          <t xml:space="preserve">FLOYD'Z             </t>
        </is>
      </c>
      <c r="AE161" s="93" t="n"/>
      <c r="AF161" s="93" t="n"/>
      <c r="AG161" s="93" t="n"/>
      <c r="AH161" s="93" t="n"/>
      <c r="AI161" s="93" t="n"/>
      <c r="AK161" s="265" t="inlineStr">
        <is>
          <t xml:space="preserve">PROBABLE 2009 LEASE PER COSTAR.                                   </t>
        </is>
      </c>
      <c r="AL161">
        <f>IF(AND(ISNUMBER($S161),$S161&gt;0,ISNUMBER($K161),ISNUMBER($J161)),($K161*$J161)/$S161,"")</f>
        <v/>
      </c>
      <c r="AM161" s="93" t="n"/>
      <c r="AN161" s="93" t="n"/>
      <c r="AO161" s="93" t="n"/>
      <c r="AP161" s="93" t="n"/>
      <c r="AQ161" s="93" t="n"/>
    </row>
    <row r="162" ht="28" customHeight="1" s="518">
      <c r="A162" s="106" t="n">
        <v>6</v>
      </c>
      <c r="B162" s="93" t="n">
        <v>157</v>
      </c>
      <c r="C162" s="93" t="inlineStr">
        <is>
          <t>2013Q</t>
        </is>
      </c>
      <c r="D162" s="93" t="inlineStr">
        <is>
          <t xml:space="preserve">02342-23-012-000 </t>
        </is>
      </c>
      <c r="E162" s="92" t="inlineStr">
        <is>
          <t>Actual</t>
        </is>
      </c>
      <c r="F162" s="93" t="inlineStr">
        <is>
          <t>2201   ARAPAHOE             ST</t>
        </is>
      </c>
      <c r="G162" s="93" t="n">
        <v>44.2</v>
      </c>
      <c r="H162" s="93" t="n">
        <v>9202</v>
      </c>
      <c r="I162" s="92" t="n">
        <v>5</v>
      </c>
      <c r="J162" s="710" t="n">
        <v>18251</v>
      </c>
      <c r="K162" s="711" t="n">
        <v>9.310783055198973</v>
      </c>
      <c r="L162" s="108" t="n">
        <v>0</v>
      </c>
      <c r="M162" s="97" t="n">
        <v>0</v>
      </c>
      <c r="N162" s="93" t="n">
        <v>1941</v>
      </c>
      <c r="O162" s="93" t="n">
        <v>880</v>
      </c>
      <c r="P162" s="93" t="n">
        <v>880</v>
      </c>
      <c r="Q162" s="93" t="n">
        <v>15</v>
      </c>
      <c r="R162" s="93" t="n">
        <v>1</v>
      </c>
      <c r="S162" s="93" t="n">
        <v>1</v>
      </c>
      <c r="T162" s="92" t="inlineStr">
        <is>
          <t xml:space="preserve">PUD         </t>
        </is>
      </c>
      <c r="U162" s="93" t="n">
        <v>398</v>
      </c>
      <c r="V162" s="710" t="n">
        <v>18893</v>
      </c>
      <c r="W162" s="710" t="n">
        <v>19000</v>
      </c>
      <c r="X162" s="712" t="inlineStr">
        <is>
          <t>1:1</t>
        </is>
      </c>
      <c r="Y162" s="710" t="n">
        <v>18000</v>
      </c>
      <c r="Z162" s="92" t="inlineStr">
        <is>
          <t xml:space="preserve">C </t>
        </is>
      </c>
      <c r="AA162" s="93" t="n"/>
      <c r="AB162" s="93" t="n"/>
      <c r="AC162" s="93" t="n"/>
      <c r="AD162" s="93" t="inlineStr">
        <is>
          <t>GREAT DIVIDE BREWERY</t>
        </is>
      </c>
      <c r="AE162" s="93" t="n"/>
      <c r="AF162" s="93" t="n"/>
      <c r="AG162" s="93" t="n"/>
      <c r="AH162" s="93" t="n"/>
      <c r="AI162" s="93" t="n"/>
      <c r="AK162" s="265" t="inlineStr">
        <is>
          <t xml:space="preserve">NON-BASE LEASE BUT NEED DATA FOR THIS NBHD.                       </t>
        </is>
      </c>
      <c r="AL162">
        <f>IF(AND(ISNUMBER($S162),$S162&gt;0,ISNUMBER($K162),ISNUMBER($J162)),($K162*$J162)/$S162,"")</f>
        <v/>
      </c>
      <c r="AM162" s="93" t="n"/>
      <c r="AN162" s="93" t="n"/>
      <c r="AO162" s="93" t="n"/>
      <c r="AP162" s="93" t="n"/>
      <c r="AQ162" s="93" t="n"/>
    </row>
    <row r="163" ht="28" customHeight="1" s="518">
      <c r="A163" s="106" t="n">
        <v>6</v>
      </c>
      <c r="B163" s="93" t="n">
        <v>158</v>
      </c>
      <c r="C163" s="93" t="inlineStr">
        <is>
          <t>2013Q</t>
        </is>
      </c>
      <c r="D163" s="93" t="inlineStr">
        <is>
          <t xml:space="preserve">02342-33-021-000 </t>
        </is>
      </c>
      <c r="E163" s="92" t="inlineStr">
        <is>
          <t>Actual</t>
        </is>
      </c>
      <c r="F163" s="93" t="inlineStr">
        <is>
          <t>2109   CURTIS               ST</t>
        </is>
      </c>
      <c r="G163" s="93" t="n">
        <v>44.1</v>
      </c>
      <c r="H163" s="93" t="n">
        <v>9202</v>
      </c>
      <c r="I163" s="92" t="n">
        <v>5</v>
      </c>
      <c r="J163" s="710" t="n">
        <v>10010</v>
      </c>
      <c r="K163" s="711" t="n">
        <v>10</v>
      </c>
      <c r="L163" s="108" t="n">
        <v>0</v>
      </c>
      <c r="M163" s="97" t="n">
        <v>0</v>
      </c>
      <c r="N163" s="93" t="n">
        <v>1955</v>
      </c>
      <c r="O163" s="93" t="n">
        <v>922</v>
      </c>
      <c r="P163" s="93" t="n">
        <v>0</v>
      </c>
      <c r="Q163" s="93" t="n">
        <v>14</v>
      </c>
      <c r="R163" s="93" t="n">
        <v>3</v>
      </c>
      <c r="S163" s="93" t="n">
        <v>1</v>
      </c>
      <c r="T163" s="92" t="inlineStr">
        <is>
          <t xml:space="preserve">D-AS        </t>
        </is>
      </c>
      <c r="U163" s="93" t="n">
        <v>398</v>
      </c>
      <c r="V163" s="710" t="n">
        <v>10968</v>
      </c>
      <c r="W163" s="710" t="n">
        <v>11000</v>
      </c>
      <c r="X163" s="712" t="inlineStr">
        <is>
          <t>1.1:1</t>
        </is>
      </c>
      <c r="Y163" s="710" t="n">
        <v>10000</v>
      </c>
      <c r="Z163" s="92" t="inlineStr">
        <is>
          <t xml:space="preserve">C </t>
        </is>
      </c>
      <c r="AA163" s="93" t="n"/>
      <c r="AB163" s="93" t="n"/>
      <c r="AC163" s="93" t="n"/>
      <c r="AD163" s="93" t="inlineStr">
        <is>
          <t xml:space="preserve">MILE HIGH FRAMING   </t>
        </is>
      </c>
      <c r="AE163" s="93" t="n"/>
      <c r="AF163" s="93" t="n"/>
      <c r="AG163" s="93" t="n"/>
      <c r="AH163" s="93" t="n"/>
      <c r="AI163" s="93" t="n"/>
      <c r="AK163" s="265" t="inlineStr">
        <is>
          <t xml:space="preserve">MO-TO-MO LEASES; CAN'T SEPARATE OWNER/TEN EXP = NOT POSTED.       </t>
        </is>
      </c>
      <c r="AL163">
        <f>IF(AND(ISNUMBER($S163),$S163&gt;0,ISNUMBER($K163),ISNUMBER($J163)),($K163*$J163)/$S163,"")</f>
        <v/>
      </c>
      <c r="AM163" s="93" t="n"/>
      <c r="AN163" s="93" t="n"/>
      <c r="AO163" s="93" t="n"/>
      <c r="AP163" s="93" t="n"/>
      <c r="AQ163" s="93" t="n"/>
    </row>
    <row r="164" ht="14" customHeight="1" s="518">
      <c r="A164" s="106" t="n">
        <v>6</v>
      </c>
      <c r="B164" s="93" t="n">
        <v>159</v>
      </c>
      <c r="C164" s="93" t="inlineStr">
        <is>
          <t>2013Q</t>
        </is>
      </c>
      <c r="D164" s="93" t="inlineStr">
        <is>
          <t xml:space="preserve">02342-36-015-000 </t>
        </is>
      </c>
      <c r="E164" s="92" t="inlineStr">
        <is>
          <t>Actual</t>
        </is>
      </c>
      <c r="F164" s="93" t="inlineStr">
        <is>
          <t>2033   LAWRENCE             ST</t>
        </is>
      </c>
      <c r="G164" s="93" t="n">
        <v>46.1</v>
      </c>
      <c r="H164" s="93" t="n">
        <v>9202</v>
      </c>
      <c r="I164" s="92" t="n">
        <v>7</v>
      </c>
      <c r="J164" s="710" t="n">
        <v>10000</v>
      </c>
      <c r="K164" s="711" t="n">
        <v>7.8</v>
      </c>
      <c r="L164" s="108" t="n">
        <v>0</v>
      </c>
      <c r="M164" s="97" t="n">
        <v>0.1432692307692308</v>
      </c>
      <c r="N164" s="93" t="n">
        <v>1929</v>
      </c>
      <c r="O164" s="93" t="n">
        <v>0</v>
      </c>
      <c r="P164" s="93" t="n">
        <v>970</v>
      </c>
      <c r="Q164" s="93" t="n">
        <v>15</v>
      </c>
      <c r="R164" s="93" t="n">
        <v>1</v>
      </c>
      <c r="S164" s="93" t="n">
        <v>1</v>
      </c>
      <c r="T164" s="92" t="inlineStr">
        <is>
          <t xml:space="preserve">D-AS        </t>
        </is>
      </c>
      <c r="U164" s="93" t="n">
        <v>401</v>
      </c>
      <c r="V164" s="710" t="n">
        <v>5029</v>
      </c>
      <c r="W164" s="710" t="n">
        <v>5000</v>
      </c>
      <c r="X164" s="712" t="inlineStr">
        <is>
          <t>0.5:1</t>
        </is>
      </c>
      <c r="Y164" s="710" t="n">
        <v>10000</v>
      </c>
      <c r="Z164" s="92" t="inlineStr">
        <is>
          <t xml:space="preserve">C </t>
        </is>
      </c>
      <c r="AA164" s="93" t="n"/>
      <c r="AB164" s="93" t="n"/>
      <c r="AC164" s="93" t="n"/>
      <c r="AD164" s="93" t="inlineStr">
        <is>
          <t>S-F-LA POPULAR TORTI</t>
        </is>
      </c>
      <c r="AE164" s="93" t="n"/>
      <c r="AF164" s="93" t="n"/>
      <c r="AG164" s="93" t="n"/>
      <c r="AH164" s="93" t="n"/>
      <c r="AI164" s="93" t="n"/>
      <c r="AK164" s="265" t="inlineStr"/>
      <c r="AL164">
        <f>IF(AND(ISNUMBER($S164),$S164&gt;0,ISNUMBER($K164),ISNUMBER($J164)),($K164*$J164)/$S164,"")</f>
        <v/>
      </c>
      <c r="AM164" s="93" t="n"/>
      <c r="AN164" s="93" t="n"/>
      <c r="AO164" s="93" t="n"/>
      <c r="AP164" s="93" t="n"/>
      <c r="AQ164" s="93" t="n"/>
    </row>
    <row r="165" ht="14" customHeight="1" s="518">
      <c r="A165" s="106" t="n">
        <v>6</v>
      </c>
      <c r="B165" s="93" t="n">
        <v>160</v>
      </c>
      <c r="C165" s="93" t="inlineStr">
        <is>
          <t>2013Q</t>
        </is>
      </c>
      <c r="D165" s="93" t="inlineStr">
        <is>
          <t xml:space="preserve">02342-37-010-000 </t>
        </is>
      </c>
      <c r="E165" s="92" t="inlineStr">
        <is>
          <t>Actual</t>
        </is>
      </c>
      <c r="F165" s="93" t="inlineStr">
        <is>
          <t>2006   LAWRENCE             ST</t>
        </is>
      </c>
      <c r="G165" s="93" t="n">
        <v>44.2</v>
      </c>
      <c r="H165" s="93" t="n">
        <v>9202</v>
      </c>
      <c r="I165" s="92" t="n">
        <v>7</v>
      </c>
      <c r="J165" s="710" t="n">
        <v>11788</v>
      </c>
      <c r="K165" s="711" t="n">
        <v>4.761904761904762</v>
      </c>
      <c r="L165" s="108" t="n">
        <v>0.16</v>
      </c>
      <c r="M165" s="97" t="n">
        <v>0.037</v>
      </c>
      <c r="N165" s="93" t="n">
        <v>1930</v>
      </c>
      <c r="O165" s="93" t="n">
        <v>0</v>
      </c>
      <c r="P165" s="93" t="n">
        <v>0</v>
      </c>
      <c r="Q165" s="93" t="n">
        <v>12</v>
      </c>
      <c r="R165" s="93" t="n">
        <v>1</v>
      </c>
      <c r="S165" s="93" t="n">
        <v>4</v>
      </c>
      <c r="T165" s="92" t="inlineStr">
        <is>
          <t xml:space="preserve">D-AS        </t>
        </is>
      </c>
      <c r="U165" s="93" t="n">
        <v>398</v>
      </c>
      <c r="V165" s="710" t="n">
        <v>6251</v>
      </c>
      <c r="W165" s="710" t="n">
        <v>6000</v>
      </c>
      <c r="X165" s="712" t="inlineStr">
        <is>
          <t>0.5:1</t>
        </is>
      </c>
      <c r="Y165" s="710" t="n">
        <v>12000</v>
      </c>
      <c r="Z165" s="92" t="inlineStr">
        <is>
          <t xml:space="preserve">C </t>
        </is>
      </c>
      <c r="AA165" s="93" t="n"/>
      <c r="AB165" s="93" t="n"/>
      <c r="AC165" s="93" t="n"/>
      <c r="AD165" s="93" t="inlineStr"/>
      <c r="AE165" s="93" t="n"/>
      <c r="AF165" s="93" t="n"/>
      <c r="AG165" s="93" t="n"/>
      <c r="AH165" s="93" t="n"/>
      <c r="AI165" s="93" t="n"/>
      <c r="AK165" s="265" t="inlineStr"/>
      <c r="AL165">
        <f>IF(AND(ISNUMBER($S165),$S165&gt;0,ISNUMBER($K165),ISNUMBER($J165)),($K165*$J165)/$S165,"")</f>
        <v/>
      </c>
      <c r="AM165" s="93" t="n"/>
      <c r="AN165" s="93" t="n"/>
      <c r="AO165" s="93" t="n"/>
      <c r="AP165" s="93" t="n"/>
      <c r="AQ165" s="93" t="n"/>
    </row>
    <row r="166" ht="28" customHeight="1" s="518">
      <c r="A166" s="106" t="n">
        <v>6</v>
      </c>
      <c r="B166" s="93" t="n">
        <v>161</v>
      </c>
      <c r="C166" s="93" t="inlineStr">
        <is>
          <t>2013Q</t>
        </is>
      </c>
      <c r="D166" s="93" t="inlineStr">
        <is>
          <t xml:space="preserve">05035-04-035-000 </t>
        </is>
      </c>
      <c r="E166" s="92" t="inlineStr">
        <is>
          <t>Actual</t>
        </is>
      </c>
      <c r="F166" s="93" t="inlineStr">
        <is>
          <t>1240   SANTA FE             DR</t>
        </is>
      </c>
      <c r="G166" s="93" t="n">
        <v>44.1</v>
      </c>
      <c r="H166" s="93" t="n">
        <v>9505</v>
      </c>
      <c r="I166" s="92" t="n">
        <v>3</v>
      </c>
      <c r="J166" s="710" t="n">
        <v>10400</v>
      </c>
      <c r="K166" s="711" t="n">
        <v>8.653846153846153</v>
      </c>
      <c r="L166" s="108" t="n">
        <v>0</v>
      </c>
      <c r="M166" s="97" t="n">
        <v>0</v>
      </c>
      <c r="N166" s="93" t="n">
        <v>1964</v>
      </c>
      <c r="O166" s="93" t="n">
        <v>5148</v>
      </c>
      <c r="P166" s="93" t="n">
        <v>0</v>
      </c>
      <c r="Q166" s="93" t="n">
        <v>14</v>
      </c>
      <c r="R166" s="93" t="n">
        <v>1</v>
      </c>
      <c r="S166" s="93" t="n">
        <v>1</v>
      </c>
      <c r="T166" s="92" t="inlineStr">
        <is>
          <t xml:space="preserve">C-MS-8      </t>
        </is>
      </c>
      <c r="U166" s="93" t="n">
        <v>398</v>
      </c>
      <c r="V166" s="710" t="n">
        <v>19156</v>
      </c>
      <c r="W166" s="710" t="n">
        <v>19000</v>
      </c>
      <c r="X166" s="712" t="inlineStr">
        <is>
          <t>1.8:1</t>
        </is>
      </c>
      <c r="Y166" s="710" t="n">
        <v>10000</v>
      </c>
      <c r="Z166" s="92" t="inlineStr">
        <is>
          <t xml:space="preserve">C </t>
        </is>
      </c>
      <c r="AA166" s="93" t="n"/>
      <c r="AB166" s="93" t="n"/>
      <c r="AC166" s="93" t="n"/>
      <c r="AD166" s="93" t="inlineStr">
        <is>
          <t xml:space="preserve">S-W TATTERDEMALION  </t>
        </is>
      </c>
      <c r="AE166" s="93" t="n"/>
      <c r="AF166" s="93" t="n"/>
      <c r="AG166" s="93" t="n"/>
      <c r="AH166" s="93" t="n"/>
      <c r="AI166" s="93" t="n"/>
      <c r="AK166" s="265" t="inlineStr">
        <is>
          <t xml:space="preserve">NON-BASE LEASE BUT NEED DATA FOR THIS NBHD.                       </t>
        </is>
      </c>
      <c r="AL166">
        <f>IF(AND(ISNUMBER($S166),$S166&gt;0,ISNUMBER($K166),ISNUMBER($J166)),($K166*$J166)/$S166,"")</f>
        <v/>
      </c>
      <c r="AM166" s="93" t="n"/>
      <c r="AN166" s="93" t="n"/>
      <c r="AO166" s="93" t="n"/>
      <c r="AP166" s="93" t="n"/>
      <c r="AQ166" s="93" t="n"/>
    </row>
    <row r="167" ht="14" customHeight="1" s="518">
      <c r="A167" s="106" t="n">
        <v>6</v>
      </c>
      <c r="B167" s="93" t="n">
        <v>162</v>
      </c>
      <c r="C167" s="93" t="inlineStr">
        <is>
          <t>2013Q</t>
        </is>
      </c>
      <c r="D167" s="93" t="inlineStr">
        <is>
          <t xml:space="preserve">05041-07-020-000 </t>
        </is>
      </c>
      <c r="E167" s="92" t="inlineStr">
        <is>
          <t>Actual</t>
        </is>
      </c>
      <c r="F167" s="93" t="inlineStr">
        <is>
          <t>1305   OSAGE                ST</t>
        </is>
      </c>
      <c r="G167" s="93" t="n">
        <v>44.1</v>
      </c>
      <c r="H167" s="93" t="n">
        <v>9505</v>
      </c>
      <c r="I167" s="92" t="n">
        <v>0</v>
      </c>
      <c r="J167" s="710" t="n">
        <v>10600</v>
      </c>
      <c r="K167" s="711" t="n">
        <v>8.490566037735849</v>
      </c>
      <c r="L167" s="108" t="n">
        <v>0</v>
      </c>
      <c r="M167" s="97" t="n">
        <v>0</v>
      </c>
      <c r="N167" s="93" t="n">
        <v>1966</v>
      </c>
      <c r="O167" s="93" t="n">
        <v>3480</v>
      </c>
      <c r="P167" s="93" t="n">
        <v>0</v>
      </c>
      <c r="Q167" s="93" t="n">
        <v>13</v>
      </c>
      <c r="R167" s="93" t="n">
        <v>8</v>
      </c>
      <c r="S167" s="93" t="n">
        <v>1</v>
      </c>
      <c r="T167" s="92" t="inlineStr">
        <is>
          <t xml:space="preserve">G-MX-3      </t>
        </is>
      </c>
      <c r="U167" s="93" t="n">
        <v>397</v>
      </c>
      <c r="V167" s="710" t="n">
        <v>25019</v>
      </c>
      <c r="W167" s="710" t="n">
        <v>25000</v>
      </c>
      <c r="X167" s="712" t="inlineStr">
        <is>
          <t>2.4:1</t>
        </is>
      </c>
      <c r="Y167" s="710" t="n">
        <v>11000</v>
      </c>
      <c r="Z167" s="92" t="inlineStr">
        <is>
          <t xml:space="preserve">C </t>
        </is>
      </c>
      <c r="AA167" s="93" t="n"/>
      <c r="AB167" s="93" t="n"/>
      <c r="AC167" s="93" t="n"/>
      <c r="AD167" s="93" t="inlineStr">
        <is>
          <t xml:space="preserve">DIST-J-8 EQUIPMENT  </t>
        </is>
      </c>
      <c r="AE167" s="93" t="n"/>
      <c r="AF167" s="93" t="n"/>
      <c r="AG167" s="93" t="n"/>
      <c r="AH167" s="93" t="n"/>
      <c r="AI167" s="93" t="n"/>
      <c r="AK167" s="265" t="inlineStr"/>
      <c r="AL167">
        <f>IF(AND(ISNUMBER($S167),$S167&gt;0,ISNUMBER($K167),ISNUMBER($J167)),($K167*$J167)/$S167,"")</f>
        <v/>
      </c>
      <c r="AM167" s="93" t="n"/>
      <c r="AN167" s="93" t="n"/>
      <c r="AO167" s="93" t="n"/>
      <c r="AP167" s="93" t="n"/>
      <c r="AQ167" s="93" t="n"/>
    </row>
    <row r="168" ht="14" customHeight="1" s="518">
      <c r="A168" s="106" t="n">
        <v>6</v>
      </c>
      <c r="B168" s="93" t="n">
        <v>163</v>
      </c>
      <c r="C168" s="93" t="inlineStr">
        <is>
          <t>2013Q</t>
        </is>
      </c>
      <c r="D168" s="93" t="inlineStr">
        <is>
          <t xml:space="preserve">05042-01-047-000 </t>
        </is>
      </c>
      <c r="E168" s="92" t="inlineStr">
        <is>
          <t>Actual</t>
        </is>
      </c>
      <c r="F168" s="93" t="inlineStr">
        <is>
          <t>1801 W COLFAX               AV</t>
        </is>
      </c>
      <c r="G168" s="93" t="n">
        <v>44.1</v>
      </c>
      <c r="H168" s="93" t="n">
        <v>9505</v>
      </c>
      <c r="I168" s="92" t="n">
        <v>0</v>
      </c>
      <c r="J168" s="710" t="n">
        <v>5038</v>
      </c>
      <c r="K168" s="711" t="n">
        <v>4.327113934100834</v>
      </c>
      <c r="L168" s="108" t="n">
        <v>0</v>
      </c>
      <c r="M168" s="97" t="n">
        <v>0.261605504587156</v>
      </c>
      <c r="N168" s="93" t="n">
        <v>1953</v>
      </c>
      <c r="O168" s="93" t="n">
        <v>325</v>
      </c>
      <c r="P168" s="93" t="n">
        <v>0</v>
      </c>
      <c r="Q168" s="93" t="n">
        <v>13</v>
      </c>
      <c r="R168" s="93" t="n">
        <v>6</v>
      </c>
      <c r="S168" s="93" t="n">
        <v>1</v>
      </c>
      <c r="T168" s="92" t="inlineStr">
        <is>
          <t xml:space="preserve">I-B         </t>
        </is>
      </c>
      <c r="U168" s="93" t="n">
        <v>398</v>
      </c>
      <c r="V168" s="710" t="n">
        <v>25929</v>
      </c>
      <c r="W168" s="710" t="n">
        <v>26000</v>
      </c>
      <c r="X168" s="712" t="inlineStr">
        <is>
          <t>5.1:1</t>
        </is>
      </c>
      <c r="Y168" s="710" t="n">
        <v>5000</v>
      </c>
      <c r="Z168" s="92" t="inlineStr">
        <is>
          <t xml:space="preserve">C </t>
        </is>
      </c>
      <c r="AA168" s="93" t="n"/>
      <c r="AB168" s="93" t="n"/>
      <c r="AC168" s="93" t="n"/>
      <c r="AD168" s="93" t="inlineStr"/>
      <c r="AE168" s="93" t="n"/>
      <c r="AF168" s="93" t="n"/>
      <c r="AG168" s="93" t="n"/>
      <c r="AH168" s="93" t="n"/>
      <c r="AI168" s="93" t="n"/>
      <c r="AK168" s="265" t="inlineStr">
        <is>
          <t xml:space="preserve">2010 LEASE.                                                       </t>
        </is>
      </c>
      <c r="AL168">
        <f>IF(AND(ISNUMBER($S168),$S168&gt;0,ISNUMBER($K168),ISNUMBER($J168)),($K168*$J168)/$S168,"")</f>
        <v/>
      </c>
      <c r="AM168" s="93" t="n"/>
      <c r="AN168" s="93" t="n"/>
      <c r="AO168" s="93" t="n"/>
      <c r="AP168" s="93" t="n"/>
      <c r="AQ168" s="93" t="n"/>
    </row>
    <row r="169" ht="14" customHeight="1" s="518">
      <c r="A169" s="106" t="n">
        <v>6</v>
      </c>
      <c r="B169" s="93" t="n">
        <v>164</v>
      </c>
      <c r="C169" s="93" t="inlineStr">
        <is>
          <t>2013Q</t>
        </is>
      </c>
      <c r="D169" s="93" t="inlineStr">
        <is>
          <t xml:space="preserve">05042-01-049-000 </t>
        </is>
      </c>
      <c r="E169" s="92" t="inlineStr">
        <is>
          <t>Actual</t>
        </is>
      </c>
      <c r="F169" s="93" t="inlineStr">
        <is>
          <t>1835 W COLFAX               AV</t>
        </is>
      </c>
      <c r="G169" s="93" t="n">
        <v>44.1</v>
      </c>
      <c r="H169" s="93" t="n">
        <v>9505</v>
      </c>
      <c r="I169" s="92" t="n">
        <v>0</v>
      </c>
      <c r="J169" s="710" t="n">
        <v>6022</v>
      </c>
      <c r="K169" s="711" t="n">
        <v>6.57588840916639</v>
      </c>
      <c r="L169" s="108" t="n">
        <v>0</v>
      </c>
      <c r="M169" s="97" t="n">
        <v>0.2259848484848485</v>
      </c>
      <c r="N169" s="93" t="n">
        <v>1981</v>
      </c>
      <c r="O169" s="93" t="n">
        <v>1470</v>
      </c>
      <c r="P169" s="93" t="n">
        <v>0</v>
      </c>
      <c r="Q169" s="93" t="n">
        <v>15</v>
      </c>
      <c r="R169" s="93" t="n">
        <v>3</v>
      </c>
      <c r="S169" s="93" t="n">
        <v>1</v>
      </c>
      <c r="T169" s="92" t="inlineStr">
        <is>
          <t xml:space="preserve">I-B         </t>
        </is>
      </c>
      <c r="U169" s="93" t="n">
        <v>398</v>
      </c>
      <c r="V169" s="710" t="n">
        <v>13115</v>
      </c>
      <c r="W169" s="710" t="n">
        <v>13000</v>
      </c>
      <c r="X169" s="712" t="inlineStr">
        <is>
          <t>2.2:1</t>
        </is>
      </c>
      <c r="Y169" s="710" t="n">
        <v>6000</v>
      </c>
      <c r="Z169" s="92" t="inlineStr">
        <is>
          <t xml:space="preserve">C </t>
        </is>
      </c>
      <c r="AA169" s="93" t="n"/>
      <c r="AB169" s="93" t="n"/>
      <c r="AC169" s="93" t="n"/>
      <c r="AD169" s="93" t="inlineStr"/>
      <c r="AE169" s="93" t="n"/>
      <c r="AF169" s="93" t="n"/>
      <c r="AG169" s="93" t="n"/>
      <c r="AH169" s="93" t="n"/>
      <c r="AI169" s="93" t="n"/>
      <c r="AK169" s="265" t="inlineStr">
        <is>
          <t xml:space="preserve">2010 LEASE.                                                       </t>
        </is>
      </c>
      <c r="AL169">
        <f>IF(AND(ISNUMBER($S169),$S169&gt;0,ISNUMBER($K169),ISNUMBER($J169)),($K169*$J169)/$S169,"")</f>
        <v/>
      </c>
      <c r="AM169" s="93" t="n"/>
      <c r="AN169" s="93" t="n"/>
      <c r="AO169" s="93" t="n"/>
      <c r="AP169" s="93" t="n"/>
      <c r="AQ169" s="93" t="n"/>
    </row>
    <row r="170" ht="14" customHeight="1" s="518">
      <c r="A170" s="106" t="n">
        <v>6</v>
      </c>
      <c r="B170" s="93" t="n">
        <v>165</v>
      </c>
      <c r="C170" s="93" t="inlineStr">
        <is>
          <t>2013Q</t>
        </is>
      </c>
      <c r="D170" s="93" t="inlineStr">
        <is>
          <t xml:space="preserve">05042-14-011-000 </t>
        </is>
      </c>
      <c r="E170" s="92" t="inlineStr">
        <is>
          <t>Actual</t>
        </is>
      </c>
      <c r="F170" s="93" t="inlineStr">
        <is>
          <t>1945 W 13TH                 AV</t>
        </is>
      </c>
      <c r="G170" s="93" t="n">
        <v>44.2</v>
      </c>
      <c r="H170" s="93" t="n">
        <v>9505</v>
      </c>
      <c r="I170" s="92" t="n">
        <v>0</v>
      </c>
      <c r="J170" s="710" t="n">
        <v>32231</v>
      </c>
      <c r="K170" s="711" t="n">
        <v>4.950761689057119</v>
      </c>
      <c r="L170" s="108" t="n">
        <v>0</v>
      </c>
      <c r="M170" s="97" t="n">
        <v>0.06517597513285872</v>
      </c>
      <c r="N170" s="93" t="n">
        <v>1972</v>
      </c>
      <c r="O170" s="93" t="n">
        <v>5413</v>
      </c>
      <c r="P170" s="93" t="n">
        <v>0</v>
      </c>
      <c r="Q170" s="93" t="n">
        <v>24</v>
      </c>
      <c r="R170" s="93" t="n">
        <v>14</v>
      </c>
      <c r="S170" s="93" t="n">
        <v>3</v>
      </c>
      <c r="T170" s="92" t="inlineStr">
        <is>
          <t xml:space="preserve">I-MX-5      </t>
        </is>
      </c>
      <c r="U170" s="93" t="n">
        <v>398</v>
      </c>
      <c r="V170" s="710" t="n">
        <v>53550</v>
      </c>
      <c r="W170" s="710" t="n">
        <v>54000</v>
      </c>
      <c r="X170" s="712" t="inlineStr">
        <is>
          <t>1.7:1</t>
        </is>
      </c>
      <c r="Y170" s="710" t="n">
        <v>32000</v>
      </c>
      <c r="Z170" s="92" t="inlineStr">
        <is>
          <t xml:space="preserve">C </t>
        </is>
      </c>
      <c r="AA170" s="93" t="n"/>
      <c r="AB170" s="93" t="n"/>
      <c r="AC170" s="93" t="n"/>
      <c r="AD170" s="93" t="inlineStr"/>
      <c r="AE170" s="93" t="n"/>
      <c r="AF170" s="93" t="n"/>
      <c r="AG170" s="93" t="n"/>
      <c r="AH170" s="93" t="n"/>
      <c r="AI170" s="93" t="n"/>
      <c r="AK170" s="265" t="inlineStr">
        <is>
          <t xml:space="preserve">LEASE COMMENCEMENT UNKNOWN.                                       </t>
        </is>
      </c>
      <c r="AL170">
        <f>IF(AND(ISNUMBER($S170),$S170&gt;0,ISNUMBER($K170),ISNUMBER($J170)),($K170*$J170)/$S170,"")</f>
        <v/>
      </c>
      <c r="AM170" s="93" t="n"/>
      <c r="AN170" s="93" t="n"/>
      <c r="AO170" s="93" t="n"/>
      <c r="AP170" s="93" t="n"/>
      <c r="AQ170" s="93" t="n"/>
    </row>
    <row r="171" ht="14" customHeight="1" s="518">
      <c r="A171" s="106" t="n">
        <v>6</v>
      </c>
      <c r="B171" s="93" t="n">
        <v>166</v>
      </c>
      <c r="C171" s="93" t="inlineStr">
        <is>
          <t>2013Q</t>
        </is>
      </c>
      <c r="D171" s="93" t="inlineStr">
        <is>
          <t xml:space="preserve">05042-15-002-000 </t>
        </is>
      </c>
      <c r="E171" s="92" t="inlineStr">
        <is>
          <t>Actual</t>
        </is>
      </c>
      <c r="F171" s="93" t="inlineStr">
        <is>
          <t>1881 W 13TH                 AV</t>
        </is>
      </c>
      <c r="G171" s="93" t="n">
        <v>44.1</v>
      </c>
      <c r="H171" s="93" t="n">
        <v>9505</v>
      </c>
      <c r="I171" s="92" t="n">
        <v>0</v>
      </c>
      <c r="J171" s="710" t="n">
        <v>8944</v>
      </c>
      <c r="K171" s="711" t="n">
        <v>4.659660107334526</v>
      </c>
      <c r="L171" s="108" t="n">
        <v>0</v>
      </c>
      <c r="M171" s="97" t="n">
        <v>0</v>
      </c>
      <c r="N171" s="93" t="n">
        <v>1985</v>
      </c>
      <c r="O171" s="93" t="n">
        <v>5199</v>
      </c>
      <c r="P171" s="93" t="n">
        <v>0</v>
      </c>
      <c r="Q171" s="93" t="n">
        <v>20</v>
      </c>
      <c r="R171" s="93" t="n">
        <v>3</v>
      </c>
      <c r="S171" s="93" t="n">
        <v>1</v>
      </c>
      <c r="T171" s="92" t="inlineStr">
        <is>
          <t xml:space="preserve">I-MX-5      </t>
        </is>
      </c>
      <c r="U171" s="93" t="n">
        <v>398</v>
      </c>
      <c r="V171" s="710" t="n">
        <v>53100</v>
      </c>
      <c r="W171" s="710" t="n">
        <v>53000</v>
      </c>
      <c r="X171" s="712" t="inlineStr">
        <is>
          <t>5.9:1</t>
        </is>
      </c>
      <c r="Y171" s="710" t="n">
        <v>9000</v>
      </c>
      <c r="Z171" s="92" t="inlineStr">
        <is>
          <t xml:space="preserve">C </t>
        </is>
      </c>
      <c r="AA171" s="93" t="n"/>
      <c r="AB171" s="93" t="n"/>
      <c r="AC171" s="93" t="n"/>
      <c r="AD171" s="93" t="inlineStr">
        <is>
          <t xml:space="preserve">CFI WEST            </t>
        </is>
      </c>
      <c r="AE171" s="93" t="n"/>
      <c r="AF171" s="93" t="n"/>
      <c r="AG171" s="93" t="n"/>
      <c r="AH171" s="93" t="n"/>
      <c r="AI171" s="93" t="n"/>
      <c r="AK171" s="265" t="inlineStr"/>
      <c r="AL171">
        <f>IF(AND(ISNUMBER($S171),$S171&gt;0,ISNUMBER($K171),ISNUMBER($J171)),($K171*$J171)/$S171,"")</f>
        <v/>
      </c>
      <c r="AM171" s="93" t="n"/>
      <c r="AN171" s="93" t="n"/>
      <c r="AO171" s="93" t="n"/>
      <c r="AP171" s="93" t="n"/>
      <c r="AQ171" s="93" t="n"/>
    </row>
    <row r="172" ht="14" customHeight="1" s="518">
      <c r="A172" s="106" t="n">
        <v>6</v>
      </c>
      <c r="B172" s="93" t="n">
        <v>167</v>
      </c>
      <c r="C172" s="93" t="inlineStr">
        <is>
          <t>2013Q</t>
        </is>
      </c>
      <c r="D172" s="93" t="inlineStr">
        <is>
          <t xml:space="preserve">05042-18-014-000 </t>
        </is>
      </c>
      <c r="E172" s="92" t="inlineStr">
        <is>
          <t>Actual</t>
        </is>
      </c>
      <c r="F172" s="93" t="inlineStr">
        <is>
          <t>1201   PECOS                ST</t>
        </is>
      </c>
      <c r="G172" s="93" t="n">
        <v>47.1</v>
      </c>
      <c r="H172" s="93" t="n">
        <v>9505</v>
      </c>
      <c r="I172" s="92" t="n">
        <v>0</v>
      </c>
      <c r="J172" s="710" t="n">
        <v>5328</v>
      </c>
      <c r="K172" s="711" t="n">
        <v>3.378378378378379</v>
      </c>
      <c r="L172" s="108" t="n">
        <v>0</v>
      </c>
      <c r="M172" s="97" t="n">
        <v>0</v>
      </c>
      <c r="N172" s="93" t="n">
        <v>1952</v>
      </c>
      <c r="O172" s="93" t="n">
        <v>0</v>
      </c>
      <c r="P172" s="93" t="n">
        <v>0</v>
      </c>
      <c r="Q172" s="93" t="n">
        <v>12</v>
      </c>
      <c r="R172" s="93" t="n">
        <v>1</v>
      </c>
      <c r="S172" s="93" t="n">
        <v>1</v>
      </c>
      <c r="T172" s="92" t="inlineStr">
        <is>
          <t xml:space="preserve">I-MX-5      </t>
        </is>
      </c>
      <c r="U172" s="93" t="n">
        <v>401</v>
      </c>
      <c r="V172" s="710" t="n">
        <v>10845</v>
      </c>
      <c r="W172" s="710" t="n">
        <v>11000</v>
      </c>
      <c r="X172" s="712" t="inlineStr">
        <is>
          <t>2:1</t>
        </is>
      </c>
      <c r="Y172" s="710" t="n">
        <v>5000</v>
      </c>
      <c r="Z172" s="92" t="inlineStr">
        <is>
          <t xml:space="preserve">C </t>
        </is>
      </c>
      <c r="AA172" s="93" t="n"/>
      <c r="AB172" s="93" t="n"/>
      <c r="AC172" s="93" t="n"/>
      <c r="AD172" s="93" t="inlineStr"/>
      <c r="AE172" s="93" t="n"/>
      <c r="AF172" s="93" t="n"/>
      <c r="AG172" s="93" t="n"/>
      <c r="AH172" s="93" t="n"/>
      <c r="AI172" s="93" t="n"/>
      <c r="AK172" s="265" t="inlineStr">
        <is>
          <t xml:space="preserve">LEASE COMMENCEMENT UNKNOWN.                                       </t>
        </is>
      </c>
      <c r="AL172">
        <f>IF(AND(ISNUMBER($S172),$S172&gt;0,ISNUMBER($K172),ISNUMBER($J172)),($K172*$J172)/$S172,"")</f>
        <v/>
      </c>
      <c r="AM172" s="93" t="n"/>
      <c r="AN172" s="93" t="n"/>
      <c r="AO172" s="93" t="n"/>
      <c r="AP172" s="93" t="n"/>
      <c r="AQ172" s="93" t="n"/>
    </row>
    <row r="173" ht="14" customHeight="1" s="518">
      <c r="A173" s="106" t="n">
        <v>6</v>
      </c>
      <c r="B173" s="93" t="n">
        <v>168</v>
      </c>
      <c r="C173" s="93" t="inlineStr">
        <is>
          <t>2013Q</t>
        </is>
      </c>
      <c r="D173" s="93" t="inlineStr">
        <is>
          <t xml:space="preserve">05042-22-025-000 </t>
        </is>
      </c>
      <c r="E173" s="92" t="inlineStr">
        <is>
          <t>Actual</t>
        </is>
      </c>
      <c r="F173" s="93" t="inlineStr">
        <is>
          <t>1965 W 12TH                 PL</t>
        </is>
      </c>
      <c r="G173" s="93" t="n">
        <v>44.1</v>
      </c>
      <c r="H173" s="93" t="n">
        <v>9505</v>
      </c>
      <c r="I173" s="92" t="n">
        <v>0</v>
      </c>
      <c r="J173" s="710" t="n">
        <v>6504</v>
      </c>
      <c r="K173" s="711" t="n">
        <v>7.564575645756458</v>
      </c>
      <c r="L173" s="108" t="n">
        <v>0</v>
      </c>
      <c r="M173" s="97" t="n">
        <v>0.03863821138211382</v>
      </c>
      <c r="N173" s="93" t="n">
        <v>1974</v>
      </c>
      <c r="O173" s="93" t="n">
        <v>720</v>
      </c>
      <c r="P173" s="93" t="n">
        <v>0</v>
      </c>
      <c r="Q173" s="93" t="n">
        <v>12</v>
      </c>
      <c r="R173" s="93" t="n">
        <v>1</v>
      </c>
      <c r="S173" s="93" t="n">
        <v>1</v>
      </c>
      <c r="T173" s="92" t="inlineStr">
        <is>
          <t xml:space="preserve">I-MX-5      </t>
        </is>
      </c>
      <c r="U173" s="93" t="n">
        <v>398</v>
      </c>
      <c r="V173" s="710" t="n">
        <v>15845</v>
      </c>
      <c r="W173" s="710" t="n">
        <v>16000</v>
      </c>
      <c r="X173" s="712" t="inlineStr">
        <is>
          <t>2.4:1</t>
        </is>
      </c>
      <c r="Y173" s="710" t="n">
        <v>7000</v>
      </c>
      <c r="Z173" s="92" t="inlineStr">
        <is>
          <t xml:space="preserve">C </t>
        </is>
      </c>
      <c r="AA173" s="93" t="n"/>
      <c r="AB173" s="93" t="n"/>
      <c r="AC173" s="93" t="n"/>
      <c r="AD173" s="93" t="inlineStr"/>
      <c r="AE173" s="93" t="n"/>
      <c r="AF173" s="93" t="n"/>
      <c r="AG173" s="93" t="n"/>
      <c r="AH173" s="93" t="n"/>
      <c r="AI173" s="93" t="n"/>
      <c r="AK173" s="265" t="inlineStr"/>
      <c r="AL173">
        <f>IF(AND(ISNUMBER($S173),$S173&gt;0,ISNUMBER($K173),ISNUMBER($J173)),($K173*$J173)/$S173,"")</f>
        <v/>
      </c>
      <c r="AM173" s="93" t="n"/>
      <c r="AN173" s="93" t="n"/>
      <c r="AO173" s="93" t="n"/>
      <c r="AP173" s="93" t="n"/>
      <c r="AQ173" s="93" t="n"/>
    </row>
    <row r="174" ht="14" customHeight="1" s="518">
      <c r="A174" s="106" t="n">
        <v>6</v>
      </c>
      <c r="B174" s="93" t="n">
        <v>169</v>
      </c>
      <c r="C174" s="93" t="inlineStr">
        <is>
          <t>2013Q</t>
        </is>
      </c>
      <c r="D174" s="93" t="inlineStr">
        <is>
          <t xml:space="preserve">05043-28-044-000 </t>
        </is>
      </c>
      <c r="E174" s="92" t="inlineStr">
        <is>
          <t>Actual</t>
        </is>
      </c>
      <c r="F174" s="93" t="inlineStr">
        <is>
          <t>900   WYANDOT              ST</t>
        </is>
      </c>
      <c r="G174" s="93" t="n">
        <v>44.2</v>
      </c>
      <c r="H174" s="93" t="n">
        <v>9505</v>
      </c>
      <c r="I174" s="92" t="n">
        <v>0</v>
      </c>
      <c r="J174" s="710" t="n">
        <v>38324</v>
      </c>
      <c r="K174" s="711" t="n">
        <v>5.636833315937793</v>
      </c>
      <c r="L174" s="108" t="n">
        <v>0</v>
      </c>
      <c r="M174" s="97" t="n">
        <v>0</v>
      </c>
      <c r="N174" s="93" t="n">
        <v>1979</v>
      </c>
      <c r="O174" s="93" t="n">
        <v>3210</v>
      </c>
      <c r="P174" s="93" t="n">
        <v>4222</v>
      </c>
      <c r="Q174" s="93" t="n">
        <v>20</v>
      </c>
      <c r="R174" s="93" t="n">
        <v>14</v>
      </c>
      <c r="S174" s="93" t="n">
        <v>2</v>
      </c>
      <c r="T174" s="92" t="inlineStr">
        <is>
          <t xml:space="preserve">I-B         </t>
        </is>
      </c>
      <c r="U174" s="93" t="n">
        <v>398</v>
      </c>
      <c r="V174" s="710" t="n">
        <v>58979</v>
      </c>
      <c r="W174" s="710" t="n">
        <v>59000</v>
      </c>
      <c r="X174" s="712" t="inlineStr">
        <is>
          <t>1.5:1</t>
        </is>
      </c>
      <c r="Y174" s="710" t="n">
        <v>38000</v>
      </c>
      <c r="Z174" s="92" t="inlineStr">
        <is>
          <t xml:space="preserve">C </t>
        </is>
      </c>
      <c r="AA174" s="93" t="n"/>
      <c r="AB174" s="93" t="n"/>
      <c r="AC174" s="93" t="n"/>
      <c r="AD174" s="93" t="inlineStr">
        <is>
          <t xml:space="preserve">M-WHSE              </t>
        </is>
      </c>
      <c r="AE174" s="93" t="n"/>
      <c r="AF174" s="93" t="n"/>
      <c r="AG174" s="93" t="n"/>
      <c r="AH174" s="93" t="n"/>
      <c r="AI174" s="93" t="n"/>
      <c r="AK174" s="265" t="inlineStr"/>
      <c r="AL174">
        <f>IF(AND(ISNUMBER($S174),$S174&gt;0,ISNUMBER($K174),ISNUMBER($J174)),($K174*$J174)/$S174,"")</f>
        <v/>
      </c>
      <c r="AM174" s="93" t="n"/>
      <c r="AN174" s="93" t="n"/>
      <c r="AO174" s="93" t="n"/>
      <c r="AP174" s="93" t="n"/>
      <c r="AQ174" s="93" t="n"/>
    </row>
    <row r="175" ht="14" customHeight="1" s="518">
      <c r="A175" s="106" t="n">
        <v>6</v>
      </c>
      <c r="B175" s="93" t="n">
        <v>170</v>
      </c>
      <c r="C175" s="93" t="inlineStr">
        <is>
          <t>2013Q</t>
        </is>
      </c>
      <c r="D175" s="93" t="inlineStr">
        <is>
          <t xml:space="preserve">05043-38-001-000 </t>
        </is>
      </c>
      <c r="E175" s="92" t="inlineStr">
        <is>
          <t>Actual</t>
        </is>
      </c>
      <c r="F175" s="93" t="inlineStr">
        <is>
          <t>951   VALLEJO              ST</t>
        </is>
      </c>
      <c r="G175" s="93" t="n">
        <v>44.1</v>
      </c>
      <c r="H175" s="93" t="n">
        <v>9505</v>
      </c>
      <c r="I175" s="92" t="n">
        <v>0</v>
      </c>
      <c r="J175" s="710" t="n">
        <v>6035</v>
      </c>
      <c r="K175" s="711" t="n">
        <v>10.93620546810273</v>
      </c>
      <c r="L175" s="108" t="n">
        <v>0</v>
      </c>
      <c r="M175" s="97" t="n">
        <v>0.0556969696969697</v>
      </c>
      <c r="N175" s="93" t="n">
        <v>1963</v>
      </c>
      <c r="O175" s="93" t="n">
        <v>3240</v>
      </c>
      <c r="P175" s="93" t="n">
        <v>0</v>
      </c>
      <c r="Q175" s="93" t="n">
        <v>14</v>
      </c>
      <c r="R175" s="93" t="n">
        <v>1</v>
      </c>
      <c r="S175" s="93" t="n">
        <v>2</v>
      </c>
      <c r="T175" s="92" t="inlineStr">
        <is>
          <t xml:space="preserve">I-B         </t>
        </is>
      </c>
      <c r="U175" s="93" t="n">
        <v>398</v>
      </c>
      <c r="V175" s="710" t="n">
        <v>13219</v>
      </c>
      <c r="W175" s="710" t="n">
        <v>13000</v>
      </c>
      <c r="X175" s="712" t="inlineStr">
        <is>
          <t>2.2:1</t>
        </is>
      </c>
      <c r="Y175" s="710" t="n">
        <v>6000</v>
      </c>
      <c r="Z175" s="92" t="inlineStr">
        <is>
          <t xml:space="preserve">C </t>
        </is>
      </c>
      <c r="AA175" s="93" t="n"/>
      <c r="AB175" s="93" t="n"/>
      <c r="AC175" s="93" t="n"/>
      <c r="AD175" s="93" t="inlineStr"/>
      <c r="AE175" s="93" t="n"/>
      <c r="AF175" s="93" t="n"/>
      <c r="AG175" s="93" t="n"/>
      <c r="AH175" s="93" t="n"/>
      <c r="AI175" s="93" t="n"/>
      <c r="AK175" s="265" t="inlineStr"/>
      <c r="AL175">
        <f>IF(AND(ISNUMBER($S175),$S175&gt;0,ISNUMBER($K175),ISNUMBER($J175)),($K175*$J175)/$S175,"")</f>
        <v/>
      </c>
      <c r="AM175" s="93" t="n"/>
      <c r="AN175" s="93" t="n"/>
      <c r="AO175" s="93" t="n"/>
      <c r="AP175" s="93" t="n"/>
      <c r="AQ175" s="93" t="n"/>
    </row>
    <row r="176" ht="14" customHeight="1" s="518">
      <c r="A176" s="106" t="n">
        <v>6</v>
      </c>
      <c r="B176" s="93" t="n">
        <v>171</v>
      </c>
      <c r="C176" s="93" t="inlineStr">
        <is>
          <t>2013Q</t>
        </is>
      </c>
      <c r="D176" s="93" t="inlineStr">
        <is>
          <t xml:space="preserve">05044-17-007-000 </t>
        </is>
      </c>
      <c r="E176" s="92" t="inlineStr">
        <is>
          <t>Actual</t>
        </is>
      </c>
      <c r="F176" s="93" t="inlineStr">
        <is>
          <t>845   NAVAJO               ST</t>
        </is>
      </c>
      <c r="G176" s="93" t="n">
        <v>44.1</v>
      </c>
      <c r="H176" s="93" t="n">
        <v>9505</v>
      </c>
      <c r="I176" s="92" t="n">
        <v>0</v>
      </c>
      <c r="J176" s="710" t="n">
        <v>5580</v>
      </c>
      <c r="K176" s="711" t="n">
        <v>11.82795698924731</v>
      </c>
      <c r="L176" s="108" t="n">
        <v>0</v>
      </c>
      <c r="M176" s="97" t="n">
        <v>0</v>
      </c>
      <c r="N176" s="93" t="n">
        <v>1965</v>
      </c>
      <c r="O176" s="93" t="n">
        <v>1571</v>
      </c>
      <c r="P176" s="93" t="n">
        <v>0</v>
      </c>
      <c r="Q176" s="93" t="n">
        <v>15</v>
      </c>
      <c r="R176" s="93" t="n">
        <v>3</v>
      </c>
      <c r="S176" s="93" t="n">
        <v>1</v>
      </c>
      <c r="T176" s="92" t="inlineStr">
        <is>
          <t xml:space="preserve">I-A         </t>
        </is>
      </c>
      <c r="U176" s="93" t="n">
        <v>398</v>
      </c>
      <c r="V176" s="710" t="n">
        <v>8800</v>
      </c>
      <c r="W176" s="710" t="n">
        <v>9000</v>
      </c>
      <c r="X176" s="712" t="inlineStr">
        <is>
          <t>1.6:1</t>
        </is>
      </c>
      <c r="Y176" s="710" t="n">
        <v>6000</v>
      </c>
      <c r="Z176" s="92" t="inlineStr">
        <is>
          <t xml:space="preserve">C </t>
        </is>
      </c>
      <c r="AA176" s="93" t="n"/>
      <c r="AB176" s="93" t="n"/>
      <c r="AC176" s="93" t="n"/>
      <c r="AD176" s="93" t="inlineStr"/>
      <c r="AE176" s="93" t="n"/>
      <c r="AF176" s="93" t="n"/>
      <c r="AG176" s="93" t="n"/>
      <c r="AH176" s="93" t="n"/>
      <c r="AI176" s="93" t="n"/>
      <c r="AK176" s="265" t="inlineStr">
        <is>
          <t xml:space="preserve">2009 LEASE.                                                       </t>
        </is>
      </c>
      <c r="AL176">
        <f>IF(AND(ISNUMBER($S176),$S176&gt;0,ISNUMBER($K176),ISNUMBER($J176)),($K176*$J176)/$S176,"")</f>
        <v/>
      </c>
      <c r="AM176" s="93" t="n"/>
      <c r="AN176" s="93" t="n"/>
      <c r="AO176" s="93" t="n"/>
      <c r="AP176" s="93" t="n"/>
      <c r="AQ176" s="93" t="n"/>
    </row>
    <row r="177">
      <c r="A177" s="106" t="n">
        <v>6</v>
      </c>
      <c r="B177" s="93" t="n">
        <v>171.2</v>
      </c>
      <c r="C177" s="93" t="inlineStr">
        <is>
          <t>2013Q</t>
        </is>
      </c>
      <c r="D177" s="93" t="inlineStr">
        <is>
          <t>05044-23-035-000</t>
        </is>
      </c>
      <c r="E177" s="92" t="inlineStr">
        <is>
          <t>Actual</t>
        </is>
      </c>
      <c r="F177" s="93" t="inlineStr">
        <is>
          <t>680 Lipan St</t>
        </is>
      </c>
      <c r="G177" s="93" t="n">
        <v>44.2</v>
      </c>
      <c r="H177" s="93" t="n">
        <v>9505</v>
      </c>
      <c r="I177" s="92" t="n">
        <v>0</v>
      </c>
      <c r="J177" s="710" t="n">
        <v>14906</v>
      </c>
      <c r="K177" s="711" t="n">
        <v>4.75</v>
      </c>
      <c r="L177" s="108" t="n">
        <v>0</v>
      </c>
      <c r="M177" s="97" t="n">
        <v>0.05</v>
      </c>
      <c r="N177" s="93" t="n">
        <v>1963</v>
      </c>
      <c r="O177" s="93" t="n">
        <v>5000</v>
      </c>
      <c r="P177" s="93" t="n">
        <v>0</v>
      </c>
      <c r="Q177" s="93" t="n">
        <v>19</v>
      </c>
      <c r="R177" s="93" t="n">
        <v>3</v>
      </c>
      <c r="S177" s="93" t="n">
        <v>1</v>
      </c>
      <c r="T177" s="92" t="inlineStr">
        <is>
          <t xml:space="preserve">I-A         </t>
        </is>
      </c>
      <c r="U177" s="93" t="n">
        <v>398</v>
      </c>
      <c r="V177" s="710" t="n">
        <v>31899</v>
      </c>
      <c r="W177" s="710" t="n">
        <v>32000</v>
      </c>
      <c r="X177" s="712" t="inlineStr">
        <is>
          <t>2.1:1</t>
        </is>
      </c>
      <c r="Y177" s="710" t="n">
        <v>15000</v>
      </c>
      <c r="Z177" s="92" t="inlineStr">
        <is>
          <t xml:space="preserve">C </t>
        </is>
      </c>
      <c r="AA177" s="93" t="n"/>
      <c r="AB177" s="93" t="n"/>
      <c r="AC177" s="93" t="n"/>
      <c r="AD177" s="93" t="n"/>
      <c r="AE177" s="93" t="n"/>
      <c r="AF177" s="93" t="n"/>
      <c r="AG177" s="93" t="n"/>
      <c r="AH177" s="93" t="n"/>
      <c r="AI177" s="93" t="n"/>
      <c r="AK177" s="93" t="n"/>
      <c r="AL177">
        <f>IF(AND(ISNUMBER($S177),$S177&gt;0,ISNUMBER($K177),ISNUMBER($J177)),($K177*$J177)/$S177,"")</f>
        <v/>
      </c>
      <c r="AM177" s="93" t="n"/>
      <c r="AN177" s="93" t="n"/>
      <c r="AO177" s="93" t="n"/>
      <c r="AP177" s="93" t="n"/>
      <c r="AQ177" s="93" t="n"/>
    </row>
    <row r="178" ht="14" customHeight="1" s="518">
      <c r="A178" s="106" t="n">
        <v>6</v>
      </c>
      <c r="B178" s="93" t="n">
        <v>172</v>
      </c>
      <c r="C178" s="93" t="inlineStr">
        <is>
          <t>2013Q</t>
        </is>
      </c>
      <c r="D178" s="93" t="inlineStr">
        <is>
          <t xml:space="preserve">05052-19-002-000 </t>
        </is>
      </c>
      <c r="E178" s="92" t="inlineStr">
        <is>
          <t>Actual</t>
        </is>
      </c>
      <c r="F178" s="93" t="inlineStr">
        <is>
          <t>3101 W 14TH                 AV</t>
        </is>
      </c>
      <c r="G178" s="93" t="n">
        <v>44.1</v>
      </c>
      <c r="H178" s="93" t="n">
        <v>9508</v>
      </c>
      <c r="I178" s="92" t="n">
        <v>0</v>
      </c>
      <c r="J178" s="710" t="n">
        <v>5000</v>
      </c>
      <c r="K178" s="711" t="n">
        <v>6</v>
      </c>
      <c r="L178" s="108" t="n">
        <v>0</v>
      </c>
      <c r="M178" s="97" t="n">
        <v>0.06423333333333334</v>
      </c>
      <c r="N178" s="93" t="n">
        <v>1972</v>
      </c>
      <c r="O178" s="93" t="n">
        <v>1600</v>
      </c>
      <c r="P178" s="93" t="n">
        <v>0</v>
      </c>
      <c r="Q178" s="93" t="n">
        <v>11</v>
      </c>
      <c r="R178" s="93" t="n">
        <v>8</v>
      </c>
      <c r="S178" s="93" t="n">
        <v>1</v>
      </c>
      <c r="T178" s="92" t="inlineStr">
        <is>
          <t xml:space="preserve">C-MX-5      </t>
        </is>
      </c>
      <c r="U178" s="93" t="n">
        <v>398</v>
      </c>
      <c r="V178" s="710" t="n">
        <v>17464</v>
      </c>
      <c r="W178" s="710" t="n">
        <v>17000</v>
      </c>
      <c r="X178" s="712" t="inlineStr">
        <is>
          <t>3.5:1</t>
        </is>
      </c>
      <c r="Y178" s="710" t="n">
        <v>5000</v>
      </c>
      <c r="Z178" s="92" t="inlineStr">
        <is>
          <t xml:space="preserve">C </t>
        </is>
      </c>
      <c r="AA178" s="93" t="n"/>
      <c r="AB178" s="93" t="n"/>
      <c r="AC178" s="93" t="n"/>
      <c r="AD178" s="93" t="inlineStr">
        <is>
          <t xml:space="preserve">MENTAL HEALTH SERV  </t>
        </is>
      </c>
      <c r="AE178" s="93" t="n"/>
      <c r="AF178" s="93" t="n"/>
      <c r="AG178" s="93" t="n"/>
      <c r="AH178" s="93" t="n"/>
      <c r="AI178" s="93" t="n"/>
      <c r="AK178" s="265" t="inlineStr">
        <is>
          <t xml:space="preserve">2010 LEASE PER COSTAR.                                            </t>
        </is>
      </c>
      <c r="AL178">
        <f>IF(AND(ISNUMBER($S178),$S178&gt;0,ISNUMBER($K178),ISNUMBER($J178)),($K178*$J178)/$S178,"")</f>
        <v/>
      </c>
      <c r="AM178" s="93" t="n"/>
      <c r="AN178" s="93" t="n"/>
      <c r="AO178" s="93" t="n"/>
      <c r="AP178" s="93" t="n"/>
      <c r="AQ178" s="93" t="n"/>
    </row>
    <row r="179" ht="14" customHeight="1" s="518">
      <c r="A179" s="106" t="n">
        <v>6</v>
      </c>
      <c r="B179" s="93" t="n">
        <v>173</v>
      </c>
      <c r="C179" s="93" t="inlineStr">
        <is>
          <t>2013Q</t>
        </is>
      </c>
      <c r="D179" s="93" t="inlineStr">
        <is>
          <t xml:space="preserve">05054-25-003-000 </t>
        </is>
      </c>
      <c r="E179" s="92" t="inlineStr">
        <is>
          <t>Actual</t>
        </is>
      </c>
      <c r="F179" s="93" t="inlineStr">
        <is>
          <t>2506 W BARBERRY             PL</t>
        </is>
      </c>
      <c r="G179" s="93" t="n">
        <v>44.2</v>
      </c>
      <c r="H179" s="93" t="n">
        <v>9508</v>
      </c>
      <c r="I179" s="92" t="n">
        <v>0</v>
      </c>
      <c r="J179" s="710" t="n">
        <v>45304</v>
      </c>
      <c r="K179" s="711" t="n">
        <v>5.734460533286244</v>
      </c>
      <c r="L179" s="108" t="n">
        <v>0</v>
      </c>
      <c r="M179" s="97" t="n">
        <v>0.1716167424959776</v>
      </c>
      <c r="N179" s="93" t="n">
        <v>1961</v>
      </c>
      <c r="O179" s="93" t="n">
        <v>9060</v>
      </c>
      <c r="P179" s="93" t="n">
        <v>0</v>
      </c>
      <c r="Q179" s="93" t="n">
        <v>17</v>
      </c>
      <c r="R179" s="93" t="n">
        <v>1</v>
      </c>
      <c r="S179" s="93" t="n">
        <v>1</v>
      </c>
      <c r="T179" s="92" t="inlineStr">
        <is>
          <t xml:space="preserve">I-A         </t>
        </is>
      </c>
      <c r="U179" s="93" t="n">
        <v>398</v>
      </c>
      <c r="V179" s="710" t="n">
        <v>77700</v>
      </c>
      <c r="W179" s="710" t="n">
        <v>78000</v>
      </c>
      <c r="X179" s="712" t="inlineStr">
        <is>
          <t>1.7:1</t>
        </is>
      </c>
      <c r="Y179" s="710" t="n">
        <v>45000</v>
      </c>
      <c r="Z179" s="92" t="inlineStr">
        <is>
          <t xml:space="preserve">C </t>
        </is>
      </c>
      <c r="AA179" s="93" t="n"/>
      <c r="AB179" s="93" t="n"/>
      <c r="AC179" s="93" t="n"/>
      <c r="AD179" s="93" t="inlineStr"/>
      <c r="AE179" s="93" t="n"/>
      <c r="AF179" s="93" t="n"/>
      <c r="AG179" s="93" t="n"/>
      <c r="AH179" s="93" t="n"/>
      <c r="AI179" s="93" t="n"/>
      <c r="AK179" s="265" t="inlineStr">
        <is>
          <t xml:space="preserve">AGE OF LEASES UNKNOWN.                                            </t>
        </is>
      </c>
      <c r="AL179">
        <f>IF(AND(ISNUMBER($S179),$S179&gt;0,ISNUMBER($K179),ISNUMBER($J179)),($K179*$J179)/$S179,"")</f>
        <v/>
      </c>
      <c r="AM179" s="93" t="n"/>
      <c r="AN179" s="93" t="n"/>
      <c r="AO179" s="93" t="n"/>
      <c r="AP179" s="93" t="n"/>
      <c r="AQ179" s="93" t="n"/>
    </row>
    <row r="180" ht="14" customHeight="1" s="518">
      <c r="A180" s="106" t="n">
        <v>6</v>
      </c>
      <c r="B180" s="93" t="n">
        <v>174</v>
      </c>
      <c r="C180" s="93" t="inlineStr">
        <is>
          <t>2013Q</t>
        </is>
      </c>
      <c r="D180" s="93" t="inlineStr">
        <is>
          <t xml:space="preserve">05062-04-018-000 </t>
        </is>
      </c>
      <c r="E180" s="92" t="inlineStr">
        <is>
          <t>Actual</t>
        </is>
      </c>
      <c r="F180" s="93" t="inlineStr">
        <is>
          <t>4700 W COLFAX               AV</t>
        </is>
      </c>
      <c r="G180" s="713" t="n">
        <v>46</v>
      </c>
      <c r="H180" s="93" t="n">
        <v>9508</v>
      </c>
      <c r="I180" s="92" t="n">
        <v>4</v>
      </c>
      <c r="J180" s="710" t="n">
        <v>7221</v>
      </c>
      <c r="K180" s="711" t="n">
        <v>6.857142857142857</v>
      </c>
      <c r="L180" s="108" t="n">
        <v>0</v>
      </c>
      <c r="M180" s="97" t="n">
        <v>0</v>
      </c>
      <c r="N180" s="93" t="n">
        <v>1948</v>
      </c>
      <c r="O180" s="93" t="n">
        <v>0</v>
      </c>
      <c r="P180" s="93" t="n">
        <v>0</v>
      </c>
      <c r="Q180" s="93" t="n">
        <v>12</v>
      </c>
      <c r="R180" s="93" t="n">
        <v>1</v>
      </c>
      <c r="S180" s="93" t="n">
        <v>1</v>
      </c>
      <c r="T180" s="92" t="inlineStr">
        <is>
          <t xml:space="preserve">U-MS-5      </t>
        </is>
      </c>
      <c r="U180" s="93" t="n">
        <v>401</v>
      </c>
      <c r="V180" s="710" t="n">
        <v>12500</v>
      </c>
      <c r="W180" s="710" t="n">
        <v>13000</v>
      </c>
      <c r="X180" s="712" t="inlineStr">
        <is>
          <t>1.7:1</t>
        </is>
      </c>
      <c r="Y180" s="710" t="n">
        <v>7000</v>
      </c>
      <c r="Z180" s="92" t="inlineStr">
        <is>
          <t xml:space="preserve">C </t>
        </is>
      </c>
      <c r="AA180" s="93" t="n"/>
      <c r="AB180" s="93" t="n"/>
      <c r="AC180" s="93" t="n"/>
      <c r="AD180" s="93" t="inlineStr">
        <is>
          <t>FRANK'S BBQ CATERING</t>
        </is>
      </c>
      <c r="AE180" s="93" t="n"/>
      <c r="AF180" s="93" t="n"/>
      <c r="AG180" s="93" t="n"/>
      <c r="AH180" s="93" t="n"/>
      <c r="AI180" s="93" t="n"/>
      <c r="AK180" s="265" t="inlineStr"/>
      <c r="AL180">
        <f>IF(AND(ISNUMBER($S180),$S180&gt;0,ISNUMBER($K180),ISNUMBER($J180)),($K180*$J180)/$S180,"")</f>
        <v/>
      </c>
      <c r="AM180" s="93" t="n"/>
      <c r="AN180" s="93" t="n"/>
      <c r="AO180" s="93" t="n"/>
      <c r="AP180" s="93" t="n"/>
      <c r="AQ180" s="93" t="n"/>
    </row>
    <row r="181" ht="14" customHeight="1" s="518">
      <c r="A181" s="106" t="n">
        <v>6</v>
      </c>
      <c r="B181" s="93" t="n">
        <v>175</v>
      </c>
      <c r="C181" s="93" t="inlineStr">
        <is>
          <t>2013Q</t>
        </is>
      </c>
      <c r="D181" s="93" t="inlineStr">
        <is>
          <t xml:space="preserve">05081-04-016-000 </t>
        </is>
      </c>
      <c r="E181" s="92" t="inlineStr">
        <is>
          <t>Actual</t>
        </is>
      </c>
      <c r="F181" s="93" t="inlineStr">
        <is>
          <t>695   CANOSA               CT</t>
        </is>
      </c>
      <c r="G181" s="93" t="n">
        <v>44.2</v>
      </c>
      <c r="H181" s="93" t="n">
        <v>9508</v>
      </c>
      <c r="I181" s="92" t="n">
        <v>0</v>
      </c>
      <c r="J181" s="710" t="n">
        <v>18000</v>
      </c>
      <c r="K181" s="711" t="n">
        <v>6.366666666666666</v>
      </c>
      <c r="L181" s="108" t="n">
        <v>0</v>
      </c>
      <c r="M181" s="97" t="n">
        <v>0.04040139616055846</v>
      </c>
      <c r="N181" s="93" t="n">
        <v>1954</v>
      </c>
      <c r="O181" s="93" t="n">
        <v>4000</v>
      </c>
      <c r="P181" s="93" t="n">
        <v>0</v>
      </c>
      <c r="Q181" s="93" t="n">
        <v>14</v>
      </c>
      <c r="R181" s="93" t="n">
        <v>1</v>
      </c>
      <c r="S181" s="93" t="n">
        <v>2</v>
      </c>
      <c r="T181" s="92" t="inlineStr">
        <is>
          <t xml:space="preserve">I-A         </t>
        </is>
      </c>
      <c r="U181" s="93" t="n">
        <v>398</v>
      </c>
      <c r="V181" s="710" t="n">
        <v>34375</v>
      </c>
      <c r="W181" s="710" t="n">
        <v>34000</v>
      </c>
      <c r="X181" s="712" t="inlineStr">
        <is>
          <t>1.9:1</t>
        </is>
      </c>
      <c r="Y181" s="710" t="n">
        <v>18000</v>
      </c>
      <c r="Z181" s="92" t="inlineStr">
        <is>
          <t xml:space="preserve">C </t>
        </is>
      </c>
      <c r="AA181" s="93" t="n"/>
      <c r="AB181" s="93" t="n"/>
      <c r="AC181" s="93" t="n"/>
      <c r="AD181" s="93" t="inlineStr">
        <is>
          <t xml:space="preserve">M-W GREAT INDOORS   </t>
        </is>
      </c>
      <c r="AE181" s="93" t="n"/>
      <c r="AF181" s="93" t="n"/>
      <c r="AG181" s="93" t="n"/>
      <c r="AH181" s="93" t="n"/>
      <c r="AI181" s="93" t="n"/>
      <c r="AK181" s="265" t="inlineStr"/>
      <c r="AL181">
        <f>IF(AND(ISNUMBER($S181),$S181&gt;0,ISNUMBER($K181),ISNUMBER($J181)),($K181*$J181)/$S181,"")</f>
        <v/>
      </c>
      <c r="AM181" s="93" t="n"/>
      <c r="AN181" s="93" t="n"/>
      <c r="AO181" s="93" t="n"/>
      <c r="AP181" s="93" t="n"/>
      <c r="AQ181" s="93" t="n"/>
    </row>
    <row r="182" ht="14" customHeight="1" s="518">
      <c r="A182" s="106" t="n">
        <v>6</v>
      </c>
      <c r="B182" s="93" t="n">
        <v>176</v>
      </c>
      <c r="C182" s="93" t="inlineStr">
        <is>
          <t>2013Q</t>
        </is>
      </c>
      <c r="D182" s="93" t="inlineStr">
        <is>
          <t xml:space="preserve">05081-06-019-000 </t>
        </is>
      </c>
      <c r="E182" s="92" t="inlineStr">
        <is>
          <t>Actual</t>
        </is>
      </c>
      <c r="F182" s="93" t="inlineStr">
        <is>
          <t>670   BRYANT               ST</t>
        </is>
      </c>
      <c r="G182" s="93" t="n">
        <v>44.1</v>
      </c>
      <c r="H182" s="93" t="n">
        <v>9508</v>
      </c>
      <c r="I182" s="92" t="n">
        <v>0</v>
      </c>
      <c r="J182" s="710" t="n">
        <v>3704</v>
      </c>
      <c r="K182" s="711" t="n">
        <v>7.775377969762419</v>
      </c>
      <c r="L182" s="108" t="n">
        <v>0</v>
      </c>
      <c r="M182" s="97" t="n">
        <v>0.08263888888888889</v>
      </c>
      <c r="N182" s="93" t="n">
        <v>1963</v>
      </c>
      <c r="O182" s="93" t="n">
        <v>644</v>
      </c>
      <c r="P182" s="93" t="n">
        <v>0</v>
      </c>
      <c r="Q182" s="93" t="n">
        <v>11</v>
      </c>
      <c r="R182" s="93" t="n">
        <v>1</v>
      </c>
      <c r="S182" s="93" t="n">
        <v>1</v>
      </c>
      <c r="T182" s="92" t="inlineStr">
        <is>
          <t xml:space="preserve">I-A         </t>
        </is>
      </c>
      <c r="U182" s="93" t="n">
        <v>398</v>
      </c>
      <c r="V182" s="710" t="n">
        <v>6000</v>
      </c>
      <c r="W182" s="710" t="n">
        <v>6000</v>
      </c>
      <c r="X182" s="712" t="inlineStr">
        <is>
          <t>1.6:1</t>
        </is>
      </c>
      <c r="Y182" s="710" t="n">
        <v>4000</v>
      </c>
      <c r="Z182" s="92" t="inlineStr">
        <is>
          <t xml:space="preserve">C </t>
        </is>
      </c>
      <c r="AA182" s="93" t="n"/>
      <c r="AB182" s="93" t="n"/>
      <c r="AC182" s="93" t="n"/>
      <c r="AD182" s="93" t="inlineStr">
        <is>
          <t xml:space="preserve">S-W LIQUID COFFEE   </t>
        </is>
      </c>
      <c r="AE182" s="93" t="n"/>
      <c r="AF182" s="93" t="n"/>
      <c r="AG182" s="93" t="n"/>
      <c r="AH182" s="93" t="n"/>
      <c r="AI182" s="93" t="n"/>
      <c r="AK182" s="265" t="inlineStr">
        <is>
          <t xml:space="preserve">2009 LEASE.                                                       </t>
        </is>
      </c>
      <c r="AL182">
        <f>IF(AND(ISNUMBER($S182),$S182&gt;0,ISNUMBER($K182),ISNUMBER($J182)),($K182*$J182)/$S182,"")</f>
        <v/>
      </c>
      <c r="AM182" s="93" t="n"/>
      <c r="AN182" s="93" t="n"/>
      <c r="AO182" s="93" t="n"/>
      <c r="AP182" s="93" t="n"/>
      <c r="AQ182" s="93" t="n"/>
    </row>
    <row r="183" ht="28" customHeight="1" s="518">
      <c r="A183" s="106" t="n">
        <v>6</v>
      </c>
      <c r="B183" s="93" t="n">
        <v>177</v>
      </c>
      <c r="C183" s="93" t="inlineStr">
        <is>
          <t>2013Q</t>
        </is>
      </c>
      <c r="D183" s="93" t="inlineStr">
        <is>
          <t xml:space="preserve">05081-13-009-000 </t>
        </is>
      </c>
      <c r="E183" s="92" t="inlineStr">
        <is>
          <t>Actual</t>
        </is>
      </c>
      <c r="F183" s="93" t="inlineStr">
        <is>
          <t>2700 W 6TH                  AV</t>
        </is>
      </c>
      <c r="G183" s="93" t="n">
        <v>44.1</v>
      </c>
      <c r="H183" s="93" t="n">
        <v>9508</v>
      </c>
      <c r="I183" s="92" t="n">
        <v>0</v>
      </c>
      <c r="J183" s="710" t="n">
        <v>16096</v>
      </c>
      <c r="K183" s="711" t="n">
        <v>6.49875745526839</v>
      </c>
      <c r="L183" s="108" t="n">
        <v>0</v>
      </c>
      <c r="M183" s="97" t="n">
        <v>0.002867959160261558</v>
      </c>
      <c r="N183" s="93" t="n">
        <v>1960</v>
      </c>
      <c r="O183" s="93" t="n">
        <v>4848</v>
      </c>
      <c r="P183" s="93" t="n">
        <v>0</v>
      </c>
      <c r="Q183" s="93" t="n">
        <v>15</v>
      </c>
      <c r="R183" s="93" t="n">
        <v>3</v>
      </c>
      <c r="S183" s="93" t="n">
        <v>1</v>
      </c>
      <c r="T183" s="92" t="inlineStr">
        <is>
          <t xml:space="preserve">I-A         </t>
        </is>
      </c>
      <c r="U183" s="93" t="n">
        <v>398</v>
      </c>
      <c r="V183" s="710" t="n">
        <v>30000</v>
      </c>
      <c r="W183" s="710" t="n">
        <v>30000</v>
      </c>
      <c r="X183" s="712" t="inlineStr">
        <is>
          <t>1.9:1</t>
        </is>
      </c>
      <c r="Y183" s="710" t="n">
        <v>16000</v>
      </c>
      <c r="Z183" s="92" t="inlineStr">
        <is>
          <t xml:space="preserve">C </t>
        </is>
      </c>
      <c r="AA183" s="93" t="n"/>
      <c r="AB183" s="93" t="n"/>
      <c r="AC183" s="93" t="n"/>
      <c r="AD183" s="93" t="inlineStr">
        <is>
          <t xml:space="preserve">S-W SID HARVEY'S    </t>
        </is>
      </c>
      <c r="AE183" s="93" t="n"/>
      <c r="AF183" s="93" t="n"/>
      <c r="AG183" s="93" t="n"/>
      <c r="AH183" s="93" t="n"/>
      <c r="AI183" s="93" t="n"/>
      <c r="AK183" s="265" t="inlineStr">
        <is>
          <t xml:space="preserve">COMMENCEMENT OF MO-TO-MO LEASE UNKNOWN.                           </t>
        </is>
      </c>
      <c r="AL183">
        <f>IF(AND(ISNUMBER($S183),$S183&gt;0,ISNUMBER($K183),ISNUMBER($J183)),($K183*$J183)/$S183,"")</f>
        <v/>
      </c>
      <c r="AM183" s="93" t="n"/>
      <c r="AN183" s="93" t="n"/>
      <c r="AO183" s="93" t="n"/>
      <c r="AP183" s="93" t="n"/>
      <c r="AQ183" s="93" t="n"/>
    </row>
    <row r="184" ht="14" customHeight="1" s="518">
      <c r="A184" s="106" t="n">
        <v>6</v>
      </c>
      <c r="B184" s="93" t="n">
        <v>178</v>
      </c>
      <c r="C184" s="93" t="inlineStr">
        <is>
          <t>2013Q</t>
        </is>
      </c>
      <c r="D184" s="93" t="inlineStr">
        <is>
          <t xml:space="preserve">05081-18-011-000 </t>
        </is>
      </c>
      <c r="E184" s="92" t="inlineStr">
        <is>
          <t>Actual</t>
        </is>
      </c>
      <c r="F184" s="93" t="inlineStr">
        <is>
          <t>2750 W 5TH                  AV</t>
        </is>
      </c>
      <c r="G184" s="93" t="n">
        <v>44.1</v>
      </c>
      <c r="H184" s="93" t="n">
        <v>9508</v>
      </c>
      <c r="I184" s="92" t="n">
        <v>0</v>
      </c>
      <c r="J184" s="710" t="n">
        <v>14000</v>
      </c>
      <c r="K184" s="711" t="n">
        <v>8.625</v>
      </c>
      <c r="L184" s="108" t="n">
        <v>0</v>
      </c>
      <c r="M184" s="97" t="n">
        <v>0.0007701863354037267</v>
      </c>
      <c r="N184" s="93" t="n">
        <v>1972</v>
      </c>
      <c r="O184" s="93" t="n">
        <v>6213</v>
      </c>
      <c r="P184" s="93" t="n">
        <v>0</v>
      </c>
      <c r="Q184" s="93" t="n">
        <v>18</v>
      </c>
      <c r="R184" s="93" t="n">
        <v>3</v>
      </c>
      <c r="S184" s="93" t="n">
        <v>1</v>
      </c>
      <c r="T184" s="92" t="inlineStr">
        <is>
          <t xml:space="preserve">I-MX-3      </t>
        </is>
      </c>
      <c r="U184" s="93" t="n">
        <v>398</v>
      </c>
      <c r="V184" s="710" t="n">
        <v>27787</v>
      </c>
      <c r="W184" s="710" t="n">
        <v>28000</v>
      </c>
      <c r="X184" s="712" t="inlineStr">
        <is>
          <t>2:1</t>
        </is>
      </c>
      <c r="Y184" s="710" t="n">
        <v>14000</v>
      </c>
      <c r="Z184" s="92" t="inlineStr">
        <is>
          <t xml:space="preserve">C </t>
        </is>
      </c>
      <c r="AA184" s="93" t="n"/>
      <c r="AB184" s="93" t="n"/>
      <c r="AC184" s="93" t="n"/>
      <c r="AD184" s="93" t="inlineStr">
        <is>
          <t xml:space="preserve">PEAK RESOURCES      </t>
        </is>
      </c>
      <c r="AE184" s="93" t="n"/>
      <c r="AF184" s="93" t="n"/>
      <c r="AG184" s="93" t="n"/>
      <c r="AH184" s="93" t="n"/>
      <c r="AI184" s="93" t="n"/>
      <c r="AK184" s="265" t="inlineStr"/>
      <c r="AL184">
        <f>IF(AND(ISNUMBER($S184),$S184&gt;0,ISNUMBER($K184),ISNUMBER($J184)),($K184*$J184)/$S184,"")</f>
        <v/>
      </c>
      <c r="AM184" s="93" t="n"/>
      <c r="AN184" s="93" t="n"/>
      <c r="AO184" s="93" t="n"/>
      <c r="AP184" s="93" t="n"/>
      <c r="AQ184" s="93" t="n"/>
    </row>
    <row r="185" ht="14" customHeight="1" s="518">
      <c r="A185" s="106" t="n">
        <v>6</v>
      </c>
      <c r="B185" s="93" t="n">
        <v>179</v>
      </c>
      <c r="C185" s="93" t="inlineStr">
        <is>
          <t>2013Q</t>
        </is>
      </c>
      <c r="D185" s="93" t="inlineStr">
        <is>
          <t xml:space="preserve">05081-25-023-000 </t>
        </is>
      </c>
      <c r="E185" s="92" t="inlineStr">
        <is>
          <t>Actual</t>
        </is>
      </c>
      <c r="F185" s="93" t="inlineStr">
        <is>
          <t>2727 W 4TH                  AV</t>
        </is>
      </c>
      <c r="G185" s="93" t="n">
        <v>44.1</v>
      </c>
      <c r="H185" s="93" t="n">
        <v>9508</v>
      </c>
      <c r="I185" s="92" t="n">
        <v>0</v>
      </c>
      <c r="J185" s="710" t="n">
        <v>7040</v>
      </c>
      <c r="K185" s="711" t="n">
        <v>5.113636363636363</v>
      </c>
      <c r="L185" s="108" t="n">
        <v>0</v>
      </c>
      <c r="M185" s="97" t="n">
        <v>0</v>
      </c>
      <c r="N185" s="93" t="n">
        <v>1972</v>
      </c>
      <c r="O185" s="93" t="n">
        <v>914</v>
      </c>
      <c r="P185" s="93" t="n">
        <v>0</v>
      </c>
      <c r="Q185" s="93" t="n">
        <v>24</v>
      </c>
      <c r="R185" s="93" t="n">
        <v>14</v>
      </c>
      <c r="S185" s="93" t="n">
        <v>1</v>
      </c>
      <c r="T185" s="92" t="inlineStr">
        <is>
          <t xml:space="preserve">I-MX-3      </t>
        </is>
      </c>
      <c r="U185" s="93" t="n">
        <v>398</v>
      </c>
      <c r="V185" s="710" t="n">
        <v>32000</v>
      </c>
      <c r="W185" s="710" t="n">
        <v>32000</v>
      </c>
      <c r="X185" s="712" t="inlineStr">
        <is>
          <t>4.5:1</t>
        </is>
      </c>
      <c r="Y185" s="710" t="n">
        <v>7000</v>
      </c>
      <c r="Z185" s="92" t="inlineStr">
        <is>
          <t xml:space="preserve">C </t>
        </is>
      </c>
      <c r="AA185" s="93" t="n"/>
      <c r="AB185" s="93" t="n"/>
      <c r="AC185" s="93" t="n"/>
      <c r="AD185" s="93" t="inlineStr"/>
      <c r="AE185" s="93" t="n"/>
      <c r="AF185" s="93" t="n"/>
      <c r="AG185" s="93" t="n"/>
      <c r="AH185" s="93" t="n"/>
      <c r="AI185" s="93" t="n"/>
      <c r="AK185" s="265" t="inlineStr"/>
      <c r="AL185">
        <f>IF(AND(ISNUMBER($S185),$S185&gt;0,ISNUMBER($K185),ISNUMBER($J185)),($K185*$J185)/$S185,"")</f>
        <v/>
      </c>
      <c r="AM185" s="93" t="n"/>
      <c r="AN185" s="93" t="n"/>
      <c r="AO185" s="93" t="n"/>
      <c r="AP185" s="93" t="n"/>
      <c r="AQ185" s="93" t="n"/>
    </row>
    <row r="186" ht="14" customHeight="1" s="518">
      <c r="A186" s="106" t="n">
        <v>6</v>
      </c>
      <c r="B186" s="93" t="n">
        <v>180</v>
      </c>
      <c r="C186" s="93" t="inlineStr">
        <is>
          <t>2013Q</t>
        </is>
      </c>
      <c r="D186" s="93" t="inlineStr">
        <is>
          <t xml:space="preserve">05084-01-008-000 </t>
        </is>
      </c>
      <c r="E186" s="92" t="inlineStr">
        <is>
          <t>Actual</t>
        </is>
      </c>
      <c r="F186" s="93" t="inlineStr">
        <is>
          <t>2744 W 4TH                  AV</t>
        </is>
      </c>
      <c r="G186" s="93" t="n">
        <v>44.1</v>
      </c>
      <c r="H186" s="93" t="n">
        <v>9508</v>
      </c>
      <c r="I186" s="92" t="n">
        <v>0</v>
      </c>
      <c r="J186" s="710" t="n">
        <v>7692</v>
      </c>
      <c r="K186" s="711" t="n">
        <v>10.36596463858554</v>
      </c>
      <c r="L186" s="108" t="n">
        <v>0</v>
      </c>
      <c r="M186" s="97" t="n">
        <v>0.005468113124725654</v>
      </c>
      <c r="N186" s="93" t="n">
        <v>1974</v>
      </c>
      <c r="O186" s="93" t="n">
        <v>0</v>
      </c>
      <c r="P186" s="93" t="n">
        <v>3161</v>
      </c>
      <c r="Q186" s="93" t="n">
        <v>18</v>
      </c>
      <c r="R186" s="93" t="n">
        <v>14</v>
      </c>
      <c r="S186" s="93" t="n">
        <v>1</v>
      </c>
      <c r="T186" s="92" t="inlineStr">
        <is>
          <t xml:space="preserve">I-MX-3      </t>
        </is>
      </c>
      <c r="U186" s="93" t="n">
        <v>398</v>
      </c>
      <c r="V186" s="710" t="n">
        <v>16250</v>
      </c>
      <c r="W186" s="710" t="n">
        <v>16000</v>
      </c>
      <c r="X186" s="712" t="inlineStr">
        <is>
          <t>2.1:1</t>
        </is>
      </c>
      <c r="Y186" s="710" t="n">
        <v>8000</v>
      </c>
      <c r="Z186" s="92" t="inlineStr">
        <is>
          <t xml:space="preserve">C </t>
        </is>
      </c>
      <c r="AA186" s="93" t="n"/>
      <c r="AB186" s="93" t="n"/>
      <c r="AC186" s="93" t="n"/>
      <c r="AD186" s="93" t="inlineStr"/>
      <c r="AE186" s="93" t="n"/>
      <c r="AF186" s="93" t="n"/>
      <c r="AG186" s="93" t="n"/>
      <c r="AH186" s="93" t="n"/>
      <c r="AI186" s="93" t="n"/>
      <c r="AK186" s="265" t="inlineStr">
        <is>
          <t xml:space="preserve">2010 LEASES.                                                      </t>
        </is>
      </c>
      <c r="AL186">
        <f>IF(AND(ISNUMBER($S186),$S186&gt;0,ISNUMBER($K186),ISNUMBER($J186)),($K186*$J186)/$S186,"")</f>
        <v/>
      </c>
      <c r="AM186" s="93" t="n"/>
      <c r="AN186" s="93" t="n"/>
      <c r="AO186" s="93" t="n"/>
      <c r="AP186" s="93" t="n"/>
      <c r="AQ186" s="93" t="n"/>
    </row>
    <row r="187" ht="14" customHeight="1" s="518">
      <c r="A187" s="106" t="n">
        <v>6</v>
      </c>
      <c r="B187" s="93" t="n">
        <v>181</v>
      </c>
      <c r="C187" s="93" t="inlineStr">
        <is>
          <t>2013Q</t>
        </is>
      </c>
      <c r="D187" s="93" t="inlineStr">
        <is>
          <t xml:space="preserve">05084-09-040-040 </t>
        </is>
      </c>
      <c r="E187" s="92" t="inlineStr">
        <is>
          <t>Actual</t>
        </is>
      </c>
      <c r="F187" s="93" t="inlineStr">
        <is>
          <t>2550 W 2ND                  AV</t>
        </is>
      </c>
      <c r="G187" s="93" t="n">
        <v>44.8</v>
      </c>
      <c r="H187" s="93" t="n">
        <v>9508</v>
      </c>
      <c r="I187" s="92" t="n">
        <v>0</v>
      </c>
      <c r="J187" s="710" t="n">
        <v>12922</v>
      </c>
      <c r="K187" s="711" t="n">
        <v>5.249961306299334</v>
      </c>
      <c r="L187" s="108" t="n">
        <v>0</v>
      </c>
      <c r="M187" s="97" t="n">
        <v>0</v>
      </c>
      <c r="N187" s="93" t="n">
        <v>1968</v>
      </c>
      <c r="O187" s="93" t="n">
        <v>0</v>
      </c>
      <c r="P187" s="93" t="n">
        <v>0</v>
      </c>
      <c r="Q187" s="93" t="n">
        <v>20</v>
      </c>
      <c r="R187" s="93" t="n">
        <v>14</v>
      </c>
      <c r="S187" s="93" t="n">
        <v>1</v>
      </c>
      <c r="T187" s="92" t="inlineStr">
        <is>
          <t xml:space="preserve">I-A         </t>
        </is>
      </c>
      <c r="U187" s="93" t="n">
        <v>398</v>
      </c>
      <c r="V187" s="710" t="n">
        <v>14086</v>
      </c>
      <c r="W187" s="710" t="n">
        <v>14000</v>
      </c>
      <c r="X187" s="712" t="inlineStr">
        <is>
          <t>1.1:1</t>
        </is>
      </c>
      <c r="Y187" s="710" t="n">
        <v>13000</v>
      </c>
      <c r="Z187" s="92" t="inlineStr">
        <is>
          <t xml:space="preserve">C </t>
        </is>
      </c>
      <c r="AA187" s="93" t="n"/>
      <c r="AB187" s="93" t="n"/>
      <c r="AC187" s="93" t="n"/>
      <c r="AD187" s="93" t="inlineStr"/>
      <c r="AE187" s="93" t="n"/>
      <c r="AF187" s="93" t="n"/>
      <c r="AG187" s="93" t="n"/>
      <c r="AH187" s="93" t="n"/>
      <c r="AI187" s="93" t="n"/>
      <c r="AK187" s="265" t="inlineStr">
        <is>
          <t xml:space="preserve">2009 LEASE; INCLUDES PARCEL -036-036.                             </t>
        </is>
      </c>
      <c r="AL187">
        <f>IF(AND(ISNUMBER($S187),$S187&gt;0,ISNUMBER($K187),ISNUMBER($J187)),($K187*$J187)/$S187,"")</f>
        <v/>
      </c>
      <c r="AM187" s="93" t="n"/>
      <c r="AN187" s="93" t="n"/>
      <c r="AO187" s="93" t="n"/>
      <c r="AP187" s="93" t="n"/>
      <c r="AQ187" s="93" t="n"/>
    </row>
    <row r="188" ht="28" customHeight="1" s="518">
      <c r="A188" s="106" t="n">
        <v>6</v>
      </c>
      <c r="B188" s="93" t="n">
        <v>182</v>
      </c>
      <c r="C188" s="93" t="inlineStr">
        <is>
          <t>2013Q</t>
        </is>
      </c>
      <c r="D188" s="93" t="inlineStr">
        <is>
          <t xml:space="preserve">05091-00-029-000 </t>
        </is>
      </c>
      <c r="E188" s="92" t="inlineStr">
        <is>
          <t>Actual</t>
        </is>
      </c>
      <c r="F188" s="93" t="inlineStr">
        <is>
          <t>1400 W 3RD                  AV</t>
        </is>
      </c>
      <c r="G188" s="93" t="n">
        <v>44.3</v>
      </c>
      <c r="H188" s="93" t="n">
        <v>9505</v>
      </c>
      <c r="I188" s="92" t="n">
        <v>0</v>
      </c>
      <c r="J188" s="710" t="n">
        <v>114480</v>
      </c>
      <c r="K188" s="711" t="n">
        <v>3.582446014528809</v>
      </c>
      <c r="L188" s="108" t="n">
        <v>0.17</v>
      </c>
      <c r="M188" s="97" t="n">
        <v>0</v>
      </c>
      <c r="N188" s="93" t="n">
        <v>1951</v>
      </c>
      <c r="O188" s="93" t="n">
        <v>16231</v>
      </c>
      <c r="P188" s="93" t="n">
        <v>0</v>
      </c>
      <c r="Q188" s="93" t="n">
        <v>18</v>
      </c>
      <c r="R188" s="93" t="n">
        <v>1</v>
      </c>
      <c r="S188" s="93" t="n">
        <v>2</v>
      </c>
      <c r="T188" s="92" t="inlineStr">
        <is>
          <t xml:space="preserve">I-A         </t>
        </is>
      </c>
      <c r="U188" s="93" t="n">
        <v>398</v>
      </c>
      <c r="V188" s="710" t="n">
        <v>120008</v>
      </c>
      <c r="W188" s="710" t="n">
        <v>120000</v>
      </c>
      <c r="X188" s="712" t="inlineStr">
        <is>
          <t>1:1</t>
        </is>
      </c>
      <c r="Y188" s="710" t="n">
        <v>114000</v>
      </c>
      <c r="Z188" s="92" t="inlineStr">
        <is>
          <t xml:space="preserve">C </t>
        </is>
      </c>
      <c r="AA188" s="93" t="n"/>
      <c r="AB188" s="93" t="n"/>
      <c r="AC188" s="93" t="n"/>
      <c r="AD188" s="93" t="inlineStr">
        <is>
          <t xml:space="preserve">S-W KIMBALL ELECT.  </t>
        </is>
      </c>
      <c r="AE188" s="93" t="n"/>
      <c r="AF188" s="93" t="n"/>
      <c r="AG188" s="93" t="n"/>
      <c r="AH188" s="93" t="n"/>
      <c r="AI188" s="93" t="n"/>
      <c r="AK188" s="265" t="inlineStr">
        <is>
          <t xml:space="preserve">UNABLE TO ALLOCATE EXPENSES BETWEEN OWNER&amp;TENANT OCCUPANCIES.     </t>
        </is>
      </c>
      <c r="AL188">
        <f>IF(AND(ISNUMBER($S188),$S188&gt;0,ISNUMBER($K188),ISNUMBER($J188)),($K188*$J188)/$S188,"")</f>
        <v/>
      </c>
      <c r="AM188" s="93" t="n"/>
      <c r="AN188" s="93" t="n"/>
      <c r="AO188" s="93" t="n"/>
      <c r="AP188" s="93" t="n"/>
      <c r="AQ188" s="93" t="n"/>
    </row>
    <row r="189" ht="28" customHeight="1" s="518">
      <c r="A189" s="106" t="n">
        <v>6</v>
      </c>
      <c r="B189" s="93" t="n">
        <v>183</v>
      </c>
      <c r="C189" s="93" t="inlineStr">
        <is>
          <t>2013Q</t>
        </is>
      </c>
      <c r="D189" s="93" t="inlineStr">
        <is>
          <t xml:space="preserve">05091-00-049-000 </t>
        </is>
      </c>
      <c r="E189" s="92" t="inlineStr">
        <is>
          <t>Actual</t>
        </is>
      </c>
      <c r="F189" s="93" t="inlineStr">
        <is>
          <t>123   RIO GRANDE           BV</t>
        </is>
      </c>
      <c r="G189" s="93" t="n">
        <v>44.2</v>
      </c>
      <c r="H189" s="93" t="n">
        <v>9505</v>
      </c>
      <c r="I189" s="92" t="n">
        <v>0</v>
      </c>
      <c r="J189" s="710" t="n">
        <v>12994</v>
      </c>
      <c r="K189" s="711" t="n">
        <v>5.419354838709677</v>
      </c>
      <c r="L189" s="108" t="n">
        <v>0</v>
      </c>
      <c r="M189" s="97" t="n">
        <v>0</v>
      </c>
      <c r="N189" s="93" t="n">
        <v>1959</v>
      </c>
      <c r="O189" s="93" t="n">
        <v>2548</v>
      </c>
      <c r="P189" s="93" t="n">
        <v>0</v>
      </c>
      <c r="Q189" s="93" t="n">
        <v>16</v>
      </c>
      <c r="R189" s="93" t="n">
        <v>1</v>
      </c>
      <c r="S189" s="93" t="n">
        <v>1</v>
      </c>
      <c r="T189" s="92" t="inlineStr">
        <is>
          <t xml:space="preserve">I-A         </t>
        </is>
      </c>
      <c r="U189" s="93" t="n">
        <v>398</v>
      </c>
      <c r="V189" s="710" t="n">
        <v>20500</v>
      </c>
      <c r="W189" s="710" t="n">
        <v>21000</v>
      </c>
      <c r="X189" s="712" t="inlineStr">
        <is>
          <t>1.6:1</t>
        </is>
      </c>
      <c r="Y189" s="710" t="n">
        <v>13000</v>
      </c>
      <c r="Z189" s="92" t="inlineStr">
        <is>
          <t xml:space="preserve">C </t>
        </is>
      </c>
      <c r="AA189" s="93" t="n"/>
      <c r="AB189" s="93" t="n"/>
      <c r="AC189" s="93" t="n"/>
      <c r="AD189" s="93" t="inlineStr">
        <is>
          <t xml:space="preserve">DIST                </t>
        </is>
      </c>
      <c r="AE189" s="93" t="n"/>
      <c r="AF189" s="93" t="n"/>
      <c r="AG189" s="93" t="n"/>
      <c r="AH189" s="93" t="n"/>
      <c r="AI189" s="93" t="n"/>
      <c r="AK189" s="265" t="inlineStr">
        <is>
          <t xml:space="preserve">2009 LEASE; EXP RATIO TOO HIGH = NOT POSTED.                      </t>
        </is>
      </c>
      <c r="AL189">
        <f>IF(AND(ISNUMBER($S189),$S189&gt;0,ISNUMBER($K189),ISNUMBER($J189)),($K189*$J189)/$S189,"")</f>
        <v/>
      </c>
      <c r="AM189" s="93" t="n"/>
      <c r="AN189" s="93" t="n"/>
      <c r="AO189" s="93" t="n"/>
      <c r="AP189" s="93" t="n"/>
      <c r="AQ189" s="93" t="n"/>
    </row>
    <row r="190" ht="14" customHeight="1" s="518">
      <c r="A190" s="106" t="n">
        <v>6</v>
      </c>
      <c r="B190" s="93" t="n">
        <v>184</v>
      </c>
      <c r="C190" s="93" t="inlineStr">
        <is>
          <t>2013Q</t>
        </is>
      </c>
      <c r="D190" s="93" t="inlineStr">
        <is>
          <t xml:space="preserve">05091-00-050-000 </t>
        </is>
      </c>
      <c r="E190" s="92" t="inlineStr">
        <is>
          <t>Actual</t>
        </is>
      </c>
      <c r="F190" s="93" t="inlineStr">
        <is>
          <t>1490 W 3RD                  AV</t>
        </is>
      </c>
      <c r="G190" s="93" t="n">
        <v>44.2</v>
      </c>
      <c r="H190" s="93" t="n">
        <v>9505</v>
      </c>
      <c r="I190" s="92" t="n">
        <v>0</v>
      </c>
      <c r="J190" s="710" t="n">
        <v>8502</v>
      </c>
      <c r="K190" s="711" t="n">
        <v>7.057163020465773</v>
      </c>
      <c r="L190" s="108" t="n">
        <v>0</v>
      </c>
      <c r="M190" s="97" t="n">
        <v>0</v>
      </c>
      <c r="N190" s="93" t="n">
        <v>1968</v>
      </c>
      <c r="O190" s="93" t="n">
        <v>7467</v>
      </c>
      <c r="P190" s="93" t="n">
        <v>0</v>
      </c>
      <c r="Q190" s="93" t="n">
        <v>16</v>
      </c>
      <c r="R190" s="93" t="n">
        <v>1</v>
      </c>
      <c r="S190" s="93" t="n">
        <v>1</v>
      </c>
      <c r="T190" s="92" t="inlineStr">
        <is>
          <t xml:space="preserve">I-A         </t>
        </is>
      </c>
      <c r="U190" s="93" t="n">
        <v>398</v>
      </c>
      <c r="V190" s="710" t="n">
        <v>12400</v>
      </c>
      <c r="W190" s="710" t="n">
        <v>12000</v>
      </c>
      <c r="X190" s="712" t="inlineStr">
        <is>
          <t>1.5:1</t>
        </is>
      </c>
      <c r="Y190" s="710" t="n">
        <v>9000</v>
      </c>
      <c r="Z190" s="92" t="inlineStr">
        <is>
          <t xml:space="preserve">C </t>
        </is>
      </c>
      <c r="AA190" s="93" t="n"/>
      <c r="AB190" s="93" t="n"/>
      <c r="AC190" s="93" t="n"/>
      <c r="AD190" s="93" t="inlineStr"/>
      <c r="AE190" s="93" t="n"/>
      <c r="AF190" s="93" t="n"/>
      <c r="AG190" s="93" t="n"/>
      <c r="AH190" s="93" t="n"/>
      <c r="AI190" s="93" t="n"/>
      <c r="AK190" s="265" t="inlineStr">
        <is>
          <t xml:space="preserve">2009 LEASE.                                                       </t>
        </is>
      </c>
      <c r="AL190">
        <f>IF(AND(ISNUMBER($S190),$S190&gt;0,ISNUMBER($K190),ISNUMBER($J190)),($K190*$J190)/$S190,"")</f>
        <v/>
      </c>
      <c r="AM190" s="93" t="n"/>
      <c r="AN190" s="93" t="n"/>
      <c r="AO190" s="93" t="n"/>
      <c r="AP190" s="93" t="n"/>
      <c r="AQ190" s="93" t="n"/>
    </row>
    <row r="191" ht="14" customHeight="1" s="518">
      <c r="A191" s="106" t="n">
        <v>6</v>
      </c>
      <c r="B191" s="93" t="n">
        <v>185</v>
      </c>
      <c r="C191" s="93" t="inlineStr">
        <is>
          <t>2013Q</t>
        </is>
      </c>
      <c r="D191" s="93" t="inlineStr">
        <is>
          <t xml:space="preserve">05091-02-008-000 </t>
        </is>
      </c>
      <c r="E191" s="92" t="inlineStr">
        <is>
          <t>Actual</t>
        </is>
      </c>
      <c r="F191" s="93" t="inlineStr">
        <is>
          <t>530   SANTA FE             DR</t>
        </is>
      </c>
      <c r="G191" s="93" t="n">
        <v>43.1</v>
      </c>
      <c r="H191" s="93" t="n">
        <v>9505</v>
      </c>
      <c r="I191" s="92" t="n">
        <v>3</v>
      </c>
      <c r="J191" s="710" t="n">
        <v>2380</v>
      </c>
      <c r="K191" s="711" t="n">
        <v>7.563025210084033</v>
      </c>
      <c r="L191" s="108" t="n">
        <v>0</v>
      </c>
      <c r="M191" s="97" t="n">
        <v>0</v>
      </c>
      <c r="N191" s="93" t="n">
        <v>1942</v>
      </c>
      <c r="O191" s="93" t="n">
        <v>0</v>
      </c>
      <c r="P191" s="93" t="n">
        <v>0</v>
      </c>
      <c r="Q191" s="93" t="n">
        <v>10</v>
      </c>
      <c r="R191" s="93" t="n">
        <v>3</v>
      </c>
      <c r="S191" s="93" t="n">
        <v>1</v>
      </c>
      <c r="T191" s="92" t="inlineStr">
        <is>
          <t xml:space="preserve">U-MS-3      </t>
        </is>
      </c>
      <c r="U191" s="93" t="n">
        <v>401</v>
      </c>
      <c r="V191" s="710" t="n">
        <v>2624</v>
      </c>
      <c r="W191" s="710" t="n">
        <v>3000</v>
      </c>
      <c r="X191" s="712" t="inlineStr">
        <is>
          <t>1.1:1</t>
        </is>
      </c>
      <c r="Y191" s="710" t="n">
        <v>2000</v>
      </c>
      <c r="Z191" s="92" t="inlineStr">
        <is>
          <t xml:space="preserve">C </t>
        </is>
      </c>
      <c r="AA191" s="93" t="n"/>
      <c r="AB191" s="93" t="n"/>
      <c r="AC191" s="93" t="n"/>
      <c r="AD191" s="93" t="inlineStr">
        <is>
          <t>S-F TOM MEYER SHEETM</t>
        </is>
      </c>
      <c r="AE191" s="93" t="n"/>
      <c r="AF191" s="93" t="n"/>
      <c r="AG191" s="93" t="n"/>
      <c r="AH191" s="93" t="n"/>
      <c r="AI191" s="93" t="n"/>
      <c r="AK191" s="265" t="inlineStr"/>
      <c r="AL191">
        <f>IF(AND(ISNUMBER($S191),$S191&gt;0,ISNUMBER($K191),ISNUMBER($J191)),($K191*$J191)/$S191,"")</f>
        <v/>
      </c>
      <c r="AM191" s="93" t="n"/>
      <c r="AN191" s="93" t="n"/>
      <c r="AO191" s="93" t="n"/>
      <c r="AP191" s="93" t="n"/>
      <c r="AQ191" s="93" t="n"/>
    </row>
    <row r="192" ht="14" customHeight="1" s="518">
      <c r="A192" s="106" t="n">
        <v>6</v>
      </c>
      <c r="B192" s="93" t="n">
        <v>186</v>
      </c>
      <c r="C192" s="93" t="inlineStr">
        <is>
          <t>2013Q</t>
        </is>
      </c>
      <c r="D192" s="93" t="inlineStr">
        <is>
          <t xml:space="preserve">05091-04-018-000 </t>
        </is>
      </c>
      <c r="E192" s="92" t="inlineStr">
        <is>
          <t>Actual</t>
        </is>
      </c>
      <c r="F192" s="93" t="inlineStr">
        <is>
          <t>527   KALAMATH             ST</t>
        </is>
      </c>
      <c r="G192" s="93" t="n">
        <v>44.1</v>
      </c>
      <c r="H192" s="93" t="n">
        <v>9505</v>
      </c>
      <c r="I192" s="92" t="n">
        <v>0</v>
      </c>
      <c r="J192" s="710" t="n">
        <v>2500</v>
      </c>
      <c r="K192" s="711" t="n">
        <v>6</v>
      </c>
      <c r="L192" s="108" t="n">
        <v>0</v>
      </c>
      <c r="M192" s="97" t="n">
        <v>0.08346666666666666</v>
      </c>
      <c r="N192" s="93" t="n">
        <v>1973</v>
      </c>
      <c r="O192" s="93" t="n">
        <v>336</v>
      </c>
      <c r="P192" s="93" t="n">
        <v>0</v>
      </c>
      <c r="Q192" s="93" t="n">
        <v>13</v>
      </c>
      <c r="R192" s="93" t="n">
        <v>1</v>
      </c>
      <c r="S192" s="93" t="n">
        <v>1</v>
      </c>
      <c r="T192" s="92" t="inlineStr">
        <is>
          <t xml:space="preserve">I-MX-5      </t>
        </is>
      </c>
      <c r="U192" s="93" t="n">
        <v>398</v>
      </c>
      <c r="V192" s="710" t="n">
        <v>3900</v>
      </c>
      <c r="W192" s="710" t="n">
        <v>4000</v>
      </c>
      <c r="X192" s="712" t="inlineStr">
        <is>
          <t>1.6:1</t>
        </is>
      </c>
      <c r="Y192" s="710" t="n">
        <v>3000</v>
      </c>
      <c r="Z192" s="92" t="inlineStr">
        <is>
          <t xml:space="preserve">C </t>
        </is>
      </c>
      <c r="AA192" s="93" t="n"/>
      <c r="AB192" s="93" t="n"/>
      <c r="AC192" s="93" t="n"/>
      <c r="AD192" s="93" t="inlineStr">
        <is>
          <t>S-W COLO MOLD SUPPLY</t>
        </is>
      </c>
      <c r="AE192" s="93" t="n"/>
      <c r="AF192" s="93" t="n"/>
      <c r="AG192" s="93" t="n"/>
      <c r="AH192" s="93" t="n"/>
      <c r="AI192" s="93" t="n"/>
      <c r="AK192" s="265" t="inlineStr">
        <is>
          <t xml:space="preserve">DATE OF LEASE ORIGINATION UNKNOWN.                                </t>
        </is>
      </c>
      <c r="AL192">
        <f>IF(AND(ISNUMBER($S192),$S192&gt;0,ISNUMBER($K192),ISNUMBER($J192)),($K192*$J192)/$S192,"")</f>
        <v/>
      </c>
      <c r="AM192" s="93" t="n"/>
      <c r="AN192" s="93" t="n"/>
      <c r="AO192" s="93" t="n"/>
      <c r="AP192" s="93" t="n"/>
      <c r="AQ192" s="93" t="n"/>
    </row>
    <row r="193" ht="14" customHeight="1" s="518">
      <c r="A193" s="106" t="n">
        <v>6</v>
      </c>
      <c r="B193" s="93" t="n">
        <v>187</v>
      </c>
      <c r="C193" s="93" t="inlineStr">
        <is>
          <t>2013Q</t>
        </is>
      </c>
      <c r="D193" s="93" t="inlineStr">
        <is>
          <t xml:space="preserve">05091-20-016-000 </t>
        </is>
      </c>
      <c r="E193" s="92" t="inlineStr">
        <is>
          <t>Actual</t>
        </is>
      </c>
      <c r="F193" s="93" t="inlineStr">
        <is>
          <t>275   KALAMATH             ST</t>
        </is>
      </c>
      <c r="G193" s="93" t="n">
        <v>44.2</v>
      </c>
      <c r="H193" s="93" t="n">
        <v>9505</v>
      </c>
      <c r="I193" s="92" t="n">
        <v>0</v>
      </c>
      <c r="J193" s="710" t="n">
        <v>17286</v>
      </c>
      <c r="K193" s="711" t="n">
        <v>5.66180724285549</v>
      </c>
      <c r="L193" s="108" t="n">
        <v>0</v>
      </c>
      <c r="M193" s="97" t="n">
        <v>0.03308470419944825</v>
      </c>
      <c r="N193" s="93" t="n">
        <v>1959</v>
      </c>
      <c r="O193" s="93" t="n">
        <v>2902</v>
      </c>
      <c r="P193" s="93" t="n">
        <v>0</v>
      </c>
      <c r="Q193" s="93" t="n">
        <v>15</v>
      </c>
      <c r="R193" s="93" t="n">
        <v>3</v>
      </c>
      <c r="S193" s="93" t="n">
        <v>1</v>
      </c>
      <c r="T193" s="92" t="inlineStr">
        <is>
          <t xml:space="preserve">I-MX-3      </t>
        </is>
      </c>
      <c r="U193" s="93" t="n">
        <v>398</v>
      </c>
      <c r="V193" s="710" t="n">
        <v>36500</v>
      </c>
      <c r="W193" s="710" t="n">
        <v>37000</v>
      </c>
      <c r="X193" s="712" t="inlineStr">
        <is>
          <t>2.1:1</t>
        </is>
      </c>
      <c r="Y193" s="710" t="n">
        <v>17000</v>
      </c>
      <c r="Z193" s="92" t="inlineStr">
        <is>
          <t xml:space="preserve">C </t>
        </is>
      </c>
      <c r="AA193" s="93" t="n"/>
      <c r="AB193" s="93" t="n"/>
      <c r="AC193" s="93" t="n"/>
      <c r="AD193" s="93" t="inlineStr">
        <is>
          <t xml:space="preserve">WHSE DIST.          </t>
        </is>
      </c>
      <c r="AE193" s="93" t="n"/>
      <c r="AF193" s="93" t="n"/>
      <c r="AG193" s="93" t="n"/>
      <c r="AH193" s="93" t="n"/>
      <c r="AI193" s="93" t="n"/>
      <c r="AK193" s="265" t="inlineStr"/>
      <c r="AL193">
        <f>IF(AND(ISNUMBER($S193),$S193&gt;0,ISNUMBER($K193),ISNUMBER($J193)),($K193*$J193)/$S193,"")</f>
        <v/>
      </c>
      <c r="AM193" s="93" t="n"/>
      <c r="AN193" s="93" t="n"/>
      <c r="AO193" s="93" t="n"/>
      <c r="AP193" s="93" t="n"/>
      <c r="AQ193" s="93" t="n"/>
    </row>
    <row r="194" ht="14" customHeight="1" s="518">
      <c r="A194" s="106" t="n">
        <v>6</v>
      </c>
      <c r="B194" s="93" t="n">
        <v>188</v>
      </c>
      <c r="C194" s="93" t="inlineStr">
        <is>
          <t>2013Q</t>
        </is>
      </c>
      <c r="D194" s="93" t="inlineStr">
        <is>
          <t xml:space="preserve">05091-26-009-000 </t>
        </is>
      </c>
      <c r="E194" s="92" t="inlineStr">
        <is>
          <t>Actual</t>
        </is>
      </c>
      <c r="F194" s="93" t="inlineStr">
        <is>
          <t>100   LIPAN                ST</t>
        </is>
      </c>
      <c r="G194" s="93" t="n">
        <v>44.2</v>
      </c>
      <c r="H194" s="93" t="n">
        <v>9505</v>
      </c>
      <c r="I194" s="92" t="n">
        <v>0</v>
      </c>
      <c r="J194" s="710" t="n">
        <v>11626</v>
      </c>
      <c r="K194" s="711" t="n">
        <v>3.571305694133838</v>
      </c>
      <c r="L194" s="108" t="n">
        <v>0</v>
      </c>
      <c r="M194" s="97" t="n">
        <v>0.1233622350674374</v>
      </c>
      <c r="N194" s="93" t="n">
        <v>1957</v>
      </c>
      <c r="O194" s="93" t="n">
        <v>3018</v>
      </c>
      <c r="P194" s="93" t="n">
        <v>0</v>
      </c>
      <c r="Q194" s="93" t="n">
        <v>14</v>
      </c>
      <c r="R194" s="93" t="n">
        <v>1</v>
      </c>
      <c r="S194" s="93" t="n">
        <v>1</v>
      </c>
      <c r="T194" s="92" t="inlineStr">
        <is>
          <t xml:space="preserve">I-A         </t>
        </is>
      </c>
      <c r="U194" s="93" t="n">
        <v>398</v>
      </c>
      <c r="V194" s="710" t="n">
        <v>17625</v>
      </c>
      <c r="W194" s="710" t="n">
        <v>18000</v>
      </c>
      <c r="X194" s="712" t="inlineStr">
        <is>
          <t>1.5:1</t>
        </is>
      </c>
      <c r="Y194" s="710" t="n">
        <v>12000</v>
      </c>
      <c r="Z194" s="92" t="inlineStr">
        <is>
          <t xml:space="preserve">C </t>
        </is>
      </c>
      <c r="AA194" s="93" t="n"/>
      <c r="AB194" s="93" t="n"/>
      <c r="AC194" s="93" t="n"/>
      <c r="AD194" s="93" t="inlineStr">
        <is>
          <t xml:space="preserve">TURBO PRESS         </t>
        </is>
      </c>
      <c r="AE194" s="93" t="n"/>
      <c r="AF194" s="93" t="n"/>
      <c r="AG194" s="93" t="n"/>
      <c r="AH194" s="93" t="n"/>
      <c r="AI194" s="93" t="n"/>
      <c r="AK194" s="265" t="inlineStr">
        <is>
          <t xml:space="preserve">ORIGINATION OF MO-TO-MO LEASE UNKNOWN.                            </t>
        </is>
      </c>
      <c r="AL194">
        <f>IF(AND(ISNUMBER($S194),$S194&gt;0,ISNUMBER($K194),ISNUMBER($J194)),($K194*$J194)/$S194,"")</f>
        <v/>
      </c>
      <c r="AM194" s="93" t="n"/>
      <c r="AN194" s="93" t="n"/>
      <c r="AO194" s="93" t="n"/>
      <c r="AP194" s="93" t="n"/>
      <c r="AQ194" s="93" t="n"/>
    </row>
    <row r="195" ht="14" customHeight="1" s="518">
      <c r="A195" s="106" t="n">
        <v>6</v>
      </c>
      <c r="B195" s="93" t="n">
        <v>189</v>
      </c>
      <c r="C195" s="93" t="inlineStr">
        <is>
          <t>2013Q</t>
        </is>
      </c>
      <c r="D195" s="93" t="inlineStr">
        <is>
          <t xml:space="preserve">05092-00-076-000 </t>
        </is>
      </c>
      <c r="E195" s="92" t="inlineStr">
        <is>
          <t>Actual</t>
        </is>
      </c>
      <c r="F195" s="93" t="inlineStr">
        <is>
          <t>657   OSAGE                ST</t>
        </is>
      </c>
      <c r="G195" s="93" t="n">
        <v>44.1</v>
      </c>
      <c r="H195" s="93" t="n">
        <v>9505</v>
      </c>
      <c r="I195" s="92" t="n">
        <v>0</v>
      </c>
      <c r="J195" s="710" t="n">
        <v>9361</v>
      </c>
      <c r="K195" s="711" t="n">
        <v>4.422604422604422</v>
      </c>
      <c r="L195" s="108" t="n">
        <v>0</v>
      </c>
      <c r="M195" s="97" t="n">
        <v>0.005797101449275362</v>
      </c>
      <c r="N195" s="93" t="n">
        <v>1965</v>
      </c>
      <c r="O195" s="93" t="n">
        <v>1260</v>
      </c>
      <c r="P195" s="93" t="n">
        <v>0</v>
      </c>
      <c r="Q195" s="93" t="n">
        <v>14</v>
      </c>
      <c r="R195" s="93" t="n">
        <v>1</v>
      </c>
      <c r="S195" s="93" t="n">
        <v>1</v>
      </c>
      <c r="T195" s="92" t="inlineStr">
        <is>
          <t xml:space="preserve">I-B         </t>
        </is>
      </c>
      <c r="U195" s="93" t="n">
        <v>398</v>
      </c>
      <c r="V195" s="710" t="n">
        <v>17908</v>
      </c>
      <c r="W195" s="710" t="n">
        <v>18000</v>
      </c>
      <c r="X195" s="712" t="inlineStr">
        <is>
          <t>1.9:1</t>
        </is>
      </c>
      <c r="Y195" s="710" t="n">
        <v>9000</v>
      </c>
      <c r="Z195" s="92" t="inlineStr">
        <is>
          <t xml:space="preserve">C </t>
        </is>
      </c>
      <c r="AA195" s="93" t="n"/>
      <c r="AB195" s="93" t="n"/>
      <c r="AC195" s="93" t="n"/>
      <c r="AD195" s="93" t="inlineStr"/>
      <c r="AE195" s="93" t="n"/>
      <c r="AF195" s="93" t="n"/>
      <c r="AG195" s="93" t="n"/>
      <c r="AH195" s="93" t="n"/>
      <c r="AI195" s="93" t="n"/>
      <c r="AK195" s="265" t="inlineStr">
        <is>
          <t xml:space="preserve">2010 LEASE.                                                       </t>
        </is>
      </c>
      <c r="AL195">
        <f>IF(AND(ISNUMBER($S195),$S195&gt;0,ISNUMBER($K195),ISNUMBER($J195)),($K195*$J195)/$S195,"")</f>
        <v/>
      </c>
      <c r="AM195" s="93" t="n"/>
      <c r="AN195" s="93" t="n"/>
      <c r="AO195" s="93" t="n"/>
      <c r="AP195" s="93" t="n"/>
      <c r="AQ195" s="93" t="n"/>
    </row>
    <row r="196" ht="28" customHeight="1" s="518">
      <c r="A196" s="106" t="n">
        <v>6</v>
      </c>
      <c r="B196" s="93" t="n">
        <v>190</v>
      </c>
      <c r="C196" s="93" t="inlineStr">
        <is>
          <t>2013Q</t>
        </is>
      </c>
      <c r="D196" s="93" t="inlineStr">
        <is>
          <t xml:space="preserve">05092-00-078-000 </t>
        </is>
      </c>
      <c r="E196" s="92" t="inlineStr">
        <is>
          <t>Actual</t>
        </is>
      </c>
      <c r="F196" s="93" t="inlineStr">
        <is>
          <t>501   RARITAN              WY</t>
        </is>
      </c>
      <c r="G196" s="93" t="n">
        <v>44.4</v>
      </c>
      <c r="H196" s="93" t="n">
        <v>9505</v>
      </c>
      <c r="I196" s="92" t="n">
        <v>0</v>
      </c>
      <c r="J196" s="710" t="n">
        <v>112984</v>
      </c>
      <c r="K196" s="711" t="n">
        <v>4.493195183422011</v>
      </c>
      <c r="L196" s="108" t="n">
        <v>0</v>
      </c>
      <c r="M196" s="97" t="n">
        <v>0</v>
      </c>
      <c r="N196" s="93" t="n">
        <v>1959</v>
      </c>
      <c r="O196" s="93" t="n">
        <v>4641</v>
      </c>
      <c r="P196" s="93" t="n">
        <v>0</v>
      </c>
      <c r="Q196" s="93" t="n">
        <v>20</v>
      </c>
      <c r="R196" s="93" t="n">
        <v>3</v>
      </c>
      <c r="S196" s="93" t="n">
        <v>1</v>
      </c>
      <c r="T196" s="92" t="inlineStr">
        <is>
          <t xml:space="preserve">I-A         </t>
        </is>
      </c>
      <c r="U196" s="93" t="n">
        <v>398</v>
      </c>
      <c r="V196" s="710" t="n">
        <v>162000</v>
      </c>
      <c r="W196" s="710" t="n">
        <v>162000</v>
      </c>
      <c r="X196" s="712" t="inlineStr">
        <is>
          <t>1.4:1</t>
        </is>
      </c>
      <c r="Y196" s="710" t="n">
        <v>113000</v>
      </c>
      <c r="Z196" s="92" t="inlineStr">
        <is>
          <t xml:space="preserve">C </t>
        </is>
      </c>
      <c r="AA196" s="93" t="n"/>
      <c r="AB196" s="93" t="n"/>
      <c r="AC196" s="93" t="n"/>
      <c r="AD196" s="93" t="inlineStr">
        <is>
          <t xml:space="preserve">S-W PROCTOR PROD.   </t>
        </is>
      </c>
      <c r="AE196" s="93" t="n"/>
      <c r="AF196" s="93" t="n"/>
      <c r="AG196" s="93" t="n"/>
      <c r="AH196" s="93" t="n"/>
      <c r="AI196" s="93" t="n"/>
      <c r="AK196" s="265" t="inlineStr">
        <is>
          <t xml:space="preserve">LEASES RANGE FROM 2010 TO 2012; NO OP. EXPENSES GIVEN.            </t>
        </is>
      </c>
      <c r="AL196">
        <f>IF(AND(ISNUMBER($S196),$S196&gt;0,ISNUMBER($K196),ISNUMBER($J196)),($K196*$J196)/$S196,"")</f>
        <v/>
      </c>
      <c r="AM196" s="93" t="n"/>
      <c r="AN196" s="93" t="n"/>
      <c r="AO196" s="93" t="n"/>
      <c r="AP196" s="93" t="n"/>
      <c r="AQ196" s="93" t="n"/>
    </row>
    <row r="197" ht="14" customHeight="1" s="518">
      <c r="A197" s="106" t="n">
        <v>6</v>
      </c>
      <c r="B197" s="93" t="n">
        <v>191</v>
      </c>
      <c r="C197" s="93" t="inlineStr">
        <is>
          <t>2013Q</t>
        </is>
      </c>
      <c r="D197" s="93" t="inlineStr">
        <is>
          <t xml:space="preserve">05092-07-013-000 </t>
        </is>
      </c>
      <c r="E197" s="92" t="inlineStr">
        <is>
          <t>Actual</t>
        </is>
      </c>
      <c r="F197" s="93" t="inlineStr">
        <is>
          <t>745   VALLEJO              ST</t>
        </is>
      </c>
      <c r="G197" s="93" t="n">
        <v>44.1</v>
      </c>
      <c r="H197" s="93" t="n">
        <v>9505</v>
      </c>
      <c r="I197" s="92" t="n">
        <v>0</v>
      </c>
      <c r="J197" s="710" t="n">
        <v>2800</v>
      </c>
      <c r="K197" s="711" t="n">
        <v>9.953214285714285</v>
      </c>
      <c r="L197" s="108" t="n">
        <v>0</v>
      </c>
      <c r="M197" s="97" t="n">
        <v>0.1132082241917543</v>
      </c>
      <c r="N197" s="93" t="n">
        <v>1964</v>
      </c>
      <c r="O197" s="93" t="n">
        <v>198</v>
      </c>
      <c r="P197" s="93" t="n">
        <v>0</v>
      </c>
      <c r="Q197" s="93" t="n">
        <v>14</v>
      </c>
      <c r="R197" s="93" t="n">
        <v>3</v>
      </c>
      <c r="S197" s="93" t="n">
        <v>1</v>
      </c>
      <c r="T197" s="92" t="inlineStr">
        <is>
          <t xml:space="preserve">I-A         </t>
        </is>
      </c>
      <c r="U197" s="93" t="n">
        <v>398</v>
      </c>
      <c r="V197" s="710" t="n">
        <v>6000</v>
      </c>
      <c r="W197" s="710" t="n">
        <v>6000</v>
      </c>
      <c r="X197" s="712" t="inlineStr">
        <is>
          <t>2.1:1</t>
        </is>
      </c>
      <c r="Y197" s="710" t="n">
        <v>3000</v>
      </c>
      <c r="Z197" s="92" t="inlineStr">
        <is>
          <t xml:space="preserve">C </t>
        </is>
      </c>
      <c r="AA197" s="93" t="n"/>
      <c r="AB197" s="93" t="n"/>
      <c r="AC197" s="93" t="n"/>
      <c r="AD197" s="93" t="inlineStr">
        <is>
          <t>S-W DENVER WIRE WORK</t>
        </is>
      </c>
      <c r="AE197" s="93" t="n"/>
      <c r="AF197" s="93" t="n"/>
      <c r="AG197" s="93" t="n"/>
      <c r="AH197" s="93" t="n"/>
      <c r="AI197" s="93" t="n"/>
      <c r="AK197" s="265" t="inlineStr"/>
      <c r="AL197">
        <f>IF(AND(ISNUMBER($S197),$S197&gt;0,ISNUMBER($K197),ISNUMBER($J197)),($K197*$J197)/$S197,"")</f>
        <v/>
      </c>
      <c r="AM197" s="93" t="n"/>
      <c r="AN197" s="93" t="n"/>
      <c r="AO197" s="93" t="n"/>
      <c r="AP197" s="93" t="n"/>
      <c r="AQ197" s="93" t="n"/>
    </row>
    <row r="198" ht="14" customHeight="1" s="518">
      <c r="A198" s="106" t="n">
        <v>6</v>
      </c>
      <c r="B198" s="93" t="n">
        <v>192</v>
      </c>
      <c r="C198" s="93" t="inlineStr">
        <is>
          <t>2013Q</t>
        </is>
      </c>
      <c r="D198" s="93" t="inlineStr">
        <is>
          <t xml:space="preserve">05092-07-016-000 </t>
        </is>
      </c>
      <c r="E198" s="92" t="inlineStr">
        <is>
          <t>Actual</t>
        </is>
      </c>
      <c r="F198" s="93" t="inlineStr">
        <is>
          <t>781   VALLEJO              ST</t>
        </is>
      </c>
      <c r="G198" s="93" t="n">
        <v>44.2</v>
      </c>
      <c r="H198" s="93" t="n">
        <v>9505</v>
      </c>
      <c r="I198" s="92" t="n">
        <v>0</v>
      </c>
      <c r="J198" s="710" t="n">
        <v>10800</v>
      </c>
      <c r="K198" s="711" t="n">
        <v>6.111111111111111</v>
      </c>
      <c r="L198" s="108" t="n">
        <v>0.55</v>
      </c>
      <c r="M198" s="97" t="n">
        <v>0</v>
      </c>
      <c r="N198" s="93" t="n">
        <v>1961</v>
      </c>
      <c r="O198" s="93" t="n">
        <v>3655</v>
      </c>
      <c r="P198" s="93" t="n">
        <v>0</v>
      </c>
      <c r="Q198" s="93" t="n">
        <v>12</v>
      </c>
      <c r="R198" s="93" t="n">
        <v>1</v>
      </c>
      <c r="S198" s="93" t="n">
        <v>3</v>
      </c>
      <c r="T198" s="92" t="inlineStr">
        <is>
          <t xml:space="preserve">I-A         </t>
        </is>
      </c>
      <c r="U198" s="93" t="n">
        <v>398</v>
      </c>
      <c r="V198" s="710" t="n">
        <v>17400</v>
      </c>
      <c r="W198" s="710" t="n">
        <v>17000</v>
      </c>
      <c r="X198" s="712" t="inlineStr">
        <is>
          <t>1.6:1</t>
        </is>
      </c>
      <c r="Y198" s="710" t="n">
        <v>11000</v>
      </c>
      <c r="Z198" s="92" t="inlineStr">
        <is>
          <t xml:space="preserve">C </t>
        </is>
      </c>
      <c r="AA198" s="93" t="n"/>
      <c r="AB198" s="93" t="n"/>
      <c r="AC198" s="93" t="n"/>
      <c r="AD198" s="93" t="inlineStr"/>
      <c r="AE198" s="93" t="n"/>
      <c r="AF198" s="93" t="n"/>
      <c r="AG198" s="93" t="n"/>
      <c r="AH198" s="93" t="n"/>
      <c r="AI198" s="93" t="n"/>
      <c r="AK198" s="265" t="inlineStr">
        <is>
          <t xml:space="preserve">2010 LEASES.                                                      </t>
        </is>
      </c>
      <c r="AL198">
        <f>IF(AND(ISNUMBER($S198),$S198&gt;0,ISNUMBER($K198),ISNUMBER($J198)),($K198*$J198)/$S198,"")</f>
        <v/>
      </c>
      <c r="AM198" s="93" t="n"/>
      <c r="AN198" s="93" t="n"/>
      <c r="AO198" s="93" t="n"/>
      <c r="AP198" s="93" t="n"/>
      <c r="AQ198" s="93" t="n"/>
    </row>
    <row r="199" ht="14" customHeight="1" s="518">
      <c r="A199" s="106" t="n">
        <v>6</v>
      </c>
      <c r="B199" s="93" t="n">
        <v>193</v>
      </c>
      <c r="C199" s="93" t="inlineStr">
        <is>
          <t>2013Q</t>
        </is>
      </c>
      <c r="D199" s="93" t="inlineStr">
        <is>
          <t xml:space="preserve">05092-07-032-000 </t>
        </is>
      </c>
      <c r="E199" s="92" t="inlineStr">
        <is>
          <t>Actual</t>
        </is>
      </c>
      <c r="F199" s="93" t="inlineStr">
        <is>
          <t>755   VALLEJO              ST</t>
        </is>
      </c>
      <c r="G199" s="93" t="n">
        <v>44.2</v>
      </c>
      <c r="H199" s="93" t="n">
        <v>9505</v>
      </c>
      <c r="I199" s="92" t="n">
        <v>0</v>
      </c>
      <c r="J199" s="710" t="n">
        <v>11867</v>
      </c>
      <c r="K199" s="711" t="n">
        <v>5.933681638156232</v>
      </c>
      <c r="L199" s="108" t="n">
        <v>0</v>
      </c>
      <c r="M199" s="97" t="n">
        <v>0.08366115174323653</v>
      </c>
      <c r="N199" s="93" t="n">
        <v>1970</v>
      </c>
      <c r="O199" s="93" t="n">
        <v>5575</v>
      </c>
      <c r="P199" s="93" t="n">
        <v>0</v>
      </c>
      <c r="Q199" s="93" t="n">
        <v>18</v>
      </c>
      <c r="R199" s="93" t="n">
        <v>1</v>
      </c>
      <c r="S199" s="93" t="n">
        <v>1</v>
      </c>
      <c r="T199" s="92" t="inlineStr">
        <is>
          <t xml:space="preserve">I-A         </t>
        </is>
      </c>
      <c r="U199" s="93" t="n">
        <v>398</v>
      </c>
      <c r="V199" s="710" t="n">
        <v>18000</v>
      </c>
      <c r="W199" s="710" t="n">
        <v>18000</v>
      </c>
      <c r="X199" s="712" t="inlineStr">
        <is>
          <t>1.5:1</t>
        </is>
      </c>
      <c r="Y199" s="710" t="n">
        <v>12000</v>
      </c>
      <c r="Z199" s="92" t="inlineStr">
        <is>
          <t xml:space="preserve">C </t>
        </is>
      </c>
      <c r="AA199" s="93" t="n"/>
      <c r="AB199" s="93" t="n"/>
      <c r="AC199" s="93" t="n"/>
      <c r="AD199" s="93" t="inlineStr">
        <is>
          <t xml:space="preserve">M-W                 </t>
        </is>
      </c>
      <c r="AE199" s="93" t="n"/>
      <c r="AF199" s="93" t="n"/>
      <c r="AG199" s="93" t="n"/>
      <c r="AH199" s="93" t="n"/>
      <c r="AI199" s="93" t="n"/>
      <c r="AK199" s="265" t="inlineStr">
        <is>
          <t xml:space="preserve">2009 LEASE.                                                       </t>
        </is>
      </c>
      <c r="AL199">
        <f>IF(AND(ISNUMBER($S199),$S199&gt;0,ISNUMBER($K199),ISNUMBER($J199)),($K199*$J199)/$S199,"")</f>
        <v/>
      </c>
      <c r="AM199" s="93" t="n"/>
      <c r="AN199" s="93" t="n"/>
      <c r="AO199" s="93" t="n"/>
      <c r="AP199" s="93" t="n"/>
      <c r="AQ199" s="93" t="n"/>
    </row>
    <row r="200" ht="28" customHeight="1" s="518">
      <c r="A200" s="106" t="n">
        <v>6</v>
      </c>
      <c r="B200" s="93" t="n">
        <v>194</v>
      </c>
      <c r="C200" s="93" t="inlineStr">
        <is>
          <t>2013Q</t>
        </is>
      </c>
      <c r="D200" s="93" t="inlineStr">
        <is>
          <t xml:space="preserve">05093-00-052-000 </t>
        </is>
      </c>
      <c r="E200" s="92" t="inlineStr">
        <is>
          <t>Actual</t>
        </is>
      </c>
      <c r="F200" s="93" t="inlineStr">
        <is>
          <t>163   VALLEJO              ST</t>
        </is>
      </c>
      <c r="G200" s="93" t="n">
        <v>44.1</v>
      </c>
      <c r="H200" s="93" t="n">
        <v>9508</v>
      </c>
      <c r="I200" s="92" t="n">
        <v>0</v>
      </c>
      <c r="J200" s="710" t="n">
        <v>4681</v>
      </c>
      <c r="K200" s="711" t="n">
        <v>11.95219123505976</v>
      </c>
      <c r="L200" s="108" t="n">
        <v>0</v>
      </c>
      <c r="M200" s="97" t="n">
        <v>0</v>
      </c>
      <c r="N200" s="93" t="n">
        <v>1937</v>
      </c>
      <c r="O200" s="93" t="n">
        <v>1100</v>
      </c>
      <c r="P200" s="93" t="n">
        <v>0</v>
      </c>
      <c r="Q200" s="93" t="n">
        <v>18</v>
      </c>
      <c r="R200" s="93" t="n">
        <v>3</v>
      </c>
      <c r="S200" s="93" t="n">
        <v>1</v>
      </c>
      <c r="T200" s="92" t="inlineStr">
        <is>
          <t xml:space="preserve">I-A         </t>
        </is>
      </c>
      <c r="U200" s="93" t="n">
        <v>398</v>
      </c>
      <c r="V200" s="710" t="n">
        <v>14136</v>
      </c>
      <c r="W200" s="710" t="n">
        <v>14000</v>
      </c>
      <c r="X200" s="712" t="inlineStr">
        <is>
          <t>3:1</t>
        </is>
      </c>
      <c r="Y200" s="710" t="n">
        <v>5000</v>
      </c>
      <c r="Z200" s="92" t="inlineStr">
        <is>
          <t xml:space="preserve">C </t>
        </is>
      </c>
      <c r="AA200" s="93" t="n"/>
      <c r="AB200" s="93" t="n"/>
      <c r="AC200" s="93" t="n"/>
      <c r="AD200" s="93" t="inlineStr">
        <is>
          <t>IAI CONSTRUCTION CO.</t>
        </is>
      </c>
      <c r="AE200" s="93" t="n"/>
      <c r="AF200" s="93" t="n"/>
      <c r="AG200" s="93" t="n"/>
      <c r="AH200" s="93" t="n"/>
      <c r="AI200" s="93" t="n"/>
      <c r="AK200" s="265" t="inlineStr">
        <is>
          <t xml:space="preserve">UNABLE TO ALLOCATE EXPENSES BETWEEN OWNER &amp; TENANT.               </t>
        </is>
      </c>
      <c r="AL200">
        <f>IF(AND(ISNUMBER($S200),$S200&gt;0,ISNUMBER($K200),ISNUMBER($J200)),($K200*$J200)/$S200,"")</f>
        <v/>
      </c>
      <c r="AM200" s="93" t="n"/>
      <c r="AN200" s="93" t="n"/>
      <c r="AO200" s="93" t="n"/>
      <c r="AP200" s="93" t="n"/>
      <c r="AQ200" s="93" t="n"/>
    </row>
    <row r="201" ht="14" customHeight="1" s="518">
      <c r="A201" s="106" t="n">
        <v>6</v>
      </c>
      <c r="B201" s="93" t="n">
        <v>195</v>
      </c>
      <c r="C201" s="93" t="inlineStr">
        <is>
          <t>2013Q</t>
        </is>
      </c>
      <c r="D201" s="93" t="inlineStr">
        <is>
          <t xml:space="preserve">05093-11-008-000 </t>
        </is>
      </c>
      <c r="E201" s="92" t="inlineStr">
        <is>
          <t>Actual</t>
        </is>
      </c>
      <c r="F201" s="93" t="inlineStr">
        <is>
          <t>145   YUMA                 ST</t>
        </is>
      </c>
      <c r="G201" s="93" t="n">
        <v>44.1</v>
      </c>
      <c r="H201" s="93" t="n">
        <v>9508</v>
      </c>
      <c r="I201" s="92" t="n">
        <v>0</v>
      </c>
      <c r="J201" s="710" t="n">
        <v>6930</v>
      </c>
      <c r="K201" s="711" t="n">
        <v>6.279365079365079</v>
      </c>
      <c r="L201" s="108" t="n">
        <v>0</v>
      </c>
      <c r="M201" s="97" t="n">
        <v>0.07383491129699421</v>
      </c>
      <c r="N201" s="93" t="n">
        <v>1965</v>
      </c>
      <c r="O201" s="93" t="n">
        <v>1260</v>
      </c>
      <c r="P201" s="93" t="n">
        <v>0</v>
      </c>
      <c r="Q201" s="93" t="n">
        <v>13</v>
      </c>
      <c r="R201" s="93" t="n">
        <v>1</v>
      </c>
      <c r="S201" s="93" t="n">
        <v>1</v>
      </c>
      <c r="T201" s="92" t="inlineStr">
        <is>
          <t xml:space="preserve">I-A         </t>
        </is>
      </c>
      <c r="U201" s="93" t="n">
        <v>398</v>
      </c>
      <c r="V201" s="710" t="n">
        <v>18900</v>
      </c>
      <c r="W201" s="710" t="n">
        <v>19000</v>
      </c>
      <c r="X201" s="712" t="inlineStr">
        <is>
          <t>2.7:1</t>
        </is>
      </c>
      <c r="Y201" s="710" t="n">
        <v>7000</v>
      </c>
      <c r="Z201" s="92" t="inlineStr">
        <is>
          <t xml:space="preserve">C </t>
        </is>
      </c>
      <c r="AA201" s="93" t="n"/>
      <c r="AB201" s="93" t="n"/>
      <c r="AC201" s="93" t="n"/>
      <c r="AD201" s="93" t="inlineStr"/>
      <c r="AE201" s="93" t="n"/>
      <c r="AF201" s="93" t="n"/>
      <c r="AG201" s="93" t="n"/>
      <c r="AH201" s="93" t="n"/>
      <c r="AI201" s="93" t="n"/>
      <c r="AK201" s="265" t="inlineStr">
        <is>
          <t xml:space="preserve">2009 LEASE.                                                       </t>
        </is>
      </c>
      <c r="AL201">
        <f>IF(AND(ISNUMBER($S201),$S201&gt;0,ISNUMBER($K201),ISNUMBER($J201)),($K201*$J201)/$S201,"")</f>
        <v/>
      </c>
      <c r="AM201" s="93" t="n"/>
      <c r="AN201" s="93" t="n"/>
      <c r="AO201" s="93" t="n"/>
      <c r="AP201" s="93" t="n"/>
      <c r="AQ201" s="93" t="n"/>
    </row>
    <row r="202" ht="14" customHeight="1" s="518">
      <c r="A202" s="106" t="n">
        <v>6</v>
      </c>
      <c r="B202" s="93" t="n">
        <v>196</v>
      </c>
      <c r="C202" s="93" t="inlineStr">
        <is>
          <t>2013Q</t>
        </is>
      </c>
      <c r="D202" s="93" t="inlineStr">
        <is>
          <t xml:space="preserve">05094-04-024-000 </t>
        </is>
      </c>
      <c r="E202" s="92" t="inlineStr">
        <is>
          <t>Actual</t>
        </is>
      </c>
      <c r="F202" s="93" t="inlineStr">
        <is>
          <t>175 S PECOS                ST</t>
        </is>
      </c>
      <c r="G202" s="93" t="n">
        <v>44.2</v>
      </c>
      <c r="H202" s="93" t="n">
        <v>9508</v>
      </c>
      <c r="I202" s="92" t="n">
        <v>0</v>
      </c>
      <c r="J202" s="710" t="n">
        <v>2550</v>
      </c>
      <c r="K202" s="711" t="n">
        <v>6.588235294117647</v>
      </c>
      <c r="L202" s="108" t="n">
        <v>0</v>
      </c>
      <c r="M202" s="97" t="n">
        <v>0.025</v>
      </c>
      <c r="N202" s="93" t="n">
        <v>1977</v>
      </c>
      <c r="O202" s="93" t="n">
        <v>648</v>
      </c>
      <c r="P202" s="93" t="n">
        <v>0</v>
      </c>
      <c r="Q202" s="93" t="n">
        <v>14</v>
      </c>
      <c r="R202" s="93" t="n">
        <v>1</v>
      </c>
      <c r="S202" s="93" t="n">
        <v>2</v>
      </c>
      <c r="T202" s="92" t="inlineStr">
        <is>
          <t xml:space="preserve">I-MX-3      </t>
        </is>
      </c>
      <c r="U202" s="93" t="n">
        <v>398</v>
      </c>
      <c r="V202" s="710" t="n">
        <v>6250</v>
      </c>
      <c r="W202" s="710" t="n">
        <v>6000</v>
      </c>
      <c r="X202" s="712" t="inlineStr">
        <is>
          <t>2.5:1</t>
        </is>
      </c>
      <c r="Y202" s="710" t="n">
        <v>3000</v>
      </c>
      <c r="Z202" s="92" t="inlineStr">
        <is>
          <t xml:space="preserve">C </t>
        </is>
      </c>
      <c r="AA202" s="93" t="n"/>
      <c r="AB202" s="93" t="n"/>
      <c r="AC202" s="93" t="n"/>
      <c r="AD202" s="93" t="inlineStr">
        <is>
          <t xml:space="preserve">M-W                 </t>
        </is>
      </c>
      <c r="AE202" s="93" t="n"/>
      <c r="AF202" s="93" t="n"/>
      <c r="AG202" s="93" t="n"/>
      <c r="AH202" s="93" t="n"/>
      <c r="AI202" s="93" t="n"/>
      <c r="AK202" s="265" t="inlineStr">
        <is>
          <t xml:space="preserve">DATE OF LEASE COMMENCEMENT UNKNOWN                                </t>
        </is>
      </c>
      <c r="AL202">
        <f>IF(AND(ISNUMBER($S202),$S202&gt;0,ISNUMBER($K202),ISNUMBER($J202)),($K202*$J202)/$S202,"")</f>
        <v/>
      </c>
      <c r="AM202" s="93" t="n"/>
      <c r="AN202" s="93" t="n"/>
      <c r="AO202" s="93" t="n"/>
      <c r="AP202" s="93" t="n"/>
      <c r="AQ202" s="93" t="n"/>
    </row>
    <row r="203" ht="14" customHeight="1" s="518">
      <c r="A203" s="106" t="n">
        <v>6</v>
      </c>
      <c r="B203" s="93" t="n">
        <v>197</v>
      </c>
      <c r="C203" s="93" t="inlineStr">
        <is>
          <t>2013Q</t>
        </is>
      </c>
      <c r="D203" s="93" t="inlineStr">
        <is>
          <t xml:space="preserve">05094-05-033-000 </t>
        </is>
      </c>
      <c r="E203" s="92" t="inlineStr">
        <is>
          <t>Actual</t>
        </is>
      </c>
      <c r="F203" s="93" t="inlineStr">
        <is>
          <t>200 S RARITAN              ST</t>
        </is>
      </c>
      <c r="G203" s="93" t="n">
        <v>44.1</v>
      </c>
      <c r="H203" s="93" t="n">
        <v>9508</v>
      </c>
      <c r="I203" s="92" t="n">
        <v>0</v>
      </c>
      <c r="J203" s="710" t="n">
        <v>7362</v>
      </c>
      <c r="K203" s="711" t="n">
        <v>7.334963325183374</v>
      </c>
      <c r="L203" s="108" t="n">
        <v>0</v>
      </c>
      <c r="M203" s="97" t="n">
        <v>0.1040185185185185</v>
      </c>
      <c r="N203" s="93" t="n">
        <v>1979</v>
      </c>
      <c r="O203" s="93" t="n">
        <v>1320</v>
      </c>
      <c r="P203" s="93" t="n">
        <v>0</v>
      </c>
      <c r="Q203" s="93" t="n">
        <v>20</v>
      </c>
      <c r="R203" s="93" t="n">
        <v>1</v>
      </c>
      <c r="S203" s="93" t="n">
        <v>1</v>
      </c>
      <c r="T203" s="92" t="inlineStr">
        <is>
          <t xml:space="preserve">I-MX-3      </t>
        </is>
      </c>
      <c r="U203" s="93" t="n">
        <v>398</v>
      </c>
      <c r="V203" s="710" t="n">
        <v>35000</v>
      </c>
      <c r="W203" s="710" t="n">
        <v>35000</v>
      </c>
      <c r="X203" s="712" t="inlineStr">
        <is>
          <t>4.8:1</t>
        </is>
      </c>
      <c r="Y203" s="710" t="n">
        <v>7000</v>
      </c>
      <c r="Z203" s="92" t="inlineStr">
        <is>
          <t xml:space="preserve">C </t>
        </is>
      </c>
      <c r="AA203" s="93" t="n"/>
      <c r="AB203" s="93" t="n"/>
      <c r="AC203" s="93" t="n"/>
      <c r="AD203" s="93" t="inlineStr">
        <is>
          <t>LITTLE JOHN'S EQUIPT</t>
        </is>
      </c>
      <c r="AE203" s="93" t="n"/>
      <c r="AF203" s="93" t="n"/>
      <c r="AG203" s="93" t="n"/>
      <c r="AH203" s="93" t="n"/>
      <c r="AI203" s="93" t="n"/>
      <c r="AK203" s="265" t="inlineStr">
        <is>
          <t xml:space="preserve">2010 LEASE.                                                       </t>
        </is>
      </c>
      <c r="AL203">
        <f>IF(AND(ISNUMBER($S203),$S203&gt;0,ISNUMBER($K203),ISNUMBER($J203)),($K203*$J203)/$S203,"")</f>
        <v/>
      </c>
      <c r="AM203" s="93" t="n"/>
      <c r="AN203" s="93" t="n"/>
      <c r="AO203" s="93" t="n"/>
      <c r="AP203" s="93" t="n"/>
      <c r="AQ203" s="93" t="n"/>
    </row>
    <row r="204" ht="14" customHeight="1" s="518">
      <c r="A204" s="106" t="n">
        <v>6</v>
      </c>
      <c r="B204" s="93" t="n">
        <v>198</v>
      </c>
      <c r="C204" s="93" t="inlineStr">
        <is>
          <t>2013Q</t>
        </is>
      </c>
      <c r="D204" s="93" t="inlineStr">
        <is>
          <t xml:space="preserve">05094-05-034-000 </t>
        </is>
      </c>
      <c r="E204" s="92" t="inlineStr">
        <is>
          <t>Actual</t>
        </is>
      </c>
      <c r="F204" s="93" t="inlineStr">
        <is>
          <t>215 S PECOS                ST</t>
        </is>
      </c>
      <c r="G204" s="93" t="n">
        <v>44.1</v>
      </c>
      <c r="H204" s="93" t="n">
        <v>9508</v>
      </c>
      <c r="I204" s="92" t="n">
        <v>0</v>
      </c>
      <c r="J204" s="710" t="n">
        <v>6000</v>
      </c>
      <c r="K204" s="711" t="n">
        <v>15</v>
      </c>
      <c r="L204" s="108" t="n">
        <v>0</v>
      </c>
      <c r="M204" s="97" t="n">
        <v>0</v>
      </c>
      <c r="N204" s="93" t="n">
        <v>1976</v>
      </c>
      <c r="O204" s="93" t="n">
        <v>1179</v>
      </c>
      <c r="P204" s="93" t="n">
        <v>744</v>
      </c>
      <c r="Q204" s="93" t="n">
        <v>18</v>
      </c>
      <c r="R204" s="93" t="n">
        <v>14</v>
      </c>
      <c r="S204" s="93" t="n">
        <v>1</v>
      </c>
      <c r="T204" s="92" t="inlineStr">
        <is>
          <t xml:space="preserve">I-MX-3      </t>
        </is>
      </c>
      <c r="U204" s="93" t="n">
        <v>398</v>
      </c>
      <c r="V204" s="710" t="n">
        <v>17185</v>
      </c>
      <c r="W204" s="710" t="n">
        <v>17000</v>
      </c>
      <c r="X204" s="712" t="inlineStr">
        <is>
          <t>2.9:1</t>
        </is>
      </c>
      <c r="Y204" s="710" t="n">
        <v>6000</v>
      </c>
      <c r="Z204" s="92" t="inlineStr">
        <is>
          <t xml:space="preserve">C </t>
        </is>
      </c>
      <c r="AA204" s="93" t="n"/>
      <c r="AB204" s="93" t="n"/>
      <c r="AC204" s="93" t="n"/>
      <c r="AD204" s="93" t="inlineStr">
        <is>
          <t>S-W NEW MEXICO DISTR</t>
        </is>
      </c>
      <c r="AE204" s="93" t="n"/>
      <c r="AF204" s="93" t="n"/>
      <c r="AG204" s="93" t="n"/>
      <c r="AH204" s="93" t="n"/>
      <c r="AI204" s="93" t="n"/>
      <c r="AK204" s="265" t="inlineStr"/>
      <c r="AL204">
        <f>IF(AND(ISNUMBER($S204),$S204&gt;0,ISNUMBER($K204),ISNUMBER($J204)),($K204*$J204)/$S204,"")</f>
        <v/>
      </c>
      <c r="AM204" s="93" t="n"/>
      <c r="AN204" s="93" t="n"/>
      <c r="AO204" s="93" t="n"/>
      <c r="AP204" s="93" t="n"/>
      <c r="AQ204" s="93" t="n"/>
    </row>
    <row r="205" ht="14" customHeight="1" s="518">
      <c r="A205" s="106" t="n">
        <v>6</v>
      </c>
      <c r="B205" s="93" t="n">
        <v>199</v>
      </c>
      <c r="C205" s="93" t="inlineStr">
        <is>
          <t>2013Q</t>
        </is>
      </c>
      <c r="D205" s="93" t="inlineStr">
        <is>
          <t xml:space="preserve">05094-08-034-000 </t>
        </is>
      </c>
      <c r="E205" s="92" t="inlineStr">
        <is>
          <t>Actual</t>
        </is>
      </c>
      <c r="F205" s="93" t="inlineStr">
        <is>
          <t>260 S RARITAN              ST</t>
        </is>
      </c>
      <c r="G205" s="93" t="n">
        <v>44.2</v>
      </c>
      <c r="H205" s="93" t="n">
        <v>9508</v>
      </c>
      <c r="I205" s="92" t="n">
        <v>0</v>
      </c>
      <c r="J205" s="710" t="n">
        <v>4492</v>
      </c>
      <c r="K205" s="711" t="n">
        <v>8.800000000000001</v>
      </c>
      <c r="L205" s="108" t="n">
        <v>0</v>
      </c>
      <c r="M205" s="97" t="n">
        <v>0</v>
      </c>
      <c r="N205" s="93" t="n">
        <v>1980</v>
      </c>
      <c r="O205" s="93" t="n">
        <v>2124</v>
      </c>
      <c r="P205" s="93" t="n">
        <v>0</v>
      </c>
      <c r="Q205" s="93" t="n">
        <v>20</v>
      </c>
      <c r="R205" s="93" t="n">
        <v>1</v>
      </c>
      <c r="S205" s="93" t="n">
        <v>1</v>
      </c>
      <c r="T205" s="92" t="inlineStr">
        <is>
          <t xml:space="preserve">PUD         </t>
        </is>
      </c>
      <c r="U205" s="93" t="n">
        <v>398</v>
      </c>
      <c r="V205" s="710" t="n">
        <v>10000</v>
      </c>
      <c r="W205" s="710" t="n">
        <v>10000</v>
      </c>
      <c r="X205" s="712" t="inlineStr">
        <is>
          <t>2.2:1</t>
        </is>
      </c>
      <c r="Y205" s="710" t="n">
        <v>4000</v>
      </c>
      <c r="Z205" s="92" t="inlineStr">
        <is>
          <t xml:space="preserve">C </t>
        </is>
      </c>
      <c r="AA205" s="93" t="n"/>
      <c r="AB205" s="93" t="n"/>
      <c r="AC205" s="93" t="n"/>
      <c r="AD205" s="93" t="inlineStr">
        <is>
          <t>S-W MCBRIDE LIGHTING</t>
        </is>
      </c>
      <c r="AE205" s="93" t="n"/>
      <c r="AF205" s="93" t="n"/>
      <c r="AG205" s="93" t="n"/>
      <c r="AH205" s="93" t="n"/>
      <c r="AI205" s="93" t="n"/>
      <c r="AK205" s="265" t="inlineStr"/>
      <c r="AL205">
        <f>IF(AND(ISNUMBER($S205),$S205&gt;0,ISNUMBER($K205),ISNUMBER($J205)),($K205*$J205)/$S205,"")</f>
        <v/>
      </c>
      <c r="AM205" s="93" t="n"/>
      <c r="AN205" s="93" t="n"/>
      <c r="AO205" s="93" t="n"/>
      <c r="AP205" s="93" t="n"/>
      <c r="AQ205" s="93" t="n"/>
    </row>
    <row r="206" ht="14" customHeight="1" s="518">
      <c r="A206" s="106" t="n">
        <v>6</v>
      </c>
      <c r="B206" s="93" t="n">
        <v>200</v>
      </c>
      <c r="C206" s="93" t="inlineStr">
        <is>
          <t>2013Q</t>
        </is>
      </c>
      <c r="D206" s="93" t="inlineStr">
        <is>
          <t xml:space="preserve">05095-07-029-000 </t>
        </is>
      </c>
      <c r="E206" s="92" t="inlineStr">
        <is>
          <t>Actual</t>
        </is>
      </c>
      <c r="F206" s="93" t="inlineStr">
        <is>
          <t>1531 W BAYAUD               AV</t>
        </is>
      </c>
      <c r="G206" s="93" t="n">
        <v>44.2</v>
      </c>
      <c r="H206" s="93" t="n">
        <v>9508</v>
      </c>
      <c r="I206" s="92" t="n">
        <v>0</v>
      </c>
      <c r="J206" s="710" t="n">
        <v>11688</v>
      </c>
      <c r="K206" s="711" t="n">
        <v>5.809414466130884</v>
      </c>
      <c r="L206" s="108" t="n">
        <v>0</v>
      </c>
      <c r="M206" s="97" t="n">
        <v>0</v>
      </c>
      <c r="N206" s="93" t="n">
        <v>1985</v>
      </c>
      <c r="O206" s="93" t="n">
        <v>1322</v>
      </c>
      <c r="P206" s="93" t="n">
        <v>0</v>
      </c>
      <c r="Q206" s="93" t="n">
        <v>14</v>
      </c>
      <c r="R206" s="93" t="n">
        <v>3</v>
      </c>
      <c r="S206" s="93" t="n">
        <v>3</v>
      </c>
      <c r="T206" s="92" t="inlineStr">
        <is>
          <t xml:space="preserve">I-MX-3      </t>
        </is>
      </c>
      <c r="U206" s="93" t="n">
        <v>398</v>
      </c>
      <c r="V206" s="710" t="n">
        <v>19950</v>
      </c>
      <c r="W206" s="710" t="n">
        <v>20000</v>
      </c>
      <c r="X206" s="712" t="inlineStr">
        <is>
          <t>1.7:1</t>
        </is>
      </c>
      <c r="Y206" s="710" t="n">
        <v>12000</v>
      </c>
      <c r="Z206" s="92" t="inlineStr">
        <is>
          <t xml:space="preserve">C </t>
        </is>
      </c>
      <c r="AA206" s="93" t="n"/>
      <c r="AB206" s="93" t="n"/>
      <c r="AC206" s="93" t="n"/>
      <c r="AD206" s="93" t="inlineStr">
        <is>
          <t xml:space="preserve">WAREHOUSE           </t>
        </is>
      </c>
      <c r="AE206" s="93" t="n"/>
      <c r="AF206" s="93" t="n"/>
      <c r="AG206" s="93" t="n"/>
      <c r="AH206" s="93" t="n"/>
      <c r="AI206" s="93" t="n"/>
      <c r="AK206" s="265" t="inlineStr">
        <is>
          <t xml:space="preserve">CAN'T SEPARATE OWNER &amp; TENANT EXPENSES.                           </t>
        </is>
      </c>
      <c r="AL206">
        <f>IF(AND(ISNUMBER($S206),$S206&gt;0,ISNUMBER($K206),ISNUMBER($J206)),($K206*$J206)/$S206,"")</f>
        <v/>
      </c>
      <c r="AM206" s="93" t="n"/>
      <c r="AN206" s="93" t="n"/>
      <c r="AO206" s="93" t="n"/>
      <c r="AP206" s="93" t="n"/>
      <c r="AQ206" s="93" t="n"/>
    </row>
    <row r="207" ht="14" customHeight="1" s="518">
      <c r="A207" s="106" t="n">
        <v>6</v>
      </c>
      <c r="B207" s="93" t="n">
        <v>201</v>
      </c>
      <c r="C207" s="93" t="inlineStr">
        <is>
          <t>2013Q</t>
        </is>
      </c>
      <c r="D207" s="93" t="inlineStr">
        <is>
          <t xml:space="preserve">05095-12-028-000 </t>
        </is>
      </c>
      <c r="E207" s="92" t="inlineStr">
        <is>
          <t>Actual</t>
        </is>
      </c>
      <c r="F207" s="93" t="inlineStr">
        <is>
          <t>1369 W BYERS                PL</t>
        </is>
      </c>
      <c r="G207" s="93" t="n">
        <v>44.2</v>
      </c>
      <c r="H207" s="93" t="n">
        <v>9508</v>
      </c>
      <c r="I207" s="92" t="n">
        <v>0</v>
      </c>
      <c r="J207" s="710" t="n">
        <v>8000</v>
      </c>
      <c r="K207" s="711" t="n">
        <v>6.6675</v>
      </c>
      <c r="L207" s="108" t="n">
        <v>0</v>
      </c>
      <c r="M207" s="97" t="n">
        <v>0.1059617547806524</v>
      </c>
      <c r="N207" s="93" t="n">
        <v>1977</v>
      </c>
      <c r="O207" s="93" t="n">
        <v>1376</v>
      </c>
      <c r="P207" s="93" t="n">
        <v>0</v>
      </c>
      <c r="Q207" s="93" t="n">
        <v>14</v>
      </c>
      <c r="R207" s="93" t="n">
        <v>3</v>
      </c>
      <c r="S207" s="93" t="n">
        <v>1</v>
      </c>
      <c r="T207" s="92" t="inlineStr">
        <is>
          <t xml:space="preserve">I-MX-3      </t>
        </is>
      </c>
      <c r="U207" s="93" t="n">
        <v>398</v>
      </c>
      <c r="V207" s="710" t="n">
        <v>17187</v>
      </c>
      <c r="W207" s="710" t="n">
        <v>17000</v>
      </c>
      <c r="X207" s="712" t="inlineStr">
        <is>
          <t>2.1:1</t>
        </is>
      </c>
      <c r="Y207" s="710" t="n">
        <v>8000</v>
      </c>
      <c r="Z207" s="92" t="inlineStr">
        <is>
          <t xml:space="preserve">C </t>
        </is>
      </c>
      <c r="AA207" s="93" t="n"/>
      <c r="AB207" s="93" t="n"/>
      <c r="AC207" s="93" t="n"/>
      <c r="AD207" s="93" t="inlineStr">
        <is>
          <t>WESCO LASER MACHINRY</t>
        </is>
      </c>
      <c r="AE207" s="93" t="n"/>
      <c r="AF207" s="93" t="n"/>
      <c r="AG207" s="93" t="n"/>
      <c r="AH207" s="93" t="n"/>
      <c r="AI207" s="93" t="n"/>
      <c r="AK207" s="265" t="inlineStr">
        <is>
          <t xml:space="preserve">2010 LEASES.                                                      </t>
        </is>
      </c>
      <c r="AL207">
        <f>IF(AND(ISNUMBER($S207),$S207&gt;0,ISNUMBER($K207),ISNUMBER($J207)),($K207*$J207)/$S207,"")</f>
        <v/>
      </c>
      <c r="AM207" s="93" t="n"/>
      <c r="AN207" s="93" t="n"/>
      <c r="AO207" s="93" t="n"/>
      <c r="AP207" s="93" t="n"/>
      <c r="AQ207" s="93" t="n"/>
    </row>
    <row r="208" ht="28" customHeight="1" s="518">
      <c r="A208" s="106" t="n">
        <v>6</v>
      </c>
      <c r="B208" s="93" t="n">
        <v>202</v>
      </c>
      <c r="C208" s="93" t="inlineStr">
        <is>
          <t>2013Q</t>
        </is>
      </c>
      <c r="D208" s="93" t="inlineStr">
        <is>
          <t xml:space="preserve">05095-13-008-000 </t>
        </is>
      </c>
      <c r="E208" s="92" t="inlineStr">
        <is>
          <t>Actual</t>
        </is>
      </c>
      <c r="F208" s="93" t="inlineStr">
        <is>
          <t>1254 W CEDAR                AV</t>
        </is>
      </c>
      <c r="G208" s="93" t="n">
        <v>44.2</v>
      </c>
      <c r="H208" s="93" t="n">
        <v>9508</v>
      </c>
      <c r="I208" s="92" t="n">
        <v>0</v>
      </c>
      <c r="J208" s="710" t="n">
        <v>4842</v>
      </c>
      <c r="K208" s="711" t="n">
        <v>7.2</v>
      </c>
      <c r="L208" s="108" t="n">
        <v>0</v>
      </c>
      <c r="M208" s="97" t="n">
        <v>0</v>
      </c>
      <c r="N208" s="93" t="n">
        <v>1979</v>
      </c>
      <c r="O208" s="93" t="n">
        <v>2242</v>
      </c>
      <c r="P208" s="93" t="n">
        <v>521</v>
      </c>
      <c r="Q208" s="93" t="n">
        <v>16</v>
      </c>
      <c r="R208" s="93" t="n">
        <v>3</v>
      </c>
      <c r="S208" s="93" t="n">
        <v>1</v>
      </c>
      <c r="T208" s="92" t="inlineStr">
        <is>
          <t xml:space="preserve">I-MX-3      </t>
        </is>
      </c>
      <c r="U208" s="93" t="n">
        <v>398</v>
      </c>
      <c r="V208" s="710" t="n">
        <v>10000</v>
      </c>
      <c r="W208" s="710" t="n">
        <v>10000</v>
      </c>
      <c r="X208" s="712" t="inlineStr">
        <is>
          <t>2.1:1</t>
        </is>
      </c>
      <c r="Y208" s="710" t="n">
        <v>5000</v>
      </c>
      <c r="Z208" s="92" t="inlineStr">
        <is>
          <t xml:space="preserve">C </t>
        </is>
      </c>
      <c r="AA208" s="93" t="n"/>
      <c r="AB208" s="93" t="n"/>
      <c r="AC208" s="93" t="n"/>
      <c r="AD208" s="93" t="inlineStr">
        <is>
          <t xml:space="preserve">PREMIER  PRINTING   </t>
        </is>
      </c>
      <c r="AE208" s="93" t="n"/>
      <c r="AF208" s="93" t="n"/>
      <c r="AG208" s="93" t="n"/>
      <c r="AH208" s="93" t="n"/>
      <c r="AI208" s="93" t="n"/>
      <c r="AK208" s="265" t="inlineStr">
        <is>
          <t xml:space="preserve">CAN'T SEPARATE OWNER VS. TENANT EXPENSES.                         </t>
        </is>
      </c>
      <c r="AL208">
        <f>IF(AND(ISNUMBER($S208),$S208&gt;0,ISNUMBER($K208),ISNUMBER($J208)),($K208*$J208)/$S208,"")</f>
        <v/>
      </c>
      <c r="AM208" s="93" t="n"/>
      <c r="AN208" s="93" t="n"/>
      <c r="AO208" s="93" t="n"/>
      <c r="AP208" s="93" t="n"/>
      <c r="AQ208" s="93" t="n"/>
    </row>
    <row r="209" ht="14" customHeight="1" s="518">
      <c r="A209" s="106" t="n">
        <v>6</v>
      </c>
      <c r="B209" s="93" t="n">
        <v>203</v>
      </c>
      <c r="C209" s="93" t="inlineStr">
        <is>
          <t>2013Q</t>
        </is>
      </c>
      <c r="D209" s="93" t="inlineStr">
        <is>
          <t xml:space="preserve">05095-13-032-000 </t>
        </is>
      </c>
      <c r="E209" s="92" t="inlineStr">
        <is>
          <t>Actual</t>
        </is>
      </c>
      <c r="F209" s="93" t="inlineStr">
        <is>
          <t>1270 W CEDAR                AV</t>
        </is>
      </c>
      <c r="G209" s="93" t="n">
        <v>44.1</v>
      </c>
      <c r="H209" s="93" t="n">
        <v>9508</v>
      </c>
      <c r="I209" s="92" t="n">
        <v>0</v>
      </c>
      <c r="J209" s="710" t="n">
        <v>8868</v>
      </c>
      <c r="K209" s="711" t="n">
        <v>7.611637347767253</v>
      </c>
      <c r="L209" s="108" t="n">
        <v>0</v>
      </c>
      <c r="M209" s="97" t="n">
        <v>0</v>
      </c>
      <c r="N209" s="93" t="n">
        <v>1980</v>
      </c>
      <c r="O209" s="93" t="n">
        <v>2248</v>
      </c>
      <c r="P209" s="93" t="n">
        <v>0</v>
      </c>
      <c r="Q209" s="93" t="n">
        <v>15</v>
      </c>
      <c r="R209" s="93" t="n">
        <v>3</v>
      </c>
      <c r="S209" s="93" t="n">
        <v>3</v>
      </c>
      <c r="T209" s="92" t="inlineStr">
        <is>
          <t xml:space="preserve">I-MX-3      </t>
        </is>
      </c>
      <c r="U209" s="93" t="n">
        <v>398</v>
      </c>
      <c r="V209" s="710" t="n">
        <v>18125</v>
      </c>
      <c r="W209" s="710" t="n">
        <v>18000</v>
      </c>
      <c r="X209" s="712" t="inlineStr">
        <is>
          <t>2:1</t>
        </is>
      </c>
      <c r="Y209" s="710" t="n">
        <v>9000</v>
      </c>
      <c r="Z209" s="92" t="inlineStr">
        <is>
          <t xml:space="preserve">C </t>
        </is>
      </c>
      <c r="AA209" s="93" t="n"/>
      <c r="AB209" s="93" t="n"/>
      <c r="AC209" s="93" t="n"/>
      <c r="AD209" s="93" t="inlineStr"/>
      <c r="AE209" s="93" t="n"/>
      <c r="AF209" s="93" t="n"/>
      <c r="AG209" s="93" t="n"/>
      <c r="AH209" s="93" t="n"/>
      <c r="AI209" s="93" t="n"/>
      <c r="AK209" s="265" t="inlineStr">
        <is>
          <t xml:space="preserve">PARTIALLY OWNER-OCCUPIED.                                         </t>
        </is>
      </c>
      <c r="AL209">
        <f>IF(AND(ISNUMBER($S209),$S209&gt;0,ISNUMBER($K209),ISNUMBER($J209)),($K209*$J209)/$S209,"")</f>
        <v/>
      </c>
      <c r="AM209" s="93" t="n"/>
      <c r="AN209" s="93" t="n"/>
      <c r="AO209" s="93" t="n"/>
      <c r="AP209" s="93" t="n"/>
      <c r="AQ209" s="93" t="n"/>
    </row>
    <row r="210" ht="28" customHeight="1" s="518">
      <c r="A210" s="106" t="n">
        <v>6</v>
      </c>
      <c r="B210" s="93" t="n">
        <v>204</v>
      </c>
      <c r="C210" s="93" t="inlineStr">
        <is>
          <t>2013Q</t>
        </is>
      </c>
      <c r="D210" s="93" t="inlineStr">
        <is>
          <t xml:space="preserve">05095-15-045-000 </t>
        </is>
      </c>
      <c r="E210" s="92" t="inlineStr">
        <is>
          <t>Actual</t>
        </is>
      </c>
      <c r="F210" s="93" t="inlineStr">
        <is>
          <t>1340 W BYERS                PL</t>
        </is>
      </c>
      <c r="G210" s="93" t="n">
        <v>44.2</v>
      </c>
      <c r="H210" s="93" t="n">
        <v>9508</v>
      </c>
      <c r="I210" s="92" t="n">
        <v>0</v>
      </c>
      <c r="J210" s="710" t="n">
        <v>8142</v>
      </c>
      <c r="K210" s="711" t="n">
        <v>7.363636363636363</v>
      </c>
      <c r="L210" s="108" t="n">
        <v>0</v>
      </c>
      <c r="M210" s="97" t="n">
        <v>0</v>
      </c>
      <c r="N210" s="93" t="n">
        <v>1984</v>
      </c>
      <c r="O210" s="93" t="n">
        <v>2738</v>
      </c>
      <c r="P210" s="93" t="n">
        <v>0</v>
      </c>
      <c r="Q210" s="93" t="n">
        <v>14</v>
      </c>
      <c r="R210" s="93" t="n">
        <v>3</v>
      </c>
      <c r="S210" s="93" t="n">
        <v>2</v>
      </c>
      <c r="T210" s="92" t="inlineStr">
        <is>
          <t xml:space="preserve">I-MX-3      </t>
        </is>
      </c>
      <c r="U210" s="93" t="n">
        <v>398</v>
      </c>
      <c r="V210" s="710" t="n">
        <v>12500</v>
      </c>
      <c r="W210" s="710" t="n">
        <v>13000</v>
      </c>
      <c r="X210" s="712" t="inlineStr">
        <is>
          <t>1.5:1</t>
        </is>
      </c>
      <c r="Y210" s="710" t="n">
        <v>8000</v>
      </c>
      <c r="Z210" s="92" t="inlineStr">
        <is>
          <t xml:space="preserve">C </t>
        </is>
      </c>
      <c r="AA210" s="93" t="n"/>
      <c r="AB210" s="93" t="n"/>
      <c r="AC210" s="93" t="n"/>
      <c r="AD210" s="93" t="inlineStr"/>
      <c r="AE210" s="93" t="n"/>
      <c r="AF210" s="93" t="n"/>
      <c r="AG210" s="93" t="n"/>
      <c r="AH210" s="93" t="n"/>
      <c r="AI210" s="93" t="n"/>
      <c r="AK210" s="265" t="inlineStr">
        <is>
          <t xml:space="preserve">2010 LEASE; PARTIALLY OWNER-OCC = NO ALLOCATION OF EXPENSES.      </t>
        </is>
      </c>
      <c r="AL210">
        <f>IF(AND(ISNUMBER($S210),$S210&gt;0,ISNUMBER($K210),ISNUMBER($J210)),($K210*$J210)/$S210,"")</f>
        <v/>
      </c>
      <c r="AM210" s="93" t="n"/>
      <c r="AN210" s="93" t="n"/>
      <c r="AO210" s="93" t="n"/>
      <c r="AP210" s="93" t="n"/>
      <c r="AQ210" s="93" t="n"/>
    </row>
    <row r="211" ht="14" customHeight="1" s="518">
      <c r="A211" s="106" t="n">
        <v>6</v>
      </c>
      <c r="B211" s="93" t="n">
        <v>205</v>
      </c>
      <c r="C211" s="93" t="inlineStr">
        <is>
          <t>2013Q</t>
        </is>
      </c>
      <c r="D211" s="93" t="inlineStr">
        <is>
          <t xml:space="preserve">05096-04-057-000 </t>
        </is>
      </c>
      <c r="E211" s="92" t="inlineStr">
        <is>
          <t>Actual</t>
        </is>
      </c>
      <c r="F211" s="93" t="inlineStr">
        <is>
          <t>22   LIPAN                ST</t>
        </is>
      </c>
      <c r="G211" s="93" t="n">
        <v>47.2</v>
      </c>
      <c r="H211" s="93" t="n">
        <v>9505</v>
      </c>
      <c r="I211" s="92" t="n">
        <v>0</v>
      </c>
      <c r="J211" s="710" t="n">
        <v>7585</v>
      </c>
      <c r="K211" s="711" t="n">
        <v>7.119314436387607</v>
      </c>
      <c r="L211" s="108" t="n">
        <v>0</v>
      </c>
      <c r="M211" s="97" t="n">
        <v>0</v>
      </c>
      <c r="N211" s="93" t="n">
        <v>1957</v>
      </c>
      <c r="O211" s="93" t="n">
        <v>0</v>
      </c>
      <c r="P211" s="93" t="n">
        <v>0</v>
      </c>
      <c r="Q211" s="93" t="n">
        <v>12</v>
      </c>
      <c r="R211" s="93" t="n">
        <v>3</v>
      </c>
      <c r="S211" s="93" t="n">
        <v>1</v>
      </c>
      <c r="T211" s="92" t="inlineStr">
        <is>
          <t xml:space="preserve">I-A         </t>
        </is>
      </c>
      <c r="U211" s="93" t="n">
        <v>401</v>
      </c>
      <c r="V211" s="710" t="n">
        <v>19000</v>
      </c>
      <c r="W211" s="710" t="n">
        <v>19000</v>
      </c>
      <c r="X211" s="712" t="inlineStr">
        <is>
          <t>2.5:1</t>
        </is>
      </c>
      <c r="Y211" s="710" t="n">
        <v>8000</v>
      </c>
      <c r="Z211" s="92" t="inlineStr">
        <is>
          <t xml:space="preserve">C </t>
        </is>
      </c>
      <c r="AA211" s="93" t="n"/>
      <c r="AB211" s="93" t="n"/>
      <c r="AC211" s="93" t="n"/>
      <c r="AD211" s="93" t="inlineStr"/>
      <c r="AE211" s="93" t="n"/>
      <c r="AF211" s="93" t="n"/>
      <c r="AG211" s="93" t="n"/>
      <c r="AH211" s="93" t="n"/>
      <c r="AI211" s="93" t="n"/>
      <c r="AK211" s="265" t="inlineStr"/>
      <c r="AL211">
        <f>IF(AND(ISNUMBER($S211),$S211&gt;0,ISNUMBER($K211),ISNUMBER($J211)),($K211*$J211)/$S211,"")</f>
        <v/>
      </c>
      <c r="AM211" s="93" t="n"/>
      <c r="AN211" s="93" t="n"/>
      <c r="AO211" s="93" t="n"/>
      <c r="AP211" s="93" t="n"/>
      <c r="AQ211" s="93" t="n"/>
    </row>
    <row r="212" ht="14" customHeight="1" s="518">
      <c r="A212" s="106" t="n">
        <v>6</v>
      </c>
      <c r="B212" s="93" t="n">
        <v>206</v>
      </c>
      <c r="C212" s="93" t="inlineStr">
        <is>
          <t>2013Q</t>
        </is>
      </c>
      <c r="D212" s="93" t="inlineStr">
        <is>
          <t xml:space="preserve">05096-18-016-000 </t>
        </is>
      </c>
      <c r="E212" s="92" t="inlineStr">
        <is>
          <t>Actual</t>
        </is>
      </c>
      <c r="F212" s="93" t="inlineStr">
        <is>
          <t>285 S SANTA FE             DR</t>
        </is>
      </c>
      <c r="G212" s="93" t="n">
        <v>44.1</v>
      </c>
      <c r="H212" s="93" t="n">
        <v>9505</v>
      </c>
      <c r="I212" s="92" t="n">
        <v>3</v>
      </c>
      <c r="J212" s="710" t="n">
        <v>6802</v>
      </c>
      <c r="K212" s="711" t="n">
        <v>8.919729491326081</v>
      </c>
      <c r="L212" s="108" t="n">
        <v>0</v>
      </c>
      <c r="M212" s="97" t="n">
        <v>0</v>
      </c>
      <c r="N212" s="93" t="n">
        <v>1971</v>
      </c>
      <c r="O212" s="93" t="n">
        <v>1338</v>
      </c>
      <c r="P212" s="93" t="n">
        <v>0</v>
      </c>
      <c r="Q212" s="93" t="n">
        <v>20</v>
      </c>
      <c r="R212" s="93" t="n">
        <v>7</v>
      </c>
      <c r="S212" s="93" t="n">
        <v>1</v>
      </c>
      <c r="T212" s="92" t="inlineStr">
        <is>
          <t xml:space="preserve">I-A         </t>
        </is>
      </c>
      <c r="U212" s="93" t="n">
        <v>398</v>
      </c>
      <c r="V212" s="710" t="n">
        <v>13864</v>
      </c>
      <c r="W212" s="710" t="n">
        <v>14000</v>
      </c>
      <c r="X212" s="712" t="inlineStr">
        <is>
          <t>2:1</t>
        </is>
      </c>
      <c r="Y212" s="710" t="n">
        <v>7000</v>
      </c>
      <c r="Z212" s="92" t="inlineStr">
        <is>
          <t xml:space="preserve">C </t>
        </is>
      </c>
      <c r="AA212" s="93" t="n"/>
      <c r="AB212" s="93" t="n"/>
      <c r="AC212" s="93" t="n"/>
      <c r="AD212" s="93" t="inlineStr">
        <is>
          <t xml:space="preserve">WHSE/DIST PLUMBING  </t>
        </is>
      </c>
      <c r="AE212" s="93" t="n"/>
      <c r="AF212" s="93" t="n"/>
      <c r="AG212" s="93" t="n"/>
      <c r="AH212" s="93" t="n"/>
      <c r="AI212" s="93" t="n"/>
      <c r="AK212" s="265" t="inlineStr">
        <is>
          <t xml:space="preserve">2009 LEASE.                                                       </t>
        </is>
      </c>
      <c r="AL212">
        <f>IF(AND(ISNUMBER($S212),$S212&gt;0,ISNUMBER($K212),ISNUMBER($J212)),($K212*$J212)/$S212,"")</f>
        <v/>
      </c>
      <c r="AM212" s="93" t="n"/>
      <c r="AN212" s="93" t="n"/>
      <c r="AO212" s="93" t="n"/>
      <c r="AP212" s="93" t="n"/>
      <c r="AQ212" s="93" t="n"/>
    </row>
    <row r="213" ht="14" customHeight="1" s="518">
      <c r="A213" s="106" t="n">
        <v>6</v>
      </c>
      <c r="B213" s="93" t="n">
        <v>207</v>
      </c>
      <c r="C213" s="93" t="inlineStr">
        <is>
          <t>2013Q</t>
        </is>
      </c>
      <c r="D213" s="93" t="inlineStr">
        <is>
          <t xml:space="preserve">05103-23-018-000 </t>
        </is>
      </c>
      <c r="E213" s="92" t="inlineStr">
        <is>
          <t>Actual</t>
        </is>
      </c>
      <c r="F213" s="93" t="inlineStr">
        <is>
          <t>495 W CEDAR                AV</t>
        </is>
      </c>
      <c r="G213" s="93" t="n">
        <v>47.2</v>
      </c>
      <c r="H213" s="93" t="n">
        <v>9505</v>
      </c>
      <c r="I213" s="92" t="n">
        <v>0</v>
      </c>
      <c r="J213" s="710" t="n">
        <v>6624</v>
      </c>
      <c r="K213" s="711" t="n">
        <v>8.312801932367149</v>
      </c>
      <c r="L213" s="108" t="n">
        <v>0</v>
      </c>
      <c r="M213" s="97" t="n">
        <v>0</v>
      </c>
      <c r="N213" s="93" t="n">
        <v>1976</v>
      </c>
      <c r="O213" s="93" t="n">
        <v>4224</v>
      </c>
      <c r="P213" s="93" t="n">
        <v>0</v>
      </c>
      <c r="Q213" s="93" t="n">
        <v>12</v>
      </c>
      <c r="R213" s="93" t="n">
        <v>3</v>
      </c>
      <c r="S213" s="93" t="n">
        <v>1</v>
      </c>
      <c r="T213" s="92" t="inlineStr">
        <is>
          <t xml:space="preserve">I-MX-5      </t>
        </is>
      </c>
      <c r="U213" s="93" t="n">
        <v>401</v>
      </c>
      <c r="V213" s="710" t="n">
        <v>18200</v>
      </c>
      <c r="W213" s="710" t="n">
        <v>18000</v>
      </c>
      <c r="X213" s="712" t="inlineStr">
        <is>
          <t>2.7:1</t>
        </is>
      </c>
      <c r="Y213" s="710" t="n">
        <v>7000</v>
      </c>
      <c r="Z213" s="92" t="inlineStr">
        <is>
          <t xml:space="preserve">C </t>
        </is>
      </c>
      <c r="AA213" s="93" t="n"/>
      <c r="AB213" s="93" t="n"/>
      <c r="AC213" s="93" t="n"/>
      <c r="AD213" s="93" t="inlineStr">
        <is>
          <t xml:space="preserve">WALMAN OPTICAL      </t>
        </is>
      </c>
      <c r="AE213" s="93" t="n"/>
      <c r="AF213" s="93" t="n"/>
      <c r="AG213" s="93" t="n"/>
      <c r="AH213" s="93" t="n"/>
      <c r="AI213" s="93" t="n"/>
      <c r="AK213" s="265" t="inlineStr">
        <is>
          <t xml:space="preserve">2009 LEASE.                                                       </t>
        </is>
      </c>
      <c r="AL213">
        <f>IF(AND(ISNUMBER($S213),$S213&gt;0,ISNUMBER($K213),ISNUMBER($J213)),($K213*$J213)/$S213,"")</f>
        <v/>
      </c>
      <c r="AM213" s="93" t="n"/>
      <c r="AN213" s="93" t="n"/>
      <c r="AO213" s="93" t="n"/>
      <c r="AP213" s="93" t="n"/>
      <c r="AQ213" s="93" t="n"/>
    </row>
    <row r="214" ht="14" customHeight="1" s="518">
      <c r="A214" s="106" t="n">
        <v>6</v>
      </c>
      <c r="B214" s="93" t="n">
        <v>208</v>
      </c>
      <c r="C214" s="93" t="inlineStr">
        <is>
          <t>2013Q</t>
        </is>
      </c>
      <c r="D214" s="93" t="inlineStr">
        <is>
          <t xml:space="preserve">05113-05-001-000 </t>
        </is>
      </c>
      <c r="E214" s="92" t="inlineStr">
        <is>
          <t>Actual</t>
        </is>
      </c>
      <c r="F214" s="93" t="inlineStr">
        <is>
          <t>560   PEARL                ST</t>
        </is>
      </c>
      <c r="G214" s="93" t="n">
        <v>42.1</v>
      </c>
      <c r="H214" s="93" t="n">
        <v>9502</v>
      </c>
      <c r="I214" s="92" t="n">
        <v>0</v>
      </c>
      <c r="J214" s="710" t="n">
        <v>9147</v>
      </c>
      <c r="K214" s="711" t="n">
        <v>11.16158303268831</v>
      </c>
      <c r="L214" s="108" t="n">
        <v>0</v>
      </c>
      <c r="M214" s="97" t="n">
        <v>0.05551692051520642</v>
      </c>
      <c r="N214" s="93" t="n">
        <v>1935</v>
      </c>
      <c r="O214" s="93" t="n">
        <v>1469</v>
      </c>
      <c r="P214" s="93" t="n">
        <v>0</v>
      </c>
      <c r="Q214" s="93" t="n">
        <v>14</v>
      </c>
      <c r="R214" s="93" t="n">
        <v>1</v>
      </c>
      <c r="S214" s="93" t="n">
        <v>2</v>
      </c>
      <c r="T214" s="92" t="inlineStr">
        <is>
          <t xml:space="preserve">U-MS-2      </t>
        </is>
      </c>
      <c r="U214" s="93" t="n">
        <v>401</v>
      </c>
      <c r="V214" s="710" t="n">
        <v>12500</v>
      </c>
      <c r="W214" s="710" t="n">
        <v>13000</v>
      </c>
      <c r="X214" s="712" t="inlineStr">
        <is>
          <t>1.4:1</t>
        </is>
      </c>
      <c r="Y214" s="710" t="n">
        <v>9000</v>
      </c>
      <c r="Z214" s="92" t="inlineStr">
        <is>
          <t xml:space="preserve">C </t>
        </is>
      </c>
      <c r="AA214" s="93" t="n"/>
      <c r="AB214" s="93" t="n"/>
      <c r="AC214" s="93" t="n"/>
      <c r="AD214" s="93" t="inlineStr">
        <is>
          <t>HANNECK DRY CLEANERS</t>
        </is>
      </c>
      <c r="AE214" s="93" t="n"/>
      <c r="AF214" s="93" t="n"/>
      <c r="AG214" s="93" t="n"/>
      <c r="AH214" s="93" t="n"/>
      <c r="AI214" s="93" t="n"/>
      <c r="AK214" s="265" t="inlineStr">
        <is>
          <t xml:space="preserve">2009 LEASES.                                                      </t>
        </is>
      </c>
      <c r="AL214">
        <f>IF(AND(ISNUMBER($S214),$S214&gt;0,ISNUMBER($K214),ISNUMBER($J214)),($K214*$J214)/$S214,"")</f>
        <v/>
      </c>
      <c r="AM214" s="93" t="inlineStr"/>
      <c r="AN214" s="93" t="n"/>
      <c r="AO214" s="93" t="n"/>
      <c r="AP214" s="93" t="n"/>
      <c r="AQ214" s="93" t="n"/>
    </row>
    <row r="215" ht="14" customHeight="1" s="518">
      <c r="A215" s="106" t="n">
        <v>6</v>
      </c>
      <c r="B215" s="93" t="n">
        <v>209</v>
      </c>
      <c r="C215" s="93" t="inlineStr">
        <is>
          <t>2013Q</t>
        </is>
      </c>
      <c r="D215" s="93" t="inlineStr">
        <is>
          <t xml:space="preserve">05154-02-018-000 </t>
        </is>
      </c>
      <c r="E215" s="92" t="inlineStr">
        <is>
          <t>Actual</t>
        </is>
      </c>
      <c r="F215" s="93" t="inlineStr">
        <is>
          <t>515 W MISSISSIPPI          AV</t>
        </is>
      </c>
      <c r="G215" s="93" t="n">
        <v>44.2</v>
      </c>
      <c r="H215" s="93" t="n">
        <v>9506</v>
      </c>
      <c r="I215" s="92" t="n">
        <v>0</v>
      </c>
      <c r="J215" s="710" t="n">
        <v>38526</v>
      </c>
      <c r="K215" s="711" t="n">
        <v>4.818512173597052</v>
      </c>
      <c r="L215" s="108" t="n">
        <v>0</v>
      </c>
      <c r="M215" s="97" t="n">
        <v>0</v>
      </c>
      <c r="N215" s="93" t="n">
        <v>1969</v>
      </c>
      <c r="O215" s="93" t="n">
        <v>4748</v>
      </c>
      <c r="P215" s="93" t="n">
        <v>0</v>
      </c>
      <c r="Q215" s="93" t="n">
        <v>22</v>
      </c>
      <c r="R215" s="93" t="n">
        <v>1</v>
      </c>
      <c r="S215" s="93" t="n">
        <v>1</v>
      </c>
      <c r="T215" s="92" t="inlineStr">
        <is>
          <t xml:space="preserve">I-A         </t>
        </is>
      </c>
      <c r="U215" s="93" t="n">
        <v>398</v>
      </c>
      <c r="V215" s="710" t="n">
        <v>62533</v>
      </c>
      <c r="W215" s="710" t="n">
        <v>63000</v>
      </c>
      <c r="X215" s="712" t="inlineStr">
        <is>
          <t>1.6:1</t>
        </is>
      </c>
      <c r="Y215" s="710" t="n">
        <v>39000</v>
      </c>
      <c r="Z215" s="92" t="inlineStr">
        <is>
          <t xml:space="preserve">C </t>
        </is>
      </c>
      <c r="AA215" s="93" t="n"/>
      <c r="AB215" s="93" t="n"/>
      <c r="AC215" s="93" t="n"/>
      <c r="AD215" s="93" t="inlineStr">
        <is>
          <t xml:space="preserve">DIST                </t>
        </is>
      </c>
      <c r="AE215" s="93" t="n"/>
      <c r="AF215" s="93" t="n"/>
      <c r="AG215" s="93" t="n"/>
      <c r="AH215" s="93" t="n"/>
      <c r="AI215" s="93" t="n"/>
      <c r="AK215" s="265" t="inlineStr"/>
      <c r="AL215">
        <f>IF(AND(ISNUMBER($S215),$S215&gt;0,ISNUMBER($K215),ISNUMBER($J215)),($K215*$J215)/$S215,"")</f>
        <v/>
      </c>
      <c r="AM215" s="93" t="n"/>
      <c r="AN215" s="93" t="n"/>
      <c r="AO215" s="93" t="n"/>
      <c r="AP215" s="93" t="n"/>
      <c r="AQ215" s="93" t="n"/>
    </row>
    <row r="216" ht="14" customHeight="1" s="518">
      <c r="A216" s="106" t="n">
        <v>6</v>
      </c>
      <c r="B216" s="93" t="n">
        <v>210</v>
      </c>
      <c r="C216" s="93" t="inlineStr">
        <is>
          <t>2013Q</t>
        </is>
      </c>
      <c r="D216" s="93" t="inlineStr">
        <is>
          <t xml:space="preserve">05154-02-019-000 </t>
        </is>
      </c>
      <c r="E216" s="92" t="inlineStr">
        <is>
          <t>Actual</t>
        </is>
      </c>
      <c r="F216" s="93" t="inlineStr">
        <is>
          <t>1050 S FOX                  ST</t>
        </is>
      </c>
      <c r="G216" s="93" t="n">
        <v>44.1</v>
      </c>
      <c r="H216" s="93" t="n">
        <v>9506</v>
      </c>
      <c r="I216" s="92" t="n">
        <v>0</v>
      </c>
      <c r="J216" s="710" t="n">
        <v>9104</v>
      </c>
      <c r="K216" s="711" t="n">
        <v>6.590509666080844</v>
      </c>
      <c r="L216" s="108" t="n">
        <v>0</v>
      </c>
      <c r="M216" s="97" t="n">
        <v>0</v>
      </c>
      <c r="N216" s="93" t="n">
        <v>1980</v>
      </c>
      <c r="O216" s="93" t="n">
        <v>4079</v>
      </c>
      <c r="P216" s="93" t="n">
        <v>0</v>
      </c>
      <c r="Q216" s="93" t="n">
        <v>16</v>
      </c>
      <c r="R216" s="93" t="n">
        <v>1</v>
      </c>
      <c r="S216" s="93" t="n">
        <v>1</v>
      </c>
      <c r="T216" s="92" t="inlineStr">
        <is>
          <t xml:space="preserve">I-A         </t>
        </is>
      </c>
      <c r="U216" s="93" t="n">
        <v>398</v>
      </c>
      <c r="V216" s="710" t="n">
        <v>25695</v>
      </c>
      <c r="W216" s="710" t="n">
        <v>26000</v>
      </c>
      <c r="X216" s="712" t="inlineStr">
        <is>
          <t>2.8:1</t>
        </is>
      </c>
      <c r="Y216" s="710" t="n">
        <v>9000</v>
      </c>
      <c r="Z216" s="92" t="inlineStr">
        <is>
          <t xml:space="preserve">C </t>
        </is>
      </c>
      <c r="AA216" s="93" t="n"/>
      <c r="AB216" s="93" t="n"/>
      <c r="AC216" s="93" t="n"/>
      <c r="AD216" s="93" t="inlineStr">
        <is>
          <t xml:space="preserve">XCEL ENERGY         </t>
        </is>
      </c>
      <c r="AE216" s="93" t="n"/>
      <c r="AF216" s="93" t="n"/>
      <c r="AG216" s="93" t="n"/>
      <c r="AH216" s="93" t="n"/>
      <c r="AI216" s="93" t="n"/>
      <c r="AK216" s="265" t="inlineStr"/>
      <c r="AL216">
        <f>IF(AND(ISNUMBER($S216),$S216&gt;0,ISNUMBER($K216),ISNUMBER($J216)),($K216*$J216)/$S216,"")</f>
        <v/>
      </c>
      <c r="AM216" s="93" t="n"/>
      <c r="AN216" s="93" t="n"/>
      <c r="AO216" s="93" t="n"/>
      <c r="AP216" s="93" t="n"/>
      <c r="AQ216" s="93" t="n"/>
    </row>
    <row r="217" ht="28" customHeight="1" s="518">
      <c r="A217" s="106" t="n">
        <v>6</v>
      </c>
      <c r="B217" s="93" t="n">
        <v>211</v>
      </c>
      <c r="C217" s="93" t="inlineStr">
        <is>
          <t>2013Q</t>
        </is>
      </c>
      <c r="D217" s="93" t="inlineStr">
        <is>
          <t xml:space="preserve">05156-22-037-000 </t>
        </is>
      </c>
      <c r="E217" s="92" t="inlineStr">
        <is>
          <t>Actual</t>
        </is>
      </c>
      <c r="F217" s="93" t="inlineStr">
        <is>
          <t>525 E MISSISSIPPI          AV</t>
        </is>
      </c>
      <c r="G217" s="93" t="n">
        <v>44.1</v>
      </c>
      <c r="H217" s="93" t="n">
        <v>9507</v>
      </c>
      <c r="I217" s="92" t="n">
        <v>0</v>
      </c>
      <c r="J217" s="710" t="n">
        <v>6583</v>
      </c>
      <c r="K217" s="711" t="n">
        <v>10.55172413793103</v>
      </c>
      <c r="L217" s="108" t="n">
        <v>0</v>
      </c>
      <c r="M217" s="97" t="n">
        <v>0</v>
      </c>
      <c r="N217" s="93" t="n">
        <v>1949</v>
      </c>
      <c r="O217" s="93" t="n">
        <v>2226</v>
      </c>
      <c r="P217" s="93" t="n">
        <v>0</v>
      </c>
      <c r="Q217" s="93" t="n">
        <v>15</v>
      </c>
      <c r="R217" s="93" t="n">
        <v>3</v>
      </c>
      <c r="S217" s="93" t="n">
        <v>1</v>
      </c>
      <c r="T217" s="92" t="inlineStr">
        <is>
          <t xml:space="preserve">U-MS-2      </t>
        </is>
      </c>
      <c r="U217" s="93" t="n">
        <v>398</v>
      </c>
      <c r="V217" s="710" t="n">
        <v>11913</v>
      </c>
      <c r="W217" s="710" t="n">
        <v>12000</v>
      </c>
      <c r="X217" s="712" t="inlineStr">
        <is>
          <t>1.8:1</t>
        </is>
      </c>
      <c r="Y217" s="710" t="n">
        <v>7000</v>
      </c>
      <c r="Z217" s="92" t="inlineStr">
        <is>
          <t xml:space="preserve">C </t>
        </is>
      </c>
      <c r="AA217" s="93" t="n"/>
      <c r="AB217" s="93" t="n"/>
      <c r="AC217" s="93" t="n"/>
      <c r="AD217" s="93" t="inlineStr"/>
      <c r="AE217" s="93" t="n"/>
      <c r="AF217" s="93" t="n"/>
      <c r="AG217" s="93" t="n"/>
      <c r="AH217" s="93" t="n"/>
      <c r="AI217" s="93" t="n"/>
      <c r="AK217" s="265" t="inlineStr">
        <is>
          <t xml:space="preserve">NO BASIS TO ALLOCATE EXP BETWEEN OWNER AND TENANT OCCUPANCIES.    </t>
        </is>
      </c>
      <c r="AL217">
        <f>IF(AND(ISNUMBER($S217),$S217&gt;0,ISNUMBER($K217),ISNUMBER($J217)),($K217*$J217)/$S217,"")</f>
        <v/>
      </c>
      <c r="AM217" s="93" t="n"/>
      <c r="AN217" s="93" t="n"/>
      <c r="AO217" s="93" t="n"/>
      <c r="AP217" s="93" t="n"/>
      <c r="AQ217" s="93" t="n"/>
    </row>
    <row r="218" ht="14" customHeight="1" s="518">
      <c r="A218" s="106" t="n">
        <v>6</v>
      </c>
      <c r="B218" s="93" t="n">
        <v>212</v>
      </c>
      <c r="C218" s="93" t="inlineStr">
        <is>
          <t>2013Q</t>
        </is>
      </c>
      <c r="D218" s="93" t="inlineStr">
        <is>
          <t xml:space="preserve">05161-01-028-000 </t>
        </is>
      </c>
      <c r="E218" s="92" t="inlineStr">
        <is>
          <t>Actual</t>
        </is>
      </c>
      <c r="F218" s="93" t="inlineStr">
        <is>
          <t>1298 W ALAMEDA              AV</t>
        </is>
      </c>
      <c r="G218" s="93" t="n">
        <v>44.1</v>
      </c>
      <c r="H218" s="93" t="n">
        <v>9506</v>
      </c>
      <c r="I218" s="92" t="n">
        <v>9</v>
      </c>
      <c r="J218" s="710" t="n">
        <v>12148</v>
      </c>
      <c r="K218" s="711" t="n">
        <v>8.772061244649326</v>
      </c>
      <c r="L218" s="108" t="n">
        <v>0</v>
      </c>
      <c r="M218" s="97" t="n">
        <v>0</v>
      </c>
      <c r="N218" s="93" t="n">
        <v>1977</v>
      </c>
      <c r="O218" s="93" t="n">
        <v>0</v>
      </c>
      <c r="P218" s="93" t="n">
        <v>6808</v>
      </c>
      <c r="Q218" s="93" t="n">
        <v>16</v>
      </c>
      <c r="R218" s="93" t="n">
        <v>7</v>
      </c>
      <c r="S218" s="93" t="n">
        <v>1</v>
      </c>
      <c r="T218" s="92" t="inlineStr">
        <is>
          <t xml:space="preserve">I-MX-3      </t>
        </is>
      </c>
      <c r="U218" s="93" t="n">
        <v>398</v>
      </c>
      <c r="V218" s="710" t="n">
        <v>32824</v>
      </c>
      <c r="W218" s="710" t="n">
        <v>33000</v>
      </c>
      <c r="X218" s="712" t="inlineStr">
        <is>
          <t>2.7:1</t>
        </is>
      </c>
      <c r="Y218" s="710" t="n">
        <v>12000</v>
      </c>
      <c r="Z218" s="92" t="inlineStr">
        <is>
          <t xml:space="preserve">C </t>
        </is>
      </c>
      <c r="AA218" s="93" t="n"/>
      <c r="AB218" s="93" t="n"/>
      <c r="AC218" s="93" t="n"/>
      <c r="AD218" s="93" t="inlineStr"/>
      <c r="AE218" s="93" t="n"/>
      <c r="AF218" s="93" t="n"/>
      <c r="AG218" s="93" t="n"/>
      <c r="AH218" s="93" t="n"/>
      <c r="AI218" s="93" t="n"/>
      <c r="AK218" s="265" t="inlineStr">
        <is>
          <t xml:space="preserve">NNN--SIGNED 7.12--SOURCE:COSTAR                                   </t>
        </is>
      </c>
      <c r="AL218">
        <f>IF(AND(ISNUMBER($S218),$S218&gt;0,ISNUMBER($K218),ISNUMBER($J218)),($K218*$J218)/$S218,"")</f>
        <v/>
      </c>
      <c r="AM218" s="93" t="n"/>
      <c r="AN218" s="93" t="n"/>
      <c r="AO218" s="93" t="n"/>
      <c r="AP218" s="93" t="n"/>
      <c r="AQ218" s="93" t="n"/>
    </row>
    <row r="219" ht="14" customHeight="1" s="518">
      <c r="A219" s="106" t="n">
        <v>6</v>
      </c>
      <c r="B219" s="93" t="n">
        <v>213</v>
      </c>
      <c r="C219" s="93" t="inlineStr">
        <is>
          <t>2013Q</t>
        </is>
      </c>
      <c r="D219" s="93" t="inlineStr">
        <is>
          <t xml:space="preserve">05161-10-002-000 </t>
        </is>
      </c>
      <c r="E219" s="92" t="inlineStr">
        <is>
          <t>Actual</t>
        </is>
      </c>
      <c r="F219" s="93" t="inlineStr">
        <is>
          <t>1216 W VIRGINIA             AV</t>
        </is>
      </c>
      <c r="G219" s="93" t="n">
        <v>44.5</v>
      </c>
      <c r="H219" s="93" t="n">
        <v>9506</v>
      </c>
      <c r="I219" s="92" t="n">
        <v>0</v>
      </c>
      <c r="J219" s="710" t="n">
        <v>3485</v>
      </c>
      <c r="K219" s="711" t="n">
        <v>3.13142037302726</v>
      </c>
      <c r="L219" s="108" t="n">
        <v>0</v>
      </c>
      <c r="M219" s="97" t="n">
        <v>0.2113992486025841</v>
      </c>
      <c r="N219" s="93" t="n">
        <v>1973</v>
      </c>
      <c r="O219" s="93" t="n">
        <v>0</v>
      </c>
      <c r="P219" s="93" t="n">
        <v>0</v>
      </c>
      <c r="Q219" s="93" t="n">
        <v>12</v>
      </c>
      <c r="R219" s="93" t="n">
        <v>7</v>
      </c>
      <c r="S219" s="93" t="n">
        <v>20</v>
      </c>
      <c r="T219" s="92" t="inlineStr">
        <is>
          <t xml:space="preserve">I-MX-3      </t>
        </is>
      </c>
      <c r="U219" s="93" t="n">
        <v>396</v>
      </c>
      <c r="V219" s="710" t="n">
        <v>9375</v>
      </c>
      <c r="W219" s="710" t="n">
        <v>9000</v>
      </c>
      <c r="X219" s="712" t="inlineStr">
        <is>
          <t>2.7:1</t>
        </is>
      </c>
      <c r="Y219" s="710" t="n">
        <v>3000</v>
      </c>
      <c r="Z219" s="92" t="inlineStr">
        <is>
          <t xml:space="preserve">C </t>
        </is>
      </c>
      <c r="AA219" s="93" t="n"/>
      <c r="AB219" s="93" t="n"/>
      <c r="AC219" s="93" t="n"/>
      <c r="AD219" s="93" t="inlineStr">
        <is>
          <t xml:space="preserve">MINI STORAGE        </t>
        </is>
      </c>
      <c r="AE219" s="93" t="n"/>
      <c r="AF219" s="93" t="n"/>
      <c r="AG219" s="93" t="n"/>
      <c r="AH219" s="93" t="n"/>
      <c r="AI219" s="93" t="n"/>
      <c r="AK219" s="265" t="inlineStr"/>
      <c r="AL219">
        <f>IF(AND(ISNUMBER($S219),$S219&gt;0,ISNUMBER($K219),ISNUMBER($J219)),($K219*$J219)/$S219,"")</f>
        <v/>
      </c>
      <c r="AM219" s="93" t="n"/>
      <c r="AN219" s="93" t="n"/>
      <c r="AO219" s="93" t="n"/>
      <c r="AP219" s="93" t="n"/>
      <c r="AQ219" s="93" t="n"/>
    </row>
    <row r="220" ht="14" customHeight="1" s="518">
      <c r="A220" s="106" t="n">
        <v>6</v>
      </c>
      <c r="B220" s="93" t="n">
        <v>214</v>
      </c>
      <c r="C220" s="93" t="inlineStr">
        <is>
          <t>2013Q</t>
        </is>
      </c>
      <c r="D220" s="93" t="inlineStr">
        <is>
          <t xml:space="preserve">05161-13-026-000 </t>
        </is>
      </c>
      <c r="E220" s="92" t="inlineStr">
        <is>
          <t>Actual</t>
        </is>
      </c>
      <c r="F220" s="93" t="inlineStr">
        <is>
          <t>1210 W CUSTER               PL</t>
        </is>
      </c>
      <c r="G220" s="93" t="n">
        <v>44.2</v>
      </c>
      <c r="H220" s="93" t="n">
        <v>9506</v>
      </c>
      <c r="I220" s="92" t="n">
        <v>0</v>
      </c>
      <c r="J220" s="710" t="n">
        <v>6000</v>
      </c>
      <c r="K220" s="711" t="n">
        <v>6.7</v>
      </c>
      <c r="L220" s="108" t="n">
        <v>0</v>
      </c>
      <c r="M220" s="97" t="n">
        <v>0.06664179104477612</v>
      </c>
      <c r="N220" s="93" t="n">
        <v>1971</v>
      </c>
      <c r="O220" s="93" t="n">
        <v>630</v>
      </c>
      <c r="P220" s="93" t="n">
        <v>0</v>
      </c>
      <c r="Q220" s="93" t="n">
        <v>13</v>
      </c>
      <c r="R220" s="93" t="n">
        <v>3</v>
      </c>
      <c r="S220" s="93" t="n">
        <v>1</v>
      </c>
      <c r="T220" s="92" t="inlineStr">
        <is>
          <t xml:space="preserve">I-MX-3      </t>
        </is>
      </c>
      <c r="U220" s="93" t="n">
        <v>398</v>
      </c>
      <c r="V220" s="710" t="n">
        <v>12500</v>
      </c>
      <c r="W220" s="710" t="n">
        <v>13000</v>
      </c>
      <c r="X220" s="712" t="inlineStr">
        <is>
          <t>2.1:1</t>
        </is>
      </c>
      <c r="Y220" s="710" t="n">
        <v>6000</v>
      </c>
      <c r="Z220" s="92" t="inlineStr">
        <is>
          <t xml:space="preserve">C </t>
        </is>
      </c>
      <c r="AA220" s="93" t="n"/>
      <c r="AB220" s="93" t="n"/>
      <c r="AC220" s="93" t="n"/>
      <c r="AD220" s="93" t="inlineStr"/>
      <c r="AE220" s="93" t="n"/>
      <c r="AF220" s="93" t="n"/>
      <c r="AG220" s="93" t="n"/>
      <c r="AH220" s="93" t="n"/>
      <c r="AI220" s="93" t="n"/>
      <c r="AK220" s="265" t="inlineStr"/>
      <c r="AL220">
        <f>IF(AND(ISNUMBER($S220),$S220&gt;0,ISNUMBER($K220),ISNUMBER($J220)),($K220*$J220)/$S220,"")</f>
        <v/>
      </c>
      <c r="AM220" s="93" t="n"/>
      <c r="AN220" s="93" t="n"/>
      <c r="AO220" s="93" t="n"/>
      <c r="AP220" s="93" t="n"/>
      <c r="AQ220" s="93" t="n"/>
    </row>
    <row r="221" ht="14" customHeight="1" s="518">
      <c r="A221" s="106" t="n">
        <v>6</v>
      </c>
      <c r="B221" s="93" t="n">
        <v>215</v>
      </c>
      <c r="C221" s="93" t="inlineStr">
        <is>
          <t>2013Q</t>
        </is>
      </c>
      <c r="D221" s="93" t="inlineStr">
        <is>
          <t xml:space="preserve">05161-15-016-000 </t>
        </is>
      </c>
      <c r="E221" s="92" t="inlineStr">
        <is>
          <t>Actual</t>
        </is>
      </c>
      <c r="F221" s="93" t="inlineStr">
        <is>
          <t>630 S LIPAN                ST</t>
        </is>
      </c>
      <c r="G221" s="93" t="n">
        <v>44.1</v>
      </c>
      <c r="H221" s="93" t="n">
        <v>9506</v>
      </c>
      <c r="I221" s="92" t="n">
        <v>0</v>
      </c>
      <c r="J221" s="710" t="n">
        <v>7840</v>
      </c>
      <c r="K221" s="711" t="n">
        <v>6.122448979591836</v>
      </c>
      <c r="L221" s="108" t="n">
        <v>0</v>
      </c>
      <c r="M221" s="97" t="n">
        <v>0</v>
      </c>
      <c r="N221" s="93" t="n">
        <v>1982</v>
      </c>
      <c r="O221" s="93" t="n">
        <v>1482</v>
      </c>
      <c r="P221" s="93" t="n">
        <v>0</v>
      </c>
      <c r="Q221" s="93" t="n">
        <v>17</v>
      </c>
      <c r="R221" s="93" t="n">
        <v>3</v>
      </c>
      <c r="S221" s="93" t="n">
        <v>1</v>
      </c>
      <c r="T221" s="92" t="inlineStr">
        <is>
          <t xml:space="preserve">I-MX-3      </t>
        </is>
      </c>
      <c r="U221" s="93" t="n">
        <v>398</v>
      </c>
      <c r="V221" s="710" t="n">
        <v>43765</v>
      </c>
      <c r="W221" s="710" t="n">
        <v>44000</v>
      </c>
      <c r="X221" s="712" t="inlineStr">
        <is>
          <t>5.6:1</t>
        </is>
      </c>
      <c r="Y221" s="710" t="n">
        <v>8000</v>
      </c>
      <c r="Z221" s="92" t="inlineStr">
        <is>
          <t xml:space="preserve">C </t>
        </is>
      </c>
      <c r="AA221" s="93" t="n"/>
      <c r="AB221" s="93" t="n"/>
      <c r="AC221" s="93" t="n"/>
      <c r="AD221" s="93" t="inlineStr">
        <is>
          <t xml:space="preserve">KUBAT EQUIP. CO.    </t>
        </is>
      </c>
      <c r="AE221" s="93" t="n"/>
      <c r="AF221" s="93" t="n"/>
      <c r="AG221" s="93" t="n"/>
      <c r="AH221" s="93" t="n"/>
      <c r="AI221" s="93" t="n"/>
      <c r="AK221" s="265" t="inlineStr"/>
      <c r="AL221">
        <f>IF(AND(ISNUMBER($S221),$S221&gt;0,ISNUMBER($K221),ISNUMBER($J221)),($K221*$J221)/$S221,"")</f>
        <v/>
      </c>
      <c r="AM221" s="93" t="n"/>
      <c r="AN221" s="93" t="n"/>
      <c r="AO221" s="93" t="n"/>
      <c r="AP221" s="93" t="n"/>
      <c r="AQ221" s="93" t="n"/>
    </row>
    <row r="222" ht="28" customHeight="1" s="518">
      <c r="A222" s="106" t="n">
        <v>6</v>
      </c>
      <c r="B222" s="93" t="n">
        <v>216</v>
      </c>
      <c r="C222" s="93" t="inlineStr">
        <is>
          <t>2013Q</t>
        </is>
      </c>
      <c r="D222" s="93" t="inlineStr">
        <is>
          <t xml:space="preserve">05161-20-022-000 </t>
        </is>
      </c>
      <c r="E222" s="92" t="inlineStr">
        <is>
          <t>Actual</t>
        </is>
      </c>
      <c r="F222" s="93" t="inlineStr">
        <is>
          <t>687 S JASON                ST</t>
        </is>
      </c>
      <c r="G222" s="93" t="n">
        <v>44.1</v>
      </c>
      <c r="H222" s="93" t="n">
        <v>9506</v>
      </c>
      <c r="I222" s="92" t="n">
        <v>0</v>
      </c>
      <c r="J222" s="710" t="n">
        <v>6585</v>
      </c>
      <c r="K222" s="711" t="n">
        <v>7.35656836461126</v>
      </c>
      <c r="L222" s="108" t="n">
        <v>0</v>
      </c>
      <c r="M222" s="97" t="n">
        <v>0</v>
      </c>
      <c r="N222" s="93" t="n">
        <v>1963</v>
      </c>
      <c r="O222" s="93" t="n">
        <v>1057</v>
      </c>
      <c r="P222" s="93" t="n">
        <v>0</v>
      </c>
      <c r="Q222" s="93" t="n">
        <v>13</v>
      </c>
      <c r="R222" s="93" t="n">
        <v>1</v>
      </c>
      <c r="S222" s="93" t="n">
        <v>2</v>
      </c>
      <c r="T222" s="92" t="inlineStr">
        <is>
          <t xml:space="preserve">I-A         </t>
        </is>
      </c>
      <c r="U222" s="93" t="n">
        <v>398</v>
      </c>
      <c r="V222" s="710" t="n">
        <v>10027</v>
      </c>
      <c r="W222" s="710" t="n">
        <v>10000</v>
      </c>
      <c r="X222" s="712" t="inlineStr">
        <is>
          <t>1.5:1</t>
        </is>
      </c>
      <c r="Y222" s="710" t="n">
        <v>7000</v>
      </c>
      <c r="Z222" s="92" t="inlineStr">
        <is>
          <t xml:space="preserve">C </t>
        </is>
      </c>
      <c r="AA222" s="93" t="n"/>
      <c r="AB222" s="93" t="n"/>
      <c r="AC222" s="93" t="n"/>
      <c r="AD222" s="93" t="inlineStr">
        <is>
          <t xml:space="preserve">MOTHER TRUCKERS     </t>
        </is>
      </c>
      <c r="AE222" s="93" t="n"/>
      <c r="AF222" s="93" t="n"/>
      <c r="AG222" s="93" t="n"/>
      <c r="AH222" s="93" t="n"/>
      <c r="AI222" s="93" t="n"/>
      <c r="AK222" s="265" t="inlineStr">
        <is>
          <t xml:space="preserve">NO BASIS TO ALLOCATE EXP BETWEEN OWNER &amp; TENANT OCCUPIED SPACE.   </t>
        </is>
      </c>
      <c r="AL222">
        <f>IF(AND(ISNUMBER($S222),$S222&gt;0,ISNUMBER($K222),ISNUMBER($J222)),($K222*$J222)/$S222,"")</f>
        <v/>
      </c>
      <c r="AM222" s="93" t="n"/>
      <c r="AN222" s="93" t="n"/>
      <c r="AO222" s="93" t="n"/>
      <c r="AP222" s="93" t="n"/>
      <c r="AQ222" s="93" t="n"/>
    </row>
    <row r="223" ht="14" customHeight="1" s="518">
      <c r="A223" s="106" t="n">
        <v>6</v>
      </c>
      <c r="B223" s="93" t="n">
        <v>217</v>
      </c>
      <c r="C223" s="93" t="inlineStr">
        <is>
          <t>2013Q</t>
        </is>
      </c>
      <c r="D223" s="93" t="inlineStr">
        <is>
          <t xml:space="preserve">05164-00-329-329 </t>
        </is>
      </c>
      <c r="E223" s="92" t="inlineStr">
        <is>
          <t>Actual</t>
        </is>
      </c>
      <c r="F223" s="93" t="inlineStr">
        <is>
          <t>765 S JASON                ST</t>
        </is>
      </c>
      <c r="G223" s="93" t="n">
        <v>44.8</v>
      </c>
      <c r="H223" s="93" t="n">
        <v>9506</v>
      </c>
      <c r="I223" s="92" t="n">
        <v>0</v>
      </c>
      <c r="J223" s="710" t="n">
        <v>5814</v>
      </c>
      <c r="K223" s="711" t="n">
        <v>9.952012383900929</v>
      </c>
      <c r="L223" s="108" t="n">
        <v>0</v>
      </c>
      <c r="M223" s="97" t="n">
        <v>0.02160349803840238</v>
      </c>
      <c r="N223" s="93" t="n">
        <v>1962</v>
      </c>
      <c r="O223" s="93" t="n">
        <v>640</v>
      </c>
      <c r="P223" s="93" t="n">
        <v>0</v>
      </c>
      <c r="Q223" s="93" t="n">
        <v>13</v>
      </c>
      <c r="R223" s="93" t="n">
        <v>1</v>
      </c>
      <c r="S223" s="93" t="n">
        <v>1</v>
      </c>
      <c r="T223" s="92" t="inlineStr">
        <is>
          <t xml:space="preserve">I-A         </t>
        </is>
      </c>
      <c r="U223" s="93" t="n">
        <v>398</v>
      </c>
      <c r="V223" s="710" t="n">
        <v>8565</v>
      </c>
      <c r="W223" s="710" t="n">
        <v>9000</v>
      </c>
      <c r="X223" s="712" t="inlineStr">
        <is>
          <t>1.5:1</t>
        </is>
      </c>
      <c r="Y223" s="710" t="n">
        <v>6000</v>
      </c>
      <c r="Z223" s="92" t="inlineStr">
        <is>
          <t xml:space="preserve">C </t>
        </is>
      </c>
      <c r="AA223" s="93" t="n"/>
      <c r="AB223" s="93" t="n"/>
      <c r="AC223" s="93" t="n"/>
      <c r="AD223" s="93" t="inlineStr">
        <is>
          <t xml:space="preserve">JJ&amp;S LIGHTIING #765 </t>
        </is>
      </c>
      <c r="AE223" s="93" t="n"/>
      <c r="AF223" s="93" t="n"/>
      <c r="AG223" s="93" t="n"/>
      <c r="AH223" s="93" t="n"/>
      <c r="AI223" s="93" t="n"/>
      <c r="AK223" s="265" t="inlineStr">
        <is>
          <t xml:space="preserve">2009 LEASE.                                                       </t>
        </is>
      </c>
      <c r="AL223">
        <f>IF(AND(ISNUMBER($S223),$S223&gt;0,ISNUMBER($K223),ISNUMBER($J223)),($K223*$J223)/$S223,"")</f>
        <v/>
      </c>
      <c r="AM223" s="93" t="n"/>
      <c r="AN223" s="93" t="n"/>
      <c r="AO223" s="93" t="n"/>
      <c r="AP223" s="93" t="n"/>
      <c r="AQ223" s="93" t="n"/>
    </row>
    <row r="224" ht="14" customHeight="1" s="518">
      <c r="A224" s="106" t="n">
        <v>6</v>
      </c>
      <c r="B224" s="93" t="n">
        <v>218</v>
      </c>
      <c r="C224" s="93" t="inlineStr">
        <is>
          <t>2013Q</t>
        </is>
      </c>
      <c r="D224" s="93" t="inlineStr">
        <is>
          <t xml:space="preserve">05164-00-330-330 </t>
        </is>
      </c>
      <c r="E224" s="92" t="inlineStr">
        <is>
          <t>Actual</t>
        </is>
      </c>
      <c r="F224" s="93" t="inlineStr">
        <is>
          <t>775 S JASON                ST</t>
        </is>
      </c>
      <c r="G224" s="93" t="n">
        <v>44.8</v>
      </c>
      <c r="H224" s="93" t="n">
        <v>9506</v>
      </c>
      <c r="I224" s="92" t="n">
        <v>0</v>
      </c>
      <c r="J224" s="710" t="n">
        <v>5907</v>
      </c>
      <c r="K224" s="711" t="n">
        <v>3.991874047739969</v>
      </c>
      <c r="L224" s="108" t="n">
        <v>0</v>
      </c>
      <c r="M224" s="97" t="n">
        <v>0</v>
      </c>
      <c r="N224" s="93" t="n">
        <v>1962</v>
      </c>
      <c r="O224" s="93" t="n">
        <v>1906</v>
      </c>
      <c r="P224" s="93" t="n">
        <v>0</v>
      </c>
      <c r="Q224" s="93" t="n">
        <v>13</v>
      </c>
      <c r="R224" s="93" t="n">
        <v>1</v>
      </c>
      <c r="S224" s="93" t="n">
        <v>1</v>
      </c>
      <c r="T224" s="92" t="inlineStr">
        <is>
          <t xml:space="preserve">I-A         </t>
        </is>
      </c>
      <c r="U224" s="93" t="n">
        <v>398</v>
      </c>
      <c r="V224" s="710" t="n">
        <v>8565</v>
      </c>
      <c r="W224" s="710" t="n">
        <v>9000</v>
      </c>
      <c r="X224" s="712" t="inlineStr">
        <is>
          <t>1.4:1</t>
        </is>
      </c>
      <c r="Y224" s="710" t="n">
        <v>6000</v>
      </c>
      <c r="Z224" s="92" t="inlineStr">
        <is>
          <t xml:space="preserve">C </t>
        </is>
      </c>
      <c r="AA224" s="93" t="n"/>
      <c r="AB224" s="93" t="n"/>
      <c r="AC224" s="93" t="n"/>
      <c r="AD224" s="93" t="inlineStr">
        <is>
          <t>JASON ST CONDOS #775</t>
        </is>
      </c>
      <c r="AE224" s="93" t="n"/>
      <c r="AF224" s="93" t="n"/>
      <c r="AG224" s="93" t="n"/>
      <c r="AH224" s="93" t="n"/>
      <c r="AI224" s="93" t="n"/>
      <c r="AK224" s="265" t="inlineStr"/>
      <c r="AL224">
        <f>IF(AND(ISNUMBER($S224),$S224&gt;0,ISNUMBER($K224),ISNUMBER($J224)),($K224*$J224)/$S224,"")</f>
        <v/>
      </c>
      <c r="AM224" s="93" t="n"/>
      <c r="AN224" s="93" t="n"/>
      <c r="AO224" s="93" t="n"/>
      <c r="AP224" s="93" t="n"/>
      <c r="AQ224" s="93" t="n"/>
    </row>
    <row r="225" ht="14" customHeight="1" s="518">
      <c r="A225" s="106" t="n">
        <v>6</v>
      </c>
      <c r="B225" s="93" t="n">
        <v>219</v>
      </c>
      <c r="C225" s="93" t="inlineStr">
        <is>
          <t>2013Q</t>
        </is>
      </c>
      <c r="D225" s="93" t="inlineStr">
        <is>
          <t xml:space="preserve">05164-00-331-331 </t>
        </is>
      </c>
      <c r="E225" s="92" t="inlineStr">
        <is>
          <t>Actual</t>
        </is>
      </c>
      <c r="F225" s="93" t="inlineStr">
        <is>
          <t>785 S JASON                ST</t>
        </is>
      </c>
      <c r="G225" s="93" t="n">
        <v>44.8</v>
      </c>
      <c r="H225" s="93" t="n">
        <v>9506</v>
      </c>
      <c r="I225" s="92" t="n">
        <v>0</v>
      </c>
      <c r="J225" s="710" t="n">
        <v>5844</v>
      </c>
      <c r="K225" s="711" t="n">
        <v>4.034907597535934</v>
      </c>
      <c r="L225" s="108" t="n">
        <v>0</v>
      </c>
      <c r="M225" s="97" t="n">
        <v>0</v>
      </c>
      <c r="N225" s="93" t="n">
        <v>1962</v>
      </c>
      <c r="O225" s="93" t="n">
        <v>978</v>
      </c>
      <c r="P225" s="93" t="n">
        <v>0</v>
      </c>
      <c r="Q225" s="93" t="n">
        <v>13</v>
      </c>
      <c r="R225" s="93" t="n">
        <v>1</v>
      </c>
      <c r="S225" s="93" t="n">
        <v>1</v>
      </c>
      <c r="T225" s="92" t="inlineStr">
        <is>
          <t xml:space="preserve">I-A         </t>
        </is>
      </c>
      <c r="U225" s="93" t="n">
        <v>398</v>
      </c>
      <c r="V225" s="710" t="n">
        <v>8565</v>
      </c>
      <c r="W225" s="710" t="n">
        <v>9000</v>
      </c>
      <c r="X225" s="712" t="inlineStr">
        <is>
          <t>1.5:1</t>
        </is>
      </c>
      <c r="Y225" s="710" t="n">
        <v>6000</v>
      </c>
      <c r="Z225" s="92" t="inlineStr">
        <is>
          <t xml:space="preserve">C </t>
        </is>
      </c>
      <c r="AA225" s="93" t="n"/>
      <c r="AB225" s="93" t="n"/>
      <c r="AC225" s="93" t="n"/>
      <c r="AD225" s="93" t="inlineStr">
        <is>
          <t>JASON ST CONDOS #765</t>
        </is>
      </c>
      <c r="AE225" s="93" t="n"/>
      <c r="AF225" s="93" t="n"/>
      <c r="AG225" s="93" t="n"/>
      <c r="AH225" s="93" t="n"/>
      <c r="AI225" s="93" t="n"/>
      <c r="AK225" s="265" t="inlineStr"/>
      <c r="AL225">
        <f>IF(AND(ISNUMBER($S225),$S225&gt;0,ISNUMBER($K225),ISNUMBER($J225)),($K225*$J225)/$S225,"")</f>
        <v/>
      </c>
      <c r="AM225" s="93" t="n"/>
      <c r="AN225" s="93" t="n"/>
      <c r="AO225" s="93" t="n"/>
      <c r="AP225" s="93" t="n"/>
      <c r="AQ225" s="93" t="n"/>
    </row>
    <row r="226" ht="14" customHeight="1" s="518">
      <c r="A226" s="106" t="n">
        <v>6</v>
      </c>
      <c r="B226" s="93" t="n">
        <v>220</v>
      </c>
      <c r="C226" s="93" t="inlineStr">
        <is>
          <t>2013Q</t>
        </is>
      </c>
      <c r="D226" s="93" t="inlineStr">
        <is>
          <t xml:space="preserve">05164-00-332-332 </t>
        </is>
      </c>
      <c r="E226" s="92" t="inlineStr">
        <is>
          <t>Actual</t>
        </is>
      </c>
      <c r="F226" s="93" t="inlineStr">
        <is>
          <t>795 S JASON                ST</t>
        </is>
      </c>
      <c r="G226" s="93" t="n">
        <v>44.8</v>
      </c>
      <c r="H226" s="93" t="n">
        <v>9506</v>
      </c>
      <c r="I226" s="92" t="n">
        <v>0</v>
      </c>
      <c r="J226" s="710" t="n">
        <v>5803</v>
      </c>
      <c r="K226" s="711" t="n">
        <v>4.063415474754438</v>
      </c>
      <c r="L226" s="108" t="n">
        <v>0</v>
      </c>
      <c r="M226" s="97" t="n">
        <v>0</v>
      </c>
      <c r="N226" s="93" t="n">
        <v>1962</v>
      </c>
      <c r="O226" s="93" t="n">
        <v>0</v>
      </c>
      <c r="P226" s="93" t="n">
        <v>0</v>
      </c>
      <c r="Q226" s="93" t="n">
        <v>13</v>
      </c>
      <c r="R226" s="93" t="n">
        <v>1</v>
      </c>
      <c r="S226" s="93" t="n">
        <v>1</v>
      </c>
      <c r="T226" s="92" t="inlineStr">
        <is>
          <t xml:space="preserve">I-A         </t>
        </is>
      </c>
      <c r="U226" s="93" t="n">
        <v>398</v>
      </c>
      <c r="V226" s="710" t="n">
        <v>8565</v>
      </c>
      <c r="W226" s="710" t="n">
        <v>9000</v>
      </c>
      <c r="X226" s="712" t="inlineStr">
        <is>
          <t>1.5:1</t>
        </is>
      </c>
      <c r="Y226" s="710" t="n">
        <v>6000</v>
      </c>
      <c r="Z226" s="92" t="inlineStr">
        <is>
          <t xml:space="preserve">C </t>
        </is>
      </c>
      <c r="AA226" s="93" t="n"/>
      <c r="AB226" s="93" t="n"/>
      <c r="AC226" s="93" t="n"/>
      <c r="AD226" s="93" t="inlineStr">
        <is>
          <t>JASON ST CONDOS #795</t>
        </is>
      </c>
      <c r="AE226" s="93" t="n"/>
      <c r="AF226" s="93" t="n"/>
      <c r="AG226" s="93" t="n"/>
      <c r="AH226" s="93" t="n"/>
      <c r="AI226" s="93" t="n"/>
      <c r="AK226" s="265" t="inlineStr"/>
      <c r="AL226">
        <f>IF(AND(ISNUMBER($S226),$S226&gt;0,ISNUMBER($K226),ISNUMBER($J226)),($K226*$J226)/$S226,"")</f>
        <v/>
      </c>
      <c r="AM226" s="93" t="n"/>
      <c r="AN226" s="93" t="n"/>
      <c r="AO226" s="93" t="n"/>
      <c r="AP226" s="93" t="n"/>
      <c r="AQ226" s="93" t="n"/>
    </row>
    <row r="227" ht="14" customHeight="1" s="518">
      <c r="A227" s="106" t="n">
        <v>6</v>
      </c>
      <c r="B227" s="93" t="n">
        <v>221</v>
      </c>
      <c r="C227" s="93" t="inlineStr">
        <is>
          <t>2013Q</t>
        </is>
      </c>
      <c r="D227" s="93" t="inlineStr">
        <is>
          <t xml:space="preserve">05184-29-007-000 </t>
        </is>
      </c>
      <c r="E227" s="92" t="inlineStr">
        <is>
          <t>Actual</t>
        </is>
      </c>
      <c r="F227" s="93" t="inlineStr">
        <is>
          <t>1050 S QUITMAN              ST</t>
        </is>
      </c>
      <c r="G227" s="93" t="n">
        <v>44.1</v>
      </c>
      <c r="H227" s="93" t="n">
        <v>9506</v>
      </c>
      <c r="I227" s="92" t="n">
        <v>0</v>
      </c>
      <c r="J227" s="710" t="n">
        <v>2873</v>
      </c>
      <c r="K227" s="711" t="n">
        <v>6.682909850330665</v>
      </c>
      <c r="L227" s="108" t="n">
        <v>0</v>
      </c>
      <c r="M227" s="97" t="n">
        <v>0.261875</v>
      </c>
      <c r="N227" s="93" t="n">
        <v>1946</v>
      </c>
      <c r="O227" s="93" t="n">
        <v>595</v>
      </c>
      <c r="P227" s="93" t="n">
        <v>0</v>
      </c>
      <c r="Q227" s="93" t="n">
        <v>11</v>
      </c>
      <c r="R227" s="93" t="n">
        <v>3</v>
      </c>
      <c r="S227" s="93" t="n">
        <v>1</v>
      </c>
      <c r="T227" s="92" t="inlineStr">
        <is>
          <t xml:space="preserve">E-SU-D1X    </t>
        </is>
      </c>
      <c r="U227" s="93" t="n">
        <v>398</v>
      </c>
      <c r="V227" s="710" t="n">
        <v>6350</v>
      </c>
      <c r="W227" s="710" t="n">
        <v>6000</v>
      </c>
      <c r="X227" s="712" t="inlineStr">
        <is>
          <t>2.2:1</t>
        </is>
      </c>
      <c r="Y227" s="710" t="n">
        <v>3000</v>
      </c>
      <c r="Z227" s="92" t="inlineStr">
        <is>
          <t xml:space="preserve">C </t>
        </is>
      </c>
      <c r="AA227" s="93" t="n"/>
      <c r="AB227" s="93" t="n"/>
      <c r="AC227" s="93" t="n"/>
      <c r="AD227" s="93" t="inlineStr">
        <is>
          <t>S-WNEW ERA CONSTRUCT</t>
        </is>
      </c>
      <c r="AE227" s="93" t="n"/>
      <c r="AF227" s="93" t="n"/>
      <c r="AG227" s="93" t="n"/>
      <c r="AH227" s="93" t="n"/>
      <c r="AI227" s="93" t="n"/>
      <c r="AK227" s="265" t="inlineStr"/>
      <c r="AL227">
        <f>IF(AND(ISNUMBER($S227),$S227&gt;0,ISNUMBER($K227),ISNUMBER($J227)),($K227*$J227)/$S227,"")</f>
        <v/>
      </c>
      <c r="AM227" s="93" t="n"/>
      <c r="AN227" s="93" t="n"/>
      <c r="AO227" s="93" t="n"/>
      <c r="AP227" s="93" t="n"/>
      <c r="AQ227" s="93" t="n"/>
    </row>
    <row r="228" ht="14" customHeight="1" s="518">
      <c r="A228" s="106" t="n">
        <v>6</v>
      </c>
      <c r="B228" s="93" t="n">
        <v>222</v>
      </c>
      <c r="C228" s="93" t="inlineStr">
        <is>
          <t>2013Q</t>
        </is>
      </c>
      <c r="D228" s="93" t="inlineStr">
        <is>
          <t xml:space="preserve">05211-02-015-000 </t>
        </is>
      </c>
      <c r="E228" s="92" t="inlineStr">
        <is>
          <t>Actual</t>
        </is>
      </c>
      <c r="F228" s="93" t="inlineStr">
        <is>
          <t>1125 S INCA                 ST</t>
        </is>
      </c>
      <c r="G228" s="93" t="n">
        <v>44.1</v>
      </c>
      <c r="H228" s="93" t="n">
        <v>9506</v>
      </c>
      <c r="I228" s="92" t="n">
        <v>0</v>
      </c>
      <c r="J228" s="710" t="n">
        <v>11852</v>
      </c>
      <c r="K228" s="711" t="n">
        <v>5.325683428957138</v>
      </c>
      <c r="L228" s="108" t="n">
        <v>0</v>
      </c>
      <c r="M228" s="97" t="n">
        <v>0</v>
      </c>
      <c r="N228" s="93" t="n">
        <v>1960</v>
      </c>
      <c r="O228" s="93" t="n">
        <v>1710</v>
      </c>
      <c r="P228" s="93" t="n">
        <v>0</v>
      </c>
      <c r="Q228" s="93" t="n">
        <v>14</v>
      </c>
      <c r="R228" s="93" t="n">
        <v>1</v>
      </c>
      <c r="S228" s="93" t="n">
        <v>1</v>
      </c>
      <c r="T228" s="92" t="inlineStr">
        <is>
          <t xml:space="preserve">I-A         </t>
        </is>
      </c>
      <c r="U228" s="93" t="n">
        <v>398</v>
      </c>
      <c r="V228" s="710" t="n">
        <v>17685</v>
      </c>
      <c r="W228" s="710" t="n">
        <v>18000</v>
      </c>
      <c r="X228" s="712" t="inlineStr">
        <is>
          <t>1.5:1</t>
        </is>
      </c>
      <c r="Y228" s="710" t="n">
        <v>12000</v>
      </c>
      <c r="Z228" s="92" t="inlineStr">
        <is>
          <t xml:space="preserve">C </t>
        </is>
      </c>
      <c r="AA228" s="93" t="n"/>
      <c r="AB228" s="93" t="n"/>
      <c r="AC228" s="93" t="n"/>
      <c r="AD228" s="93" t="inlineStr">
        <is>
          <t xml:space="preserve">AMGS-AUTO PRODUCTS  </t>
        </is>
      </c>
      <c r="AE228" s="93" t="n"/>
      <c r="AF228" s="93" t="n"/>
      <c r="AG228" s="93" t="n"/>
      <c r="AH228" s="93" t="n"/>
      <c r="AI228" s="93" t="n"/>
      <c r="AK228" s="265" t="inlineStr"/>
      <c r="AL228">
        <f>IF(AND(ISNUMBER($S228),$S228&gt;0,ISNUMBER($K228),ISNUMBER($J228)),($K228*$J228)/$S228,"")</f>
        <v/>
      </c>
      <c r="AM228" s="93" t="n"/>
      <c r="AN228" s="93" t="n"/>
      <c r="AO228" s="93" t="n"/>
      <c r="AP228" s="93" t="n"/>
      <c r="AQ228" s="93" t="n"/>
    </row>
    <row r="229" ht="14" customHeight="1" s="518">
      <c r="A229" s="106" t="n">
        <v>6</v>
      </c>
      <c r="B229" s="93" t="n">
        <v>223</v>
      </c>
      <c r="C229" s="93" t="inlineStr">
        <is>
          <t>2013Q</t>
        </is>
      </c>
      <c r="D229" s="93" t="inlineStr">
        <is>
          <t xml:space="preserve">05211-03-004-000 </t>
        </is>
      </c>
      <c r="E229" s="92" t="inlineStr">
        <is>
          <t>Actual</t>
        </is>
      </c>
      <c r="F229" s="93" t="inlineStr">
        <is>
          <t>1165 S JASON                ST</t>
        </is>
      </c>
      <c r="G229" s="93" t="n">
        <v>44.2</v>
      </c>
      <c r="H229" s="93" t="n">
        <v>9506</v>
      </c>
      <c r="I229" s="92" t="n">
        <v>0</v>
      </c>
      <c r="J229" s="710" t="n">
        <v>9067</v>
      </c>
      <c r="K229" s="711" t="n">
        <v>4.771148119554428</v>
      </c>
      <c r="L229" s="108" t="n">
        <v>0</v>
      </c>
      <c r="M229" s="97" t="n">
        <v>0</v>
      </c>
      <c r="N229" s="93" t="n">
        <v>1961</v>
      </c>
      <c r="O229" s="93" t="n">
        <v>2804</v>
      </c>
      <c r="P229" s="93" t="n">
        <v>0</v>
      </c>
      <c r="Q229" s="93" t="n">
        <v>13</v>
      </c>
      <c r="R229" s="93" t="n">
        <v>1</v>
      </c>
      <c r="S229" s="93" t="n">
        <v>1</v>
      </c>
      <c r="T229" s="92" t="inlineStr">
        <is>
          <t xml:space="preserve">I-A         </t>
        </is>
      </c>
      <c r="U229" s="93" t="n">
        <v>398</v>
      </c>
      <c r="V229" s="710" t="n">
        <v>19050</v>
      </c>
      <c r="W229" s="710" t="n">
        <v>19000</v>
      </c>
      <c r="X229" s="712" t="inlineStr">
        <is>
          <t>2.1:1</t>
        </is>
      </c>
      <c r="Y229" s="710" t="n">
        <v>9000</v>
      </c>
      <c r="Z229" s="92" t="inlineStr">
        <is>
          <t xml:space="preserve">C </t>
        </is>
      </c>
      <c r="AA229" s="93" t="n"/>
      <c r="AB229" s="93" t="n"/>
      <c r="AC229" s="93" t="n"/>
      <c r="AD229" s="93" t="inlineStr">
        <is>
          <t>LEHRER'S PRNTNG SUPL</t>
        </is>
      </c>
      <c r="AE229" s="93" t="n"/>
      <c r="AF229" s="93" t="n"/>
      <c r="AG229" s="93" t="n"/>
      <c r="AH229" s="93" t="n"/>
      <c r="AI229" s="93" t="n"/>
      <c r="AK229" s="265" t="inlineStr"/>
      <c r="AL229">
        <f>IF(AND(ISNUMBER($S229),$S229&gt;0,ISNUMBER($K229),ISNUMBER($J229)),($K229*$J229)/$S229,"")</f>
        <v/>
      </c>
      <c r="AM229" s="93" t="n"/>
      <c r="AN229" s="93" t="n"/>
      <c r="AO229" s="93" t="n"/>
      <c r="AP229" s="93" t="n"/>
      <c r="AQ229" s="93" t="n"/>
    </row>
    <row r="230" ht="28" customHeight="1" s="518">
      <c r="A230" s="106" t="n">
        <v>6</v>
      </c>
      <c r="B230" s="93" t="n">
        <v>224</v>
      </c>
      <c r="C230" s="93" t="inlineStr">
        <is>
          <t>2013Q</t>
        </is>
      </c>
      <c r="D230" s="93" t="inlineStr">
        <is>
          <t xml:space="preserve">05211-03-005-000 </t>
        </is>
      </c>
      <c r="E230" s="92" t="inlineStr">
        <is>
          <t>Actual</t>
        </is>
      </c>
      <c r="F230" s="93" t="inlineStr">
        <is>
          <t>1001 W ARIZONA              AV</t>
        </is>
      </c>
      <c r="G230" s="93" t="n">
        <v>44.2</v>
      </c>
      <c r="H230" s="93" t="n">
        <v>9506</v>
      </c>
      <c r="I230" s="92" t="n">
        <v>0</v>
      </c>
      <c r="J230" s="710" t="n">
        <v>6919</v>
      </c>
      <c r="K230" s="711" t="n">
        <v>5.723370429252782</v>
      </c>
      <c r="L230" s="108" t="n">
        <v>0</v>
      </c>
      <c r="M230" s="97" t="n">
        <v>0</v>
      </c>
      <c r="N230" s="93" t="n">
        <v>1961</v>
      </c>
      <c r="O230" s="93" t="n">
        <v>1014</v>
      </c>
      <c r="P230" s="93" t="n">
        <v>0</v>
      </c>
      <c r="Q230" s="93" t="n">
        <v>14</v>
      </c>
      <c r="R230" s="93" t="n">
        <v>1</v>
      </c>
      <c r="S230" s="93" t="n">
        <v>1</v>
      </c>
      <c r="T230" s="92" t="inlineStr">
        <is>
          <t xml:space="preserve">I-A         </t>
        </is>
      </c>
      <c r="U230" s="93" t="n">
        <v>398</v>
      </c>
      <c r="V230" s="710" t="n">
        <v>19113</v>
      </c>
      <c r="W230" s="710" t="n">
        <v>19000</v>
      </c>
      <c r="X230" s="712" t="inlineStr">
        <is>
          <t>2.8:1</t>
        </is>
      </c>
      <c r="Y230" s="710" t="n">
        <v>7000</v>
      </c>
      <c r="Z230" s="92" t="inlineStr">
        <is>
          <t xml:space="preserve">C </t>
        </is>
      </c>
      <c r="AA230" s="93" t="n"/>
      <c r="AB230" s="93" t="n"/>
      <c r="AC230" s="93" t="n"/>
      <c r="AD230" s="93" t="inlineStr">
        <is>
          <t xml:space="preserve">TODAYS FITNESS      </t>
        </is>
      </c>
      <c r="AE230" s="93" t="n"/>
      <c r="AF230" s="93" t="n"/>
      <c r="AG230" s="93" t="n"/>
      <c r="AH230" s="93" t="n"/>
      <c r="AI230" s="93" t="n"/>
      <c r="AK230" s="265" t="inlineStr">
        <is>
          <t xml:space="preserve">EXPENSES INDETERMINATE FOR 11/11 LEASE DATE.                      </t>
        </is>
      </c>
      <c r="AL230">
        <f>IF(AND(ISNUMBER($S230),$S230&gt;0,ISNUMBER($K230),ISNUMBER($J230)),($K230*$J230)/$S230,"")</f>
        <v/>
      </c>
      <c r="AM230" s="93" t="n"/>
      <c r="AN230" s="93" t="n"/>
      <c r="AO230" s="93" t="n"/>
      <c r="AP230" s="93" t="n"/>
      <c r="AQ230" s="93" t="n"/>
    </row>
    <row r="231" ht="14" customHeight="1" s="518">
      <c r="A231" s="106" t="n">
        <v>6</v>
      </c>
      <c r="B231" s="93" t="n">
        <v>225</v>
      </c>
      <c r="C231" s="93" t="inlineStr">
        <is>
          <t>2013Q</t>
        </is>
      </c>
      <c r="D231" s="93" t="inlineStr">
        <is>
          <t xml:space="preserve">05211-03-033-000 </t>
        </is>
      </c>
      <c r="E231" s="92" t="inlineStr">
        <is>
          <t>Actual</t>
        </is>
      </c>
      <c r="F231" s="93" t="inlineStr">
        <is>
          <t>1178 S KALAMATH             ST</t>
        </is>
      </c>
      <c r="G231" s="93" t="n">
        <v>44.2</v>
      </c>
      <c r="H231" s="93" t="n">
        <v>9506</v>
      </c>
      <c r="I231" s="92" t="n">
        <v>0</v>
      </c>
      <c r="J231" s="710" t="n">
        <v>8000</v>
      </c>
      <c r="K231" s="711" t="n">
        <v>4.672875</v>
      </c>
      <c r="L231" s="108" t="n">
        <v>0</v>
      </c>
      <c r="M231" s="97" t="n">
        <v>0</v>
      </c>
      <c r="N231" s="93" t="n">
        <v>1975</v>
      </c>
      <c r="O231" s="93" t="n">
        <v>1000</v>
      </c>
      <c r="P231" s="93" t="n">
        <v>2000</v>
      </c>
      <c r="Q231" s="93" t="n">
        <v>13</v>
      </c>
      <c r="R231" s="93" t="n">
        <v>1</v>
      </c>
      <c r="S231" s="93" t="n">
        <v>1</v>
      </c>
      <c r="T231" s="92" t="inlineStr">
        <is>
          <t xml:space="preserve">I-A         </t>
        </is>
      </c>
      <c r="U231" s="93" t="n">
        <v>398</v>
      </c>
      <c r="V231" s="710" t="n">
        <v>6477</v>
      </c>
      <c r="W231" s="710" t="n">
        <v>6000</v>
      </c>
      <c r="X231" s="712" t="inlineStr">
        <is>
          <t>0.8:1</t>
        </is>
      </c>
      <c r="Y231" s="710" t="n">
        <v>8000</v>
      </c>
      <c r="Z231" s="92" t="inlineStr">
        <is>
          <t xml:space="preserve">C </t>
        </is>
      </c>
      <c r="AA231" s="93" t="n"/>
      <c r="AB231" s="93" t="n"/>
      <c r="AC231" s="93" t="n"/>
      <c r="AD231" s="93" t="inlineStr"/>
      <c r="AE231" s="93" t="n"/>
      <c r="AF231" s="93" t="n"/>
      <c r="AG231" s="93" t="n"/>
      <c r="AH231" s="93" t="n"/>
      <c r="AI231" s="93" t="n"/>
      <c r="AK231" s="265" t="inlineStr"/>
      <c r="AL231">
        <f>IF(AND(ISNUMBER($S231),$S231&gt;0,ISNUMBER($K231),ISNUMBER($J231)),($K231*$J231)/$S231,"")</f>
        <v/>
      </c>
      <c r="AM231" s="93" t="n"/>
      <c r="AN231" s="93" t="n"/>
      <c r="AO231" s="93" t="n"/>
      <c r="AP231" s="93" t="n"/>
      <c r="AQ231" s="93" t="n"/>
    </row>
    <row r="232" ht="14" customHeight="1" s="518">
      <c r="A232" s="106" t="n">
        <v>6</v>
      </c>
      <c r="B232" s="93" t="n">
        <v>226</v>
      </c>
      <c r="C232" s="93" t="inlineStr">
        <is>
          <t>2013Q</t>
        </is>
      </c>
      <c r="D232" s="93" t="inlineStr">
        <is>
          <t xml:space="preserve">05211-13-025-000 </t>
        </is>
      </c>
      <c r="E232" s="92" t="inlineStr">
        <is>
          <t>Actual</t>
        </is>
      </c>
      <c r="F232" s="93" t="inlineStr">
        <is>
          <t>1190 S LIPAN                ST</t>
        </is>
      </c>
      <c r="G232" s="93" t="n">
        <v>47.2</v>
      </c>
      <c r="H232" s="93" t="n">
        <v>9506</v>
      </c>
      <c r="I232" s="92" t="n">
        <v>0</v>
      </c>
      <c r="J232" s="710" t="n">
        <v>11052</v>
      </c>
      <c r="K232" s="711" t="n">
        <v>4.88599348534202</v>
      </c>
      <c r="L232" s="108" t="n">
        <v>0</v>
      </c>
      <c r="M232" s="97" t="n">
        <v>0</v>
      </c>
      <c r="N232" s="93" t="n">
        <v>1962</v>
      </c>
      <c r="O232" s="93" t="n">
        <v>1131</v>
      </c>
      <c r="P232" s="93" t="n">
        <v>0</v>
      </c>
      <c r="Q232" s="93" t="n">
        <v>12</v>
      </c>
      <c r="R232" s="93" t="n">
        <v>8</v>
      </c>
      <c r="S232" s="93" t="n">
        <v>1</v>
      </c>
      <c r="T232" s="92" t="inlineStr">
        <is>
          <t xml:space="preserve">I-MX-3      </t>
        </is>
      </c>
      <c r="U232" s="93" t="n">
        <v>401</v>
      </c>
      <c r="V232" s="710" t="n">
        <v>28630</v>
      </c>
      <c r="W232" s="710" t="n">
        <v>29000</v>
      </c>
      <c r="X232" s="712" t="inlineStr">
        <is>
          <t>2.6:1</t>
        </is>
      </c>
      <c r="Y232" s="710" t="n">
        <v>11000</v>
      </c>
      <c r="Z232" s="92" t="inlineStr">
        <is>
          <t xml:space="preserve">C </t>
        </is>
      </c>
      <c r="AA232" s="93" t="n"/>
      <c r="AB232" s="93" t="n"/>
      <c r="AC232" s="93" t="n"/>
      <c r="AD232" s="93" t="inlineStr">
        <is>
          <t xml:space="preserve">MANU/SINGLE-TENANT  </t>
        </is>
      </c>
      <c r="AE232" s="93" t="n"/>
      <c r="AF232" s="93" t="n"/>
      <c r="AG232" s="93" t="n"/>
      <c r="AH232" s="93" t="n"/>
      <c r="AI232" s="93" t="n"/>
      <c r="AK232" s="265" t="inlineStr">
        <is>
          <t xml:space="preserve">COMMENCEMENT DATE OF LEASE UNKNOWN.                               </t>
        </is>
      </c>
      <c r="AL232">
        <f>IF(AND(ISNUMBER($S232),$S232&gt;0,ISNUMBER($K232),ISNUMBER($J232)),($K232*$J232)/$S232,"")</f>
        <v/>
      </c>
      <c r="AM232" s="93" t="n"/>
      <c r="AN232" s="93" t="n"/>
      <c r="AO232" s="93" t="n"/>
      <c r="AP232" s="93" t="n"/>
      <c r="AQ232" s="93" t="n"/>
    </row>
    <row r="233" ht="14" customHeight="1" s="518">
      <c r="A233" s="106" t="n">
        <v>6</v>
      </c>
      <c r="B233" s="93" t="n">
        <v>227</v>
      </c>
      <c r="C233" s="93" t="inlineStr">
        <is>
          <t>2013Q</t>
        </is>
      </c>
      <c r="D233" s="93" t="inlineStr">
        <is>
          <t xml:space="preserve">05211-14-002-000 </t>
        </is>
      </c>
      <c r="E233" s="92" t="inlineStr">
        <is>
          <t>Actual</t>
        </is>
      </c>
      <c r="F233" s="93" t="inlineStr">
        <is>
          <t>1225 S JASON                ST</t>
        </is>
      </c>
      <c r="G233" s="93" t="n">
        <v>44.2</v>
      </c>
      <c r="H233" s="93" t="n">
        <v>9506</v>
      </c>
      <c r="I233" s="92" t="n">
        <v>0</v>
      </c>
      <c r="J233" s="710" t="n">
        <v>1345</v>
      </c>
      <c r="K233" s="711" t="n">
        <v>10.70631970260223</v>
      </c>
      <c r="L233" s="108" t="n">
        <v>0</v>
      </c>
      <c r="M233" s="97" t="n">
        <v>0.1392361111111111</v>
      </c>
      <c r="N233" s="93" t="n">
        <v>1959</v>
      </c>
      <c r="O233" s="93" t="n">
        <v>0</v>
      </c>
      <c r="P233" s="93" t="n">
        <v>0</v>
      </c>
      <c r="Q233" s="93" t="n">
        <v>14</v>
      </c>
      <c r="R233" s="93" t="n">
        <v>8</v>
      </c>
      <c r="S233" s="93" t="n">
        <v>1</v>
      </c>
      <c r="T233" s="92" t="inlineStr">
        <is>
          <t xml:space="preserve">I-MX-3      </t>
        </is>
      </c>
      <c r="U233" s="93" t="n">
        <v>398</v>
      </c>
      <c r="V233" s="710" t="n">
        <v>12700</v>
      </c>
      <c r="W233" s="710" t="n">
        <v>13000</v>
      </c>
      <c r="X233" s="712" t="inlineStr">
        <is>
          <t>9.4:1</t>
        </is>
      </c>
      <c r="Y233" s="710" t="n">
        <v>1000</v>
      </c>
      <c r="Z233" s="92" t="inlineStr">
        <is>
          <t xml:space="preserve">C </t>
        </is>
      </c>
      <c r="AA233" s="93" t="n"/>
      <c r="AB233" s="93" t="n"/>
      <c r="AC233" s="93" t="n"/>
      <c r="AD233" s="93" t="inlineStr">
        <is>
          <t xml:space="preserve">S-W BOUNDARY FENCE  </t>
        </is>
      </c>
      <c r="AE233" s="93" t="n"/>
      <c r="AF233" s="93" t="n"/>
      <c r="AG233" s="93" t="n"/>
      <c r="AH233" s="93" t="n"/>
      <c r="AI233" s="93" t="n"/>
      <c r="AK233" s="265" t="inlineStr"/>
      <c r="AL233">
        <f>IF(AND(ISNUMBER($S233),$S233&gt;0,ISNUMBER($K233),ISNUMBER($J233)),($K233*$J233)/$S233,"")</f>
        <v/>
      </c>
      <c r="AM233" s="93" t="n"/>
      <c r="AN233" s="93" t="n"/>
      <c r="AO233" s="93" t="n"/>
      <c r="AP233" s="93" t="n"/>
      <c r="AQ233" s="93" t="n"/>
    </row>
    <row r="234" ht="14" customHeight="1" s="518">
      <c r="A234" s="106" t="n">
        <v>6</v>
      </c>
      <c r="B234" s="93" t="n">
        <v>228</v>
      </c>
      <c r="C234" s="93" t="inlineStr">
        <is>
          <t>2013Q</t>
        </is>
      </c>
      <c r="D234" s="93" t="inlineStr">
        <is>
          <t xml:space="preserve">05211-15-012-000 </t>
        </is>
      </c>
      <c r="E234" s="92" t="inlineStr">
        <is>
          <t>Actual</t>
        </is>
      </c>
      <c r="F234" s="93" t="inlineStr">
        <is>
          <t>1220 S JASON                ST</t>
        </is>
      </c>
      <c r="G234" s="93" t="n">
        <v>44.2</v>
      </c>
      <c r="H234" s="93" t="n">
        <v>9506</v>
      </c>
      <c r="I234" s="92" t="n">
        <v>0</v>
      </c>
      <c r="J234" s="710" t="n">
        <v>2610</v>
      </c>
      <c r="K234" s="711" t="n">
        <v>8.735632183908047</v>
      </c>
      <c r="L234" s="108" t="n">
        <v>0</v>
      </c>
      <c r="M234" s="97" t="n">
        <v>0.1399122807017544</v>
      </c>
      <c r="N234" s="93" t="n">
        <v>1962</v>
      </c>
      <c r="O234" s="93" t="n">
        <v>750</v>
      </c>
      <c r="P234" s="93" t="n">
        <v>0</v>
      </c>
      <c r="Q234" s="93" t="n">
        <v>12</v>
      </c>
      <c r="R234" s="93" t="n">
        <v>1</v>
      </c>
      <c r="S234" s="93" t="n">
        <v>1</v>
      </c>
      <c r="T234" s="92" t="inlineStr">
        <is>
          <t xml:space="preserve">I-A         </t>
        </is>
      </c>
      <c r="U234" s="93" t="n">
        <v>398</v>
      </c>
      <c r="V234" s="710" t="n">
        <v>6350</v>
      </c>
      <c r="W234" s="710" t="n">
        <v>6000</v>
      </c>
      <c r="X234" s="712" t="inlineStr">
        <is>
          <t>2.4:1</t>
        </is>
      </c>
      <c r="Y234" s="710" t="n">
        <v>3000</v>
      </c>
      <c r="Z234" s="92" t="inlineStr">
        <is>
          <t xml:space="preserve">C </t>
        </is>
      </c>
      <c r="AA234" s="93" t="n"/>
      <c r="AB234" s="93" t="n"/>
      <c r="AC234" s="93" t="n"/>
      <c r="AD234" s="93" t="inlineStr">
        <is>
          <t xml:space="preserve">THOMAS-STUART INC.  </t>
        </is>
      </c>
      <c r="AE234" s="93" t="n"/>
      <c r="AF234" s="93" t="n"/>
      <c r="AG234" s="93" t="n"/>
      <c r="AH234" s="93" t="n"/>
      <c r="AI234" s="93" t="n"/>
      <c r="AK234" s="265" t="inlineStr">
        <is>
          <t xml:space="preserve">2009 LEASE.                                                       </t>
        </is>
      </c>
      <c r="AL234">
        <f>IF(AND(ISNUMBER($S234),$S234&gt;0,ISNUMBER($K234),ISNUMBER($J234)),($K234*$J234)/$S234,"")</f>
        <v/>
      </c>
      <c r="AM234" s="93" t="n"/>
      <c r="AN234" s="93" t="n"/>
      <c r="AO234" s="93" t="n"/>
      <c r="AP234" s="93" t="n"/>
      <c r="AQ234" s="93" t="n"/>
    </row>
    <row r="235" ht="14" customHeight="1" s="518">
      <c r="A235" s="106" t="n">
        <v>6</v>
      </c>
      <c r="B235" s="93" t="n">
        <v>229</v>
      </c>
      <c r="C235" s="93" t="inlineStr">
        <is>
          <t>2013Q</t>
        </is>
      </c>
      <c r="D235" s="93" t="inlineStr">
        <is>
          <t xml:space="preserve">05211-16-022-000 </t>
        </is>
      </c>
      <c r="E235" s="92" t="inlineStr">
        <is>
          <t>Actual</t>
        </is>
      </c>
      <c r="F235" s="93" t="inlineStr">
        <is>
          <t>1220 S INCA                 ST</t>
        </is>
      </c>
      <c r="G235" s="93" t="n">
        <v>44.2</v>
      </c>
      <c r="H235" s="93" t="n">
        <v>9506</v>
      </c>
      <c r="I235" s="92" t="n">
        <v>0</v>
      </c>
      <c r="J235" s="710" t="n">
        <v>2500</v>
      </c>
      <c r="K235" s="711" t="n">
        <v>10.56</v>
      </c>
      <c r="L235" s="108" t="n">
        <v>0</v>
      </c>
      <c r="M235" s="97" t="n">
        <v>0.002272727272727273</v>
      </c>
      <c r="N235" s="93" t="n">
        <v>1962</v>
      </c>
      <c r="O235" s="93" t="n">
        <v>0</v>
      </c>
      <c r="P235" s="93" t="n">
        <v>0</v>
      </c>
      <c r="Q235" s="93" t="n">
        <v>12</v>
      </c>
      <c r="R235" s="93" t="n">
        <v>3</v>
      </c>
      <c r="S235" s="93" t="n">
        <v>1</v>
      </c>
      <c r="T235" s="92" t="inlineStr">
        <is>
          <t xml:space="preserve">I-A         </t>
        </is>
      </c>
      <c r="U235" s="93" t="n">
        <v>398</v>
      </c>
      <c r="V235" s="710" t="n">
        <v>19050</v>
      </c>
      <c r="W235" s="710" t="n">
        <v>19000</v>
      </c>
      <c r="X235" s="712" t="inlineStr">
        <is>
          <t>7.6:1</t>
        </is>
      </c>
      <c r="Y235" s="710" t="n">
        <v>3000</v>
      </c>
      <c r="Z235" s="92" t="inlineStr">
        <is>
          <t xml:space="preserve">C </t>
        </is>
      </c>
      <c r="AA235" s="93" t="n"/>
      <c r="AB235" s="93" t="n"/>
      <c r="AC235" s="93" t="n"/>
      <c r="AD235" s="93" t="inlineStr">
        <is>
          <t xml:space="preserve">S-W MTN STATE FIRE  </t>
        </is>
      </c>
      <c r="AE235" s="93" t="n"/>
      <c r="AF235" s="93" t="n"/>
      <c r="AG235" s="93" t="n"/>
      <c r="AH235" s="93" t="n"/>
      <c r="AI235" s="93" t="n"/>
      <c r="AK235" s="265" t="inlineStr"/>
      <c r="AL235">
        <f>IF(AND(ISNUMBER($S235),$S235&gt;0,ISNUMBER($K235),ISNUMBER($J235)),($K235*$J235)/$S235,"")</f>
        <v/>
      </c>
      <c r="AM235" s="93" t="n"/>
      <c r="AN235" s="93" t="n"/>
      <c r="AO235" s="93" t="n"/>
      <c r="AP235" s="93" t="n"/>
      <c r="AQ235" s="93" t="n"/>
    </row>
    <row r="236" ht="14" customHeight="1" s="518">
      <c r="A236" s="106" t="n">
        <v>6</v>
      </c>
      <c r="B236" s="93" t="n">
        <v>230</v>
      </c>
      <c r="C236" s="93" t="inlineStr">
        <is>
          <t>2013Q</t>
        </is>
      </c>
      <c r="D236" s="93" t="inlineStr">
        <is>
          <t xml:space="preserve">05211-30-014-000 </t>
        </is>
      </c>
      <c r="E236" s="92" t="inlineStr">
        <is>
          <t>Actual</t>
        </is>
      </c>
      <c r="F236" s="93" t="inlineStr">
        <is>
          <t>1495 S PLATTE RIVER         DR</t>
        </is>
      </c>
      <c r="G236" s="93" t="n">
        <v>44.1</v>
      </c>
      <c r="H236" s="93" t="n">
        <v>9506</v>
      </c>
      <c r="I236" s="92" t="n">
        <v>0</v>
      </c>
      <c r="J236" s="710" t="n">
        <v>10120</v>
      </c>
      <c r="K236" s="711" t="n">
        <v>9.514624505928854</v>
      </c>
      <c r="L236" s="108" t="n">
        <v>0</v>
      </c>
      <c r="M236" s="97" t="n">
        <v>0</v>
      </c>
      <c r="N236" s="93" t="n">
        <v>1985</v>
      </c>
      <c r="O236" s="93" t="n">
        <v>2300</v>
      </c>
      <c r="P236" s="93" t="n">
        <v>0</v>
      </c>
      <c r="Q236" s="93" t="n">
        <v>16</v>
      </c>
      <c r="R236" s="93" t="n">
        <v>3</v>
      </c>
      <c r="S236" s="93" t="n">
        <v>1</v>
      </c>
      <c r="T236" s="92" t="inlineStr">
        <is>
          <t xml:space="preserve">I-MX-3      </t>
        </is>
      </c>
      <c r="U236" s="93" t="n">
        <v>397</v>
      </c>
      <c r="V236" s="710" t="n">
        <v>22600</v>
      </c>
      <c r="W236" s="710" t="n">
        <v>23000</v>
      </c>
      <c r="X236" s="712" t="inlineStr">
        <is>
          <t>2.2:1</t>
        </is>
      </c>
      <c r="Y236" s="710" t="n">
        <v>10000</v>
      </c>
      <c r="Z236" s="92" t="inlineStr">
        <is>
          <t xml:space="preserve">C </t>
        </is>
      </c>
      <c r="AA236" s="93" t="n"/>
      <c r="AB236" s="93" t="n"/>
      <c r="AC236" s="93" t="n"/>
      <c r="AD236" s="93" t="inlineStr"/>
      <c r="AE236" s="93" t="n"/>
      <c r="AF236" s="93" t="n"/>
      <c r="AG236" s="93" t="n"/>
      <c r="AH236" s="93" t="n"/>
      <c r="AI236" s="93" t="n"/>
      <c r="AK236" s="265" t="inlineStr">
        <is>
          <t xml:space="preserve">2009 LEASE.                                                       </t>
        </is>
      </c>
      <c r="AL236">
        <f>IF(AND(ISNUMBER($S236),$S236&gt;0,ISNUMBER($K236),ISNUMBER($J236)),($K236*$J236)/$S236,"")</f>
        <v/>
      </c>
      <c r="AM236" s="93" t="n"/>
      <c r="AN236" s="93" t="n"/>
      <c r="AO236" s="93" t="n"/>
      <c r="AP236" s="93" t="n"/>
      <c r="AQ236" s="93" t="n"/>
    </row>
    <row r="237" ht="14" customHeight="1" s="518">
      <c r="A237" s="106" t="n">
        <v>6</v>
      </c>
      <c r="B237" s="93" t="n">
        <v>231</v>
      </c>
      <c r="C237" s="93" t="inlineStr">
        <is>
          <t>2013Q</t>
        </is>
      </c>
      <c r="D237" s="93" t="inlineStr">
        <is>
          <t xml:space="preserve">05221-14-033-000 </t>
        </is>
      </c>
      <c r="E237" s="92" t="inlineStr">
        <is>
          <t>Actual</t>
        </is>
      </c>
      <c r="F237" s="93" t="inlineStr">
        <is>
          <t>1215 S PEARL                ST</t>
        </is>
      </c>
      <c r="G237" s="93" t="n">
        <v>44.2</v>
      </c>
      <c r="H237" s="93" t="n">
        <v>9509</v>
      </c>
      <c r="I237" s="92" t="n">
        <v>0</v>
      </c>
      <c r="J237" s="710" t="n">
        <v>5974</v>
      </c>
      <c r="K237" s="711" t="n">
        <v>5.93593441627448</v>
      </c>
      <c r="L237" s="108" t="n">
        <v>0</v>
      </c>
      <c r="M237" s="97" t="n">
        <v>0.1842455242966752</v>
      </c>
      <c r="N237" s="93" t="n">
        <v>1919</v>
      </c>
      <c r="O237" s="93" t="n">
        <v>1720</v>
      </c>
      <c r="P237" s="93" t="n">
        <v>0</v>
      </c>
      <c r="Q237" s="93" t="n">
        <v>13</v>
      </c>
      <c r="R237" s="93" t="n">
        <v>1</v>
      </c>
      <c r="S237" s="93" t="n">
        <v>1</v>
      </c>
      <c r="T237" s="92" t="inlineStr">
        <is>
          <t xml:space="preserve">U-MS-3      </t>
        </is>
      </c>
      <c r="U237" s="93" t="n">
        <v>398</v>
      </c>
      <c r="V237" s="710" t="n">
        <v>10300</v>
      </c>
      <c r="W237" s="710" t="n">
        <v>10000</v>
      </c>
      <c r="X237" s="712" t="inlineStr">
        <is>
          <t>1.7:1</t>
        </is>
      </c>
      <c r="Y237" s="710" t="n">
        <v>6000</v>
      </c>
      <c r="Z237" s="92" t="inlineStr">
        <is>
          <t xml:space="preserve">C </t>
        </is>
      </c>
      <c r="AA237" s="93" t="n"/>
      <c r="AB237" s="93" t="n"/>
      <c r="AC237" s="93" t="n"/>
      <c r="AD237" s="93" t="inlineStr">
        <is>
          <t>SYNERGY COMMUNICATIN</t>
        </is>
      </c>
      <c r="AE237" s="93" t="n"/>
      <c r="AF237" s="93" t="n"/>
      <c r="AG237" s="93" t="n"/>
      <c r="AH237" s="93" t="n"/>
      <c r="AI237" s="93" t="n"/>
      <c r="AK237" s="265" t="inlineStr"/>
      <c r="AL237">
        <f>IF(AND(ISNUMBER($S237),$S237&gt;0,ISNUMBER($K237),ISNUMBER($J237)),($K237*$J237)/$S237,"")</f>
        <v/>
      </c>
      <c r="AM237" s="93" t="n"/>
      <c r="AN237" s="93" t="n"/>
      <c r="AO237" s="93" t="n"/>
      <c r="AP237" s="93" t="n"/>
      <c r="AQ237" s="93" t="n"/>
    </row>
    <row r="238" ht="14" customHeight="1" s="518">
      <c r="A238" s="106" t="n">
        <v>6</v>
      </c>
      <c r="B238" s="93" t="n">
        <v>232</v>
      </c>
      <c r="C238" s="93" t="inlineStr">
        <is>
          <t>2013Q</t>
        </is>
      </c>
      <c r="D238" s="93" t="inlineStr">
        <is>
          <t xml:space="preserve">05221-15-013-000 </t>
        </is>
      </c>
      <c r="E238" s="92" t="inlineStr">
        <is>
          <t>Actual</t>
        </is>
      </c>
      <c r="F238" s="93" t="inlineStr">
        <is>
          <t>666   BUCHTEL              BV</t>
        </is>
      </c>
      <c r="G238" s="93" t="n">
        <v>44.2</v>
      </c>
      <c r="H238" s="93" t="n">
        <v>9509</v>
      </c>
      <c r="I238" s="92" t="n">
        <v>0</v>
      </c>
      <c r="J238" s="710" t="n">
        <v>8845</v>
      </c>
      <c r="K238" s="711" t="n">
        <v>5.8840022611645</v>
      </c>
      <c r="L238" s="108" t="n">
        <v>0</v>
      </c>
      <c r="M238" s="97" t="n">
        <v>0</v>
      </c>
      <c r="N238" s="93" t="n">
        <v>1957</v>
      </c>
      <c r="O238" s="93" t="n">
        <v>576</v>
      </c>
      <c r="P238" s="93" t="n">
        <v>0</v>
      </c>
      <c r="Q238" s="93" t="n">
        <v>20</v>
      </c>
      <c r="R238" s="93" t="n">
        <v>3</v>
      </c>
      <c r="S238" s="93" t="n">
        <v>1</v>
      </c>
      <c r="T238" s="92" t="inlineStr">
        <is>
          <t xml:space="preserve">U-MS-5      </t>
        </is>
      </c>
      <c r="U238" s="93" t="n">
        <v>398</v>
      </c>
      <c r="V238" s="710" t="n">
        <v>14300</v>
      </c>
      <c r="W238" s="710" t="n">
        <v>14000</v>
      </c>
      <c r="X238" s="712" t="inlineStr">
        <is>
          <t>1.6:1</t>
        </is>
      </c>
      <c r="Y238" s="710" t="n">
        <v>9000</v>
      </c>
      <c r="Z238" s="92" t="inlineStr">
        <is>
          <t xml:space="preserve">C </t>
        </is>
      </c>
      <c r="AA238" s="93" t="n"/>
      <c r="AB238" s="93" t="n"/>
      <c r="AC238" s="93" t="n"/>
      <c r="AD238" s="93" t="inlineStr">
        <is>
          <t>ARTISANS STAIN GLASS</t>
        </is>
      </c>
      <c r="AE238" s="93" t="n"/>
      <c r="AF238" s="93" t="n"/>
      <c r="AG238" s="93" t="n"/>
      <c r="AH238" s="93" t="n"/>
      <c r="AI238" s="93" t="n"/>
      <c r="AK238" s="265" t="inlineStr">
        <is>
          <t xml:space="preserve">2010 LEASE.                                                       </t>
        </is>
      </c>
      <c r="AL238">
        <f>IF(AND(ISNUMBER($S238),$S238&gt;0,ISNUMBER($K238),ISNUMBER($J238)),($K238*$J238)/$S238,"")</f>
        <v/>
      </c>
      <c r="AM238" s="93" t="n"/>
      <c r="AN238" s="93" t="n"/>
      <c r="AO238" s="93" t="n"/>
      <c r="AP238" s="93" t="n"/>
      <c r="AQ238" s="93" t="n"/>
    </row>
    <row r="239" ht="14" customHeight="1" s="518">
      <c r="A239" s="106" t="n">
        <v>6</v>
      </c>
      <c r="B239" s="93" t="n">
        <v>233</v>
      </c>
      <c r="C239" s="93" t="inlineStr">
        <is>
          <t>2013Q</t>
        </is>
      </c>
      <c r="D239" s="93" t="inlineStr">
        <is>
          <t xml:space="preserve">05222-05-001-000 </t>
        </is>
      </c>
      <c r="E239" s="92" t="inlineStr">
        <is>
          <t>Actual</t>
        </is>
      </c>
      <c r="F239" s="93" t="inlineStr">
        <is>
          <t>1395 S ACOMA                ST</t>
        </is>
      </c>
      <c r="G239" s="93" t="n">
        <v>44.1</v>
      </c>
      <c r="H239" s="93" t="n">
        <v>9506</v>
      </c>
      <c r="I239" s="92" t="n">
        <v>0</v>
      </c>
      <c r="J239" s="710" t="n">
        <v>10932</v>
      </c>
      <c r="K239" s="711" t="n">
        <v>6.860592755214051</v>
      </c>
      <c r="L239" s="108" t="n">
        <v>0</v>
      </c>
      <c r="M239" s="97" t="n">
        <v>0.08599999999999999</v>
      </c>
      <c r="N239" s="93" t="n">
        <v>1963</v>
      </c>
      <c r="O239" s="93" t="n">
        <v>1262</v>
      </c>
      <c r="P239" s="93" t="n">
        <v>0</v>
      </c>
      <c r="Q239" s="93" t="n">
        <v>12</v>
      </c>
      <c r="R239" s="93" t="n">
        <v>3</v>
      </c>
      <c r="S239" s="93" t="n">
        <v>1</v>
      </c>
      <c r="T239" s="92" t="inlineStr">
        <is>
          <t xml:space="preserve">I-A         </t>
        </is>
      </c>
      <c r="U239" s="93" t="n">
        <v>398</v>
      </c>
      <c r="V239" s="710" t="n">
        <v>12229</v>
      </c>
      <c r="W239" s="710" t="n">
        <v>12000</v>
      </c>
      <c r="X239" s="712" t="inlineStr">
        <is>
          <t>1.1:1</t>
        </is>
      </c>
      <c r="Y239" s="710" t="n">
        <v>11000</v>
      </c>
      <c r="Z239" s="92" t="inlineStr">
        <is>
          <t xml:space="preserve">B </t>
        </is>
      </c>
      <c r="AA239" s="93" t="n"/>
      <c r="AB239" s="93" t="n"/>
      <c r="AC239" s="93" t="n"/>
      <c r="AD239" s="93" t="inlineStr">
        <is>
          <t>DRS. ORDERS MEDMARIJ</t>
        </is>
      </c>
      <c r="AE239" s="93" t="n"/>
      <c r="AF239" s="93" t="n"/>
      <c r="AG239" s="93" t="n"/>
      <c r="AH239" s="93" t="n"/>
      <c r="AI239" s="93" t="n"/>
      <c r="AK239" s="265" t="inlineStr">
        <is>
          <t xml:space="preserve">2010 LEASE.                                                       </t>
        </is>
      </c>
      <c r="AL239">
        <f>IF(AND(ISNUMBER($S239),$S239&gt;0,ISNUMBER($K239),ISNUMBER($J239)),($K239*$J239)/$S239,"")</f>
        <v/>
      </c>
      <c r="AM239" s="93" t="n"/>
      <c r="AN239" s="93" t="n"/>
      <c r="AO239" s="93" t="n"/>
      <c r="AP239" s="93" t="n"/>
      <c r="AQ239" s="93" t="n"/>
    </row>
    <row r="240" ht="14" customHeight="1" s="518">
      <c r="A240" s="106" t="n">
        <v>6</v>
      </c>
      <c r="B240" s="93" t="n">
        <v>234</v>
      </c>
      <c r="C240" s="93" t="inlineStr">
        <is>
          <t>2013Q</t>
        </is>
      </c>
      <c r="D240" s="93" t="inlineStr">
        <is>
          <t xml:space="preserve">05222-07-005-000 </t>
        </is>
      </c>
      <c r="E240" s="92" t="inlineStr">
        <is>
          <t>Actual</t>
        </is>
      </c>
      <c r="F240" s="93" t="inlineStr">
        <is>
          <t>1432 S ACOMA                ST</t>
        </is>
      </c>
      <c r="G240" s="93" t="n">
        <v>44.2</v>
      </c>
      <c r="H240" s="93" t="n">
        <v>9506</v>
      </c>
      <c r="I240" s="92" t="n">
        <v>0</v>
      </c>
      <c r="J240" s="710" t="n">
        <v>4313</v>
      </c>
      <c r="K240" s="711" t="n">
        <v>9.645258520751216</v>
      </c>
      <c r="L240" s="108" t="n">
        <v>0</v>
      </c>
      <c r="M240" s="97" t="n">
        <v>0.04389423076923077</v>
      </c>
      <c r="N240" s="93" t="n">
        <v>2002</v>
      </c>
      <c r="O240" s="93" t="n">
        <v>0</v>
      </c>
      <c r="P240" s="93" t="n">
        <v>0</v>
      </c>
      <c r="Q240" s="93" t="n">
        <v>24</v>
      </c>
      <c r="R240" s="93" t="n">
        <v>3</v>
      </c>
      <c r="S240" s="93" t="n">
        <v>1</v>
      </c>
      <c r="T240" s="92" t="inlineStr">
        <is>
          <t xml:space="preserve">I-A         </t>
        </is>
      </c>
      <c r="U240" s="93" t="n">
        <v>398</v>
      </c>
      <c r="V240" s="710" t="n">
        <v>6250</v>
      </c>
      <c r="W240" s="710" t="n">
        <v>6000</v>
      </c>
      <c r="X240" s="712" t="inlineStr">
        <is>
          <t>1.4:1</t>
        </is>
      </c>
      <c r="Y240" s="710" t="n">
        <v>4000</v>
      </c>
      <c r="Z240" s="92" t="inlineStr">
        <is>
          <t xml:space="preserve">C </t>
        </is>
      </c>
      <c r="AA240" s="93" t="n"/>
      <c r="AB240" s="93" t="n"/>
      <c r="AC240" s="93" t="n"/>
      <c r="AD240" s="93" t="inlineStr">
        <is>
          <t xml:space="preserve">TRUE PUMP &amp; EQUPMNT </t>
        </is>
      </c>
      <c r="AE240" s="93" t="n"/>
      <c r="AF240" s="93" t="n"/>
      <c r="AG240" s="93" t="n"/>
      <c r="AH240" s="93" t="n"/>
      <c r="AI240" s="93" t="n"/>
      <c r="AK240" s="265" t="inlineStr">
        <is>
          <t xml:space="preserve">2009 LEASES.                                                      </t>
        </is>
      </c>
      <c r="AL240">
        <f>IF(AND(ISNUMBER($S240),$S240&gt;0,ISNUMBER($K240),ISNUMBER($J240)),($K240*$J240)/$S240,"")</f>
        <v/>
      </c>
      <c r="AM240" s="93" t="n"/>
      <c r="AN240" s="93" t="n"/>
      <c r="AO240" s="93" t="n"/>
      <c r="AP240" s="93" t="n"/>
      <c r="AQ240" s="93" t="n"/>
    </row>
    <row r="241" ht="14" customHeight="1" s="518">
      <c r="A241" s="106" t="n">
        <v>6</v>
      </c>
      <c r="B241" s="93" t="n">
        <v>235</v>
      </c>
      <c r="C241" s="93" t="inlineStr">
        <is>
          <t>2013Q</t>
        </is>
      </c>
      <c r="D241" s="93" t="inlineStr">
        <is>
          <t xml:space="preserve">05222-07-018-000 </t>
        </is>
      </c>
      <c r="E241" s="92" t="inlineStr">
        <is>
          <t>Actual</t>
        </is>
      </c>
      <c r="F241" s="93" t="inlineStr">
        <is>
          <t>1429 S BROADWAY             ST</t>
        </is>
      </c>
      <c r="G241" s="93" t="n">
        <v>44.1</v>
      </c>
      <c r="H241" s="93" t="n">
        <v>9506</v>
      </c>
      <c r="I241" s="92" t="n">
        <v>2</v>
      </c>
      <c r="J241" s="710" t="n">
        <v>1912</v>
      </c>
      <c r="K241" s="711" t="n">
        <v>10.72175732217573</v>
      </c>
      <c r="L241" s="108" t="n">
        <v>0</v>
      </c>
      <c r="M241" s="97" t="n">
        <v>0.05897560975609756</v>
      </c>
      <c r="N241" s="93" t="n">
        <v>1912</v>
      </c>
      <c r="O241" s="93" t="n">
        <v>1006</v>
      </c>
      <c r="P241" s="93" t="n">
        <v>0</v>
      </c>
      <c r="Q241" s="93" t="n">
        <v>15</v>
      </c>
      <c r="R241" s="93" t="n">
        <v>1</v>
      </c>
      <c r="S241" s="93" t="n">
        <v>1</v>
      </c>
      <c r="T241" s="92" t="inlineStr">
        <is>
          <t xml:space="preserve">U-MS-3      </t>
        </is>
      </c>
      <c r="U241" s="93" t="n">
        <v>398</v>
      </c>
      <c r="V241" s="710" t="n">
        <v>6250</v>
      </c>
      <c r="W241" s="710" t="n">
        <v>6000</v>
      </c>
      <c r="X241" s="712" t="inlineStr">
        <is>
          <t>3.3:1</t>
        </is>
      </c>
      <c r="Y241" s="710" t="n">
        <v>2000</v>
      </c>
      <c r="Z241" s="92" t="inlineStr">
        <is>
          <t xml:space="preserve">C </t>
        </is>
      </c>
      <c r="AA241" s="93" t="n"/>
      <c r="AB241" s="93" t="n"/>
      <c r="AC241" s="93" t="n"/>
      <c r="AD241" s="93" t="inlineStr">
        <is>
          <t xml:space="preserve">TRUE PUMP EQUIPT    </t>
        </is>
      </c>
      <c r="AE241" s="93" t="n"/>
      <c r="AF241" s="93" t="n"/>
      <c r="AG241" s="93" t="n"/>
      <c r="AH241" s="93" t="n"/>
      <c r="AI241" s="93" t="n"/>
      <c r="AK241" s="265" t="inlineStr">
        <is>
          <t xml:space="preserve">2009 LEASE.                                                       </t>
        </is>
      </c>
      <c r="AL241">
        <f>IF(AND(ISNUMBER($S241),$S241&gt;0,ISNUMBER($K241),ISNUMBER($J241)),($K241*$J241)/$S241,"")</f>
        <v/>
      </c>
      <c r="AM241" s="93" t="n"/>
      <c r="AN241" s="93" t="n"/>
      <c r="AO241" s="93" t="n"/>
      <c r="AP241" s="93" t="n"/>
      <c r="AQ241" s="93" t="n"/>
    </row>
    <row r="242" ht="14" customHeight="1" s="518">
      <c r="A242" s="106" t="n">
        <v>6</v>
      </c>
      <c r="B242" s="93" t="n">
        <v>236</v>
      </c>
      <c r="C242" s="93" t="inlineStr">
        <is>
          <t>2013Q</t>
        </is>
      </c>
      <c r="D242" s="93" t="inlineStr">
        <is>
          <t xml:space="preserve">05222-07-049-000 </t>
        </is>
      </c>
      <c r="E242" s="92" t="inlineStr">
        <is>
          <t>Actual</t>
        </is>
      </c>
      <c r="F242" s="93" t="inlineStr">
        <is>
          <t>1440 S ACOMA                ST</t>
        </is>
      </c>
      <c r="G242" s="93" t="n">
        <v>44.1</v>
      </c>
      <c r="H242" s="93" t="n">
        <v>9506</v>
      </c>
      <c r="I242" s="92" t="n">
        <v>0</v>
      </c>
      <c r="J242" s="710" t="n">
        <v>5632</v>
      </c>
      <c r="K242" s="711" t="n">
        <v>5.113636363636363</v>
      </c>
      <c r="L242" s="108" t="n">
        <v>1</v>
      </c>
      <c r="M242" s="97" t="n">
        <v>0</v>
      </c>
      <c r="N242" s="93" t="n">
        <v>1989</v>
      </c>
      <c r="O242" s="93" t="n">
        <v>0</v>
      </c>
      <c r="P242" s="93" t="n">
        <v>0</v>
      </c>
      <c r="Q242" s="93" t="n">
        <v>20</v>
      </c>
      <c r="R242" s="93" t="n">
        <v>3</v>
      </c>
      <c r="S242" s="93" t="n">
        <v>1</v>
      </c>
      <c r="T242" s="92" t="inlineStr">
        <is>
          <t xml:space="preserve">I-A         </t>
        </is>
      </c>
      <c r="U242" s="93" t="n">
        <v>398</v>
      </c>
      <c r="V242" s="710" t="n">
        <v>9375</v>
      </c>
      <c r="W242" s="710" t="n">
        <v>9000</v>
      </c>
      <c r="X242" s="712" t="inlineStr">
        <is>
          <t>1.7:1</t>
        </is>
      </c>
      <c r="Y242" s="710" t="n">
        <v>6000</v>
      </c>
      <c r="Z242" s="92" t="inlineStr">
        <is>
          <t xml:space="preserve">C </t>
        </is>
      </c>
      <c r="AA242" s="93" t="n"/>
      <c r="AB242" s="93" t="n"/>
      <c r="AC242" s="93" t="n"/>
      <c r="AD242" s="93" t="inlineStr"/>
      <c r="AE242" s="93" t="n"/>
      <c r="AF242" s="93" t="n"/>
      <c r="AG242" s="93" t="n"/>
      <c r="AH242" s="93" t="n"/>
      <c r="AI242" s="93" t="n"/>
      <c r="AK242" s="265" t="inlineStr"/>
      <c r="AL242">
        <f>IF(AND(ISNUMBER($S242),$S242&gt;0,ISNUMBER($K242),ISNUMBER($J242)),($K242*$J242)/$S242,"")</f>
        <v/>
      </c>
      <c r="AM242" s="93" t="n"/>
      <c r="AN242" s="93" t="n"/>
      <c r="AO242" s="93" t="n"/>
      <c r="AP242" s="93" t="n"/>
      <c r="AQ242" s="93" t="n"/>
    </row>
    <row r="243" ht="14" customHeight="1" s="518">
      <c r="A243" s="106" t="n">
        <v>6</v>
      </c>
      <c r="B243" s="93" t="n">
        <v>237</v>
      </c>
      <c r="C243" s="93" t="inlineStr">
        <is>
          <t>2013Q</t>
        </is>
      </c>
      <c r="D243" s="93" t="inlineStr">
        <is>
          <t xml:space="preserve">05223-00-022-000 </t>
        </is>
      </c>
      <c r="E243" s="92" t="inlineStr">
        <is>
          <t>Actual</t>
        </is>
      </c>
      <c r="F243" s="93" t="inlineStr">
        <is>
          <t>1385 S CHEROKEE             ST</t>
        </is>
      </c>
      <c r="G243" s="93" t="n">
        <v>44.1</v>
      </c>
      <c r="H243" s="93" t="n">
        <v>9506</v>
      </c>
      <c r="I243" s="92" t="n">
        <v>0</v>
      </c>
      <c r="J243" s="710" t="n">
        <v>10654</v>
      </c>
      <c r="K243" s="711" t="n">
        <v>7.321193917777361</v>
      </c>
      <c r="L243" s="108" t="n">
        <v>0</v>
      </c>
      <c r="M243" s="97" t="n">
        <v>0.0417948717948718</v>
      </c>
      <c r="N243" s="93" t="n">
        <v>1956</v>
      </c>
      <c r="O243" s="93" t="n">
        <v>2340</v>
      </c>
      <c r="P243" s="93" t="n">
        <v>0</v>
      </c>
      <c r="Q243" s="93" t="n">
        <v>16</v>
      </c>
      <c r="R243" s="93" t="n">
        <v>3</v>
      </c>
      <c r="S243" s="93" t="n">
        <v>1</v>
      </c>
      <c r="T243" s="92" t="inlineStr">
        <is>
          <t xml:space="preserve">I-B         </t>
        </is>
      </c>
      <c r="U243" s="93" t="n">
        <v>398</v>
      </c>
      <c r="V243" s="710" t="n">
        <v>14600</v>
      </c>
      <c r="W243" s="710" t="n">
        <v>15000</v>
      </c>
      <c r="X243" s="712" t="inlineStr">
        <is>
          <t>1.4:1</t>
        </is>
      </c>
      <c r="Y243" s="710" t="n">
        <v>11000</v>
      </c>
      <c r="Z243" s="92" t="inlineStr">
        <is>
          <t xml:space="preserve">C </t>
        </is>
      </c>
      <c r="AA243" s="93" t="n"/>
      <c r="AB243" s="93" t="n"/>
      <c r="AC243" s="93" t="n"/>
      <c r="AD243" s="93" t="inlineStr"/>
      <c r="AE243" s="93" t="n"/>
      <c r="AF243" s="93" t="n"/>
      <c r="AG243" s="93" t="n"/>
      <c r="AH243" s="93" t="n"/>
      <c r="AI243" s="93" t="n"/>
      <c r="AK243" s="265" t="inlineStr">
        <is>
          <t xml:space="preserve">DATE OF LEASE COMMENCEMENT UNKNOWN.                               </t>
        </is>
      </c>
      <c r="AL243">
        <f>IF(AND(ISNUMBER($S243),$S243&gt;0,ISNUMBER($K243),ISNUMBER($J243)),($K243*$J243)/$S243,"")</f>
        <v/>
      </c>
      <c r="AM243" s="93" t="n"/>
      <c r="AN243" s="93" t="n"/>
      <c r="AO243" s="93" t="n"/>
      <c r="AP243" s="93" t="n"/>
      <c r="AQ243" s="93" t="n"/>
    </row>
    <row r="244" ht="28" customHeight="1" s="518">
      <c r="A244" s="106" t="n">
        <v>6</v>
      </c>
      <c r="B244" s="93" t="n">
        <v>238</v>
      </c>
      <c r="C244" s="93" t="inlineStr">
        <is>
          <t>2013Q</t>
        </is>
      </c>
      <c r="D244" s="93" t="inlineStr">
        <is>
          <t xml:space="preserve">05223-03-016-000 </t>
        </is>
      </c>
      <c r="E244" s="92" t="inlineStr">
        <is>
          <t>Actual</t>
        </is>
      </c>
      <c r="F244" s="93" t="inlineStr">
        <is>
          <t>1175 S CHEROKEE             ST</t>
        </is>
      </c>
      <c r="G244" s="93" t="n">
        <v>44.1</v>
      </c>
      <c r="H244" s="93" t="n">
        <v>9506</v>
      </c>
      <c r="I244" s="92" t="n">
        <v>0</v>
      </c>
      <c r="J244" s="710" t="n">
        <v>5336</v>
      </c>
      <c r="K244" s="711" t="n">
        <v>8.571428571428571</v>
      </c>
      <c r="L244" s="108" t="n">
        <v>0</v>
      </c>
      <c r="M244" s="97" t="n">
        <v>0</v>
      </c>
      <c r="N244" s="93" t="n">
        <v>1969</v>
      </c>
      <c r="O244" s="93" t="n">
        <v>752</v>
      </c>
      <c r="P244" s="93" t="n">
        <v>0</v>
      </c>
      <c r="Q244" s="93" t="n">
        <v>13</v>
      </c>
      <c r="R244" s="93" t="n">
        <v>3</v>
      </c>
      <c r="S244" s="93" t="n">
        <v>1</v>
      </c>
      <c r="T244" s="92" t="inlineStr">
        <is>
          <t xml:space="preserve">I-A         </t>
        </is>
      </c>
      <c r="U244" s="93" t="n">
        <v>398</v>
      </c>
      <c r="V244" s="710" t="n">
        <v>12500</v>
      </c>
      <c r="W244" s="710" t="n">
        <v>13000</v>
      </c>
      <c r="X244" s="712" t="inlineStr">
        <is>
          <t>2.3:1</t>
        </is>
      </c>
      <c r="Y244" s="710" t="n">
        <v>5000</v>
      </c>
      <c r="Z244" s="92" t="inlineStr">
        <is>
          <t xml:space="preserve">C </t>
        </is>
      </c>
      <c r="AA244" s="93" t="n"/>
      <c r="AB244" s="93" t="n"/>
      <c r="AC244" s="93" t="n"/>
      <c r="AD244" s="93" t="inlineStr"/>
      <c r="AE244" s="93" t="n"/>
      <c r="AF244" s="93" t="n"/>
      <c r="AG244" s="93" t="n"/>
      <c r="AH244" s="93" t="n"/>
      <c r="AI244" s="93" t="n"/>
      <c r="AK244" s="265" t="inlineStr">
        <is>
          <t xml:space="preserve">NO BASIS TO ALLOC. EXP. BETWEEN OWNER &amp; TENANT OCCUPIED SPACES.   </t>
        </is>
      </c>
      <c r="AL244">
        <f>IF(AND(ISNUMBER($S244),$S244&gt;0,ISNUMBER($K244),ISNUMBER($J244)),($K244*$J244)/$S244,"")</f>
        <v/>
      </c>
      <c r="AM244" s="93" t="n"/>
      <c r="AN244" s="93" t="n"/>
      <c r="AO244" s="93" t="n"/>
      <c r="AP244" s="93" t="n"/>
      <c r="AQ244" s="93" t="n"/>
    </row>
    <row r="245" ht="28" customHeight="1" s="518">
      <c r="A245" s="106" t="n">
        <v>6</v>
      </c>
      <c r="B245" s="93" t="n">
        <v>239</v>
      </c>
      <c r="C245" s="93" t="inlineStr">
        <is>
          <t>2013Q</t>
        </is>
      </c>
      <c r="D245" s="93" t="inlineStr">
        <is>
          <t xml:space="preserve">05223-05-013-000 </t>
        </is>
      </c>
      <c r="E245" s="92" t="inlineStr">
        <is>
          <t>Actual</t>
        </is>
      </c>
      <c r="F245" s="93" t="inlineStr">
        <is>
          <t>1253 S CHEROKEE             ST</t>
        </is>
      </c>
      <c r="G245" s="93" t="n">
        <v>44.2</v>
      </c>
      <c r="H245" s="93" t="n">
        <v>9506</v>
      </c>
      <c r="I245" s="92" t="n">
        <v>0</v>
      </c>
      <c r="J245" s="710" t="n">
        <v>18642</v>
      </c>
      <c r="K245" s="711" t="n">
        <v>5.845703125</v>
      </c>
      <c r="L245" s="108" t="n">
        <v>0.14</v>
      </c>
      <c r="M245" s="97" t="n">
        <v>0</v>
      </c>
      <c r="N245" s="93" t="n">
        <v>1943</v>
      </c>
      <c r="O245" s="93" t="n">
        <v>5907</v>
      </c>
      <c r="P245" s="93" t="n">
        <v>0</v>
      </c>
      <c r="Q245" s="93" t="n">
        <v>12</v>
      </c>
      <c r="R245" s="93" t="n">
        <v>1</v>
      </c>
      <c r="S245" s="93" t="n">
        <v>4</v>
      </c>
      <c r="T245" s="92" t="inlineStr">
        <is>
          <t xml:space="preserve">I-B         </t>
        </is>
      </c>
      <c r="U245" s="93" t="n">
        <v>398</v>
      </c>
      <c r="V245" s="710" t="n">
        <v>35250</v>
      </c>
      <c r="W245" s="710" t="n">
        <v>35000</v>
      </c>
      <c r="X245" s="712" t="inlineStr">
        <is>
          <t>1.9:1</t>
        </is>
      </c>
      <c r="Y245" s="710" t="n">
        <v>19000</v>
      </c>
      <c r="Z245" s="92" t="inlineStr">
        <is>
          <t xml:space="preserve">C </t>
        </is>
      </c>
      <c r="AA245" s="93" t="n"/>
      <c r="AB245" s="93" t="n"/>
      <c r="AC245" s="93" t="n"/>
      <c r="AD245" s="93" t="inlineStr">
        <is>
          <t xml:space="preserve">M-W                 </t>
        </is>
      </c>
      <c r="AE245" s="93" t="n"/>
      <c r="AF245" s="93" t="n"/>
      <c r="AG245" s="93" t="n"/>
      <c r="AH245" s="93" t="n"/>
      <c r="AI245" s="93" t="n"/>
      <c r="AK245" s="265" t="inlineStr">
        <is>
          <t xml:space="preserve">NO BASIS TO ALLOC. EXP. BETWEEN TENANT &amp; OWNER OCCUPIED SPACE.    </t>
        </is>
      </c>
      <c r="AL245">
        <f>IF(AND(ISNUMBER($S245),$S245&gt;0,ISNUMBER($K245),ISNUMBER($J245)),($K245*$J245)/$S245,"")</f>
        <v/>
      </c>
      <c r="AM245" s="93" t="n"/>
      <c r="AN245" s="93" t="n"/>
      <c r="AO245" s="93" t="n"/>
      <c r="AP245" s="93" t="n"/>
      <c r="AQ245" s="93" t="n"/>
    </row>
    <row r="246" ht="14" customHeight="1" s="518">
      <c r="A246" s="106" t="n">
        <v>6</v>
      </c>
      <c r="B246" s="93" t="n">
        <v>240</v>
      </c>
      <c r="C246" s="93" t="inlineStr">
        <is>
          <t>2013Q</t>
        </is>
      </c>
      <c r="D246" s="93" t="inlineStr">
        <is>
          <t xml:space="preserve">05223-05-022-000 </t>
        </is>
      </c>
      <c r="E246" s="92" t="inlineStr">
        <is>
          <t>Actual</t>
        </is>
      </c>
      <c r="F246" s="93" t="inlineStr">
        <is>
          <t>1221 S CHEROKEE             ST</t>
        </is>
      </c>
      <c r="G246" s="93" t="n">
        <v>44.1</v>
      </c>
      <c r="H246" s="93" t="n">
        <v>9506</v>
      </c>
      <c r="I246" s="92" t="n">
        <v>0</v>
      </c>
      <c r="J246" s="710" t="n">
        <v>4236</v>
      </c>
      <c r="K246" s="711" t="n">
        <v>11.40084985835694</v>
      </c>
      <c r="L246" s="108" t="n">
        <v>0</v>
      </c>
      <c r="M246" s="97" t="n">
        <v>0.05590756615728662</v>
      </c>
      <c r="N246" s="93" t="n">
        <v>1985</v>
      </c>
      <c r="O246" s="93" t="n">
        <v>0</v>
      </c>
      <c r="P246" s="93" t="n">
        <v>0</v>
      </c>
      <c r="Q246" s="93" t="n">
        <v>15</v>
      </c>
      <c r="R246" s="93" t="n">
        <v>7</v>
      </c>
      <c r="S246" s="93" t="n">
        <v>1</v>
      </c>
      <c r="T246" s="92" t="inlineStr">
        <is>
          <t xml:space="preserve">I-A         </t>
        </is>
      </c>
      <c r="U246" s="93" t="n">
        <v>398</v>
      </c>
      <c r="V246" s="710" t="n">
        <v>22750</v>
      </c>
      <c r="W246" s="710" t="n">
        <v>23000</v>
      </c>
      <c r="X246" s="712" t="inlineStr">
        <is>
          <t>5.4:1</t>
        </is>
      </c>
      <c r="Y246" s="710" t="n">
        <v>4000</v>
      </c>
      <c r="Z246" s="92" t="inlineStr">
        <is>
          <t xml:space="preserve">C </t>
        </is>
      </c>
      <c r="AA246" s="93" t="n"/>
      <c r="AB246" s="93" t="n"/>
      <c r="AC246" s="93" t="n"/>
      <c r="AD246" s="93" t="inlineStr">
        <is>
          <t xml:space="preserve">S-W                 </t>
        </is>
      </c>
      <c r="AE246" s="93" t="n"/>
      <c r="AF246" s="93" t="n"/>
      <c r="AG246" s="93" t="n"/>
      <c r="AH246" s="93" t="n"/>
      <c r="AI246" s="93" t="n"/>
      <c r="AK246" s="265" t="inlineStr">
        <is>
          <t xml:space="preserve">2009 LEASE.                                                       </t>
        </is>
      </c>
      <c r="AL246">
        <f>IF(AND(ISNUMBER($S246),$S246&gt;0,ISNUMBER($K246),ISNUMBER($J246)),($K246*$J246)/$S246,"")</f>
        <v/>
      </c>
      <c r="AM246" s="93" t="n"/>
      <c r="AN246" s="93" t="n"/>
      <c r="AO246" s="93" t="n"/>
      <c r="AP246" s="93" t="n"/>
      <c r="AQ246" s="93" t="n"/>
    </row>
    <row r="247" ht="14" customHeight="1" s="518">
      <c r="A247" s="106" t="n">
        <v>6</v>
      </c>
      <c r="B247" s="93" t="n">
        <v>241</v>
      </c>
      <c r="C247" s="93" t="inlineStr">
        <is>
          <t>2013Q</t>
        </is>
      </c>
      <c r="D247" s="93" t="inlineStr">
        <is>
          <t xml:space="preserve">05223-06-007-000 </t>
        </is>
      </c>
      <c r="E247" s="92" t="inlineStr">
        <is>
          <t>Actual</t>
        </is>
      </c>
      <c r="F247" s="93" t="inlineStr">
        <is>
          <t>1257 S BANNOCK              ST</t>
        </is>
      </c>
      <c r="G247" s="93" t="n">
        <v>44.2</v>
      </c>
      <c r="H247" s="93" t="n">
        <v>9506</v>
      </c>
      <c r="I247" s="92" t="n">
        <v>0</v>
      </c>
      <c r="J247" s="710" t="n">
        <v>2156</v>
      </c>
      <c r="K247" s="711" t="n">
        <v>10.01855287569573</v>
      </c>
      <c r="L247" s="108" t="n">
        <v>0</v>
      </c>
      <c r="M247" s="97" t="n">
        <v>0.08328703703703703</v>
      </c>
      <c r="N247" s="93" t="n">
        <v>1957</v>
      </c>
      <c r="O247" s="93" t="n">
        <v>0</v>
      </c>
      <c r="P247" s="93" t="n">
        <v>0</v>
      </c>
      <c r="Q247" s="93" t="n">
        <v>12</v>
      </c>
      <c r="R247" s="93" t="n">
        <v>3</v>
      </c>
      <c r="S247" s="93" t="n">
        <v>1</v>
      </c>
      <c r="T247" s="92" t="inlineStr">
        <is>
          <t xml:space="preserve">I-A         </t>
        </is>
      </c>
      <c r="U247" s="93" t="n">
        <v>398</v>
      </c>
      <c r="V247" s="710" t="n">
        <v>9370</v>
      </c>
      <c r="W247" s="710" t="n">
        <v>9000</v>
      </c>
      <c r="X247" s="712" t="inlineStr">
        <is>
          <t>4.3:1</t>
        </is>
      </c>
      <c r="Y247" s="710" t="n">
        <v>2000</v>
      </c>
      <c r="Z247" s="92" t="inlineStr">
        <is>
          <t xml:space="preserve">C </t>
        </is>
      </c>
      <c r="AA247" s="93" t="n"/>
      <c r="AB247" s="93" t="n"/>
      <c r="AC247" s="93" t="n"/>
      <c r="AD247" s="93" t="inlineStr"/>
      <c r="AE247" s="93" t="n"/>
      <c r="AF247" s="93" t="n"/>
      <c r="AG247" s="93" t="n"/>
      <c r="AH247" s="93" t="n"/>
      <c r="AI247" s="93" t="n"/>
      <c r="AK247" s="265" t="inlineStr"/>
      <c r="AL247">
        <f>IF(AND(ISNUMBER($S247),$S247&gt;0,ISNUMBER($K247),ISNUMBER($J247)),($K247*$J247)/$S247,"")</f>
        <v/>
      </c>
      <c r="AM247" s="93" t="n"/>
      <c r="AN247" s="93" t="n"/>
      <c r="AO247" s="93" t="n"/>
      <c r="AP247" s="93" t="n"/>
      <c r="AQ247" s="93" t="n"/>
    </row>
    <row r="248" ht="14" customHeight="1" s="518">
      <c r="A248" s="106" t="n">
        <v>6</v>
      </c>
      <c r="B248" s="93" t="n">
        <v>242</v>
      </c>
      <c r="C248" s="93" t="inlineStr">
        <is>
          <t>2013Q</t>
        </is>
      </c>
      <c r="D248" s="93" t="inlineStr">
        <is>
          <t xml:space="preserve">05223-07-013-000 </t>
        </is>
      </c>
      <c r="E248" s="92" t="inlineStr">
        <is>
          <t>Actual</t>
        </is>
      </c>
      <c r="F248" s="93" t="inlineStr">
        <is>
          <t>1290 S BANNOCK              ST</t>
        </is>
      </c>
      <c r="G248" s="93" t="n">
        <v>47.2</v>
      </c>
      <c r="H248" s="93" t="n">
        <v>9506</v>
      </c>
      <c r="I248" s="92" t="n">
        <v>0</v>
      </c>
      <c r="J248" s="710" t="n">
        <v>6628</v>
      </c>
      <c r="K248" s="711" t="n">
        <v>7.24200362100181</v>
      </c>
      <c r="L248" s="108" t="n">
        <v>0</v>
      </c>
      <c r="M248" s="97" t="n">
        <v>0.09166666666666666</v>
      </c>
      <c r="N248" s="93" t="n">
        <v>1965</v>
      </c>
      <c r="O248" s="93" t="n">
        <v>2608</v>
      </c>
      <c r="P248" s="93" t="n">
        <v>0</v>
      </c>
      <c r="Q248" s="93" t="n">
        <v>14</v>
      </c>
      <c r="R248" s="93" t="n">
        <v>1</v>
      </c>
      <c r="S248" s="93" t="n">
        <v>3</v>
      </c>
      <c r="T248" s="92" t="inlineStr">
        <is>
          <t xml:space="preserve">I-A         </t>
        </is>
      </c>
      <c r="U248" s="93" t="n">
        <v>401</v>
      </c>
      <c r="V248" s="710" t="n">
        <v>10000</v>
      </c>
      <c r="W248" s="710" t="n">
        <v>10000</v>
      </c>
      <c r="X248" s="712" t="inlineStr">
        <is>
          <t>1.5:1</t>
        </is>
      </c>
      <c r="Y248" s="710" t="n">
        <v>7000</v>
      </c>
      <c r="Z248" s="92" t="inlineStr">
        <is>
          <t xml:space="preserve">C </t>
        </is>
      </c>
      <c r="AA248" s="93" t="n"/>
      <c r="AB248" s="93" t="n"/>
      <c r="AC248" s="93" t="n"/>
      <c r="AD248" s="93" t="inlineStr">
        <is>
          <t xml:space="preserve">M-DISTRIBUITION     </t>
        </is>
      </c>
      <c r="AE248" s="93" t="n"/>
      <c r="AF248" s="93" t="n"/>
      <c r="AG248" s="93" t="n"/>
      <c r="AH248" s="93" t="n"/>
      <c r="AI248" s="93" t="n"/>
      <c r="AK248" s="265" t="inlineStr">
        <is>
          <t xml:space="preserve">2010 LEASE.                                                       </t>
        </is>
      </c>
      <c r="AL248">
        <f>IF(AND(ISNUMBER($S248),$S248&gt;0,ISNUMBER($K248),ISNUMBER($J248)),($K248*$J248)/$S248,"")</f>
        <v/>
      </c>
      <c r="AM248" s="93" t="n"/>
      <c r="AN248" s="93" t="n"/>
      <c r="AO248" s="93" t="n"/>
      <c r="AP248" s="93" t="n"/>
      <c r="AQ248" s="93" t="n"/>
    </row>
    <row r="249" ht="14" customHeight="1" s="518">
      <c r="A249" s="106" t="n">
        <v>6</v>
      </c>
      <c r="B249" s="93" t="n">
        <v>243</v>
      </c>
      <c r="C249" s="93" t="inlineStr">
        <is>
          <t>2013Q</t>
        </is>
      </c>
      <c r="D249" s="93" t="inlineStr">
        <is>
          <t xml:space="preserve">05223-09-001-000 </t>
        </is>
      </c>
      <c r="E249" s="92" t="inlineStr">
        <is>
          <t>Actual</t>
        </is>
      </c>
      <c r="F249" s="93" t="inlineStr">
        <is>
          <t>1410 S SANTA FE             DR</t>
        </is>
      </c>
      <c r="G249" s="93" t="n">
        <v>44.1</v>
      </c>
      <c r="H249" s="93" t="n">
        <v>9506</v>
      </c>
      <c r="I249" s="92" t="n">
        <v>3</v>
      </c>
      <c r="J249" s="710" t="n">
        <v>38802</v>
      </c>
      <c r="K249" s="711" t="n">
        <v>3.92</v>
      </c>
      <c r="L249" s="108" t="n">
        <v>0</v>
      </c>
      <c r="M249" s="97" t="n">
        <v>0</v>
      </c>
      <c r="N249" s="93" t="n">
        <v>1983</v>
      </c>
      <c r="O249" s="93" t="n">
        <v>7359</v>
      </c>
      <c r="P249" s="93" t="n">
        <v>0</v>
      </c>
      <c r="Q249" s="93" t="n">
        <v>20</v>
      </c>
      <c r="R249" s="93" t="n">
        <v>1</v>
      </c>
      <c r="S249" s="93" t="n">
        <v>1</v>
      </c>
      <c r="T249" s="92" t="inlineStr">
        <is>
          <t xml:space="preserve">E-CC-3      </t>
        </is>
      </c>
      <c r="U249" s="93" t="n">
        <v>398</v>
      </c>
      <c r="V249" s="710" t="n">
        <v>17600</v>
      </c>
      <c r="W249" s="710" t="n">
        <v>18000</v>
      </c>
      <c r="X249" s="712" t="inlineStr">
        <is>
          <t>0.5:1</t>
        </is>
      </c>
      <c r="Y249" s="710" t="n">
        <v>39000</v>
      </c>
      <c r="Z249" s="92" t="inlineStr">
        <is>
          <t xml:space="preserve">C </t>
        </is>
      </c>
      <c r="AA249" s="93" t="n"/>
      <c r="AB249" s="93" t="n"/>
      <c r="AC249" s="93" t="n"/>
      <c r="AD249" s="93" t="inlineStr">
        <is>
          <t xml:space="preserve">MONARCH SHOWER DOOR </t>
        </is>
      </c>
      <c r="AE249" s="93" t="n"/>
      <c r="AF249" s="93" t="n"/>
      <c r="AG249" s="93" t="n"/>
      <c r="AH249" s="93" t="n"/>
      <c r="AI249" s="93" t="n"/>
      <c r="AK249" s="265" t="inlineStr">
        <is>
          <t xml:space="preserve">2010 LEASE.                                                       </t>
        </is>
      </c>
      <c r="AL249">
        <f>IF(AND(ISNUMBER($S249),$S249&gt;0,ISNUMBER($K249),ISNUMBER($J249)),($K249*$J249)/$S249,"")</f>
        <v/>
      </c>
      <c r="AM249" s="93" t="n"/>
      <c r="AN249" s="93" t="n"/>
      <c r="AO249" s="93" t="n"/>
      <c r="AP249" s="93" t="n"/>
      <c r="AQ249" s="93" t="n"/>
    </row>
    <row r="250" ht="14" customHeight="1" s="518">
      <c r="A250" s="106" t="n">
        <v>6</v>
      </c>
      <c r="B250" s="93" t="n">
        <v>244</v>
      </c>
      <c r="C250" s="93" t="inlineStr">
        <is>
          <t>2013Q</t>
        </is>
      </c>
      <c r="D250" s="93" t="inlineStr">
        <is>
          <t xml:space="preserve">05223-10-015-000 </t>
        </is>
      </c>
      <c r="E250" s="92" t="inlineStr">
        <is>
          <t>Actual</t>
        </is>
      </c>
      <c r="F250" s="93" t="inlineStr">
        <is>
          <t>1439 S BANNOCK              ST</t>
        </is>
      </c>
      <c r="G250" s="93" t="n">
        <v>44.2</v>
      </c>
      <c r="H250" s="93" t="n">
        <v>9506</v>
      </c>
      <c r="I250" s="92" t="n">
        <v>0</v>
      </c>
      <c r="J250" s="710" t="n">
        <v>5048</v>
      </c>
      <c r="K250" s="711" t="n">
        <v>2.852614896988907</v>
      </c>
      <c r="L250" s="108" t="n">
        <v>0</v>
      </c>
      <c r="M250" s="97" t="n">
        <v>0.1145833333333333</v>
      </c>
      <c r="N250" s="93" t="n">
        <v>1945</v>
      </c>
      <c r="O250" s="93" t="n">
        <v>293</v>
      </c>
      <c r="P250" s="93" t="n">
        <v>0</v>
      </c>
      <c r="Q250" s="93" t="n">
        <v>13</v>
      </c>
      <c r="R250" s="93" t="n">
        <v>3</v>
      </c>
      <c r="S250" s="93" t="n">
        <v>1</v>
      </c>
      <c r="T250" s="92" t="inlineStr">
        <is>
          <t xml:space="preserve">I-A         </t>
        </is>
      </c>
      <c r="U250" s="93" t="n">
        <v>398</v>
      </c>
      <c r="V250" s="710" t="n">
        <v>7620</v>
      </c>
      <c r="W250" s="710" t="n">
        <v>8000</v>
      </c>
      <c r="X250" s="712" t="inlineStr">
        <is>
          <t>1.5:1</t>
        </is>
      </c>
      <c r="Y250" s="710" t="n">
        <v>5000</v>
      </c>
      <c r="Z250" s="92" t="inlineStr">
        <is>
          <t xml:space="preserve">C </t>
        </is>
      </c>
      <c r="AA250" s="93" t="n"/>
      <c r="AB250" s="93" t="n"/>
      <c r="AC250" s="93" t="n"/>
      <c r="AD250" s="93" t="inlineStr"/>
      <c r="AE250" s="93" t="n"/>
      <c r="AF250" s="93" t="n"/>
      <c r="AG250" s="93" t="n"/>
      <c r="AH250" s="93" t="n"/>
      <c r="AI250" s="93" t="n"/>
      <c r="AK250" s="265" t="inlineStr">
        <is>
          <t xml:space="preserve">DATE OF COMMENCEMENT UNKNOWN.                                     </t>
        </is>
      </c>
      <c r="AL250">
        <f>IF(AND(ISNUMBER($S250),$S250&gt;0,ISNUMBER($K250),ISNUMBER($J250)),($K250*$J250)/$S250,"")</f>
        <v/>
      </c>
      <c r="AM250" s="93" t="n"/>
      <c r="AN250" s="93" t="n"/>
      <c r="AO250" s="93" t="n"/>
      <c r="AP250" s="93" t="n"/>
      <c r="AQ250" s="93" t="n"/>
    </row>
    <row r="251" ht="14" customHeight="1" s="518">
      <c r="A251" s="106" t="n">
        <v>6</v>
      </c>
      <c r="B251" s="93" t="n">
        <v>245</v>
      </c>
      <c r="C251" s="93" t="inlineStr">
        <is>
          <t>2013Q</t>
        </is>
      </c>
      <c r="D251" s="93" t="inlineStr">
        <is>
          <t xml:space="preserve">05223-10-022-000 </t>
        </is>
      </c>
      <c r="E251" s="92" t="inlineStr">
        <is>
          <t>Actual</t>
        </is>
      </c>
      <c r="F251" s="93" t="inlineStr">
        <is>
          <t>1332 S CHEROKEE             ST</t>
        </is>
      </c>
      <c r="G251" s="93" t="n">
        <v>44.2</v>
      </c>
      <c r="H251" s="93" t="n">
        <v>9506</v>
      </c>
      <c r="I251" s="92" t="n">
        <v>0</v>
      </c>
      <c r="J251" s="710" t="n">
        <v>3960</v>
      </c>
      <c r="K251" s="711" t="n">
        <v>12.12121212121212</v>
      </c>
      <c r="L251" s="108" t="n">
        <v>0</v>
      </c>
      <c r="M251" s="97" t="n">
        <v>0</v>
      </c>
      <c r="N251" s="93" t="n">
        <v>1969</v>
      </c>
      <c r="O251" s="93" t="n">
        <v>2288</v>
      </c>
      <c r="P251" s="93" t="n">
        <v>0</v>
      </c>
      <c r="Q251" s="93" t="n">
        <v>13</v>
      </c>
      <c r="R251" s="93" t="n">
        <v>14</v>
      </c>
      <c r="S251" s="93" t="n">
        <v>1</v>
      </c>
      <c r="T251" s="92" t="inlineStr">
        <is>
          <t xml:space="preserve">I-B         </t>
        </is>
      </c>
      <c r="U251" s="93" t="n">
        <v>398</v>
      </c>
      <c r="V251" s="710" t="n">
        <v>9834</v>
      </c>
      <c r="W251" s="710" t="n">
        <v>10000</v>
      </c>
      <c r="X251" s="712" t="inlineStr">
        <is>
          <t>2.5:1</t>
        </is>
      </c>
      <c r="Y251" s="710" t="n">
        <v>4000</v>
      </c>
      <c r="Z251" s="92" t="inlineStr">
        <is>
          <t xml:space="preserve">C </t>
        </is>
      </c>
      <c r="AA251" s="93" t="n"/>
      <c r="AB251" s="93" t="n"/>
      <c r="AC251" s="93" t="n"/>
      <c r="AD251" s="93" t="inlineStr">
        <is>
          <t xml:space="preserve">SIGNAL GRAPHICS     </t>
        </is>
      </c>
      <c r="AE251" s="93" t="n"/>
      <c r="AF251" s="93" t="n"/>
      <c r="AG251" s="93" t="n"/>
      <c r="AH251" s="93" t="n"/>
      <c r="AI251" s="93" t="n"/>
      <c r="AK251" s="265" t="inlineStr"/>
      <c r="AL251">
        <f>IF(AND(ISNUMBER($S251),$S251&gt;0,ISNUMBER($K251),ISNUMBER($J251)),($K251*$J251)/$S251,"")</f>
        <v/>
      </c>
      <c r="AM251" s="93" t="n"/>
      <c r="AN251" s="93" t="n"/>
      <c r="AO251" s="93" t="n"/>
      <c r="AP251" s="93" t="n"/>
      <c r="AQ251" s="93" t="n"/>
    </row>
    <row r="252" ht="14" customHeight="1" s="518">
      <c r="A252" s="106" t="n">
        <v>6</v>
      </c>
      <c r="B252" s="93" t="n">
        <v>246</v>
      </c>
      <c r="C252" s="93" t="inlineStr">
        <is>
          <t>2013Q</t>
        </is>
      </c>
      <c r="D252" s="93" t="inlineStr">
        <is>
          <t xml:space="preserve">05223-10-033-000 </t>
        </is>
      </c>
      <c r="E252" s="92" t="inlineStr">
        <is>
          <t>Actual</t>
        </is>
      </c>
      <c r="F252" s="93" t="inlineStr">
        <is>
          <t>1468 S CHEROKEE             ST</t>
        </is>
      </c>
      <c r="G252" s="93" t="n">
        <v>44.2</v>
      </c>
      <c r="H252" s="93" t="n">
        <v>9506</v>
      </c>
      <c r="I252" s="92" t="n">
        <v>0</v>
      </c>
      <c r="J252" s="710" t="n">
        <v>4540</v>
      </c>
      <c r="K252" s="711" t="n">
        <v>7.929515418502203</v>
      </c>
      <c r="L252" s="108" t="n">
        <v>0</v>
      </c>
      <c r="M252" s="97" t="n">
        <v>0.07730555555555556</v>
      </c>
      <c r="N252" s="93" t="n">
        <v>1998</v>
      </c>
      <c r="O252" s="93" t="n">
        <v>657</v>
      </c>
      <c r="P252" s="93" t="n">
        <v>0</v>
      </c>
      <c r="Q252" s="93" t="n">
        <v>15</v>
      </c>
      <c r="R252" s="93" t="n">
        <v>7</v>
      </c>
      <c r="S252" s="93" t="n">
        <v>3</v>
      </c>
      <c r="T252" s="92" t="inlineStr">
        <is>
          <t xml:space="preserve">I-A         </t>
        </is>
      </c>
      <c r="U252" s="93" t="n">
        <v>398</v>
      </c>
      <c r="V252" s="710" t="n">
        <v>10950</v>
      </c>
      <c r="W252" s="710" t="n">
        <v>11000</v>
      </c>
      <c r="X252" s="712" t="inlineStr">
        <is>
          <t>2.4:1</t>
        </is>
      </c>
      <c r="Y252" s="710" t="n">
        <v>5000</v>
      </c>
      <c r="Z252" s="92" t="inlineStr">
        <is>
          <t xml:space="preserve">C </t>
        </is>
      </c>
      <c r="AA252" s="93" t="n"/>
      <c r="AB252" s="93" t="n"/>
      <c r="AC252" s="93" t="n"/>
      <c r="AD252" s="93" t="inlineStr">
        <is>
          <t xml:space="preserve">M-WHSE              </t>
        </is>
      </c>
      <c r="AE252" s="93" t="n"/>
      <c r="AF252" s="93" t="n"/>
      <c r="AG252" s="93" t="n"/>
      <c r="AH252" s="93" t="n"/>
      <c r="AI252" s="93" t="n"/>
      <c r="AK252" s="265" t="inlineStr"/>
      <c r="AL252">
        <f>IF(AND(ISNUMBER($S252),$S252&gt;0,ISNUMBER($K252),ISNUMBER($J252)),($K252*$J252)/$S252,"")</f>
        <v/>
      </c>
      <c r="AM252" s="93" t="n"/>
      <c r="AN252" s="93" t="n"/>
      <c r="AO252" s="93" t="n"/>
      <c r="AP252" s="93" t="n"/>
      <c r="AQ252" s="93" t="n"/>
    </row>
    <row r="253" ht="14" customHeight="1" s="518">
      <c r="A253" s="106" t="n">
        <v>6</v>
      </c>
      <c r="B253" s="93" t="n">
        <v>247</v>
      </c>
      <c r="C253" s="93" t="inlineStr">
        <is>
          <t>2013Q</t>
        </is>
      </c>
      <c r="D253" s="93" t="inlineStr">
        <is>
          <t xml:space="preserve">05226-01-028-000 </t>
        </is>
      </c>
      <c r="E253" s="92" t="inlineStr">
        <is>
          <t>Actual</t>
        </is>
      </c>
      <c r="F253" s="93" t="inlineStr">
        <is>
          <t>1586 S ACOMA                ST</t>
        </is>
      </c>
      <c r="G253" s="93" t="n">
        <v>44.2</v>
      </c>
      <c r="H253" s="93" t="n">
        <v>9506</v>
      </c>
      <c r="I253" s="92" t="n">
        <v>0</v>
      </c>
      <c r="J253" s="710" t="n">
        <v>7000</v>
      </c>
      <c r="K253" s="711" t="n">
        <v>7.028571428571428</v>
      </c>
      <c r="L253" s="108" t="n">
        <v>0</v>
      </c>
      <c r="M253" s="97" t="n">
        <v>0.05772357723577236</v>
      </c>
      <c r="N253" s="93" t="n">
        <v>1967</v>
      </c>
      <c r="O253" s="93" t="n">
        <v>2500</v>
      </c>
      <c r="P253" s="93" t="n">
        <v>0</v>
      </c>
      <c r="Q253" s="93" t="n">
        <v>14</v>
      </c>
      <c r="R253" s="93" t="n">
        <v>1</v>
      </c>
      <c r="S253" s="93" t="n">
        <v>1</v>
      </c>
      <c r="T253" s="92" t="inlineStr">
        <is>
          <t xml:space="preserve">I-A         </t>
        </is>
      </c>
      <c r="U253" s="93" t="n">
        <v>398</v>
      </c>
      <c r="V253" s="710" t="n">
        <v>12500</v>
      </c>
      <c r="W253" s="710" t="n">
        <v>13000</v>
      </c>
      <c r="X253" s="712" t="inlineStr">
        <is>
          <t>1.8:1</t>
        </is>
      </c>
      <c r="Y253" s="710" t="n">
        <v>7000</v>
      </c>
      <c r="Z253" s="92" t="inlineStr">
        <is>
          <t xml:space="preserve">C </t>
        </is>
      </c>
      <c r="AA253" s="93" t="n"/>
      <c r="AB253" s="93" t="n"/>
      <c r="AC253" s="93" t="n"/>
      <c r="AD253" s="93" t="inlineStr"/>
      <c r="AE253" s="93" t="n"/>
      <c r="AF253" s="93" t="n"/>
      <c r="AG253" s="93" t="n"/>
      <c r="AH253" s="93" t="n"/>
      <c r="AI253" s="93" t="n"/>
      <c r="AK253" s="265" t="inlineStr">
        <is>
          <t xml:space="preserve">2009 LEASES.                                                      </t>
        </is>
      </c>
      <c r="AL253">
        <f>IF(AND(ISNUMBER($S253),$S253&gt;0,ISNUMBER($K253),ISNUMBER($J253)),($K253*$J253)/$S253,"")</f>
        <v/>
      </c>
      <c r="AM253" s="93" t="n"/>
      <c r="AN253" s="93" t="n"/>
      <c r="AO253" s="93" t="n"/>
      <c r="AP253" s="93" t="n"/>
      <c r="AQ253" s="93" t="n"/>
    </row>
    <row r="254" ht="14" customHeight="1" s="518">
      <c r="A254" s="106" t="n">
        <v>6</v>
      </c>
      <c r="B254" s="93" t="n">
        <v>248</v>
      </c>
      <c r="C254" s="93" t="inlineStr">
        <is>
          <t>2013Q</t>
        </is>
      </c>
      <c r="D254" s="93" t="inlineStr">
        <is>
          <t xml:space="preserve">05226-10-028-000 </t>
        </is>
      </c>
      <c r="E254" s="92" t="inlineStr">
        <is>
          <t>Actual</t>
        </is>
      </c>
      <c r="F254" s="93" t="inlineStr">
        <is>
          <t>1701 S BROADWAY             ST</t>
        </is>
      </c>
      <c r="G254" s="93" t="n">
        <v>44.2</v>
      </c>
      <c r="H254" s="93" t="n">
        <v>9506</v>
      </c>
      <c r="I254" s="92" t="n">
        <v>2</v>
      </c>
      <c r="J254" s="710" t="n">
        <v>16261</v>
      </c>
      <c r="K254" s="711" t="n">
        <v>5.488223356497141</v>
      </c>
      <c r="L254" s="108" t="n">
        <v>0</v>
      </c>
      <c r="M254" s="97" t="n">
        <v>0.01344628210299852</v>
      </c>
      <c r="N254" s="93" t="n">
        <v>1932</v>
      </c>
      <c r="O254" s="93" t="n">
        <v>1800</v>
      </c>
      <c r="P254" s="93" t="n">
        <v>0</v>
      </c>
      <c r="Q254" s="93" t="n">
        <v>16</v>
      </c>
      <c r="R254" s="93" t="n">
        <v>1</v>
      </c>
      <c r="S254" s="93" t="n">
        <v>1</v>
      </c>
      <c r="T254" s="92" t="inlineStr">
        <is>
          <t xml:space="preserve">U-MS-5      </t>
        </is>
      </c>
      <c r="U254" s="93" t="n">
        <v>398</v>
      </c>
      <c r="V254" s="710" t="n">
        <v>15624</v>
      </c>
      <c r="W254" s="710" t="n">
        <v>16000</v>
      </c>
      <c r="X254" s="712" t="inlineStr">
        <is>
          <t>1:1</t>
        </is>
      </c>
      <c r="Y254" s="710" t="n">
        <v>16000</v>
      </c>
      <c r="Z254" s="92" t="inlineStr">
        <is>
          <t xml:space="preserve">C </t>
        </is>
      </c>
      <c r="AA254" s="93" t="n"/>
      <c r="AB254" s="93" t="n"/>
      <c r="AC254" s="93" t="n"/>
      <c r="AD254" s="93" t="inlineStr"/>
      <c r="AE254" s="93" t="n"/>
      <c r="AF254" s="93" t="n"/>
      <c r="AG254" s="93" t="n"/>
      <c r="AH254" s="93" t="n"/>
      <c r="AI254" s="93" t="n"/>
      <c r="AK254" s="265" t="inlineStr"/>
      <c r="AL254">
        <f>IF(AND(ISNUMBER($S254),$S254&gt;0,ISNUMBER($K254),ISNUMBER($J254)),($K254*$J254)/$S254,"")</f>
        <v/>
      </c>
      <c r="AM254" s="93" t="n"/>
      <c r="AN254" s="93" t="n"/>
      <c r="AO254" s="93" t="n"/>
      <c r="AP254" s="93" t="n"/>
      <c r="AQ254" s="93" t="n"/>
    </row>
    <row r="255" ht="14" customHeight="1" s="518">
      <c r="A255" s="106" t="n">
        <v>6</v>
      </c>
      <c r="B255" s="93" t="n">
        <v>249</v>
      </c>
      <c r="C255" s="93" t="inlineStr">
        <is>
          <t>2013Q</t>
        </is>
      </c>
      <c r="D255" s="93" t="inlineStr">
        <is>
          <t xml:space="preserve">05226-16-031-000 </t>
        </is>
      </c>
      <c r="E255" s="92" t="inlineStr">
        <is>
          <t>Actual</t>
        </is>
      </c>
      <c r="F255" s="93" t="inlineStr">
        <is>
          <t>1865 S ACOMA                ST</t>
        </is>
      </c>
      <c r="G255" s="93" t="n">
        <v>44.2</v>
      </c>
      <c r="H255" s="93" t="n">
        <v>9506</v>
      </c>
      <c r="I255" s="92" t="n">
        <v>0</v>
      </c>
      <c r="J255" s="710" t="n">
        <v>5920</v>
      </c>
      <c r="K255" s="711" t="n">
        <v>8.277027027027026</v>
      </c>
      <c r="L255" s="108" t="n">
        <v>0</v>
      </c>
      <c r="M255" s="97" t="n">
        <v>0.06514285714285714</v>
      </c>
      <c r="N255" s="93" t="n">
        <v>1972</v>
      </c>
      <c r="O255" s="93" t="n">
        <v>1406</v>
      </c>
      <c r="P255" s="93" t="n">
        <v>0</v>
      </c>
      <c r="Q255" s="93" t="n">
        <v>13</v>
      </c>
      <c r="R255" s="93" t="n">
        <v>3</v>
      </c>
      <c r="S255" s="93" t="n">
        <v>4</v>
      </c>
      <c r="T255" s="92" t="inlineStr">
        <is>
          <t xml:space="preserve">I-A         </t>
        </is>
      </c>
      <c r="U255" s="93" t="n">
        <v>398</v>
      </c>
      <c r="V255" s="710" t="n">
        <v>9430</v>
      </c>
      <c r="W255" s="710" t="n">
        <v>9000</v>
      </c>
      <c r="X255" s="712" t="inlineStr">
        <is>
          <t>1.6:1</t>
        </is>
      </c>
      <c r="Y255" s="710" t="n">
        <v>6000</v>
      </c>
      <c r="Z255" s="92" t="inlineStr">
        <is>
          <t xml:space="preserve">C </t>
        </is>
      </c>
      <c r="AA255" s="93" t="n"/>
      <c r="AB255" s="93" t="n"/>
      <c r="AC255" s="93" t="n"/>
      <c r="AD255" s="93" t="inlineStr"/>
      <c r="AE255" s="93" t="n"/>
      <c r="AF255" s="93" t="n"/>
      <c r="AG255" s="93" t="n"/>
      <c r="AH255" s="93" t="n"/>
      <c r="AI255" s="93" t="n"/>
      <c r="AK255" s="265" t="inlineStr"/>
      <c r="AL255">
        <f>IF(AND(ISNUMBER($S255),$S255&gt;0,ISNUMBER($K255),ISNUMBER($J255)),($K255*$J255)/$S255,"")</f>
        <v/>
      </c>
      <c r="AM255" s="93" t="n"/>
      <c r="AN255" s="93" t="n"/>
      <c r="AO255" s="93" t="n"/>
      <c r="AP255" s="93" t="n"/>
      <c r="AQ255" s="93" t="n"/>
    </row>
    <row r="256" ht="14" customHeight="1" s="518">
      <c r="A256" s="106" t="n">
        <v>6</v>
      </c>
      <c r="B256" s="93" t="n">
        <v>250</v>
      </c>
      <c r="C256" s="93" t="inlineStr">
        <is>
          <t>2013Q</t>
        </is>
      </c>
      <c r="D256" s="93" t="inlineStr">
        <is>
          <t xml:space="preserve">05226-17-018-000 </t>
        </is>
      </c>
      <c r="E256" s="92" t="inlineStr">
        <is>
          <t>Actual</t>
        </is>
      </c>
      <c r="F256" s="93" t="inlineStr">
        <is>
          <t>1870 S ACOMA                ST</t>
        </is>
      </c>
      <c r="G256" s="93" t="n">
        <v>44.2</v>
      </c>
      <c r="H256" s="93" t="n">
        <v>9506</v>
      </c>
      <c r="I256" s="92" t="n">
        <v>0</v>
      </c>
      <c r="J256" s="710" t="n">
        <v>5760</v>
      </c>
      <c r="K256" s="711" t="n">
        <v>7.291666666666667</v>
      </c>
      <c r="L256" s="108" t="n">
        <v>0</v>
      </c>
      <c r="M256" s="97" t="n">
        <v>0.4095238095238095</v>
      </c>
      <c r="N256" s="93" t="n">
        <v>1962</v>
      </c>
      <c r="O256" s="93" t="n">
        <v>636</v>
      </c>
      <c r="P256" s="93" t="n">
        <v>0</v>
      </c>
      <c r="Q256" s="93" t="n">
        <v>18</v>
      </c>
      <c r="R256" s="93" t="n">
        <v>3</v>
      </c>
      <c r="S256" s="93" t="n">
        <v>1</v>
      </c>
      <c r="T256" s="92" t="inlineStr">
        <is>
          <t xml:space="preserve">I-A         </t>
        </is>
      </c>
      <c r="U256" s="93" t="n">
        <v>397</v>
      </c>
      <c r="V256" s="710" t="n">
        <v>9370</v>
      </c>
      <c r="W256" s="710" t="n">
        <v>9000</v>
      </c>
      <c r="X256" s="712" t="inlineStr">
        <is>
          <t>1.6:1</t>
        </is>
      </c>
      <c r="Y256" s="710" t="n">
        <v>6000</v>
      </c>
      <c r="Z256" s="92" t="inlineStr">
        <is>
          <t xml:space="preserve">C </t>
        </is>
      </c>
      <c r="AA256" s="93" t="n"/>
      <c r="AB256" s="93" t="n"/>
      <c r="AC256" s="93" t="n"/>
      <c r="AD256" s="93" t="inlineStr">
        <is>
          <t xml:space="preserve">S-W ELECTRIC SUPPLY </t>
        </is>
      </c>
      <c r="AE256" s="93" t="n"/>
      <c r="AF256" s="93" t="n"/>
      <c r="AG256" s="93" t="n"/>
      <c r="AH256" s="93" t="n"/>
      <c r="AI256" s="93" t="n"/>
      <c r="AK256" s="265" t="inlineStr"/>
      <c r="AL256">
        <f>IF(AND(ISNUMBER($S256),$S256&gt;0,ISNUMBER($K256),ISNUMBER($J256)),($K256*$J256)/$S256,"")</f>
        <v/>
      </c>
      <c r="AM256" s="93" t="n"/>
      <c r="AN256" s="93" t="n"/>
      <c r="AO256" s="93" t="n"/>
      <c r="AP256" s="93" t="n"/>
      <c r="AQ256" s="93" t="n"/>
    </row>
    <row r="257" ht="14" customHeight="1" s="518">
      <c r="A257" s="106" t="n">
        <v>6</v>
      </c>
      <c r="B257" s="93" t="n">
        <v>251</v>
      </c>
      <c r="C257" s="93" t="inlineStr">
        <is>
          <t>2013Q</t>
        </is>
      </c>
      <c r="D257" s="93" t="inlineStr">
        <is>
          <t xml:space="preserve">05227-36-027-000 </t>
        </is>
      </c>
      <c r="E257" s="92" t="inlineStr">
        <is>
          <t>Actual</t>
        </is>
      </c>
      <c r="F257" s="93" t="inlineStr">
        <is>
          <t>1859 S PEARL                ST</t>
        </is>
      </c>
      <c r="G257" s="93" t="n">
        <v>44.1</v>
      </c>
      <c r="H257" s="93" t="n">
        <v>9509</v>
      </c>
      <c r="I257" s="92" t="n">
        <v>0</v>
      </c>
      <c r="J257" s="710" t="n">
        <v>1912</v>
      </c>
      <c r="K257" s="711" t="n">
        <v>19.26882845188285</v>
      </c>
      <c r="L257" s="108" t="n">
        <v>0</v>
      </c>
      <c r="M257" s="97" t="n">
        <v>0.03330438086965963</v>
      </c>
      <c r="N257" s="93" t="n">
        <v>1955</v>
      </c>
      <c r="O257" s="93" t="n">
        <v>0</v>
      </c>
      <c r="P257" s="93" t="n">
        <v>0</v>
      </c>
      <c r="Q257" s="93" t="n">
        <v>12</v>
      </c>
      <c r="R257" s="93" t="n">
        <v>3</v>
      </c>
      <c r="S257" s="93" t="n">
        <v>1</v>
      </c>
      <c r="T257" s="92" t="inlineStr">
        <is>
          <t xml:space="preserve">U-MS-2      </t>
        </is>
      </c>
      <c r="U257" s="93" t="n">
        <v>398</v>
      </c>
      <c r="V257" s="710" t="n">
        <v>3125</v>
      </c>
      <c r="W257" s="710" t="n">
        <v>3000</v>
      </c>
      <c r="X257" s="712" t="inlineStr">
        <is>
          <t>1.6:1</t>
        </is>
      </c>
      <c r="Y257" s="710" t="n">
        <v>2000</v>
      </c>
      <c r="Z257" s="92" t="inlineStr">
        <is>
          <t xml:space="preserve">C </t>
        </is>
      </c>
      <c r="AA257" s="93" t="n"/>
      <c r="AB257" s="93" t="n"/>
      <c r="AC257" s="93" t="n"/>
      <c r="AD257" s="93" t="inlineStr">
        <is>
          <t>S-W R K LEONARD SPEC</t>
        </is>
      </c>
      <c r="AE257" s="93" t="n"/>
      <c r="AF257" s="93" t="n"/>
      <c r="AG257" s="93" t="n"/>
      <c r="AH257" s="93" t="n"/>
      <c r="AI257" s="93" t="n"/>
      <c r="AK257" s="265" t="inlineStr"/>
      <c r="AL257">
        <f>IF(AND(ISNUMBER($S257),$S257&gt;0,ISNUMBER($K257),ISNUMBER($J257)),($K257*$J257)/$S257,"")</f>
        <v/>
      </c>
      <c r="AM257" s="93" t="n"/>
      <c r="AN257" s="93" t="n"/>
      <c r="AO257" s="93" t="n"/>
      <c r="AP257" s="93" t="n"/>
      <c r="AQ257" s="93" t="n"/>
    </row>
    <row r="258" ht="14" customHeight="1" s="518">
      <c r="A258" s="106" t="n">
        <v>6</v>
      </c>
      <c r="B258" s="93" t="n">
        <v>252</v>
      </c>
      <c r="C258" s="93" t="inlineStr">
        <is>
          <t>2013Q</t>
        </is>
      </c>
      <c r="D258" s="93" t="inlineStr">
        <is>
          <t xml:space="preserve">05272-03-013-000 </t>
        </is>
      </c>
      <c r="E258" s="92" t="inlineStr">
        <is>
          <t>Actual</t>
        </is>
      </c>
      <c r="F258" s="93" t="inlineStr">
        <is>
          <t>1955 S BANNOCK              ST</t>
        </is>
      </c>
      <c r="G258" s="93" t="n">
        <v>43.1</v>
      </c>
      <c r="H258" s="93" t="n">
        <v>9506</v>
      </c>
      <c r="I258" s="92" t="n">
        <v>0</v>
      </c>
      <c r="J258" s="710" t="n">
        <v>3038</v>
      </c>
      <c r="K258" s="711" t="n">
        <v>15.2073732718894</v>
      </c>
      <c r="L258" s="108" t="n">
        <v>0</v>
      </c>
      <c r="M258" s="97" t="n">
        <v>0.1811688311688312</v>
      </c>
      <c r="N258" s="93" t="n">
        <v>1959</v>
      </c>
      <c r="O258" s="93" t="n">
        <v>0</v>
      </c>
      <c r="P258" s="93" t="n">
        <v>0</v>
      </c>
      <c r="Q258" s="93" t="n">
        <v>15</v>
      </c>
      <c r="R258" s="93" t="n">
        <v>3</v>
      </c>
      <c r="S258" s="93" t="n">
        <v>1</v>
      </c>
      <c r="T258" s="92" t="inlineStr">
        <is>
          <t xml:space="preserve">I-A         </t>
        </is>
      </c>
      <c r="U258" s="93" t="n">
        <v>401</v>
      </c>
      <c r="V258" s="710" t="n">
        <v>6250</v>
      </c>
      <c r="W258" s="710" t="n">
        <v>6000</v>
      </c>
      <c r="X258" s="712" t="inlineStr">
        <is>
          <t>2.1:1</t>
        </is>
      </c>
      <c r="Y258" s="710" t="n">
        <v>3000</v>
      </c>
      <c r="Z258" s="92" t="inlineStr">
        <is>
          <t xml:space="preserve">C </t>
        </is>
      </c>
      <c r="AA258" s="93" t="n"/>
      <c r="AB258" s="93" t="n"/>
      <c r="AC258" s="93" t="n"/>
      <c r="AD258" s="93" t="inlineStr"/>
      <c r="AE258" s="93" t="n"/>
      <c r="AF258" s="93" t="n"/>
      <c r="AG258" s="93" t="n"/>
      <c r="AH258" s="93" t="n"/>
      <c r="AI258" s="93" t="n"/>
      <c r="AK258" s="265" t="inlineStr">
        <is>
          <t xml:space="preserve">2010 LEASE.                                                       </t>
        </is>
      </c>
      <c r="AL258">
        <f>IF(AND(ISNUMBER($S258),$S258&gt;0,ISNUMBER($K258),ISNUMBER($J258)),($K258*$J258)/$S258,"")</f>
        <v/>
      </c>
      <c r="AM258" s="93" t="n"/>
      <c r="AN258" s="93" t="n"/>
      <c r="AO258" s="93" t="n"/>
      <c r="AP258" s="93" t="n"/>
      <c r="AQ258" s="93" t="n"/>
    </row>
    <row r="259" ht="14" customHeight="1" s="518">
      <c r="A259" s="106" t="n">
        <v>6</v>
      </c>
      <c r="B259" s="93" t="n">
        <v>253</v>
      </c>
      <c r="C259" s="93" t="inlineStr">
        <is>
          <t>2013Q</t>
        </is>
      </c>
      <c r="D259" s="93" t="inlineStr">
        <is>
          <t xml:space="preserve">05272-19-005-000 </t>
        </is>
      </c>
      <c r="E259" s="92" t="inlineStr">
        <is>
          <t>Actual</t>
        </is>
      </c>
      <c r="F259" s="93" t="inlineStr">
        <is>
          <t>2256 S DELAWARE             ST</t>
        </is>
      </c>
      <c r="G259" s="93" t="n">
        <v>44.2</v>
      </c>
      <c r="H259" s="93" t="n">
        <v>9506</v>
      </c>
      <c r="I259" s="92" t="n">
        <v>0</v>
      </c>
      <c r="J259" s="710" t="n">
        <v>3840</v>
      </c>
      <c r="K259" s="711" t="n">
        <v>7.1875</v>
      </c>
      <c r="L259" s="108" t="n">
        <v>0</v>
      </c>
      <c r="M259" s="97" t="n">
        <v>0</v>
      </c>
      <c r="N259" s="93" t="n">
        <v>1964</v>
      </c>
      <c r="O259" s="93" t="n">
        <v>1350</v>
      </c>
      <c r="P259" s="93" t="n">
        <v>0</v>
      </c>
      <c r="Q259" s="93" t="n">
        <v>13</v>
      </c>
      <c r="R259" s="93" t="n">
        <v>3</v>
      </c>
      <c r="S259" s="93" t="n">
        <v>1</v>
      </c>
      <c r="T259" s="92" t="inlineStr">
        <is>
          <t xml:space="preserve">I-MX-3      </t>
        </is>
      </c>
      <c r="U259" s="93" t="n">
        <v>398</v>
      </c>
      <c r="V259" s="710" t="n">
        <v>6250</v>
      </c>
      <c r="W259" s="710" t="n">
        <v>6000</v>
      </c>
      <c r="X259" s="712" t="inlineStr">
        <is>
          <t>1.6:1</t>
        </is>
      </c>
      <c r="Y259" s="710" t="n">
        <v>4000</v>
      </c>
      <c r="Z259" s="92" t="inlineStr">
        <is>
          <t xml:space="preserve">C </t>
        </is>
      </c>
      <c r="AA259" s="93" t="n"/>
      <c r="AB259" s="93" t="n"/>
      <c r="AC259" s="93" t="n"/>
      <c r="AD259" s="93" t="inlineStr">
        <is>
          <t xml:space="preserve">S-W RAY J O'DONNELL </t>
        </is>
      </c>
      <c r="AE259" s="93" t="n"/>
      <c r="AF259" s="93" t="n"/>
      <c r="AG259" s="93" t="n"/>
      <c r="AH259" s="93" t="n"/>
      <c r="AI259" s="93" t="n"/>
      <c r="AK259" s="265" t="inlineStr"/>
      <c r="AL259">
        <f>IF(AND(ISNUMBER($S259),$S259&gt;0,ISNUMBER($K259),ISNUMBER($J259)),($K259*$J259)/$S259,"")</f>
        <v/>
      </c>
      <c r="AM259" s="93" t="n"/>
      <c r="AN259" s="93" t="n"/>
      <c r="AO259" s="93" t="n"/>
      <c r="AP259" s="93" t="n"/>
      <c r="AQ259" s="93" t="n"/>
    </row>
    <row r="260" ht="14" customHeight="1" s="518">
      <c r="A260" s="106" t="n">
        <v>6</v>
      </c>
      <c r="B260" s="93" t="n">
        <v>254</v>
      </c>
      <c r="C260" s="93" t="inlineStr">
        <is>
          <t>2013Q</t>
        </is>
      </c>
      <c r="D260" s="93" t="inlineStr">
        <is>
          <t xml:space="preserve">05274-03-008-000 </t>
        </is>
      </c>
      <c r="E260" s="92" t="inlineStr">
        <is>
          <t>Actual</t>
        </is>
      </c>
      <c r="F260" s="93" t="inlineStr">
        <is>
          <t>2385 S DELAWARE             ST</t>
        </is>
      </c>
      <c r="G260" s="93" t="n">
        <v>44.2</v>
      </c>
      <c r="H260" s="93" t="n">
        <v>9506</v>
      </c>
      <c r="I260" s="92" t="n">
        <v>0</v>
      </c>
      <c r="J260" s="710" t="n">
        <v>14970</v>
      </c>
      <c r="K260" s="711" t="n">
        <v>9.356112224448898</v>
      </c>
      <c r="L260" s="108" t="n">
        <v>0</v>
      </c>
      <c r="M260" s="97" t="n">
        <v>0.0009495862517046144</v>
      </c>
      <c r="N260" s="93" t="n">
        <v>1960</v>
      </c>
      <c r="O260" s="93" t="n">
        <v>1407</v>
      </c>
      <c r="P260" s="93" t="n">
        <v>0</v>
      </c>
      <c r="Q260" s="93" t="n">
        <v>13</v>
      </c>
      <c r="R260" s="93" t="n">
        <v>3</v>
      </c>
      <c r="S260" s="93" t="n">
        <v>1</v>
      </c>
      <c r="T260" s="92" t="inlineStr">
        <is>
          <t xml:space="preserve">I-MX-3      </t>
        </is>
      </c>
      <c r="U260" s="93" t="n">
        <v>398</v>
      </c>
      <c r="V260" s="710" t="n">
        <v>17968</v>
      </c>
      <c r="W260" s="710" t="n">
        <v>18000</v>
      </c>
      <c r="X260" s="712" t="inlineStr">
        <is>
          <t>1.2:1</t>
        </is>
      </c>
      <c r="Y260" s="710" t="n">
        <v>15000</v>
      </c>
      <c r="Z260" s="92" t="inlineStr">
        <is>
          <t xml:space="preserve">C </t>
        </is>
      </c>
      <c r="AA260" s="93" t="n"/>
      <c r="AB260" s="93" t="n"/>
      <c r="AC260" s="93" t="n"/>
      <c r="AD260" s="93" t="inlineStr"/>
      <c r="AE260" s="93" t="n"/>
      <c r="AF260" s="93" t="n"/>
      <c r="AG260" s="93" t="n"/>
      <c r="AH260" s="93" t="n"/>
      <c r="AI260" s="93" t="n"/>
      <c r="AK260" s="265" t="inlineStr"/>
      <c r="AL260">
        <f>IF(AND(ISNUMBER($S260),$S260&gt;0,ISNUMBER($K260),ISNUMBER($J260)),($K260*$J260)/$S260,"")</f>
        <v/>
      </c>
      <c r="AM260" s="93" t="n"/>
      <c r="AN260" s="93" t="n"/>
      <c r="AO260" s="93" t="n"/>
      <c r="AP260" s="93" t="n"/>
      <c r="AQ260" s="93" t="n"/>
    </row>
    <row r="261" ht="14" customHeight="1" s="518">
      <c r="A261" s="106" t="n">
        <v>6</v>
      </c>
      <c r="B261" s="93" t="n">
        <v>255</v>
      </c>
      <c r="C261" s="93" t="inlineStr">
        <is>
          <t>2013Q</t>
        </is>
      </c>
      <c r="D261" s="93" t="inlineStr">
        <is>
          <t xml:space="preserve">05274-03-009-000 </t>
        </is>
      </c>
      <c r="E261" s="92" t="inlineStr">
        <is>
          <t>Actual</t>
        </is>
      </c>
      <c r="F261" s="93" t="inlineStr">
        <is>
          <t>2345 S DELAWARE             ST</t>
        </is>
      </c>
      <c r="G261" s="93" t="n">
        <v>47.2</v>
      </c>
      <c r="H261" s="93" t="n">
        <v>9506</v>
      </c>
      <c r="I261" s="92" t="n">
        <v>0</v>
      </c>
      <c r="J261" s="710" t="n">
        <v>28581</v>
      </c>
      <c r="K261" s="711" t="n">
        <v>7.794618802701095</v>
      </c>
      <c r="L261" s="108" t="n">
        <v>0</v>
      </c>
      <c r="M261" s="97" t="n">
        <v>0.004960094802897952</v>
      </c>
      <c r="N261" s="93" t="n">
        <v>1961</v>
      </c>
      <c r="O261" s="93" t="n">
        <v>6364</v>
      </c>
      <c r="P261" s="93" t="n">
        <v>0</v>
      </c>
      <c r="Q261" s="93" t="n">
        <v>13</v>
      </c>
      <c r="R261" s="93" t="n">
        <v>3</v>
      </c>
      <c r="S261" s="93" t="n">
        <v>1</v>
      </c>
      <c r="T261" s="92" t="inlineStr">
        <is>
          <t xml:space="preserve">I-MX-3      </t>
        </is>
      </c>
      <c r="U261" s="93" t="n">
        <v>401</v>
      </c>
      <c r="V261" s="710" t="n">
        <v>38282</v>
      </c>
      <c r="W261" s="710" t="n">
        <v>38000</v>
      </c>
      <c r="X261" s="712" t="inlineStr">
        <is>
          <t>1.3:1</t>
        </is>
      </c>
      <c r="Y261" s="710" t="n">
        <v>29000</v>
      </c>
      <c r="Z261" s="92" t="inlineStr">
        <is>
          <t xml:space="preserve">C </t>
        </is>
      </c>
      <c r="AA261" s="93" t="n"/>
      <c r="AB261" s="93" t="n"/>
      <c r="AC261" s="93" t="n"/>
      <c r="AD261" s="93" t="inlineStr">
        <is>
          <t xml:space="preserve">S-F GOLESH INC.     </t>
        </is>
      </c>
      <c r="AE261" s="93" t="n"/>
      <c r="AF261" s="93" t="n"/>
      <c r="AG261" s="93" t="n"/>
      <c r="AH261" s="93" t="n"/>
      <c r="AI261" s="93" t="n"/>
      <c r="AK261" s="265" t="inlineStr"/>
      <c r="AL261">
        <f>IF(AND(ISNUMBER($S261),$S261&gt;0,ISNUMBER($K261),ISNUMBER($J261)),($K261*$J261)/$S261,"")</f>
        <v/>
      </c>
      <c r="AM261" s="93" t="n"/>
      <c r="AN261" s="93" t="n"/>
      <c r="AO261" s="93" t="n"/>
      <c r="AP261" s="93" t="n"/>
      <c r="AQ261" s="93" t="n"/>
    </row>
    <row r="262" ht="14" customHeight="1" s="518">
      <c r="A262" s="106" t="n">
        <v>6</v>
      </c>
      <c r="B262" s="93" t="n">
        <v>256</v>
      </c>
      <c r="C262" s="93" t="inlineStr">
        <is>
          <t>2013Q</t>
        </is>
      </c>
      <c r="D262" s="93" t="inlineStr">
        <is>
          <t xml:space="preserve">05274-12-029-000 </t>
        </is>
      </c>
      <c r="E262" s="92" t="inlineStr">
        <is>
          <t>Actual</t>
        </is>
      </c>
      <c r="F262" s="93" t="inlineStr">
        <is>
          <t>2464 S DELAWARE             ST</t>
        </is>
      </c>
      <c r="G262" s="93" t="n">
        <v>44.2</v>
      </c>
      <c r="H262" s="93" t="n">
        <v>9506</v>
      </c>
      <c r="I262" s="92" t="n">
        <v>0</v>
      </c>
      <c r="J262" s="710" t="n">
        <v>4064</v>
      </c>
      <c r="K262" s="711" t="n">
        <v>5.905511811023622</v>
      </c>
      <c r="L262" s="108" t="n">
        <v>0</v>
      </c>
      <c r="M262" s="97" t="n">
        <v>0.2041666666666667</v>
      </c>
      <c r="N262" s="93" t="n">
        <v>1967</v>
      </c>
      <c r="O262" s="93" t="n">
        <v>0</v>
      </c>
      <c r="P262" s="93" t="n">
        <v>527</v>
      </c>
      <c r="Q262" s="93" t="n">
        <v>11</v>
      </c>
      <c r="R262" s="93" t="n">
        <v>3</v>
      </c>
      <c r="S262" s="93" t="n">
        <v>1</v>
      </c>
      <c r="T262" s="92" t="inlineStr">
        <is>
          <t xml:space="preserve">I-MX-3      </t>
        </is>
      </c>
      <c r="U262" s="93" t="n">
        <v>398</v>
      </c>
      <c r="V262" s="710" t="n">
        <v>6250</v>
      </c>
      <c r="W262" s="710" t="n">
        <v>6000</v>
      </c>
      <c r="X262" s="712" t="inlineStr">
        <is>
          <t>1.5:1</t>
        </is>
      </c>
      <c r="Y262" s="710" t="n">
        <v>4000</v>
      </c>
      <c r="Z262" s="92" t="inlineStr">
        <is>
          <t xml:space="preserve">C </t>
        </is>
      </c>
      <c r="AA262" s="93" t="n"/>
      <c r="AB262" s="93" t="n"/>
      <c r="AC262" s="93" t="n"/>
      <c r="AD262" s="93" t="inlineStr">
        <is>
          <t xml:space="preserve">S-W R.E. THARP      </t>
        </is>
      </c>
      <c r="AE262" s="93" t="n"/>
      <c r="AF262" s="93" t="n"/>
      <c r="AG262" s="93" t="n"/>
      <c r="AH262" s="93" t="n"/>
      <c r="AI262" s="93" t="n"/>
      <c r="AK262" s="265" t="inlineStr"/>
      <c r="AL262">
        <f>IF(AND(ISNUMBER($S262),$S262&gt;0,ISNUMBER($K262),ISNUMBER($J262)),($K262*$J262)/$S262,"")</f>
        <v/>
      </c>
      <c r="AM262" s="93" t="n"/>
      <c r="AN262" s="93" t="n"/>
      <c r="AO262" s="93" t="n"/>
      <c r="AP262" s="93" t="n"/>
      <c r="AQ262" s="93" t="n"/>
    </row>
    <row r="263" ht="14" customHeight="1" s="518">
      <c r="A263" s="106" t="n">
        <v>6</v>
      </c>
      <c r="B263" s="93" t="n">
        <v>257</v>
      </c>
      <c r="C263" s="93" t="inlineStr">
        <is>
          <t>2013Q</t>
        </is>
      </c>
      <c r="D263" s="93" t="inlineStr">
        <is>
          <t xml:space="preserve">05274-15-029-000 </t>
        </is>
      </c>
      <c r="E263" s="92" t="inlineStr">
        <is>
          <t>Actual</t>
        </is>
      </c>
      <c r="F263" s="93" t="inlineStr">
        <is>
          <t>2536 S DELAWARE             ST</t>
        </is>
      </c>
      <c r="G263" s="93" t="n">
        <v>47.1</v>
      </c>
      <c r="H263" s="93" t="n">
        <v>9506</v>
      </c>
      <c r="I263" s="92" t="n">
        <v>0</v>
      </c>
      <c r="J263" s="710" t="n">
        <v>2487</v>
      </c>
      <c r="K263" s="711" t="n">
        <v>9.650180940892641</v>
      </c>
      <c r="L263" s="108" t="n">
        <v>0</v>
      </c>
      <c r="M263" s="97" t="n">
        <v>0.2817083333333333</v>
      </c>
      <c r="N263" s="93" t="n">
        <v>1954</v>
      </c>
      <c r="O263" s="93" t="n">
        <v>0</v>
      </c>
      <c r="P263" s="93" t="n">
        <v>1188</v>
      </c>
      <c r="Q263" s="93" t="n">
        <v>16</v>
      </c>
      <c r="R263" s="93" t="n">
        <v>3</v>
      </c>
      <c r="S263" s="93" t="n">
        <v>1</v>
      </c>
      <c r="T263" s="92" t="inlineStr">
        <is>
          <t xml:space="preserve">I-MX-3      </t>
        </is>
      </c>
      <c r="U263" s="93" t="n">
        <v>401</v>
      </c>
      <c r="V263" s="710" t="n">
        <v>12500</v>
      </c>
      <c r="W263" s="710" t="n">
        <v>13000</v>
      </c>
      <c r="X263" s="712" t="inlineStr">
        <is>
          <t>5:1</t>
        </is>
      </c>
      <c r="Y263" s="710" t="n">
        <v>2000</v>
      </c>
      <c r="Z263" s="92" t="inlineStr">
        <is>
          <t xml:space="preserve">C </t>
        </is>
      </c>
      <c r="AA263" s="93" t="n"/>
      <c r="AB263" s="93" t="n"/>
      <c r="AC263" s="93" t="n"/>
      <c r="AD263" s="93" t="inlineStr">
        <is>
          <t xml:space="preserve">S-W CS GROUP        </t>
        </is>
      </c>
      <c r="AE263" s="93" t="n"/>
      <c r="AF263" s="93" t="n"/>
      <c r="AG263" s="93" t="n"/>
      <c r="AH263" s="93" t="n"/>
      <c r="AI263" s="93" t="n"/>
      <c r="AK263" s="265" t="inlineStr">
        <is>
          <t xml:space="preserve">2009 LEASE.                                                       </t>
        </is>
      </c>
      <c r="AL263">
        <f>IF(AND(ISNUMBER($S263),$S263&gt;0,ISNUMBER($K263),ISNUMBER($J263)),($K263*$J263)/$S263,"")</f>
        <v/>
      </c>
      <c r="AM263" s="93" t="n"/>
      <c r="AN263" s="93" t="n"/>
      <c r="AO263" s="93" t="n"/>
      <c r="AP263" s="93" t="n"/>
      <c r="AQ263" s="93" t="n"/>
    </row>
    <row r="264" ht="14" customHeight="1" s="518">
      <c r="A264" s="106" t="n">
        <v>6</v>
      </c>
      <c r="B264" s="93" t="n">
        <v>258</v>
      </c>
      <c r="C264" s="93" t="inlineStr">
        <is>
          <t>2013Q</t>
        </is>
      </c>
      <c r="D264" s="93" t="inlineStr">
        <is>
          <t xml:space="preserve">05274-15-034-000 </t>
        </is>
      </c>
      <c r="E264" s="92" t="inlineStr">
        <is>
          <t>Actual</t>
        </is>
      </c>
      <c r="F264" s="93" t="inlineStr">
        <is>
          <t>2510 S DELAWARE             ST</t>
        </is>
      </c>
      <c r="G264" s="93" t="n">
        <v>44.1</v>
      </c>
      <c r="H264" s="93" t="n">
        <v>9506</v>
      </c>
      <c r="I264" s="92" t="n">
        <v>0</v>
      </c>
      <c r="J264" s="710" t="n">
        <v>10444</v>
      </c>
      <c r="K264" s="711" t="n">
        <v>6.893910379165071</v>
      </c>
      <c r="L264" s="108" t="n">
        <v>0</v>
      </c>
      <c r="M264" s="97" t="n">
        <v>0</v>
      </c>
      <c r="N264" s="93" t="n">
        <v>1985</v>
      </c>
      <c r="O264" s="93" t="n">
        <v>1104</v>
      </c>
      <c r="P264" s="93" t="n">
        <v>0</v>
      </c>
      <c r="Q264" s="93" t="n">
        <v>18</v>
      </c>
      <c r="R264" s="93" t="n">
        <v>3</v>
      </c>
      <c r="S264" s="93" t="n">
        <v>1</v>
      </c>
      <c r="T264" s="92" t="inlineStr">
        <is>
          <t xml:space="preserve">I-MX-3      </t>
        </is>
      </c>
      <c r="U264" s="93" t="n">
        <v>398</v>
      </c>
      <c r="V264" s="710" t="n">
        <v>18750</v>
      </c>
      <c r="W264" s="710" t="n">
        <v>19000</v>
      </c>
      <c r="X264" s="712" t="inlineStr">
        <is>
          <t>1.8:1</t>
        </is>
      </c>
      <c r="Y264" s="710" t="n">
        <v>10000</v>
      </c>
      <c r="Z264" s="92" t="inlineStr">
        <is>
          <t xml:space="preserve">C </t>
        </is>
      </c>
      <c r="AA264" s="93" t="n"/>
      <c r="AB264" s="93" t="n"/>
      <c r="AC264" s="93" t="n"/>
      <c r="AD264" s="93" t="inlineStr"/>
      <c r="AE264" s="93" t="n"/>
      <c r="AF264" s="93" t="n"/>
      <c r="AG264" s="93" t="n"/>
      <c r="AH264" s="93" t="n"/>
      <c r="AI264" s="93" t="n"/>
      <c r="AK264" s="265" t="inlineStr"/>
      <c r="AL264">
        <f>IF(AND(ISNUMBER($S264),$S264&gt;0,ISNUMBER($K264),ISNUMBER($J264)),($K264*$J264)/$S264,"")</f>
        <v/>
      </c>
      <c r="AM264" s="93" t="n"/>
      <c r="AN264" s="93" t="n"/>
      <c r="AO264" s="93" t="n"/>
      <c r="AP264" s="93" t="n"/>
      <c r="AQ264" s="93" t="n"/>
    </row>
    <row r="265" ht="14" customHeight="1" s="518">
      <c r="A265" s="106" t="n">
        <v>6</v>
      </c>
      <c r="B265" s="93" t="n">
        <v>259</v>
      </c>
      <c r="C265" s="93" t="inlineStr">
        <is>
          <t>2013Q</t>
        </is>
      </c>
      <c r="D265" s="93" t="inlineStr">
        <is>
          <t xml:space="preserve">05275-02-011-000 </t>
        </is>
      </c>
      <c r="E265" s="92" t="inlineStr">
        <is>
          <t>Actual</t>
        </is>
      </c>
      <c r="F265" s="93" t="inlineStr">
        <is>
          <t>2376 S BROADWAY             ST</t>
        </is>
      </c>
      <c r="G265" s="93" t="n">
        <v>44.1</v>
      </c>
      <c r="H265" s="93" t="n">
        <v>9509</v>
      </c>
      <c r="I265" s="92" t="n">
        <v>2</v>
      </c>
      <c r="J265" s="710" t="n">
        <v>2535</v>
      </c>
      <c r="K265" s="711" t="n">
        <v>5.680473372781065</v>
      </c>
      <c r="L265" s="108" t="n">
        <v>0</v>
      </c>
      <c r="M265" s="97" t="n">
        <v>0.03472222222222222</v>
      </c>
      <c r="N265" s="93" t="n">
        <v>1951</v>
      </c>
      <c r="O265" s="93" t="n">
        <v>0</v>
      </c>
      <c r="P265" s="93" t="n">
        <v>1217</v>
      </c>
      <c r="Q265" s="93" t="n">
        <v>19</v>
      </c>
      <c r="R265" s="93" t="n">
        <v>3</v>
      </c>
      <c r="S265" s="93" t="n">
        <v>1</v>
      </c>
      <c r="T265" s="92" t="inlineStr">
        <is>
          <t xml:space="preserve">U-MX-3      </t>
        </is>
      </c>
      <c r="U265" s="93" t="n">
        <v>398</v>
      </c>
      <c r="V265" s="710" t="n">
        <v>4687</v>
      </c>
      <c r="W265" s="710" t="n">
        <v>5000</v>
      </c>
      <c r="X265" s="712" t="inlineStr">
        <is>
          <t>1.8:1</t>
        </is>
      </c>
      <c r="Y265" s="710" t="n">
        <v>3000</v>
      </c>
      <c r="Z265" s="92" t="inlineStr">
        <is>
          <t xml:space="preserve">C </t>
        </is>
      </c>
      <c r="AA265" s="93" t="n"/>
      <c r="AB265" s="93" t="n"/>
      <c r="AC265" s="93" t="n"/>
      <c r="AD265" s="93" t="inlineStr">
        <is>
          <t xml:space="preserve">#1 AUTO SALES       </t>
        </is>
      </c>
      <c r="AE265" s="93" t="n"/>
      <c r="AF265" s="93" t="n"/>
      <c r="AG265" s="93" t="n"/>
      <c r="AH265" s="93" t="n"/>
      <c r="AI265" s="93" t="n"/>
      <c r="AK265" s="265" t="inlineStr">
        <is>
          <t xml:space="preserve">AGE OF RENTAL RELATIONSHIP UNKNOWN.                               </t>
        </is>
      </c>
      <c r="AL265">
        <f>IF(AND(ISNUMBER($S265),$S265&gt;0,ISNUMBER($K265),ISNUMBER($J265)),($K265*$J265)/$S265,"")</f>
        <v/>
      </c>
      <c r="AM265" s="93" t="n"/>
      <c r="AN265" s="93" t="n"/>
      <c r="AO265" s="93" t="n"/>
      <c r="AP265" s="93" t="n"/>
      <c r="AQ265" s="93" t="n"/>
    </row>
    <row r="266" ht="14" customHeight="1" s="518">
      <c r="A266" s="106" t="n">
        <v>6</v>
      </c>
      <c r="B266" s="93" t="n">
        <v>260</v>
      </c>
      <c r="C266" s="93" t="inlineStr">
        <is>
          <t>2013Q</t>
        </is>
      </c>
      <c r="D266" s="93" t="inlineStr">
        <is>
          <t xml:space="preserve">05281-05-033-000 </t>
        </is>
      </c>
      <c r="E266" s="92" t="inlineStr">
        <is>
          <t>Actual</t>
        </is>
      </c>
      <c r="F266" s="93" t="inlineStr">
        <is>
          <t>2001 S NAVAJO               ST</t>
        </is>
      </c>
      <c r="G266" s="93" t="n">
        <v>44.1</v>
      </c>
      <c r="H266" s="93" t="n">
        <v>9506</v>
      </c>
      <c r="I266" s="92" t="n">
        <v>0</v>
      </c>
      <c r="J266" s="710" t="n">
        <v>9120</v>
      </c>
      <c r="K266" s="711" t="n">
        <v>8.17061403508772</v>
      </c>
      <c r="L266" s="108" t="n">
        <v>0</v>
      </c>
      <c r="M266" s="97" t="n">
        <v>0.02148531858929626</v>
      </c>
      <c r="N266" s="93" t="n">
        <v>1986</v>
      </c>
      <c r="O266" s="93" t="n">
        <v>1669</v>
      </c>
      <c r="P266" s="93" t="n">
        <v>0</v>
      </c>
      <c r="Q266" s="93" t="n">
        <v>16</v>
      </c>
      <c r="R266" s="93" t="n">
        <v>3</v>
      </c>
      <c r="S266" s="93" t="n">
        <v>1</v>
      </c>
      <c r="T266" s="92" t="inlineStr">
        <is>
          <t xml:space="preserve">I-A         </t>
        </is>
      </c>
      <c r="U266" s="93" t="n">
        <v>398</v>
      </c>
      <c r="V266" s="710" t="n">
        <v>21128</v>
      </c>
      <c r="W266" s="710" t="n">
        <v>21000</v>
      </c>
      <c r="X266" s="712" t="inlineStr">
        <is>
          <t>2.3:1</t>
        </is>
      </c>
      <c r="Y266" s="710" t="n">
        <v>9000</v>
      </c>
      <c r="Z266" s="92" t="inlineStr">
        <is>
          <t xml:space="preserve">C </t>
        </is>
      </c>
      <c r="AA266" s="93" t="n"/>
      <c r="AB266" s="93" t="n"/>
      <c r="AC266" s="93" t="n"/>
      <c r="AD266" s="93" t="inlineStr"/>
      <c r="AE266" s="93" t="n"/>
      <c r="AF266" s="93" t="n"/>
      <c r="AG266" s="93" t="n"/>
      <c r="AH266" s="93" t="n"/>
      <c r="AI266" s="93" t="n"/>
      <c r="AK266" s="265" t="inlineStr"/>
      <c r="AL266">
        <f>IF(AND(ISNUMBER($S266),$S266&gt;0,ISNUMBER($K266),ISNUMBER($J266)),($K266*$J266)/$S266,"")</f>
        <v/>
      </c>
      <c r="AM266" s="93" t="n"/>
      <c r="AN266" s="93" t="n"/>
      <c r="AO266" s="93" t="n"/>
      <c r="AP266" s="93" t="n"/>
      <c r="AQ266" s="93" t="n"/>
    </row>
    <row r="267" ht="14" customHeight="1" s="518">
      <c r="A267" s="106" t="n">
        <v>6</v>
      </c>
      <c r="B267" s="93" t="n">
        <v>261</v>
      </c>
      <c r="C267" s="93" t="inlineStr">
        <is>
          <t>2013Q</t>
        </is>
      </c>
      <c r="D267" s="93" t="inlineStr">
        <is>
          <t xml:space="preserve">05281-14-016-000 </t>
        </is>
      </c>
      <c r="E267" s="92" t="inlineStr">
        <is>
          <t>Actual</t>
        </is>
      </c>
      <c r="F267" s="93" t="inlineStr">
        <is>
          <t>2126 S KALAMATH             ST</t>
        </is>
      </c>
      <c r="G267" s="93" t="n">
        <v>44.2</v>
      </c>
      <c r="H267" s="93" t="n">
        <v>9506</v>
      </c>
      <c r="I267" s="92" t="n">
        <v>0</v>
      </c>
      <c r="J267" s="710" t="n">
        <v>4000</v>
      </c>
      <c r="K267" s="711" t="n">
        <v>6.9465</v>
      </c>
      <c r="L267" s="108" t="n">
        <v>0</v>
      </c>
      <c r="M267" s="97" t="n">
        <v>0.1973655797883827</v>
      </c>
      <c r="N267" s="93" t="n">
        <v>1957</v>
      </c>
      <c r="O267" s="93" t="n">
        <v>369</v>
      </c>
      <c r="P267" s="93" t="n">
        <v>0</v>
      </c>
      <c r="Q267" s="93" t="n">
        <v>12</v>
      </c>
      <c r="R267" s="93" t="n">
        <v>1</v>
      </c>
      <c r="S267" s="93" t="n">
        <v>2</v>
      </c>
      <c r="T267" s="92" t="inlineStr">
        <is>
          <t xml:space="preserve">I-A         </t>
        </is>
      </c>
      <c r="U267" s="93" t="n">
        <v>398</v>
      </c>
      <c r="V267" s="710" t="n">
        <v>9375</v>
      </c>
      <c r="W267" s="710" t="n">
        <v>9000</v>
      </c>
      <c r="X267" s="712" t="inlineStr">
        <is>
          <t>2.3:1</t>
        </is>
      </c>
      <c r="Y267" s="710" t="n">
        <v>4000</v>
      </c>
      <c r="Z267" s="92" t="inlineStr">
        <is>
          <t xml:space="preserve">C </t>
        </is>
      </c>
      <c r="AA267" s="93" t="n"/>
      <c r="AB267" s="93" t="n"/>
      <c r="AC267" s="93" t="n"/>
      <c r="AD267" s="93" t="inlineStr">
        <is>
          <t>M-W NEW HERITAGE CRT</t>
        </is>
      </c>
      <c r="AE267" s="93" t="n"/>
      <c r="AF267" s="93" t="n"/>
      <c r="AG267" s="93" t="n"/>
      <c r="AH267" s="93" t="n"/>
      <c r="AI267" s="93" t="n"/>
      <c r="AK267" s="265" t="inlineStr">
        <is>
          <t xml:space="preserve">2010 LEASES.                                                      </t>
        </is>
      </c>
      <c r="AL267">
        <f>IF(AND(ISNUMBER($S267),$S267&gt;0,ISNUMBER($K267),ISNUMBER($J267)),($K267*$J267)/$S267,"")</f>
        <v/>
      </c>
      <c r="AM267" s="93" t="n"/>
      <c r="AN267" s="93" t="n"/>
      <c r="AO267" s="93" t="n"/>
      <c r="AP267" s="93" t="n"/>
      <c r="AQ267" s="93" t="n"/>
    </row>
    <row r="268" ht="14" customHeight="1" s="518">
      <c r="A268" s="106" t="n">
        <v>6</v>
      </c>
      <c r="B268" s="93" t="n">
        <v>262</v>
      </c>
      <c r="C268" s="93" t="inlineStr">
        <is>
          <t>2013Q</t>
        </is>
      </c>
      <c r="D268" s="93" t="inlineStr">
        <is>
          <t xml:space="preserve">05281-14-017-000 </t>
        </is>
      </c>
      <c r="E268" s="92" t="inlineStr">
        <is>
          <t>Actual</t>
        </is>
      </c>
      <c r="F268" s="93" t="inlineStr">
        <is>
          <t>2140 S KALAMATH             ST</t>
        </is>
      </c>
      <c r="G268" s="93" t="n">
        <v>44.1</v>
      </c>
      <c r="H268" s="93" t="n">
        <v>9506</v>
      </c>
      <c r="I268" s="92" t="n">
        <v>0</v>
      </c>
      <c r="J268" s="710" t="n">
        <v>3987</v>
      </c>
      <c r="K268" s="711" t="n">
        <v>6.448457486832205</v>
      </c>
      <c r="L268" s="108" t="n">
        <v>0</v>
      </c>
      <c r="M268" s="97" t="n">
        <v>0.09953325554259043</v>
      </c>
      <c r="N268" s="93" t="n">
        <v>1960</v>
      </c>
      <c r="O268" s="93" t="n">
        <v>0</v>
      </c>
      <c r="P268" s="93" t="n">
        <v>0</v>
      </c>
      <c r="Q268" s="93" t="n">
        <v>12</v>
      </c>
      <c r="R268" s="93" t="n">
        <v>1</v>
      </c>
      <c r="S268" s="93" t="n">
        <v>2</v>
      </c>
      <c r="T268" s="92" t="inlineStr">
        <is>
          <t xml:space="preserve">I-A         </t>
        </is>
      </c>
      <c r="U268" s="93" t="n">
        <v>398</v>
      </c>
      <c r="V268" s="710" t="n">
        <v>9375</v>
      </c>
      <c r="W268" s="710" t="n">
        <v>9000</v>
      </c>
      <c r="X268" s="712" t="inlineStr">
        <is>
          <t>2.4:1</t>
        </is>
      </c>
      <c r="Y268" s="710" t="n">
        <v>4000</v>
      </c>
      <c r="Z268" s="92" t="inlineStr">
        <is>
          <t xml:space="preserve">C </t>
        </is>
      </c>
      <c r="AA268" s="93" t="n"/>
      <c r="AB268" s="93" t="n"/>
      <c r="AC268" s="93" t="n"/>
      <c r="AD268" s="93" t="inlineStr">
        <is>
          <t>M-W GUS SHEKER STUDI</t>
        </is>
      </c>
      <c r="AE268" s="93" t="n"/>
      <c r="AF268" s="93" t="n"/>
      <c r="AG268" s="93" t="n"/>
      <c r="AH268" s="93" t="n"/>
      <c r="AI268" s="93" t="n"/>
      <c r="AK268" s="265" t="inlineStr">
        <is>
          <t xml:space="preserve">2009/2010 LEASES.                                                 </t>
        </is>
      </c>
      <c r="AL268">
        <f>IF(AND(ISNUMBER($S268),$S268&gt;0,ISNUMBER($K268),ISNUMBER($J268)),($K268*$J268)/$S268,"")</f>
        <v/>
      </c>
      <c r="AM268" s="93" t="n"/>
      <c r="AN268" s="93" t="n"/>
      <c r="AO268" s="93" t="n"/>
      <c r="AP268" s="93" t="n"/>
      <c r="AQ268" s="93" t="n"/>
    </row>
    <row r="269" ht="14" customHeight="1" s="518">
      <c r="A269" s="106" t="n">
        <v>6</v>
      </c>
      <c r="B269" s="93" t="n">
        <v>263</v>
      </c>
      <c r="C269" s="93" t="inlineStr">
        <is>
          <t>2013Q</t>
        </is>
      </c>
      <c r="D269" s="93" t="inlineStr">
        <is>
          <t xml:space="preserve">05281-14-018-000 </t>
        </is>
      </c>
      <c r="E269" s="92" t="inlineStr">
        <is>
          <t>Actual</t>
        </is>
      </c>
      <c r="F269" s="93" t="inlineStr">
        <is>
          <t>2150 S KALAMATH             ST</t>
        </is>
      </c>
      <c r="G269" s="93" t="n">
        <v>44.1</v>
      </c>
      <c r="H269" s="93" t="n">
        <v>9506</v>
      </c>
      <c r="I269" s="92" t="n">
        <v>0</v>
      </c>
      <c r="J269" s="710" t="n">
        <v>4000</v>
      </c>
      <c r="K269" s="711" t="n">
        <v>6.58</v>
      </c>
      <c r="L269" s="108" t="n">
        <v>0</v>
      </c>
      <c r="M269" s="97" t="n">
        <v>0.2050151975683891</v>
      </c>
      <c r="N269" s="93" t="n">
        <v>1962</v>
      </c>
      <c r="O269" s="93" t="n">
        <v>0</v>
      </c>
      <c r="P269" s="93" t="n">
        <v>0</v>
      </c>
      <c r="Q269" s="93" t="n">
        <v>12</v>
      </c>
      <c r="R269" s="93" t="n">
        <v>1</v>
      </c>
      <c r="S269" s="93" t="n">
        <v>1</v>
      </c>
      <c r="T269" s="92" t="inlineStr">
        <is>
          <t xml:space="preserve">I-A         </t>
        </is>
      </c>
      <c r="U269" s="93" t="n">
        <v>398</v>
      </c>
      <c r="V269" s="710" t="n">
        <v>9375</v>
      </c>
      <c r="W269" s="710" t="n">
        <v>9000</v>
      </c>
      <c r="X269" s="712" t="inlineStr">
        <is>
          <t>2.3:1</t>
        </is>
      </c>
      <c r="Y269" s="710" t="n">
        <v>4000</v>
      </c>
      <c r="Z269" s="92" t="inlineStr">
        <is>
          <t xml:space="preserve">C </t>
        </is>
      </c>
      <c r="AA269" s="93" t="n"/>
      <c r="AB269" s="93" t="n"/>
      <c r="AC269" s="93" t="n"/>
      <c r="AD269" s="93" t="inlineStr">
        <is>
          <t xml:space="preserve">S-W ABLE SIGN       </t>
        </is>
      </c>
      <c r="AE269" s="93" t="n"/>
      <c r="AF269" s="93" t="n"/>
      <c r="AG269" s="93" t="n"/>
      <c r="AH269" s="93" t="n"/>
      <c r="AI269" s="93" t="n"/>
      <c r="AK269" s="265" t="inlineStr">
        <is>
          <t xml:space="preserve">2009 LEASES.                                                      </t>
        </is>
      </c>
      <c r="AL269">
        <f>IF(AND(ISNUMBER($S269),$S269&gt;0,ISNUMBER($K269),ISNUMBER($J269)),($K269*$J269)/$S269,"")</f>
        <v/>
      </c>
      <c r="AM269" s="93" t="n"/>
      <c r="AN269" s="93" t="n"/>
      <c r="AO269" s="93" t="n"/>
      <c r="AP269" s="93" t="n"/>
      <c r="AQ269" s="93" t="n"/>
    </row>
    <row r="270" ht="14" customHeight="1" s="518">
      <c r="A270" s="106" t="n">
        <v>6</v>
      </c>
      <c r="B270" s="93" t="n">
        <v>264</v>
      </c>
      <c r="C270" s="93" t="inlineStr">
        <is>
          <t>2013Q</t>
        </is>
      </c>
      <c r="D270" s="93" t="inlineStr">
        <is>
          <t xml:space="preserve">05281-14-019-000 </t>
        </is>
      </c>
      <c r="E270" s="92" t="inlineStr">
        <is>
          <t>Actual</t>
        </is>
      </c>
      <c r="F270" s="93" t="inlineStr">
        <is>
          <t>2168 S KALAMATH             ST</t>
        </is>
      </c>
      <c r="G270" s="93" t="n">
        <v>47.2</v>
      </c>
      <c r="H270" s="93" t="n">
        <v>9506</v>
      </c>
      <c r="I270" s="92" t="n">
        <v>0</v>
      </c>
      <c r="J270" s="710" t="n">
        <v>4000</v>
      </c>
      <c r="K270" s="711" t="n">
        <v>6.69</v>
      </c>
      <c r="L270" s="108" t="n">
        <v>0</v>
      </c>
      <c r="M270" s="97" t="n">
        <v>0.109678624813154</v>
      </c>
      <c r="N270" s="93" t="n">
        <v>1956</v>
      </c>
      <c r="O270" s="93" t="n">
        <v>200</v>
      </c>
      <c r="P270" s="93" t="n">
        <v>0</v>
      </c>
      <c r="Q270" s="93" t="n">
        <v>14</v>
      </c>
      <c r="R270" s="93" t="n">
        <v>1</v>
      </c>
      <c r="S270" s="93" t="n">
        <v>1</v>
      </c>
      <c r="T270" s="92" t="inlineStr">
        <is>
          <t xml:space="preserve">I-A         </t>
        </is>
      </c>
      <c r="U270" s="93" t="n">
        <v>401</v>
      </c>
      <c r="V270" s="710" t="n">
        <v>12500</v>
      </c>
      <c r="W270" s="710" t="n">
        <v>13000</v>
      </c>
      <c r="X270" s="712" t="inlineStr">
        <is>
          <t>3.1:1</t>
        </is>
      </c>
      <c r="Y270" s="710" t="n">
        <v>4000</v>
      </c>
      <c r="Z270" s="92" t="inlineStr">
        <is>
          <t xml:space="preserve">C </t>
        </is>
      </c>
      <c r="AA270" s="93" t="n"/>
      <c r="AB270" s="93" t="n"/>
      <c r="AC270" s="93" t="n"/>
      <c r="AD270" s="93" t="inlineStr">
        <is>
          <t xml:space="preserve">S-F ELEMER'S MANUF. </t>
        </is>
      </c>
      <c r="AE270" s="93" t="n"/>
      <c r="AF270" s="93" t="n"/>
      <c r="AG270" s="93" t="n"/>
      <c r="AH270" s="93" t="n"/>
      <c r="AI270" s="93" t="n"/>
      <c r="AK270" s="265" t="inlineStr">
        <is>
          <t xml:space="preserve">2009 LEASES.                                                      </t>
        </is>
      </c>
      <c r="AL270">
        <f>IF(AND(ISNUMBER($S270),$S270&gt;0,ISNUMBER($K270),ISNUMBER($J270)),($K270*$J270)/$S270,"")</f>
        <v/>
      </c>
      <c r="AM270" s="93" t="n"/>
      <c r="AN270" s="93" t="n"/>
      <c r="AO270" s="93" t="n"/>
      <c r="AP270" s="93" t="n"/>
      <c r="AQ270" s="93" t="n"/>
    </row>
    <row r="271" ht="14" customHeight="1" s="518">
      <c r="A271" s="106" t="n">
        <v>6</v>
      </c>
      <c r="B271" s="93" t="n">
        <v>265</v>
      </c>
      <c r="C271" s="93" t="inlineStr">
        <is>
          <t>2013Q</t>
        </is>
      </c>
      <c r="D271" s="93" t="inlineStr">
        <is>
          <t xml:space="preserve">05281-15-013-000 </t>
        </is>
      </c>
      <c r="E271" s="92" t="inlineStr">
        <is>
          <t>Actual</t>
        </is>
      </c>
      <c r="F271" s="93" t="inlineStr">
        <is>
          <t>1130 W EVANS                AV</t>
        </is>
      </c>
      <c r="G271" s="93" t="n">
        <v>44.2</v>
      </c>
      <c r="H271" s="93" t="n">
        <v>9506</v>
      </c>
      <c r="I271" s="92" t="n">
        <v>0</v>
      </c>
      <c r="J271" s="710" t="n">
        <v>10010</v>
      </c>
      <c r="K271" s="711" t="n">
        <v>5.921278721278721</v>
      </c>
      <c r="L271" s="108" t="n">
        <v>0</v>
      </c>
      <c r="M271" s="97" t="n">
        <v>0.07271561614252936</v>
      </c>
      <c r="N271" s="93" t="n">
        <v>1961</v>
      </c>
      <c r="O271" s="93" t="n">
        <v>1135</v>
      </c>
      <c r="P271" s="93" t="n">
        <v>0</v>
      </c>
      <c r="Q271" s="93" t="n">
        <v>14</v>
      </c>
      <c r="R271" s="93" t="n">
        <v>1</v>
      </c>
      <c r="S271" s="93" t="n">
        <v>1</v>
      </c>
      <c r="T271" s="92" t="inlineStr">
        <is>
          <t xml:space="preserve">I-A         </t>
        </is>
      </c>
      <c r="U271" s="93" t="n">
        <v>397</v>
      </c>
      <c r="V271" s="710" t="n">
        <v>15625</v>
      </c>
      <c r="W271" s="710" t="n">
        <v>16000</v>
      </c>
      <c r="X271" s="712" t="inlineStr">
        <is>
          <t>1.6:1</t>
        </is>
      </c>
      <c r="Y271" s="710" t="n">
        <v>10000</v>
      </c>
      <c r="Z271" s="92" t="inlineStr">
        <is>
          <t xml:space="preserve">C </t>
        </is>
      </c>
      <c r="AA271" s="93" t="n"/>
      <c r="AB271" s="93" t="n"/>
      <c r="AC271" s="93" t="n"/>
      <c r="AD271" s="93" t="inlineStr"/>
      <c r="AE271" s="93" t="n"/>
      <c r="AF271" s="93" t="n"/>
      <c r="AG271" s="93" t="n"/>
      <c r="AH271" s="93" t="n"/>
      <c r="AI271" s="93" t="n"/>
      <c r="AK271" s="265" t="inlineStr">
        <is>
          <t xml:space="preserve">2009 LEASE.                                                       </t>
        </is>
      </c>
      <c r="AL271">
        <f>IF(AND(ISNUMBER($S271),$S271&gt;0,ISNUMBER($K271),ISNUMBER($J271)),($K271*$J271)/$S271,"")</f>
        <v/>
      </c>
      <c r="AM271" s="93" t="n"/>
      <c r="AN271" s="93" t="n"/>
      <c r="AO271" s="93" t="n"/>
      <c r="AP271" s="93" t="n"/>
      <c r="AQ271" s="93" t="n"/>
    </row>
    <row r="272" ht="14" customHeight="1" s="518">
      <c r="A272" s="106" t="n">
        <v>6</v>
      </c>
      <c r="B272" s="93" t="n">
        <v>266</v>
      </c>
      <c r="C272" s="93" t="inlineStr">
        <is>
          <t>2013Q</t>
        </is>
      </c>
      <c r="D272" s="93" t="inlineStr">
        <is>
          <t xml:space="preserve">05281-17-024-000 </t>
        </is>
      </c>
      <c r="E272" s="92" t="inlineStr">
        <is>
          <t>Actual</t>
        </is>
      </c>
      <c r="F272" s="93" t="inlineStr">
        <is>
          <t>2240 S KALAMATH             ST</t>
        </is>
      </c>
      <c r="G272" s="93" t="n">
        <v>44.2</v>
      </c>
      <c r="H272" s="93" t="n">
        <v>9506</v>
      </c>
      <c r="I272" s="92" t="n">
        <v>0</v>
      </c>
      <c r="J272" s="710" t="n">
        <v>2000</v>
      </c>
      <c r="K272" s="711" t="n">
        <v>7.92</v>
      </c>
      <c r="L272" s="108" t="n">
        <v>0</v>
      </c>
      <c r="M272" s="97" t="n">
        <v>0.02626262626262626</v>
      </c>
      <c r="N272" s="93" t="n">
        <v>1962</v>
      </c>
      <c r="O272" s="93" t="n">
        <v>0</v>
      </c>
      <c r="P272" s="93" t="n">
        <v>0</v>
      </c>
      <c r="Q272" s="93" t="n">
        <v>12</v>
      </c>
      <c r="R272" s="93" t="n">
        <v>3</v>
      </c>
      <c r="S272" s="93" t="n">
        <v>1</v>
      </c>
      <c r="T272" s="92" t="inlineStr">
        <is>
          <t xml:space="preserve">I-A         </t>
        </is>
      </c>
      <c r="U272" s="93" t="n">
        <v>398</v>
      </c>
      <c r="V272" s="710" t="n">
        <v>12500</v>
      </c>
      <c r="W272" s="710" t="n">
        <v>13000</v>
      </c>
      <c r="X272" s="712" t="inlineStr">
        <is>
          <t>6.3:1</t>
        </is>
      </c>
      <c r="Y272" s="710" t="n">
        <v>2000</v>
      </c>
      <c r="Z272" s="92" t="inlineStr">
        <is>
          <t xml:space="preserve">C </t>
        </is>
      </c>
      <c r="AA272" s="93" t="n"/>
      <c r="AB272" s="93" t="n"/>
      <c r="AC272" s="93" t="n"/>
      <c r="AD272" s="93" t="inlineStr">
        <is>
          <t xml:space="preserve">S-W JT'S UPHOLSTERY </t>
        </is>
      </c>
      <c r="AE272" s="93" t="n"/>
      <c r="AF272" s="93" t="n"/>
      <c r="AG272" s="93" t="n"/>
      <c r="AH272" s="93" t="n"/>
      <c r="AI272" s="93" t="n"/>
      <c r="AK272" s="265" t="inlineStr">
        <is>
          <t xml:space="preserve">2010 LEASE.                                                       </t>
        </is>
      </c>
      <c r="AL272">
        <f>IF(AND(ISNUMBER($S272),$S272&gt;0,ISNUMBER($K272),ISNUMBER($J272)),($K272*$J272)/$S272,"")</f>
        <v/>
      </c>
      <c r="AM272" s="93" t="n"/>
      <c r="AN272" s="93" t="n"/>
      <c r="AO272" s="93" t="n"/>
      <c r="AP272" s="93" t="n"/>
      <c r="AQ272" s="93" t="n"/>
    </row>
    <row r="273" ht="14" customHeight="1" s="518">
      <c r="A273" s="106" t="n">
        <v>6</v>
      </c>
      <c r="B273" s="93" t="n">
        <v>267</v>
      </c>
      <c r="C273" s="93" t="inlineStr">
        <is>
          <t>2013Q</t>
        </is>
      </c>
      <c r="D273" s="93" t="inlineStr">
        <is>
          <t xml:space="preserve">05281-18-042-000 </t>
        </is>
      </c>
      <c r="E273" s="92" t="inlineStr">
        <is>
          <t>Actual</t>
        </is>
      </c>
      <c r="F273" s="93" t="inlineStr">
        <is>
          <t>2231 S PLATTE RIVER         DR</t>
        </is>
      </c>
      <c r="G273" s="93" t="n">
        <v>44.1</v>
      </c>
      <c r="H273" s="93" t="n">
        <v>9506</v>
      </c>
      <c r="I273" s="92" t="n">
        <v>0</v>
      </c>
      <c r="J273" s="710" t="n">
        <v>4539</v>
      </c>
      <c r="K273" s="711" t="n">
        <v>6.609385327164573</v>
      </c>
      <c r="L273" s="108" t="n">
        <v>0</v>
      </c>
      <c r="M273" s="97" t="n">
        <v>0</v>
      </c>
      <c r="N273" s="93" t="n">
        <v>2006</v>
      </c>
      <c r="O273" s="93" t="n">
        <v>0</v>
      </c>
      <c r="P273" s="93" t="n">
        <v>0</v>
      </c>
      <c r="Q273" s="93" t="n">
        <v>16</v>
      </c>
      <c r="R273" s="93" t="n">
        <v>1</v>
      </c>
      <c r="S273" s="93" t="n">
        <v>1</v>
      </c>
      <c r="T273" s="92" t="inlineStr">
        <is>
          <t xml:space="preserve">I-A         </t>
        </is>
      </c>
      <c r="U273" s="93" t="n">
        <v>398</v>
      </c>
      <c r="V273" s="710" t="n">
        <v>6650</v>
      </c>
      <c r="W273" s="710" t="n">
        <v>7000</v>
      </c>
      <c r="X273" s="712" t="inlineStr">
        <is>
          <t>1.5:1</t>
        </is>
      </c>
      <c r="Y273" s="710" t="n">
        <v>5000</v>
      </c>
      <c r="Z273" s="92" t="inlineStr">
        <is>
          <t xml:space="preserve">C </t>
        </is>
      </c>
      <c r="AA273" s="93" t="n"/>
      <c r="AB273" s="93" t="n"/>
      <c r="AC273" s="93" t="n"/>
      <c r="AD273" s="93" t="inlineStr">
        <is>
          <t xml:space="preserve">LIVING ARTS CENTER  </t>
        </is>
      </c>
      <c r="AE273" s="93" t="n"/>
      <c r="AF273" s="93" t="n"/>
      <c r="AG273" s="93" t="n"/>
      <c r="AH273" s="93" t="n"/>
      <c r="AI273" s="93" t="n"/>
      <c r="AK273" s="265" t="inlineStr"/>
      <c r="AL273">
        <f>IF(AND(ISNUMBER($S273),$S273&gt;0,ISNUMBER($K273),ISNUMBER($J273)),($K273*$J273)/$S273,"")</f>
        <v/>
      </c>
      <c r="AM273" s="93" t="n"/>
      <c r="AN273" s="93" t="n"/>
      <c r="AO273" s="93" t="n"/>
      <c r="AP273" s="93" t="n"/>
      <c r="AQ273" s="93" t="n"/>
    </row>
    <row r="274" ht="14" customHeight="1" s="518">
      <c r="A274" s="106" t="n">
        <v>6</v>
      </c>
      <c r="B274" s="93" t="n">
        <v>268</v>
      </c>
      <c r="C274" s="93" t="inlineStr">
        <is>
          <t>2013Q</t>
        </is>
      </c>
      <c r="D274" s="93" t="inlineStr">
        <is>
          <t xml:space="preserve">05284-02-010-000 </t>
        </is>
      </c>
      <c r="E274" s="92" t="inlineStr">
        <is>
          <t>Actual</t>
        </is>
      </c>
      <c r="F274" s="93" t="inlineStr">
        <is>
          <t>2301 S INCA                 ST</t>
        </is>
      </c>
      <c r="G274" s="93" t="n">
        <v>44.1</v>
      </c>
      <c r="H274" s="93" t="n">
        <v>9506</v>
      </c>
      <c r="I274" s="92" t="n">
        <v>0</v>
      </c>
      <c r="J274" s="710" t="n">
        <v>10005</v>
      </c>
      <c r="K274" s="711" t="n">
        <v>6.026986506746627</v>
      </c>
      <c r="L274" s="108" t="n">
        <v>0</v>
      </c>
      <c r="M274" s="97" t="n">
        <v>0.01658374792703151</v>
      </c>
      <c r="N274" s="93" t="n">
        <v>1965</v>
      </c>
      <c r="O274" s="93" t="n">
        <v>2142</v>
      </c>
      <c r="P274" s="93" t="n">
        <v>0</v>
      </c>
      <c r="Q274" s="93" t="n">
        <v>13</v>
      </c>
      <c r="R274" s="93" t="n">
        <v>1</v>
      </c>
      <c r="S274" s="93" t="n">
        <v>1</v>
      </c>
      <c r="T274" s="92" t="inlineStr">
        <is>
          <t xml:space="preserve">I-A         </t>
        </is>
      </c>
      <c r="U274" s="93" t="n">
        <v>398</v>
      </c>
      <c r="V274" s="710" t="n">
        <v>12500</v>
      </c>
      <c r="W274" s="710" t="n">
        <v>13000</v>
      </c>
      <c r="X274" s="712" t="inlineStr">
        <is>
          <t>1.2:1</t>
        </is>
      </c>
      <c r="Y274" s="710" t="n">
        <v>10000</v>
      </c>
      <c r="Z274" s="92" t="inlineStr">
        <is>
          <t>C+</t>
        </is>
      </c>
      <c r="AA274" s="93" t="n"/>
      <c r="AB274" s="93" t="n"/>
      <c r="AC274" s="93" t="n"/>
      <c r="AD274" s="93" t="inlineStr">
        <is>
          <t xml:space="preserve">S-D STRUBLE         </t>
        </is>
      </c>
      <c r="AE274" s="93" t="n"/>
      <c r="AF274" s="93" t="n"/>
      <c r="AG274" s="93" t="n"/>
      <c r="AH274" s="93" t="n"/>
      <c r="AI274" s="93" t="n"/>
      <c r="AK274" s="265" t="inlineStr">
        <is>
          <t xml:space="preserve">2010 LEASE.                                                       </t>
        </is>
      </c>
      <c r="AL274">
        <f>IF(AND(ISNUMBER($S274),$S274&gt;0,ISNUMBER($K274),ISNUMBER($J274)),($K274*$J274)/$S274,"")</f>
        <v/>
      </c>
      <c r="AM274" s="93" t="n"/>
      <c r="AN274" s="93" t="n"/>
      <c r="AO274" s="93" t="n"/>
      <c r="AP274" s="93" t="n"/>
      <c r="AQ274" s="93" t="n"/>
    </row>
    <row r="275" ht="14" customHeight="1" s="518">
      <c r="A275" s="106" t="n">
        <v>6</v>
      </c>
      <c r="B275" s="93" t="n">
        <v>269</v>
      </c>
      <c r="C275" s="93" t="inlineStr">
        <is>
          <t>2013Q</t>
        </is>
      </c>
      <c r="D275" s="93" t="inlineStr">
        <is>
          <t xml:space="preserve">05284-02-022-000 </t>
        </is>
      </c>
      <c r="E275" s="92" t="inlineStr">
        <is>
          <t>Actual</t>
        </is>
      </c>
      <c r="F275" s="93" t="inlineStr">
        <is>
          <t>2395 S PLATTE RIVER         DR</t>
        </is>
      </c>
      <c r="G275" s="93" t="n">
        <v>44.2</v>
      </c>
      <c r="H275" s="93" t="n">
        <v>9506</v>
      </c>
      <c r="I275" s="92" t="n">
        <v>0</v>
      </c>
      <c r="J275" s="710" t="n">
        <v>4916</v>
      </c>
      <c r="K275" s="711" t="n">
        <v>7.323026851098454</v>
      </c>
      <c r="L275" s="108" t="n">
        <v>0</v>
      </c>
      <c r="M275" s="97" t="n">
        <v>0</v>
      </c>
      <c r="N275" s="93" t="n">
        <v>1973</v>
      </c>
      <c r="O275" s="93" t="n">
        <v>1327</v>
      </c>
      <c r="P275" s="93" t="n">
        <v>0</v>
      </c>
      <c r="Q275" s="93" t="n">
        <v>14</v>
      </c>
      <c r="R275" s="93" t="n">
        <v>6</v>
      </c>
      <c r="S275" s="93" t="n">
        <v>1</v>
      </c>
      <c r="T275" s="92" t="inlineStr">
        <is>
          <t xml:space="preserve">I-A         </t>
        </is>
      </c>
      <c r="U275" s="93" t="n">
        <v>398</v>
      </c>
      <c r="V275" s="710" t="n">
        <v>6250</v>
      </c>
      <c r="W275" s="710" t="n">
        <v>6000</v>
      </c>
      <c r="X275" s="712" t="inlineStr">
        <is>
          <t>1.3:1</t>
        </is>
      </c>
      <c r="Y275" s="710" t="n">
        <v>5000</v>
      </c>
      <c r="Z275" s="92" t="inlineStr">
        <is>
          <t xml:space="preserve">C </t>
        </is>
      </c>
      <c r="AA275" s="93" t="n"/>
      <c r="AB275" s="93" t="n"/>
      <c r="AC275" s="93" t="n"/>
      <c r="AD275" s="93" t="inlineStr">
        <is>
          <t xml:space="preserve">S-W ESSCO CARPET    </t>
        </is>
      </c>
      <c r="AE275" s="93" t="n"/>
      <c r="AF275" s="93" t="n"/>
      <c r="AG275" s="93" t="n"/>
      <c r="AH275" s="93" t="n"/>
      <c r="AI275" s="93" t="n"/>
      <c r="AK275" s="265" t="inlineStr">
        <is>
          <t xml:space="preserve">COMMENCEMENT DATE OF LEASE UNKNOWN.                               </t>
        </is>
      </c>
      <c r="AL275">
        <f>IF(AND(ISNUMBER($S275),$S275&gt;0,ISNUMBER($K275),ISNUMBER($J275)),($K275*$J275)/$S275,"")</f>
        <v/>
      </c>
      <c r="AM275" s="93" t="n"/>
      <c r="AN275" s="93" t="n"/>
      <c r="AO275" s="93" t="n"/>
      <c r="AP275" s="93" t="n"/>
      <c r="AQ275" s="93" t="n"/>
    </row>
    <row r="276" ht="28" customHeight="1" s="518">
      <c r="A276" s="106" t="n">
        <v>6</v>
      </c>
      <c r="B276" s="93" t="n">
        <v>270</v>
      </c>
      <c r="C276" s="93" t="inlineStr">
        <is>
          <t>2013Q</t>
        </is>
      </c>
      <c r="D276" s="93" t="inlineStr">
        <is>
          <t xml:space="preserve">05284-02-031-000 </t>
        </is>
      </c>
      <c r="E276" s="92" t="inlineStr">
        <is>
          <t>Actual</t>
        </is>
      </c>
      <c r="F276" s="93" t="inlineStr">
        <is>
          <t>2335 S INCA                 ST</t>
        </is>
      </c>
      <c r="G276" s="93" t="n">
        <v>44.2</v>
      </c>
      <c r="H276" s="93" t="n">
        <v>9506</v>
      </c>
      <c r="I276" s="92" t="n">
        <v>0</v>
      </c>
      <c r="J276" s="710" t="n">
        <v>10073</v>
      </c>
      <c r="K276" s="711" t="n">
        <v>4.169562195969423</v>
      </c>
      <c r="L276" s="108" t="n">
        <v>0</v>
      </c>
      <c r="M276" s="97" t="n">
        <v>0.07097619047619047</v>
      </c>
      <c r="N276" s="93" t="n">
        <v>1973</v>
      </c>
      <c r="O276" s="93" t="n">
        <v>2805</v>
      </c>
      <c r="P276" s="93" t="n">
        <v>0</v>
      </c>
      <c r="Q276" s="93" t="n">
        <v>12</v>
      </c>
      <c r="R276" s="93" t="n">
        <v>1</v>
      </c>
      <c r="S276" s="93" t="n">
        <v>1</v>
      </c>
      <c r="T276" s="92" t="inlineStr">
        <is>
          <t xml:space="preserve">I-A         </t>
        </is>
      </c>
      <c r="U276" s="93" t="n">
        <v>398</v>
      </c>
      <c r="V276" s="710" t="n">
        <v>12500</v>
      </c>
      <c r="W276" s="710" t="n">
        <v>13000</v>
      </c>
      <c r="X276" s="712" t="inlineStr">
        <is>
          <t>1.2:1</t>
        </is>
      </c>
      <c r="Y276" s="710" t="n">
        <v>10000</v>
      </c>
      <c r="Z276" s="92" t="inlineStr">
        <is>
          <t xml:space="preserve">C </t>
        </is>
      </c>
      <c r="AA276" s="93" t="n"/>
      <c r="AB276" s="93" t="n"/>
      <c r="AC276" s="93" t="n"/>
      <c r="AD276" s="93" t="inlineStr">
        <is>
          <t>LAUNDRY/DRY CLEANERS</t>
        </is>
      </c>
      <c r="AE276" s="93" t="n"/>
      <c r="AF276" s="93" t="n"/>
      <c r="AG276" s="93" t="n"/>
      <c r="AH276" s="93" t="n"/>
      <c r="AI276" s="93" t="n"/>
      <c r="AK276" s="265" t="inlineStr">
        <is>
          <t xml:space="preserve">COMMENCEMENT DATE OF MO-TO-MO UNKNOWN.                            </t>
        </is>
      </c>
      <c r="AL276">
        <f>IF(AND(ISNUMBER($S276),$S276&gt;0,ISNUMBER($K276),ISNUMBER($J276)),($K276*$J276)/$S276,"")</f>
        <v/>
      </c>
      <c r="AM276" s="93" t="n"/>
      <c r="AN276" s="93" t="n"/>
      <c r="AO276" s="93" t="n"/>
      <c r="AP276" s="93" t="n"/>
      <c r="AQ276" s="93" t="n"/>
    </row>
    <row r="277" ht="14" customHeight="1" s="518">
      <c r="A277" s="106" t="n">
        <v>6</v>
      </c>
      <c r="B277" s="93" t="n">
        <v>271</v>
      </c>
      <c r="C277" s="93" t="inlineStr">
        <is>
          <t>2013Q</t>
        </is>
      </c>
      <c r="D277" s="93" t="inlineStr">
        <is>
          <t xml:space="preserve">05284-03-018-000 </t>
        </is>
      </c>
      <c r="E277" s="92" t="inlineStr">
        <is>
          <t>Actual</t>
        </is>
      </c>
      <c r="F277" s="93" t="inlineStr">
        <is>
          <t>2390 S KALAMATH             ST</t>
        </is>
      </c>
      <c r="G277" s="93" t="n">
        <v>44.2</v>
      </c>
      <c r="H277" s="93" t="n">
        <v>9506</v>
      </c>
      <c r="I277" s="92" t="n">
        <v>0</v>
      </c>
      <c r="J277" s="710" t="n">
        <v>12000</v>
      </c>
      <c r="K277" s="711" t="n">
        <v>6.625</v>
      </c>
      <c r="L277" s="108" t="n">
        <v>0.17</v>
      </c>
      <c r="M277" s="97" t="n">
        <v>0.08966037735849057</v>
      </c>
      <c r="N277" s="93" t="n">
        <v>1973</v>
      </c>
      <c r="O277" s="93" t="n">
        <v>1440</v>
      </c>
      <c r="P277" s="93" t="n">
        <v>0</v>
      </c>
      <c r="Q277" s="93" t="n">
        <v>14</v>
      </c>
      <c r="R277" s="93" t="n">
        <v>1</v>
      </c>
      <c r="S277" s="93" t="n">
        <v>1</v>
      </c>
      <c r="T277" s="92" t="inlineStr">
        <is>
          <t xml:space="preserve">I-A         </t>
        </is>
      </c>
      <c r="U277" s="93" t="n">
        <v>398</v>
      </c>
      <c r="V277" s="710" t="n">
        <v>18750</v>
      </c>
      <c r="W277" s="710" t="n">
        <v>19000</v>
      </c>
      <c r="X277" s="712" t="inlineStr">
        <is>
          <t>1.6:1</t>
        </is>
      </c>
      <c r="Y277" s="710" t="n">
        <v>12000</v>
      </c>
      <c r="Z277" s="92" t="inlineStr">
        <is>
          <t xml:space="preserve">C </t>
        </is>
      </c>
      <c r="AA277" s="93" t="n"/>
      <c r="AB277" s="93" t="n"/>
      <c r="AC277" s="93" t="n"/>
      <c r="AD277" s="93" t="inlineStr"/>
      <c r="AE277" s="93" t="n"/>
      <c r="AF277" s="93" t="n"/>
      <c r="AG277" s="93" t="n"/>
      <c r="AH277" s="93" t="n"/>
      <c r="AI277" s="93" t="n"/>
      <c r="AK277" s="265" t="inlineStr"/>
      <c r="AL277">
        <f>IF(AND(ISNUMBER($S277),$S277&gt;0,ISNUMBER($K277),ISNUMBER($J277)),($K277*$J277)/$S277,"")</f>
        <v/>
      </c>
      <c r="AM277" s="93" t="n"/>
      <c r="AN277" s="93" t="n"/>
      <c r="AO277" s="93" t="n"/>
      <c r="AP277" s="93" t="n"/>
      <c r="AQ277" s="93" t="n"/>
    </row>
    <row r="278" ht="14" customHeight="1" s="518">
      <c r="A278" s="106" t="n">
        <v>6</v>
      </c>
      <c r="B278" s="93" t="n">
        <v>272</v>
      </c>
      <c r="C278" s="93" t="inlineStr">
        <is>
          <t>2013Q</t>
        </is>
      </c>
      <c r="D278" s="93" t="inlineStr">
        <is>
          <t xml:space="preserve">06282-02-031-000 </t>
        </is>
      </c>
      <c r="E278" s="92" t="inlineStr">
        <is>
          <t>Actual</t>
        </is>
      </c>
      <c r="F278" s="93" t="inlineStr">
        <is>
          <t>1955 S QUINCE               ST</t>
        </is>
      </c>
      <c r="G278" s="93" t="n">
        <v>47.1</v>
      </c>
      <c r="H278" s="93" t="n">
        <v>9603</v>
      </c>
      <c r="I278" s="92" t="n">
        <v>0</v>
      </c>
      <c r="J278" s="710" t="n">
        <v>42392</v>
      </c>
      <c r="K278" s="711" t="n">
        <v>3.466666666666667</v>
      </c>
      <c r="L278" s="108" t="n">
        <v>0</v>
      </c>
      <c r="M278" s="97" t="n">
        <v>0</v>
      </c>
      <c r="N278" s="93" t="n">
        <v>1982</v>
      </c>
      <c r="O278" s="93" t="n">
        <v>10323</v>
      </c>
      <c r="P278" s="93" t="n">
        <v>0</v>
      </c>
      <c r="Q278" s="93" t="n">
        <v>13</v>
      </c>
      <c r="R278" s="93" t="n">
        <v>10</v>
      </c>
      <c r="S278" s="93" t="n">
        <v>1</v>
      </c>
      <c r="T278" s="92" t="inlineStr">
        <is>
          <t xml:space="preserve">I-A         </t>
        </is>
      </c>
      <c r="U278" s="93" t="n">
        <v>401</v>
      </c>
      <c r="V278" s="710" t="n">
        <v>83665</v>
      </c>
      <c r="W278" s="710" t="n">
        <v>84000</v>
      </c>
      <c r="X278" s="712" t="inlineStr">
        <is>
          <t>2:1</t>
        </is>
      </c>
      <c r="Y278" s="710" t="n">
        <v>42000</v>
      </c>
      <c r="Z278" s="92" t="inlineStr">
        <is>
          <t xml:space="preserve">C </t>
        </is>
      </c>
      <c r="AA278" s="93" t="n"/>
      <c r="AB278" s="93" t="n"/>
      <c r="AC278" s="93" t="n"/>
      <c r="AD278" s="93" t="inlineStr">
        <is>
          <t xml:space="preserve">MANUFACTURING BLDG  </t>
        </is>
      </c>
      <c r="AE278" s="93" t="n"/>
      <c r="AF278" s="93" t="n"/>
      <c r="AG278" s="93" t="n"/>
      <c r="AH278" s="93" t="n"/>
      <c r="AI278" s="93" t="n"/>
      <c r="AK278" s="265" t="inlineStr"/>
      <c r="AL278">
        <f>IF(AND(ISNUMBER($S278),$S278&gt;0,ISNUMBER($K278),ISNUMBER($J278)),($K278*$J278)/$S278,"")</f>
        <v/>
      </c>
      <c r="AM278" s="93" t="n"/>
      <c r="AN278" s="93" t="n"/>
      <c r="AO278" s="93" t="n"/>
      <c r="AP278" s="93" t="n"/>
      <c r="AQ278" s="93" t="n"/>
    </row>
    <row r="279" ht="14" customHeight="1" s="518">
      <c r="A279" s="106" t="n">
        <v>6</v>
      </c>
      <c r="B279" s="93" t="n">
        <v>273</v>
      </c>
      <c r="C279" s="93" t="inlineStr">
        <is>
          <t>2013Q</t>
        </is>
      </c>
      <c r="D279" s="93" t="inlineStr">
        <is>
          <t xml:space="preserve">06292-10-001-000 </t>
        </is>
      </c>
      <c r="E279" s="92" t="inlineStr">
        <is>
          <t>Actual</t>
        </is>
      </c>
      <c r="F279" s="93" t="inlineStr">
        <is>
          <t>5995 E EVANS                AV</t>
        </is>
      </c>
      <c r="G279" s="93" t="n">
        <v>44.1</v>
      </c>
      <c r="H279" s="93" t="n">
        <v>9603</v>
      </c>
      <c r="I279" s="92" t="n">
        <v>7</v>
      </c>
      <c r="J279" s="710" t="n">
        <v>25804</v>
      </c>
      <c r="K279" s="711" t="n">
        <v>6.439931793520384</v>
      </c>
      <c r="L279" s="108" t="n">
        <v>0</v>
      </c>
      <c r="M279" s="97" t="n">
        <v>0</v>
      </c>
      <c r="N279" s="93" t="n">
        <v>1974</v>
      </c>
      <c r="O279" s="93" t="n">
        <v>0</v>
      </c>
      <c r="P279" s="93" t="n">
        <v>7752</v>
      </c>
      <c r="Q279" s="93" t="n">
        <v>16</v>
      </c>
      <c r="R279" s="93" t="n">
        <v>7</v>
      </c>
      <c r="S279" s="93" t="n">
        <v>1</v>
      </c>
      <c r="T279" s="92" t="inlineStr">
        <is>
          <t xml:space="preserve">I-MX-3      </t>
        </is>
      </c>
      <c r="U279" s="93" t="n">
        <v>398</v>
      </c>
      <c r="V279" s="710" t="n">
        <v>51719</v>
      </c>
      <c r="W279" s="710" t="n">
        <v>52000</v>
      </c>
      <c r="X279" s="712" t="inlineStr">
        <is>
          <t>2:1</t>
        </is>
      </c>
      <c r="Y279" s="710" t="n">
        <v>26000</v>
      </c>
      <c r="Z279" s="92" t="inlineStr">
        <is>
          <t xml:space="preserve">C </t>
        </is>
      </c>
      <c r="AA279" s="93" t="n"/>
      <c r="AB279" s="93" t="n"/>
      <c r="AC279" s="93" t="n"/>
      <c r="AD279" s="93" t="inlineStr">
        <is>
          <t xml:space="preserve">FACTORY OUTLET      </t>
        </is>
      </c>
      <c r="AE279" s="93" t="n"/>
      <c r="AF279" s="93" t="n"/>
      <c r="AG279" s="93" t="n"/>
      <c r="AH279" s="93" t="n"/>
      <c r="AI279" s="93" t="n"/>
      <c r="AK279" s="265" t="inlineStr"/>
      <c r="AL279">
        <f>IF(AND(ISNUMBER($S279),$S279&gt;0,ISNUMBER($K279),ISNUMBER($J279)),($K279*$J279)/$S279,"")</f>
        <v/>
      </c>
      <c r="AM279" s="93" t="n"/>
      <c r="AN279" s="93" t="n"/>
      <c r="AO279" s="93" t="n"/>
      <c r="AP279" s="93" t="n"/>
      <c r="AQ279" s="93" t="n"/>
    </row>
    <row r="280" ht="14" customHeight="1" s="518">
      <c r="A280" s="106" t="n">
        <v>6</v>
      </c>
      <c r="B280" s="93" t="n">
        <v>274</v>
      </c>
      <c r="C280" s="93" t="inlineStr">
        <is>
          <t>2013Q</t>
        </is>
      </c>
      <c r="D280" s="93" t="inlineStr">
        <is>
          <t xml:space="preserve">06292-10-004-000 </t>
        </is>
      </c>
      <c r="E280" s="92" t="inlineStr">
        <is>
          <t>Actual</t>
        </is>
      </c>
      <c r="F280" s="93" t="inlineStr">
        <is>
          <t>5885 E EVANS                AV</t>
        </is>
      </c>
      <c r="G280" s="93" t="n">
        <v>44.1</v>
      </c>
      <c r="H280" s="93" t="n">
        <v>9603</v>
      </c>
      <c r="I280" s="92" t="n">
        <v>0</v>
      </c>
      <c r="J280" s="710" t="n">
        <v>12244</v>
      </c>
      <c r="K280" s="711" t="n">
        <v>7.350539039529566</v>
      </c>
      <c r="L280" s="108" t="n">
        <v>0.3</v>
      </c>
      <c r="M280" s="97" t="n">
        <v>0</v>
      </c>
      <c r="N280" s="93" t="n">
        <v>1960</v>
      </c>
      <c r="O280" s="93" t="n">
        <v>5891</v>
      </c>
      <c r="P280" s="93" t="n">
        <v>0</v>
      </c>
      <c r="Q280" s="93" t="n">
        <v>13</v>
      </c>
      <c r="R280" s="93" t="n">
        <v>13</v>
      </c>
      <c r="S280" s="93" t="n">
        <v>1</v>
      </c>
      <c r="T280" s="92" t="inlineStr">
        <is>
          <t xml:space="preserve">I-MX-3      </t>
        </is>
      </c>
      <c r="U280" s="93" t="n">
        <v>398</v>
      </c>
      <c r="V280" s="710" t="n">
        <v>43775</v>
      </c>
      <c r="W280" s="710" t="n">
        <v>44000</v>
      </c>
      <c r="X280" s="712" t="inlineStr">
        <is>
          <t>3.6:1</t>
        </is>
      </c>
      <c r="Y280" s="710" t="n">
        <v>12000</v>
      </c>
      <c r="Z280" s="92" t="inlineStr">
        <is>
          <t xml:space="preserve">C </t>
        </is>
      </c>
      <c r="AA280" s="93" t="n"/>
      <c r="AB280" s="93" t="n"/>
      <c r="AC280" s="93" t="n"/>
      <c r="AD280" s="93" t="inlineStr">
        <is>
          <t xml:space="preserve">PRINTSHOP PLUS      </t>
        </is>
      </c>
      <c r="AE280" s="93" t="n"/>
      <c r="AF280" s="93" t="n"/>
      <c r="AG280" s="93" t="n"/>
      <c r="AH280" s="93" t="n"/>
      <c r="AI280" s="93" t="n"/>
      <c r="AK280" s="265" t="inlineStr">
        <is>
          <t xml:space="preserve">2009 LEASE.                                                       </t>
        </is>
      </c>
      <c r="AL280">
        <f>IF(AND(ISNUMBER($S280),$S280&gt;0,ISNUMBER($K280),ISNUMBER($J280)),($K280*$J280)/$S280,"")</f>
        <v/>
      </c>
      <c r="AM280" s="93" t="n"/>
      <c r="AN280" s="93" t="n"/>
      <c r="AO280" s="93" t="n"/>
      <c r="AP280" s="93" t="n"/>
      <c r="AQ280" s="93" t="n"/>
    </row>
    <row r="281" ht="14" customHeight="1" s="518">
      <c r="A281" s="106" t="n">
        <v>6</v>
      </c>
      <c r="B281" s="93" t="n">
        <v>275</v>
      </c>
      <c r="C281" s="93" t="inlineStr">
        <is>
          <t>2013Q</t>
        </is>
      </c>
      <c r="D281" s="93" t="inlineStr">
        <is>
          <t xml:space="preserve">06301-12-009-000 </t>
        </is>
      </c>
      <c r="E281" s="92" t="inlineStr">
        <is>
          <t>Actual</t>
        </is>
      </c>
      <c r="F281" s="93" t="inlineStr">
        <is>
          <t>4990 E ASBURY               AV</t>
        </is>
      </c>
      <c r="G281" s="93" t="n">
        <v>44.2</v>
      </c>
      <c r="H281" s="93" t="n">
        <v>9603</v>
      </c>
      <c r="I281" s="92" t="n">
        <v>0</v>
      </c>
      <c r="J281" s="710" t="n">
        <v>4777</v>
      </c>
      <c r="K281" s="711" t="n">
        <v>8.138999371990788</v>
      </c>
      <c r="L281" s="108" t="n">
        <v>0</v>
      </c>
      <c r="M281" s="97" t="n">
        <v>0.06075102880658436</v>
      </c>
      <c r="N281" s="93" t="n">
        <v>1957</v>
      </c>
      <c r="O281" s="93" t="n">
        <v>1537</v>
      </c>
      <c r="P281" s="93" t="n">
        <v>0</v>
      </c>
      <c r="Q281" s="93" t="n">
        <v>10</v>
      </c>
      <c r="R281" s="93" t="n">
        <v>13</v>
      </c>
      <c r="S281" s="93" t="n">
        <v>1</v>
      </c>
      <c r="T281" s="92" t="inlineStr">
        <is>
          <t xml:space="preserve">I-MX-3      </t>
        </is>
      </c>
      <c r="U281" s="93" t="n">
        <v>398</v>
      </c>
      <c r="V281" s="710" t="n">
        <v>16345</v>
      </c>
      <c r="W281" s="710" t="n">
        <v>16000</v>
      </c>
      <c r="X281" s="712" t="inlineStr">
        <is>
          <t>3.4:1</t>
        </is>
      </c>
      <c r="Y281" s="710" t="n">
        <v>5000</v>
      </c>
      <c r="Z281" s="92" t="inlineStr">
        <is>
          <t xml:space="preserve">C </t>
        </is>
      </c>
      <c r="AA281" s="93" t="n"/>
      <c r="AB281" s="93" t="n"/>
      <c r="AC281" s="93" t="n"/>
      <c r="AD281" s="93" t="inlineStr">
        <is>
          <t xml:space="preserve">USED FOR DEAD STGE  </t>
        </is>
      </c>
      <c r="AE281" s="93" t="n"/>
      <c r="AF281" s="93" t="n"/>
      <c r="AG281" s="93" t="n"/>
      <c r="AH281" s="93" t="n"/>
      <c r="AI281" s="93" t="n"/>
      <c r="AK281" s="265" t="inlineStr">
        <is>
          <t xml:space="preserve">2009 LEASE.                                                       </t>
        </is>
      </c>
      <c r="AL281">
        <f>IF(AND(ISNUMBER($S281),$S281&gt;0,ISNUMBER($K281),ISNUMBER($J281)),($K281*$J281)/$S281,"")</f>
        <v/>
      </c>
      <c r="AM281" s="93" t="n"/>
      <c r="AN281" s="93" t="n"/>
      <c r="AO281" s="93" t="n"/>
      <c r="AP281" s="93" t="n"/>
      <c r="AQ281" s="93" t="n"/>
    </row>
    <row r="282" ht="28" customHeight="1" s="518">
      <c r="A282" s="106" t="n">
        <v>6</v>
      </c>
      <c r="B282" s="93" t="n">
        <v>276</v>
      </c>
      <c r="C282" s="93" t="inlineStr">
        <is>
          <t>2013Q</t>
        </is>
      </c>
      <c r="D282" s="93" t="inlineStr">
        <is>
          <t xml:space="preserve">06301-13-015-000 </t>
        </is>
      </c>
      <c r="E282" s="92" t="inlineStr">
        <is>
          <t>Actual</t>
        </is>
      </c>
      <c r="F282" s="93" t="inlineStr">
        <is>
          <t>2000 S DAHLIA               ST</t>
        </is>
      </c>
      <c r="G282" s="93" t="n">
        <v>44.1</v>
      </c>
      <c r="H282" s="93" t="n">
        <v>9603</v>
      </c>
      <c r="I282" s="92" t="n">
        <v>0</v>
      </c>
      <c r="J282" s="710" t="n">
        <v>19806</v>
      </c>
      <c r="K282" s="711" t="n">
        <v>10.53589958158996</v>
      </c>
      <c r="L282" s="108" t="n">
        <v>0.26</v>
      </c>
      <c r="M282" s="97" t="n">
        <v>0</v>
      </c>
      <c r="N282" s="93" t="n">
        <v>1970</v>
      </c>
      <c r="O282" s="93" t="n">
        <v>1211</v>
      </c>
      <c r="P282" s="93" t="n">
        <v>2984</v>
      </c>
      <c r="Q282" s="93" t="n">
        <v>14</v>
      </c>
      <c r="R282" s="93" t="n">
        <v>1</v>
      </c>
      <c r="S282" s="93" t="n">
        <v>2</v>
      </c>
      <c r="T282" s="92" t="inlineStr">
        <is>
          <t xml:space="preserve">I-MX-3      </t>
        </is>
      </c>
      <c r="U282" s="93" t="n">
        <v>398</v>
      </c>
      <c r="V282" s="710" t="n">
        <v>39818</v>
      </c>
      <c r="W282" s="710" t="n">
        <v>40000</v>
      </c>
      <c r="X282" s="712" t="inlineStr">
        <is>
          <t>2:1</t>
        </is>
      </c>
      <c r="Y282" s="710" t="n">
        <v>20000</v>
      </c>
      <c r="Z282" s="92" t="inlineStr">
        <is>
          <t xml:space="preserve">C </t>
        </is>
      </c>
      <c r="AA282" s="93" t="n"/>
      <c r="AB282" s="93" t="n"/>
      <c r="AC282" s="93" t="n"/>
      <c r="AD282" s="93" t="inlineStr">
        <is>
          <t xml:space="preserve">PASTORE'S ITALIAN   </t>
        </is>
      </c>
      <c r="AE282" s="93" t="n"/>
      <c r="AF282" s="93" t="n"/>
      <c r="AG282" s="93" t="n"/>
      <c r="AH282" s="93" t="n"/>
      <c r="AI282" s="93" t="n"/>
      <c r="AK282" s="265" t="inlineStr">
        <is>
          <t xml:space="preserve">NO BASIS TO ALLOC. EXPENSES BETWEEN OWNER AND TENANT.             </t>
        </is>
      </c>
      <c r="AL282">
        <f>IF(AND(ISNUMBER($S282),$S282&gt;0,ISNUMBER($K282),ISNUMBER($J282)),($K282*$J282)/$S282,"")</f>
        <v/>
      </c>
      <c r="AM282" s="93" t="n"/>
      <c r="AN282" s="93" t="n"/>
      <c r="AO282" s="93" t="n"/>
      <c r="AP282" s="93" t="n"/>
      <c r="AQ282" s="93" t="n"/>
    </row>
    <row r="283" ht="14" customHeight="1" s="518">
      <c r="A283" s="106" t="n">
        <v>6</v>
      </c>
      <c r="B283" s="93" t="n">
        <v>277</v>
      </c>
      <c r="C283" s="93" t="inlineStr">
        <is>
          <t>2013Q</t>
        </is>
      </c>
      <c r="D283" s="93" t="inlineStr">
        <is>
          <t xml:space="preserve">06301-21-006-000 </t>
        </is>
      </c>
      <c r="E283" s="92" t="inlineStr">
        <is>
          <t>Actual</t>
        </is>
      </c>
      <c r="F283" s="93" t="inlineStr">
        <is>
          <t>2150 S GRAPE                ST</t>
        </is>
      </c>
      <c r="G283" s="93" t="n">
        <v>44.1</v>
      </c>
      <c r="H283" s="93" t="n">
        <v>9603</v>
      </c>
      <c r="I283" s="92" t="n">
        <v>0</v>
      </c>
      <c r="J283" s="710" t="n">
        <v>15347</v>
      </c>
      <c r="K283" s="711" t="n">
        <v>10.16485306574575</v>
      </c>
      <c r="L283" s="108" t="n">
        <v>0</v>
      </c>
      <c r="M283" s="97" t="n">
        <v>0</v>
      </c>
      <c r="N283" s="93" t="n">
        <v>1977</v>
      </c>
      <c r="O283" s="93" t="n">
        <v>2532</v>
      </c>
      <c r="P283" s="93" t="n">
        <v>0</v>
      </c>
      <c r="Q283" s="93" t="n">
        <v>18</v>
      </c>
      <c r="R283" s="93" t="n">
        <v>1</v>
      </c>
      <c r="S283" s="93" t="n">
        <v>1</v>
      </c>
      <c r="T283" s="92" t="inlineStr">
        <is>
          <t xml:space="preserve">I-MX-3      </t>
        </is>
      </c>
      <c r="U283" s="93" t="n">
        <v>398</v>
      </c>
      <c r="V283" s="710" t="n">
        <v>29232</v>
      </c>
      <c r="W283" s="710" t="n">
        <v>29000</v>
      </c>
      <c r="X283" s="712" t="inlineStr">
        <is>
          <t>1.9:1</t>
        </is>
      </c>
      <c r="Y283" s="710" t="n">
        <v>15000</v>
      </c>
      <c r="Z283" s="92" t="inlineStr">
        <is>
          <t xml:space="preserve">C </t>
        </is>
      </c>
      <c r="AA283" s="93" t="n"/>
      <c r="AB283" s="93" t="n"/>
      <c r="AC283" s="93" t="n"/>
      <c r="AD283" s="93" t="inlineStr"/>
      <c r="AE283" s="93" t="n"/>
      <c r="AF283" s="93" t="n"/>
      <c r="AG283" s="93" t="n"/>
      <c r="AH283" s="93" t="n"/>
      <c r="AI283" s="93" t="n"/>
      <c r="AK283" s="265" t="inlineStr">
        <is>
          <t xml:space="preserve">2010 LEASE.                                                       </t>
        </is>
      </c>
      <c r="AL283">
        <f>IF(AND(ISNUMBER($S283),$S283&gt;0,ISNUMBER($K283),ISNUMBER($J283)),($K283*$J283)/$S283,"")</f>
        <v/>
      </c>
      <c r="AM283" s="93" t="n"/>
      <c r="AN283" s="93" t="n"/>
      <c r="AO283" s="93" t="n"/>
      <c r="AP283" s="93" t="n"/>
      <c r="AQ283" s="93" t="n"/>
    </row>
    <row r="284" ht="14" customHeight="1" s="518">
      <c r="A284" s="62" t="n">
        <v>6</v>
      </c>
      <c r="B284" s="93" t="n">
        <v>324</v>
      </c>
      <c r="C284" s="68" t="inlineStr">
        <is>
          <t>2011Q</t>
        </is>
      </c>
      <c r="D284" s="59" t="inlineStr">
        <is>
          <t xml:space="preserve">01203-00-043-000 </t>
        </is>
      </c>
      <c r="E284" s="72" t="inlineStr">
        <is>
          <t>Actual</t>
        </is>
      </c>
      <c r="F284" s="73" t="inlineStr">
        <is>
          <t>3939   KEARNEY             ST</t>
        </is>
      </c>
      <c r="G284" s="67" t="n">
        <v>44.1</v>
      </c>
      <c r="H284" s="67" t="n">
        <v>9101</v>
      </c>
      <c r="I284" s="69" t="n">
        <v>0</v>
      </c>
      <c r="J284" s="714" t="n">
        <v>45583</v>
      </c>
      <c r="K284" s="715" t="n">
        <v>4.873132527477349</v>
      </c>
      <c r="L284" s="74" t="n">
        <v>0</v>
      </c>
      <c r="M284" s="76" t="n">
        <v>0.1080438658095187</v>
      </c>
      <c r="N284" s="67" t="n">
        <v>1959</v>
      </c>
      <c r="O284" s="64" t="n">
        <v>5531</v>
      </c>
      <c r="Q284" s="59" t="n">
        <v>14</v>
      </c>
      <c r="R284" s="59" t="n">
        <v>1</v>
      </c>
      <c r="S284" s="59" t="n">
        <v>1</v>
      </c>
      <c r="T284" s="63" t="inlineStr">
        <is>
          <t xml:space="preserve">I1   </t>
        </is>
      </c>
      <c r="U284" s="63" t="n">
        <v>398</v>
      </c>
      <c r="V284" s="714" t="n">
        <v>100759</v>
      </c>
      <c r="W284" s="714" t="n">
        <v>101000</v>
      </c>
      <c r="X284" s="83" t="inlineStr">
        <is>
          <t>2.2:1</t>
        </is>
      </c>
      <c r="Y284" s="714" t="n">
        <v>46000</v>
      </c>
      <c r="Z284" s="63" t="inlineStr">
        <is>
          <t xml:space="preserve">C </t>
        </is>
      </c>
      <c r="AC284" s="67" t="n"/>
      <c r="AD284" s="61" t="inlineStr"/>
      <c r="AE284" s="716" t="n"/>
      <c r="AF284" s="716" t="n"/>
      <c r="AG284" s="716" t="n"/>
      <c r="AH284" s="716" t="n"/>
      <c r="AI284" s="716" t="n"/>
      <c r="AJ284" s="716" t="n"/>
      <c r="AK284" s="717" t="inlineStr">
        <is>
          <t xml:space="preserve">2008 LEASE.                                                       </t>
        </is>
      </c>
      <c r="AL284">
        <f>IF(AND(ISNUMBER($S284),$S284&gt;0,ISNUMBER($K284),ISNUMBER($J284)),($K284*$J284)/$S284,"")</f>
        <v/>
      </c>
      <c r="AM284" s="59" t="inlineStr"/>
    </row>
    <row r="285" ht="14" customHeight="1" s="518">
      <c r="A285" s="62" t="n">
        <v>6</v>
      </c>
      <c r="B285" s="93" t="n">
        <v>326</v>
      </c>
      <c r="C285" s="68" t="inlineStr">
        <is>
          <t>2011Q</t>
        </is>
      </c>
      <c r="D285" s="59" t="inlineStr">
        <is>
          <t xml:space="preserve">01203-00-134-000 </t>
        </is>
      </c>
      <c r="E285" s="72" t="inlineStr">
        <is>
          <t>Actual</t>
        </is>
      </c>
      <c r="F285" s="73" t="inlineStr">
        <is>
          <t>6300 E 39TH                AV</t>
        </is>
      </c>
      <c r="G285" s="67" t="n">
        <v>44.1</v>
      </c>
      <c r="H285" s="67" t="n">
        <v>9101</v>
      </c>
      <c r="I285" s="69" t="n">
        <v>0</v>
      </c>
      <c r="J285" s="714" t="n">
        <v>29376</v>
      </c>
      <c r="K285" s="715" t="n">
        <v>4.042075163398692</v>
      </c>
      <c r="L285" s="74" t="n">
        <v>0</v>
      </c>
      <c r="M285" s="76" t="n">
        <v>0</v>
      </c>
      <c r="N285" s="67" t="n">
        <v>1971</v>
      </c>
      <c r="O285" s="64" t="n">
        <v>5421</v>
      </c>
      <c r="Q285" s="59" t="n">
        <v>22</v>
      </c>
      <c r="R285" s="59" t="n">
        <v>10</v>
      </c>
      <c r="S285" s="59" t="n">
        <v>1</v>
      </c>
      <c r="T285" s="63" t="inlineStr">
        <is>
          <t xml:space="preserve">I0   </t>
        </is>
      </c>
      <c r="U285" s="63" t="n">
        <v>398</v>
      </c>
      <c r="V285" s="714" t="n">
        <v>61218</v>
      </c>
      <c r="W285" s="714" t="n">
        <v>61000</v>
      </c>
      <c r="X285" s="83" t="inlineStr">
        <is>
          <t>2.1:1</t>
        </is>
      </c>
      <c r="Y285" s="714" t="n">
        <v>29000</v>
      </c>
      <c r="Z285" s="63" t="inlineStr">
        <is>
          <t xml:space="preserve">C </t>
        </is>
      </c>
      <c r="AC285" s="67" t="n"/>
      <c r="AD285" s="61" t="inlineStr"/>
      <c r="AE285" s="716" t="n"/>
      <c r="AF285" s="716" t="n"/>
      <c r="AG285" s="716" t="n"/>
      <c r="AH285" s="716" t="n"/>
      <c r="AI285" s="716" t="n"/>
      <c r="AJ285" s="716" t="n"/>
      <c r="AK285" s="717" t="inlineStr"/>
      <c r="AL285">
        <f>IF(AND(ISNUMBER($S285),$S285&gt;0,ISNUMBER($K285),ISNUMBER($J285)),($K285*$J285)/$S285,"")</f>
        <v/>
      </c>
      <c r="AM285" s="716" t="n"/>
      <c r="AN285" s="716" t="n"/>
      <c r="AO285" s="716" t="n"/>
      <c r="AP285" s="716" t="n"/>
    </row>
    <row r="286" ht="14" customHeight="1" s="518">
      <c r="A286" s="62" t="n">
        <v>6</v>
      </c>
      <c r="B286" s="93" t="n">
        <v>327</v>
      </c>
      <c r="C286" s="68" t="inlineStr">
        <is>
          <t>2011Q</t>
        </is>
      </c>
      <c r="D286" s="59" t="inlineStr">
        <is>
          <t xml:space="preserve">01203-00-160-000 </t>
        </is>
      </c>
      <c r="E286" s="72" t="inlineStr">
        <is>
          <t>Actual</t>
        </is>
      </c>
      <c r="F286" s="73" t="inlineStr">
        <is>
          <t>6211 E 42ND                AV</t>
        </is>
      </c>
      <c r="G286" s="708" t="n">
        <v>44.6</v>
      </c>
      <c r="H286" s="67" t="n">
        <v>9101</v>
      </c>
      <c r="I286" s="69" t="n">
        <v>0</v>
      </c>
      <c r="J286" s="714" t="n">
        <v>27000</v>
      </c>
      <c r="K286" s="715" t="n">
        <v>6.666666666666667</v>
      </c>
      <c r="L286" s="74" t="n">
        <v>0</v>
      </c>
      <c r="M286" s="76" t="n">
        <v>0.07055555555555555</v>
      </c>
      <c r="N286" s="67" t="n">
        <v>1982</v>
      </c>
      <c r="O286" s="64" t="n">
        <v>9601</v>
      </c>
      <c r="Q286" s="59" t="n">
        <v>30</v>
      </c>
      <c r="R286" s="59" t="n">
        <v>14</v>
      </c>
      <c r="S286" s="59" t="n">
        <v>1</v>
      </c>
      <c r="T286" s="63" t="inlineStr">
        <is>
          <t xml:space="preserve">I2   </t>
        </is>
      </c>
      <c r="U286" s="63" t="n">
        <v>398</v>
      </c>
      <c r="V286" s="714" t="n">
        <v>129650</v>
      </c>
      <c r="W286" s="714" t="n">
        <v>130000</v>
      </c>
      <c r="X286" s="83" t="inlineStr">
        <is>
          <t>2.1:1</t>
        </is>
      </c>
      <c r="Y286" s="714" t="n">
        <v>27000</v>
      </c>
      <c r="Z286" s="63" t="inlineStr">
        <is>
          <t xml:space="preserve">C </t>
        </is>
      </c>
      <c r="AC286" s="67" t="n"/>
      <c r="AD286" s="61" t="inlineStr">
        <is>
          <t xml:space="preserve">DIST SNGL TENANT    </t>
        </is>
      </c>
      <c r="AE286" s="716" t="n"/>
      <c r="AF286" s="716" t="n"/>
      <c r="AG286" s="716" t="n"/>
      <c r="AH286" s="716" t="n"/>
      <c r="AI286" s="716" t="n"/>
      <c r="AJ286" s="716" t="n"/>
      <c r="AK286" s="717" t="inlineStr">
        <is>
          <t xml:space="preserve">27000 SF OF 63,000 SF BLDG LEASED.                                </t>
        </is>
      </c>
      <c r="AL286">
        <f>IF(AND(ISNUMBER($S286),$S286&gt;0,ISNUMBER($K286),ISNUMBER($J286)),($K286*$J286)/$S286,"")</f>
        <v/>
      </c>
      <c r="AM286" s="59" t="inlineStr"/>
    </row>
    <row r="287" ht="14" customHeight="1" s="518">
      <c r="A287" s="62" t="n">
        <v>7</v>
      </c>
      <c r="B287" s="93" t="n">
        <v>278</v>
      </c>
      <c r="C287" s="68" t="inlineStr">
        <is>
          <t>2011Q</t>
        </is>
      </c>
      <c r="D287" s="59" t="inlineStr">
        <is>
          <t xml:space="preserve">00184-01-019-000 </t>
        </is>
      </c>
      <c r="E287" s="72" t="inlineStr">
        <is>
          <t>Actual</t>
        </is>
      </c>
      <c r="F287" s="73" t="inlineStr">
        <is>
          <t>15200 E 53RD                PL</t>
        </is>
      </c>
      <c r="G287" s="708" t="n">
        <v>44.5</v>
      </c>
      <c r="H287" s="67" t="n">
        <v>9102</v>
      </c>
      <c r="I287" s="69" t="n">
        <v>0</v>
      </c>
      <c r="J287" s="714" t="n">
        <v>59778</v>
      </c>
      <c r="K287" s="715" t="n">
        <v>7.37801532336311</v>
      </c>
      <c r="L287" s="74" t="n">
        <v>0</v>
      </c>
      <c r="M287" s="76" t="n">
        <v>0.2605482912097006</v>
      </c>
      <c r="N287" s="67" t="n">
        <v>2000</v>
      </c>
      <c r="O287" s="64" t="n">
        <v>2588</v>
      </c>
      <c r="Q287" s="59" t="n">
        <v>9</v>
      </c>
      <c r="R287" s="59" t="n">
        <v>3</v>
      </c>
      <c r="S287" s="59" t="n">
        <v>1</v>
      </c>
      <c r="T287" s="63" t="inlineStr">
        <is>
          <t xml:space="preserve">PUD  </t>
        </is>
      </c>
      <c r="U287" s="63" t="n">
        <v>396</v>
      </c>
      <c r="V287" s="714" t="n">
        <v>223537</v>
      </c>
      <c r="W287" s="714" t="n">
        <v>220000</v>
      </c>
      <c r="X287" s="83" t="inlineStr">
        <is>
          <t>3.7:1</t>
        </is>
      </c>
      <c r="Y287" s="714" t="n">
        <v>60000</v>
      </c>
      <c r="Z287" s="63" t="inlineStr">
        <is>
          <t xml:space="preserve">C </t>
        </is>
      </c>
      <c r="AC287" s="67" t="n"/>
      <c r="AD287" s="61" t="inlineStr">
        <is>
          <t xml:space="preserve">KANGAROO SELF STRGE </t>
        </is>
      </c>
      <c r="AE287" s="716" t="n"/>
      <c r="AF287" s="716" t="n"/>
      <c r="AG287" s="716" t="n"/>
      <c r="AH287" s="716" t="n"/>
      <c r="AI287" s="716" t="n"/>
      <c r="AJ287" s="716" t="n"/>
      <c r="AK287" s="717" t="inlineStr">
        <is>
          <t xml:space="preserve">SALARIES FOR MGR INCLUDED UNDER "OTHER"                           </t>
        </is>
      </c>
      <c r="AL287">
        <f>IF(AND(ISNUMBER($S287),$S287&gt;0,ISNUMBER($K287),ISNUMBER($J287)),($K287*$J287)/$S287,"")</f>
        <v/>
      </c>
      <c r="AM287" s="59" t="inlineStr"/>
    </row>
    <row r="288">
      <c r="A288" s="62" t="n">
        <v>7</v>
      </c>
      <c r="B288" s="93" t="n">
        <v>279</v>
      </c>
      <c r="C288" s="104" t="inlineStr">
        <is>
          <t>2011W</t>
        </is>
      </c>
      <c r="D288" s="93" t="inlineStr">
        <is>
          <t>01141-01-015-000</t>
        </is>
      </c>
      <c r="E288" s="92" t="inlineStr">
        <is>
          <t>Actual</t>
        </is>
      </c>
      <c r="F288" s="93" t="inlineStr">
        <is>
          <t>11777 E 55th Ave</t>
        </is>
      </c>
      <c r="G288" s="94" t="inlineStr">
        <is>
          <t>44.3</t>
        </is>
      </c>
      <c r="H288" s="93" t="n">
        <v>9102</v>
      </c>
      <c r="I288" s="92" t="n">
        <v>0</v>
      </c>
      <c r="J288" s="95" t="n">
        <v>172400</v>
      </c>
      <c r="K288" s="718" t="n">
        <v>3.5</v>
      </c>
      <c r="L288" s="97" t="n">
        <v>0</v>
      </c>
      <c r="M288" s="97" t="n">
        <v>0.05</v>
      </c>
      <c r="N288" s="93" t="n">
        <v>1986</v>
      </c>
      <c r="O288" s="64" t="n">
        <v>2232</v>
      </c>
      <c r="Q288" s="59" t="n">
        <v>28</v>
      </c>
      <c r="R288" s="59" t="n">
        <v>14</v>
      </c>
      <c r="S288" s="59" t="n">
        <v>1</v>
      </c>
      <c r="T288" s="92" t="inlineStr">
        <is>
          <t>I2</t>
        </is>
      </c>
      <c r="U288" s="93" t="n">
        <v>398</v>
      </c>
      <c r="V288" s="95" t="n">
        <v>311752</v>
      </c>
      <c r="W288" s="95">
        <f>MROUND(V288,1000)</f>
        <v/>
      </c>
      <c r="X288" s="98" t="inlineStr">
        <is>
          <t>1.8:1</t>
        </is>
      </c>
      <c r="Y288" s="95">
        <f>MROUND(J288,1000)</f>
        <v/>
      </c>
      <c r="Z288" s="92" t="inlineStr">
        <is>
          <t>C</t>
        </is>
      </c>
      <c r="AA288" s="93" t="n">
        <v>3</v>
      </c>
      <c r="AB288" s="93" t="n">
        <v>3</v>
      </c>
      <c r="AC288" s="93" t="n">
        <v>33</v>
      </c>
      <c r="AD288" s="93" t="inlineStr">
        <is>
          <t>S-W G.E. Dist Warehouse</t>
        </is>
      </c>
      <c r="AE288" s="719" t="n"/>
      <c r="AF288" s="720" t="n"/>
      <c r="AG288" s="720" t="n"/>
      <c r="AH288" s="67" t="n"/>
      <c r="AI288" s="61" t="n"/>
      <c r="AJ288" s="716" t="n"/>
      <c r="AK288" s="716" t="n"/>
      <c r="AL288">
        <f>IF(AND(ISNUMBER($S288),$S288&gt;0,ISNUMBER($K288),ISNUMBER($J288)),($K288*$J288)/$S288,"")</f>
        <v/>
      </c>
      <c r="AM288" s="59" t="inlineStr"/>
    </row>
    <row r="289" ht="28" customHeight="1" s="518">
      <c r="A289" s="62" t="n">
        <v>7</v>
      </c>
      <c r="B289" s="93" t="n">
        <v>280</v>
      </c>
      <c r="C289" s="68" t="inlineStr">
        <is>
          <t>2011Q</t>
        </is>
      </c>
      <c r="D289" s="59" t="inlineStr">
        <is>
          <t xml:space="preserve">01141-02-010-000 </t>
        </is>
      </c>
      <c r="E289" s="72" t="inlineStr">
        <is>
          <t>Actual</t>
        </is>
      </c>
      <c r="F289" s="73" t="inlineStr">
        <is>
          <t>11475 E 53RD                AV</t>
        </is>
      </c>
      <c r="G289" s="708" t="n">
        <v>44.4</v>
      </c>
      <c r="H289" s="67" t="n">
        <v>9102</v>
      </c>
      <c r="I289" s="69" t="n">
        <v>0</v>
      </c>
      <c r="J289" s="714" t="n">
        <v>168112</v>
      </c>
      <c r="K289" s="715" t="n">
        <v>3.22</v>
      </c>
      <c r="L289" s="74" t="n">
        <v>0.35</v>
      </c>
      <c r="M289" s="76" t="n">
        <v>0.05315392468718096</v>
      </c>
      <c r="N289" s="67" t="n">
        <v>1985</v>
      </c>
      <c r="O289" s="64" t="n">
        <v>9741</v>
      </c>
      <c r="Q289" s="59" t="n">
        <v>20</v>
      </c>
      <c r="R289" s="59" t="n">
        <v>4</v>
      </c>
      <c r="S289" s="59" t="n">
        <v>5</v>
      </c>
      <c r="T289" s="63" t="inlineStr">
        <is>
          <t xml:space="preserve">I2   </t>
        </is>
      </c>
      <c r="U289" s="63" t="n">
        <v>398</v>
      </c>
      <c r="V289" s="714" t="n">
        <v>339340</v>
      </c>
      <c r="W289" s="714" t="n">
        <v>340000</v>
      </c>
      <c r="X289" s="83" t="inlineStr">
        <is>
          <t>2.0:1</t>
        </is>
      </c>
      <c r="Y289" s="714" t="n">
        <v>170000</v>
      </c>
      <c r="Z289" s="63" t="inlineStr">
        <is>
          <t xml:space="preserve">C </t>
        </is>
      </c>
      <c r="AC289" s="67" t="n"/>
      <c r="AD289" s="61" t="inlineStr">
        <is>
          <t xml:space="preserve">M-W MIDWAY DIST CTR </t>
        </is>
      </c>
      <c r="AE289" s="716" t="n"/>
      <c r="AF289" s="716" t="n"/>
      <c r="AG289" s="716" t="n"/>
      <c r="AH289" s="716" t="n"/>
      <c r="AI289" s="716" t="n"/>
      <c r="AJ289" s="716" t="n"/>
      <c r="AK289" s="717" t="inlineStr">
        <is>
          <t>RECONSTRUCTED R.R. &amp; OP. STMTS.; BASE LEASES 2.82/SF;OWNER NET EXP</t>
        </is>
      </c>
      <c r="AL289">
        <f>IF(AND(ISNUMBER($S289),$S289&gt;0,ISNUMBER($K289),ISNUMBER($J289)),($K289*$J289)/$S289,"")</f>
        <v/>
      </c>
      <c r="AM289" s="59" t="inlineStr"/>
    </row>
    <row r="290" ht="14" customHeight="1" s="518">
      <c r="A290" s="62" t="n">
        <v>7</v>
      </c>
      <c r="B290" s="93" t="n">
        <v>281</v>
      </c>
      <c r="C290" s="68" t="inlineStr">
        <is>
          <t>2011Q</t>
        </is>
      </c>
      <c r="D290" s="59" t="inlineStr">
        <is>
          <t xml:space="preserve">01142-03-009-000 </t>
        </is>
      </c>
      <c r="E290" s="72" t="inlineStr">
        <is>
          <t>Actual</t>
        </is>
      </c>
      <c r="F290" s="73" t="inlineStr">
        <is>
          <t>5590   JOLIET              ST</t>
        </is>
      </c>
      <c r="G290" s="708" t="n">
        <v>44.2</v>
      </c>
      <c r="H290" s="67" t="n">
        <v>9102</v>
      </c>
      <c r="I290" s="69" t="n">
        <v>0</v>
      </c>
      <c r="J290" s="714" t="n">
        <v>20230</v>
      </c>
      <c r="K290" s="715" t="n">
        <v>4.715027187345527</v>
      </c>
      <c r="L290" s="74" t="n">
        <v>0</v>
      </c>
      <c r="M290" s="76" t="n">
        <v>0.03669340042983698</v>
      </c>
      <c r="N290" s="67" t="n">
        <v>1984</v>
      </c>
      <c r="O290" s="64" t="n">
        <v>2195</v>
      </c>
      <c r="Q290" s="59" t="n">
        <v>22</v>
      </c>
      <c r="R290" s="59" t="n">
        <v>4</v>
      </c>
      <c r="S290" s="59" t="n">
        <v>1</v>
      </c>
      <c r="T290" s="63" t="inlineStr">
        <is>
          <t xml:space="preserve">I2   </t>
        </is>
      </c>
      <c r="U290" s="63" t="n">
        <v>398</v>
      </c>
      <c r="V290" s="714" t="n">
        <v>45956</v>
      </c>
      <c r="W290" s="714" t="n">
        <v>46000</v>
      </c>
      <c r="X290" s="83" t="inlineStr">
        <is>
          <t>2.3:1</t>
        </is>
      </c>
      <c r="Y290" s="714" t="n">
        <v>20000</v>
      </c>
      <c r="Z290" s="63" t="inlineStr">
        <is>
          <t xml:space="preserve">C </t>
        </is>
      </c>
      <c r="AC290" s="67" t="n"/>
      <c r="AD290" s="61" t="inlineStr">
        <is>
          <t>S-W   SCS SFTY &amp; CON</t>
        </is>
      </c>
      <c r="AE290" s="716" t="n"/>
      <c r="AF290" s="716" t="n"/>
      <c r="AG290" s="716" t="n"/>
      <c r="AH290" s="716" t="n"/>
      <c r="AI290" s="716" t="n"/>
      <c r="AJ290" s="716" t="n"/>
      <c r="AK290" s="717" t="inlineStr">
        <is>
          <t xml:space="preserve">2008 LEASE.                                                       </t>
        </is>
      </c>
      <c r="AL290">
        <f>IF(AND(ISNUMBER($S290),$S290&gt;0,ISNUMBER($K290),ISNUMBER($J290)),($K290*$J290)/$S290,"")</f>
        <v/>
      </c>
      <c r="AM290" s="59" t="inlineStr"/>
    </row>
    <row r="291" ht="14" customHeight="1" s="518">
      <c r="A291" s="62" t="n">
        <v>7</v>
      </c>
      <c r="B291" s="93" t="n">
        <v>282</v>
      </c>
      <c r="C291" s="68" t="inlineStr">
        <is>
          <t>2011Q</t>
        </is>
      </c>
      <c r="D291" s="59" t="inlineStr">
        <is>
          <t xml:space="preserve">01142-03-014-000 </t>
        </is>
      </c>
      <c r="E291" s="72" t="inlineStr">
        <is>
          <t>Actual</t>
        </is>
      </c>
      <c r="F291" s="73" t="inlineStr">
        <is>
          <t>10975 E 55TH                AV</t>
        </is>
      </c>
      <c r="G291" s="708" t="n">
        <v>44.2</v>
      </c>
      <c r="H291" s="67" t="n">
        <v>9102</v>
      </c>
      <c r="I291" s="69" t="n">
        <v>0</v>
      </c>
      <c r="J291" s="714" t="n">
        <v>37012</v>
      </c>
      <c r="K291" s="715" t="n">
        <v>5.714579055441479</v>
      </c>
      <c r="L291" s="74" t="n">
        <v>0.4</v>
      </c>
      <c r="M291" s="76" t="n">
        <v>0.005550617470733967</v>
      </c>
      <c r="N291" s="67" t="n">
        <v>1999</v>
      </c>
      <c r="O291" s="64" t="n">
        <v>4485</v>
      </c>
      <c r="Q291" s="59" t="n">
        <v>25</v>
      </c>
      <c r="R291" s="59" t="n">
        <v>14</v>
      </c>
      <c r="S291" s="59" t="n">
        <v>5</v>
      </c>
      <c r="T291" s="63" t="inlineStr">
        <is>
          <t xml:space="preserve">I2   </t>
        </is>
      </c>
      <c r="U291" s="63" t="n">
        <v>398</v>
      </c>
      <c r="V291" s="714" t="n">
        <v>87567</v>
      </c>
      <c r="W291" s="714" t="n">
        <v>88000</v>
      </c>
      <c r="X291" s="83" t="inlineStr">
        <is>
          <t>2.4:1</t>
        </is>
      </c>
      <c r="Y291" s="714" t="n">
        <v>37000</v>
      </c>
      <c r="Z291" s="63" t="inlineStr">
        <is>
          <t xml:space="preserve">C </t>
        </is>
      </c>
      <c r="AC291" s="67" t="n"/>
      <c r="AD291" s="61" t="inlineStr">
        <is>
          <t xml:space="preserve">M-W                 </t>
        </is>
      </c>
      <c r="AE291" s="716" t="n"/>
      <c r="AF291" s="716" t="n"/>
      <c r="AG291" s="716" t="n"/>
      <c r="AH291" s="716" t="n"/>
      <c r="AI291" s="716" t="n"/>
      <c r="AJ291" s="716" t="n"/>
      <c r="AK291" s="717" t="inlineStr"/>
      <c r="AL291">
        <f>IF(AND(ISNUMBER($S291),$S291&gt;0,ISNUMBER($K291),ISNUMBER($J291)),($K291*$J291)/$S291,"")</f>
        <v/>
      </c>
      <c r="AM291" s="59" t="inlineStr"/>
    </row>
    <row r="292" ht="28" customHeight="1" s="518">
      <c r="A292" s="62" t="n">
        <v>7</v>
      </c>
      <c r="B292" s="93" t="n">
        <v>283</v>
      </c>
      <c r="C292" s="68" t="inlineStr">
        <is>
          <t>2011Q</t>
        </is>
      </c>
      <c r="D292" s="59" t="inlineStr">
        <is>
          <t xml:space="preserve">01143-01-010-000 </t>
        </is>
      </c>
      <c r="E292" s="72" t="inlineStr">
        <is>
          <t>Actual</t>
        </is>
      </c>
      <c r="F292" s="73" t="inlineStr">
        <is>
          <t>10705 E 51ST                AV</t>
        </is>
      </c>
      <c r="G292" s="708" t="n">
        <v>44.2</v>
      </c>
      <c r="H292" s="67" t="n">
        <v>9102</v>
      </c>
      <c r="I292" s="69" t="n">
        <v>0</v>
      </c>
      <c r="J292" s="714" t="n">
        <v>24000</v>
      </c>
      <c r="K292" s="715" t="n">
        <v>3.758333333333333</v>
      </c>
      <c r="L292" s="74" t="n">
        <v>0</v>
      </c>
      <c r="M292" s="76" t="n">
        <v>0.331740576496674</v>
      </c>
      <c r="N292" s="67" t="n">
        <v>1973</v>
      </c>
      <c r="O292" s="64" t="n">
        <v>5467</v>
      </c>
      <c r="Q292" s="59" t="n">
        <v>26</v>
      </c>
      <c r="R292" s="59" t="n">
        <v>10</v>
      </c>
      <c r="S292" s="59" t="n">
        <v>3</v>
      </c>
      <c r="T292" s="63" t="inlineStr">
        <is>
          <t xml:space="preserve">I2   </t>
        </is>
      </c>
      <c r="U292" s="63" t="n">
        <v>398</v>
      </c>
      <c r="V292" s="714" t="n">
        <v>104089</v>
      </c>
      <c r="W292" s="714" t="n">
        <v>100000</v>
      </c>
      <c r="X292" s="83" t="inlineStr">
        <is>
          <t>2.2:1</t>
        </is>
      </c>
      <c r="Y292" s="714" t="n">
        <v>24000</v>
      </c>
      <c r="Z292" s="63" t="inlineStr">
        <is>
          <t xml:space="preserve">C </t>
        </is>
      </c>
      <c r="AC292" s="67" t="n"/>
      <c r="AD292" s="61" t="inlineStr">
        <is>
          <t>M-W DIST &amp; WHOLESALE</t>
        </is>
      </c>
      <c r="AE292" s="716" t="n"/>
      <c r="AF292" s="716" t="n"/>
      <c r="AG292" s="716" t="n"/>
      <c r="AH292" s="716" t="n"/>
      <c r="AI292" s="716" t="n"/>
      <c r="AJ292" s="716" t="n"/>
      <c r="AK292" s="717" t="inlineStr">
        <is>
          <t>ONLY DATA FOR 2009 LEASE OF 50% OF BLDG.ENTERED; EXPENSES PRORATED</t>
        </is>
      </c>
      <c r="AL292">
        <f>IF(AND(ISNUMBER($S292),$S292&gt;0,ISNUMBER($K292),ISNUMBER($J292)),($K292*$J292)/$S292,"")</f>
        <v/>
      </c>
      <c r="AM292" s="59" t="inlineStr"/>
    </row>
    <row r="293" ht="28" customHeight="1" s="518">
      <c r="A293" s="62" t="n">
        <v>7</v>
      </c>
      <c r="B293" s="93" t="n">
        <v>284</v>
      </c>
      <c r="C293" s="68" t="inlineStr">
        <is>
          <t>2011Q</t>
        </is>
      </c>
      <c r="D293" s="59" t="inlineStr">
        <is>
          <t xml:space="preserve">01143-03-023-000 </t>
        </is>
      </c>
      <c r="E293" s="72" t="inlineStr">
        <is>
          <t>Actual</t>
        </is>
      </c>
      <c r="F293" s="73" t="inlineStr">
        <is>
          <t>4860   IRONTON             ST</t>
        </is>
      </c>
      <c r="G293" s="708" t="n">
        <v>44.2</v>
      </c>
      <c r="H293" s="67" t="n">
        <v>9102</v>
      </c>
      <c r="I293" s="69" t="n">
        <v>0</v>
      </c>
      <c r="J293" s="714" t="n">
        <v>71600</v>
      </c>
      <c r="K293" s="715" t="n">
        <v>4.244301675977654</v>
      </c>
      <c r="L293" s="74" t="n">
        <v>0.04</v>
      </c>
      <c r="M293" s="76" t="n">
        <v>0.3800132941966225</v>
      </c>
      <c r="N293" s="67" t="n">
        <v>1973</v>
      </c>
      <c r="O293" s="64" t="n">
        <v>16328</v>
      </c>
      <c r="Q293" s="59" t="n">
        <v>18</v>
      </c>
      <c r="R293" s="59" t="n">
        <v>10</v>
      </c>
      <c r="S293" s="59" t="n">
        <v>21</v>
      </c>
      <c r="T293" s="63" t="inlineStr">
        <is>
          <t xml:space="preserve">I2   </t>
        </is>
      </c>
      <c r="U293" s="63" t="n">
        <v>398</v>
      </c>
      <c r="V293" s="714" t="n">
        <v>146020</v>
      </c>
      <c r="W293" s="714" t="n">
        <v>150000</v>
      </c>
      <c r="X293" s="83" t="inlineStr">
        <is>
          <t>2.0:1</t>
        </is>
      </c>
      <c r="Y293" s="714" t="n">
        <v>72000</v>
      </c>
      <c r="Z293" s="63" t="inlineStr">
        <is>
          <t xml:space="preserve">C </t>
        </is>
      </c>
      <c r="AC293" s="67" t="n"/>
      <c r="AD293" s="61" t="inlineStr">
        <is>
          <t xml:space="preserve">OFFICE / WAREHOUSE  </t>
        </is>
      </c>
      <c r="AE293" s="716" t="n"/>
      <c r="AF293" s="716" t="n"/>
      <c r="AG293" s="716" t="n"/>
      <c r="AH293" s="716" t="n"/>
      <c r="AI293" s="716" t="n"/>
      <c r="AJ293" s="716" t="n"/>
      <c r="AK293" s="717" t="inlineStr">
        <is>
          <t xml:space="preserve">3 BASE PERIOD LEASES MEDIAN $4.13/SF; OWNER BEARS TOO MUCH EXP.   </t>
        </is>
      </c>
      <c r="AL293">
        <f>IF(AND(ISNUMBER($S293),$S293&gt;0,ISNUMBER($K293),ISNUMBER($J293)),($K293*$J293)/$S293,"")</f>
        <v/>
      </c>
      <c r="AM293" s="59" t="inlineStr"/>
    </row>
    <row r="294" ht="28" customHeight="1" s="518">
      <c r="A294" s="62" t="n">
        <v>7</v>
      </c>
      <c r="B294" s="93" t="n">
        <v>285</v>
      </c>
      <c r="C294" s="68" t="inlineStr">
        <is>
          <t>2011Q</t>
        </is>
      </c>
      <c r="D294" s="59" t="inlineStr">
        <is>
          <t xml:space="preserve">01143-03-024-000 </t>
        </is>
      </c>
      <c r="E294" s="72" t="inlineStr">
        <is>
          <t>Actual</t>
        </is>
      </c>
      <c r="F294" s="73" t="inlineStr">
        <is>
          <t>4890   IRONTON             ST</t>
        </is>
      </c>
      <c r="G294" s="708" t="n">
        <v>44.2</v>
      </c>
      <c r="H294" s="67" t="n">
        <v>9102</v>
      </c>
      <c r="I294" s="69" t="n">
        <v>0</v>
      </c>
      <c r="J294" s="714" t="n">
        <v>57300</v>
      </c>
      <c r="K294" s="715" t="n">
        <v>4.839493891797557</v>
      </c>
      <c r="L294" s="74" t="n">
        <v>0.08</v>
      </c>
      <c r="M294" s="76" t="n">
        <v>0.4584227361406115</v>
      </c>
      <c r="N294" s="67" t="n">
        <v>1973</v>
      </c>
      <c r="O294" s="64" t="n">
        <v>27965</v>
      </c>
      <c r="Q294" s="59" t="n">
        <v>14</v>
      </c>
      <c r="R294" s="59" t="n">
        <v>10</v>
      </c>
      <c r="S294" s="59" t="n">
        <v>7</v>
      </c>
      <c r="T294" s="63" t="inlineStr">
        <is>
          <t xml:space="preserve">I2   </t>
        </is>
      </c>
      <c r="U294" s="63" t="n">
        <v>397</v>
      </c>
      <c r="V294" s="714" t="n">
        <v>169147</v>
      </c>
      <c r="W294" s="714" t="n">
        <v>170000</v>
      </c>
      <c r="X294" s="83" t="inlineStr">
        <is>
          <t>3.0:1</t>
        </is>
      </c>
      <c r="Y294" s="714" t="n">
        <v>57000</v>
      </c>
      <c r="Z294" s="63" t="inlineStr">
        <is>
          <t xml:space="preserve">C </t>
        </is>
      </c>
      <c r="AC294" s="67" t="n"/>
      <c r="AD294" s="61" t="inlineStr">
        <is>
          <t xml:space="preserve">OFC/WHSE MULIT-TEN  </t>
        </is>
      </c>
      <c r="AE294" s="716" t="n"/>
      <c r="AF294" s="716" t="n"/>
      <c r="AG294" s="716" t="n"/>
      <c r="AH294" s="716" t="n"/>
      <c r="AI294" s="716" t="n"/>
      <c r="AJ294" s="716" t="n"/>
      <c r="AK294" s="717" t="inlineStr">
        <is>
          <t xml:space="preserve">4 BASE PERIOD LEASES MEDIAN $4.66/SF; NOT ENOUGH EXP RECOVERY.    </t>
        </is>
      </c>
      <c r="AL294">
        <f>IF(AND(ISNUMBER($S294),$S294&gt;0,ISNUMBER($K294),ISNUMBER($J294)),($K294*$J294)/$S294,"")</f>
        <v/>
      </c>
      <c r="AM294" s="59" t="inlineStr"/>
    </row>
    <row r="295" ht="14" customHeight="1" s="518">
      <c r="A295" s="62" t="n">
        <v>7</v>
      </c>
      <c r="B295" s="93" t="n">
        <v>286</v>
      </c>
      <c r="C295" s="68" t="inlineStr">
        <is>
          <t>2011Q</t>
        </is>
      </c>
      <c r="D295" s="59" t="inlineStr">
        <is>
          <t xml:space="preserve">01143-04-009-000 </t>
        </is>
      </c>
      <c r="E295" s="72" t="inlineStr">
        <is>
          <t>Actual</t>
        </is>
      </c>
      <c r="F295" s="73" t="inlineStr">
        <is>
          <t>4949   IRONTON             ST</t>
        </is>
      </c>
      <c r="G295" s="708" t="n">
        <v>44.2</v>
      </c>
      <c r="H295" s="67" t="n">
        <v>9102</v>
      </c>
      <c r="I295" s="69" t="n">
        <v>0</v>
      </c>
      <c r="J295" s="714" t="n">
        <v>9750</v>
      </c>
      <c r="K295" s="715" t="n">
        <v>10.44923076923077</v>
      </c>
      <c r="L295" s="74" t="n">
        <v>0</v>
      </c>
      <c r="M295" s="76" t="n">
        <v>0.003268551236749117</v>
      </c>
      <c r="N295" s="67" t="n">
        <v>1969</v>
      </c>
      <c r="O295" s="64" t="n">
        <v>4332</v>
      </c>
      <c r="Q295" s="59" t="n">
        <v>14</v>
      </c>
      <c r="R295" s="59" t="n">
        <v>3</v>
      </c>
      <c r="S295" s="59" t="n">
        <v>1</v>
      </c>
      <c r="T295" s="63" t="inlineStr">
        <is>
          <t xml:space="preserve">I2   </t>
        </is>
      </c>
      <c r="U295" s="63" t="n">
        <v>398</v>
      </c>
      <c r="V295" s="714" t="n">
        <v>27610</v>
      </c>
      <c r="W295" s="714" t="n">
        <v>28000</v>
      </c>
      <c r="X295" s="83" t="inlineStr">
        <is>
          <t>2.8:1</t>
        </is>
      </c>
      <c r="Y295" s="714" t="n">
        <v>10000</v>
      </c>
      <c r="Z295" s="63" t="inlineStr">
        <is>
          <t xml:space="preserve">C </t>
        </is>
      </c>
      <c r="AC295" s="67" t="n"/>
      <c r="AD295" s="61" t="inlineStr"/>
      <c r="AE295" s="716" t="n"/>
      <c r="AF295" s="716" t="n"/>
      <c r="AG295" s="716" t="n"/>
      <c r="AH295" s="716" t="n"/>
      <c r="AI295" s="716" t="n"/>
      <c r="AJ295" s="716" t="n"/>
      <c r="AK295" s="717" t="inlineStr"/>
      <c r="AL295">
        <f>IF(AND(ISNUMBER($S295),$S295&gt;0,ISNUMBER($K295),ISNUMBER($J295)),($K295*$J295)/$S295,"")</f>
        <v/>
      </c>
      <c r="AM295" s="59" t="inlineStr"/>
    </row>
    <row r="296" ht="14" customHeight="1" s="518">
      <c r="A296" s="62" t="n">
        <v>7</v>
      </c>
      <c r="B296" s="93" t="n">
        <v>287</v>
      </c>
      <c r="C296" s="68" t="inlineStr">
        <is>
          <t>2011Q</t>
        </is>
      </c>
      <c r="D296" s="59" t="inlineStr">
        <is>
          <t xml:space="preserve">01143-05-018-000 </t>
        </is>
      </c>
      <c r="E296" s="72" t="inlineStr">
        <is>
          <t>Actual</t>
        </is>
      </c>
      <c r="F296" s="73" t="inlineStr">
        <is>
          <t>11055 E 51ST                AV</t>
        </is>
      </c>
      <c r="G296" s="67" t="n">
        <v>44.1</v>
      </c>
      <c r="H296" s="67" t="n">
        <v>9102</v>
      </c>
      <c r="I296" s="69" t="n">
        <v>0</v>
      </c>
      <c r="J296" s="714" t="n">
        <v>53947</v>
      </c>
      <c r="K296" s="715" t="n">
        <v>5.071644391717797</v>
      </c>
      <c r="L296" s="74" t="n">
        <v>0</v>
      </c>
      <c r="M296" s="76" t="n">
        <v>0</v>
      </c>
      <c r="N296" s="67" t="n">
        <v>1999</v>
      </c>
      <c r="O296" s="64" t="n">
        <v>2507</v>
      </c>
      <c r="Q296" s="59" t="n">
        <v>20</v>
      </c>
      <c r="R296" s="59" t="n">
        <v>14</v>
      </c>
      <c r="S296" s="59" t="n">
        <v>1</v>
      </c>
      <c r="T296" s="63" t="inlineStr">
        <is>
          <t xml:space="preserve">I2   </t>
        </is>
      </c>
      <c r="U296" s="63" t="n">
        <v>398</v>
      </c>
      <c r="V296" s="714" t="n">
        <v>74836</v>
      </c>
      <c r="W296" s="714" t="n">
        <v>75000</v>
      </c>
      <c r="X296" s="83" t="inlineStr">
        <is>
          <t>1.4:1</t>
        </is>
      </c>
      <c r="Y296" s="714" t="n">
        <v>54000</v>
      </c>
      <c r="Z296" s="63" t="inlineStr">
        <is>
          <t xml:space="preserve">C </t>
        </is>
      </c>
      <c r="AC296" s="67" t="n"/>
      <c r="AD296" s="61" t="inlineStr">
        <is>
          <t xml:space="preserve">DISTRIBUTION WHSE   </t>
        </is>
      </c>
      <c r="AE296" s="716" t="n"/>
      <c r="AF296" s="716" t="n"/>
      <c r="AG296" s="716" t="n"/>
      <c r="AH296" s="716" t="n"/>
      <c r="AI296" s="716" t="n"/>
      <c r="AJ296" s="716" t="n"/>
      <c r="AK296" s="717" t="inlineStr"/>
      <c r="AL296">
        <f>IF(AND(ISNUMBER($S296),$S296&gt;0,ISNUMBER($K296),ISNUMBER($J296)),($K296*$J296)/$S296,"")</f>
        <v/>
      </c>
      <c r="AM296" s="59" t="inlineStr"/>
    </row>
    <row r="297" ht="14" customHeight="1" s="518">
      <c r="A297" s="62" t="n">
        <v>7</v>
      </c>
      <c r="B297" s="93" t="n">
        <v>288</v>
      </c>
      <c r="C297" s="68" t="inlineStr">
        <is>
          <t>2011Q</t>
        </is>
      </c>
      <c r="D297" s="59" t="inlineStr">
        <is>
          <t xml:space="preserve">01144-01-017-000 </t>
        </is>
      </c>
      <c r="E297" s="72" t="inlineStr">
        <is>
          <t>Actual</t>
        </is>
      </c>
      <c r="F297" s="73" t="inlineStr">
        <is>
          <t>11185 E 51ST                AV</t>
        </is>
      </c>
      <c r="G297" s="708" t="n">
        <v>44.2</v>
      </c>
      <c r="H297" s="67" t="n">
        <v>9102</v>
      </c>
      <c r="I297" s="69" t="n">
        <v>0</v>
      </c>
      <c r="J297" s="714" t="n">
        <v>3321</v>
      </c>
      <c r="K297" s="715" t="n">
        <v>4.516711833785005</v>
      </c>
      <c r="L297" s="74" t="n">
        <v>0</v>
      </c>
      <c r="M297" s="76" t="n">
        <v>0</v>
      </c>
      <c r="N297" s="67" t="n">
        <v>1973</v>
      </c>
      <c r="O297" s="64" t="n">
        <v>820</v>
      </c>
      <c r="Q297" s="59" t="n">
        <v>16</v>
      </c>
      <c r="R297" s="59" t="n">
        <v>7</v>
      </c>
      <c r="S297" s="59" t="n">
        <v>1</v>
      </c>
      <c r="T297" s="63" t="inlineStr">
        <is>
          <t xml:space="preserve">I2   </t>
        </is>
      </c>
      <c r="U297" s="63" t="n">
        <v>398</v>
      </c>
      <c r="V297" s="714" t="n">
        <v>18097</v>
      </c>
      <c r="W297" s="714" t="n">
        <v>18000</v>
      </c>
      <c r="X297" s="83" t="inlineStr">
        <is>
          <t>5.4:1</t>
        </is>
      </c>
      <c r="Y297" s="714" t="n">
        <v>3000</v>
      </c>
      <c r="Z297" s="63" t="inlineStr">
        <is>
          <t xml:space="preserve">C </t>
        </is>
      </c>
      <c r="AC297" s="67" t="n"/>
      <c r="AD297" s="61" t="inlineStr">
        <is>
          <t>S-D-CONSOL ENGINEERG</t>
        </is>
      </c>
      <c r="AE297" s="716" t="n"/>
      <c r="AF297" s="716" t="n"/>
      <c r="AG297" s="716" t="n"/>
      <c r="AH297" s="716" t="n"/>
      <c r="AI297" s="716" t="n"/>
      <c r="AJ297" s="716" t="n"/>
      <c r="AK297" s="717" t="inlineStr"/>
      <c r="AL297">
        <f>IF(AND(ISNUMBER($S297),$S297&gt;0,ISNUMBER($K297),ISNUMBER($J297)),($K297*$J297)/$S297,"")</f>
        <v/>
      </c>
      <c r="AM297" s="59" t="inlineStr"/>
    </row>
    <row r="298" ht="28" customHeight="1" s="518">
      <c r="A298" s="62" t="n">
        <v>7</v>
      </c>
      <c r="B298" s="93" t="n">
        <v>289</v>
      </c>
      <c r="C298" s="68" t="inlineStr">
        <is>
          <t>2011Q</t>
        </is>
      </c>
      <c r="D298" s="59" t="inlineStr">
        <is>
          <t xml:space="preserve">01144-02-008-000 </t>
        </is>
      </c>
      <c r="E298" s="72" t="inlineStr">
        <is>
          <t>Actual</t>
        </is>
      </c>
      <c r="F298" s="73" t="inlineStr">
        <is>
          <t>5055   LIMA                ST</t>
        </is>
      </c>
      <c r="G298" s="708" t="n">
        <v>44.2</v>
      </c>
      <c r="H298" s="67" t="n">
        <v>9102</v>
      </c>
      <c r="I298" s="69" t="n">
        <v>0</v>
      </c>
      <c r="J298" s="714" t="n">
        <v>39832</v>
      </c>
      <c r="K298" s="715" t="n">
        <v>3.313918457521591</v>
      </c>
      <c r="L298" s="74" t="n">
        <v>0</v>
      </c>
      <c r="M298" s="76" t="n">
        <v>0.1249924242424242</v>
      </c>
      <c r="N298" s="67" t="n">
        <v>1978</v>
      </c>
      <c r="O298" s="64" t="n">
        <v>333</v>
      </c>
      <c r="P298" s="64" t="n">
        <v>3874</v>
      </c>
      <c r="Q298" s="59" t="n">
        <v>26</v>
      </c>
      <c r="R298" s="59" t="n">
        <v>10</v>
      </c>
      <c r="S298" s="59" t="n">
        <v>1</v>
      </c>
      <c r="T298" s="63" t="inlineStr">
        <is>
          <t xml:space="preserve">I2   </t>
        </is>
      </c>
      <c r="U298" s="63" t="n">
        <v>398</v>
      </c>
      <c r="V298" s="714" t="n">
        <v>77488</v>
      </c>
      <c r="W298" s="714" t="n">
        <v>77000</v>
      </c>
      <c r="X298" s="83" t="inlineStr">
        <is>
          <t>1.9:1</t>
        </is>
      </c>
      <c r="Y298" s="714" t="n">
        <v>40000</v>
      </c>
      <c r="Z298" s="63" t="inlineStr">
        <is>
          <t xml:space="preserve">C </t>
        </is>
      </c>
      <c r="AC298" s="67" t="n"/>
      <c r="AD298" s="61" t="inlineStr">
        <is>
          <t xml:space="preserve">S-W                 </t>
        </is>
      </c>
      <c r="AE298" s="716" t="n"/>
      <c r="AF298" s="716" t="n"/>
      <c r="AG298" s="716" t="n"/>
      <c r="AH298" s="716" t="n"/>
      <c r="AI298" s="716" t="n"/>
      <c r="AJ298" s="716" t="n"/>
      <c r="AK298" s="717" t="inlineStr">
        <is>
          <t xml:space="preserve">EXPENSES HIGH FOR SINGLE-TEN WHSE.; S/B MORE PAID BY TENANT.      </t>
        </is>
      </c>
      <c r="AL298">
        <f>IF(AND(ISNUMBER($S298),$S298&gt;0,ISNUMBER($K298),ISNUMBER($J298)),($K298*$J298)/$S298,"")</f>
        <v/>
      </c>
      <c r="AM298" s="59" t="inlineStr"/>
    </row>
    <row r="299" ht="14" customHeight="1" s="518">
      <c r="A299" s="62" t="n">
        <v>7</v>
      </c>
      <c r="B299" s="93" t="n">
        <v>290</v>
      </c>
      <c r="C299" s="68" t="inlineStr">
        <is>
          <t>2011Q</t>
        </is>
      </c>
      <c r="D299" s="59" t="inlineStr">
        <is>
          <t xml:space="preserve">01144-05-007-000 </t>
        </is>
      </c>
      <c r="E299" s="72" t="inlineStr">
        <is>
          <t>Actual</t>
        </is>
      </c>
      <c r="F299" s="73" t="inlineStr">
        <is>
          <t>5001   OAKLAND             ST</t>
        </is>
      </c>
      <c r="G299" s="708" t="n">
        <v>44.2</v>
      </c>
      <c r="H299" s="67" t="n">
        <v>9102</v>
      </c>
      <c r="I299" s="69" t="n">
        <v>0</v>
      </c>
      <c r="J299" s="714" t="n">
        <v>9800</v>
      </c>
      <c r="K299" s="715" t="n">
        <v>8.193775510204082</v>
      </c>
      <c r="L299" s="74" t="n">
        <v>0</v>
      </c>
      <c r="M299" s="76" t="n">
        <v>0.006226727605574167</v>
      </c>
      <c r="N299" s="67" t="n">
        <v>2004</v>
      </c>
      <c r="O299" s="64" t="n">
        <v>2520</v>
      </c>
      <c r="Q299" s="59" t="n">
        <v>22</v>
      </c>
      <c r="R299" s="59" t="n">
        <v>8</v>
      </c>
      <c r="S299" s="59" t="n">
        <v>1</v>
      </c>
      <c r="T299" s="63" t="inlineStr">
        <is>
          <t xml:space="preserve">I1   </t>
        </is>
      </c>
      <c r="U299" s="63" t="n">
        <v>398</v>
      </c>
      <c r="V299" s="714" t="n">
        <v>42336</v>
      </c>
      <c r="W299" s="714" t="n">
        <v>42000</v>
      </c>
      <c r="X299" s="83" t="inlineStr">
        <is>
          <t>4.3:1</t>
        </is>
      </c>
      <c r="Y299" s="714" t="n">
        <v>10000</v>
      </c>
      <c r="Z299" s="63" t="inlineStr">
        <is>
          <t xml:space="preserve">C </t>
        </is>
      </c>
      <c r="AC299" s="67" t="n"/>
      <c r="AD299" s="61" t="inlineStr">
        <is>
          <t>BAKER AUCTION &amp; ESTA</t>
        </is>
      </c>
      <c r="AE299" s="716" t="n"/>
      <c r="AF299" s="716" t="n"/>
      <c r="AG299" s="716" t="n"/>
      <c r="AH299" s="716" t="n"/>
      <c r="AI299" s="716" t="n"/>
      <c r="AJ299" s="716" t="n"/>
      <c r="AK299" s="717" t="inlineStr"/>
      <c r="AL299">
        <f>IF(AND(ISNUMBER($S299),$S299&gt;0,ISNUMBER($K299),ISNUMBER($J299)),($K299*$J299)/$S299,"")</f>
        <v/>
      </c>
      <c r="AM299" s="59" t="inlineStr"/>
    </row>
    <row r="300" ht="14" customHeight="1" s="518">
      <c r="A300" s="62" t="n">
        <v>7</v>
      </c>
      <c r="B300" s="93" t="n">
        <v>291</v>
      </c>
      <c r="C300" s="68" t="inlineStr">
        <is>
          <t>2011Q</t>
        </is>
      </c>
      <c r="D300" s="59" t="inlineStr">
        <is>
          <t xml:space="preserve">01144-06-010-000 </t>
        </is>
      </c>
      <c r="E300" s="72" t="inlineStr">
        <is>
          <t>Actual</t>
        </is>
      </c>
      <c r="F300" s="73" t="inlineStr">
        <is>
          <t>4990   OAKLAND             ST</t>
        </is>
      </c>
      <c r="G300" s="67" t="n">
        <v>44.1</v>
      </c>
      <c r="H300" s="67" t="n">
        <v>9102</v>
      </c>
      <c r="I300" s="69" t="n">
        <v>0</v>
      </c>
      <c r="J300" s="714" t="n">
        <v>27238</v>
      </c>
      <c r="K300" s="715" t="n">
        <v>5.113297598942654</v>
      </c>
      <c r="L300" s="74" t="n">
        <v>0.12</v>
      </c>
      <c r="M300" s="76" t="n">
        <v>0.05743990350096212</v>
      </c>
      <c r="N300" s="67" t="n">
        <v>1978</v>
      </c>
      <c r="O300" s="64" t="n">
        <v>4925</v>
      </c>
      <c r="Q300" s="59" t="n">
        <v>21</v>
      </c>
      <c r="R300" s="59" t="n">
        <v>10</v>
      </c>
      <c r="S300" s="59" t="n">
        <v>1</v>
      </c>
      <c r="T300" s="63" t="inlineStr">
        <is>
          <t xml:space="preserve">I1   </t>
        </is>
      </c>
      <c r="U300" s="63" t="n">
        <v>398</v>
      </c>
      <c r="V300" s="714" t="n">
        <v>51811</v>
      </c>
      <c r="W300" s="714" t="n">
        <v>52000</v>
      </c>
      <c r="X300" s="83" t="inlineStr">
        <is>
          <t>1.9:1</t>
        </is>
      </c>
      <c r="Y300" s="714" t="n">
        <v>27000</v>
      </c>
      <c r="Z300" s="63" t="inlineStr">
        <is>
          <t xml:space="preserve">C </t>
        </is>
      </c>
      <c r="AC300" s="67" t="n"/>
      <c r="AD300" s="61" t="inlineStr">
        <is>
          <t xml:space="preserve">ETD DIST            </t>
        </is>
      </c>
      <c r="AE300" s="716" t="n"/>
      <c r="AF300" s="716" t="n"/>
      <c r="AG300" s="716" t="n"/>
      <c r="AH300" s="716" t="n"/>
      <c r="AI300" s="716" t="n"/>
      <c r="AJ300" s="716" t="n"/>
      <c r="AK300" s="717" t="inlineStr"/>
      <c r="AL300">
        <f>IF(AND(ISNUMBER($S300),$S300&gt;0,ISNUMBER($K300),ISNUMBER($J300)),($K300*$J300)/$S300,"")</f>
        <v/>
      </c>
      <c r="AM300" s="716" t="n"/>
      <c r="AN300" s="716" t="n"/>
      <c r="AO300" s="716" t="n"/>
      <c r="AP300" s="716" t="n"/>
    </row>
    <row r="301" ht="14" customHeight="1" s="518">
      <c r="A301" s="62" t="n">
        <v>7</v>
      </c>
      <c r="B301" s="93" t="n">
        <v>292</v>
      </c>
      <c r="C301" s="68" t="inlineStr">
        <is>
          <t>2011Q</t>
        </is>
      </c>
      <c r="D301" s="59" t="inlineStr">
        <is>
          <t xml:space="preserve">01144-06-013-000 </t>
        </is>
      </c>
      <c r="E301" s="72" t="inlineStr">
        <is>
          <t>Actual</t>
        </is>
      </c>
      <c r="F301" s="73" t="inlineStr">
        <is>
          <t>4995   PARIS               ST</t>
        </is>
      </c>
      <c r="G301" s="708" t="n">
        <v>47.2</v>
      </c>
      <c r="H301" s="67" t="n">
        <v>9102</v>
      </c>
      <c r="I301" s="69" t="n">
        <v>0</v>
      </c>
      <c r="J301" s="714" t="n">
        <v>10143</v>
      </c>
      <c r="K301" s="715" t="n">
        <v>9.331558710440698</v>
      </c>
      <c r="L301" s="74" t="n">
        <v>0</v>
      </c>
      <c r="M301" s="76" t="n">
        <v>0.006951928156365557</v>
      </c>
      <c r="N301" s="67" t="n">
        <v>1979</v>
      </c>
      <c r="O301" s="64" t="n">
        <v>1451</v>
      </c>
      <c r="Q301" s="59" t="n">
        <v>20</v>
      </c>
      <c r="R301" s="59" t="n">
        <v>10</v>
      </c>
      <c r="S301" s="59" t="n">
        <v>1</v>
      </c>
      <c r="T301" s="63" t="inlineStr">
        <is>
          <t xml:space="preserve">I1   </t>
        </is>
      </c>
      <c r="U301" s="63" t="n">
        <v>401</v>
      </c>
      <c r="V301" s="714" t="n">
        <v>30504</v>
      </c>
      <c r="W301" s="714" t="n">
        <v>31000</v>
      </c>
      <c r="X301" s="83" t="inlineStr">
        <is>
          <t>3.0:1</t>
        </is>
      </c>
      <c r="Y301" s="714" t="n">
        <v>10000</v>
      </c>
      <c r="Z301" s="63" t="inlineStr">
        <is>
          <t xml:space="preserve">C </t>
        </is>
      </c>
      <c r="AC301" s="67" t="n"/>
      <c r="AD301" s="61" t="inlineStr"/>
      <c r="AE301" s="716" t="n"/>
      <c r="AF301" s="716" t="n"/>
      <c r="AG301" s="716" t="n"/>
      <c r="AH301" s="716" t="n"/>
      <c r="AI301" s="716" t="n"/>
      <c r="AJ301" s="716" t="n"/>
      <c r="AK301" s="717" t="inlineStr"/>
      <c r="AL301">
        <f>IF(AND(ISNUMBER($S301),$S301&gt;0,ISNUMBER($K301),ISNUMBER($J301)),($K301*$J301)/$S301,"")</f>
        <v/>
      </c>
      <c r="AM301" s="59" t="inlineStr"/>
    </row>
    <row r="302" ht="14" customHeight="1" s="518">
      <c r="A302" s="62" t="n">
        <v>7</v>
      </c>
      <c r="B302" s="93" t="n">
        <v>293</v>
      </c>
      <c r="C302" s="68" t="inlineStr">
        <is>
          <t>2011Q</t>
        </is>
      </c>
      <c r="D302" s="59" t="inlineStr">
        <is>
          <t xml:space="preserve">01144-06-016-000 </t>
        </is>
      </c>
      <c r="E302" s="72" t="inlineStr">
        <is>
          <t>Actual</t>
        </is>
      </c>
      <c r="F302" s="73" t="inlineStr">
        <is>
          <t>5015   PARIS               ST</t>
        </is>
      </c>
      <c r="G302" s="708" t="n">
        <v>44.2</v>
      </c>
      <c r="H302" s="67" t="n">
        <v>9102</v>
      </c>
      <c r="I302" s="69" t="n">
        <v>0</v>
      </c>
      <c r="J302" s="714" t="n">
        <v>16328</v>
      </c>
      <c r="K302" s="715" t="n">
        <v>4.991425771680548</v>
      </c>
      <c r="L302" s="74" t="n">
        <v>0</v>
      </c>
      <c r="M302" s="76" t="n">
        <v>0.143558282208589</v>
      </c>
      <c r="N302" s="67" t="n">
        <v>1979</v>
      </c>
      <c r="O302" s="64" t="n">
        <v>2250</v>
      </c>
      <c r="Q302" s="59" t="n">
        <v>23</v>
      </c>
      <c r="R302" s="59" t="n">
        <v>10</v>
      </c>
      <c r="S302" s="59" t="n">
        <v>1</v>
      </c>
      <c r="T302" s="63" t="inlineStr">
        <is>
          <t xml:space="preserve">I1   </t>
        </is>
      </c>
      <c r="U302" s="63" t="n">
        <v>398</v>
      </c>
      <c r="V302" s="714" t="n">
        <v>40424</v>
      </c>
      <c r="W302" s="714" t="n">
        <v>40000</v>
      </c>
      <c r="X302" s="83" t="inlineStr">
        <is>
          <t>2.5:1</t>
        </is>
      </c>
      <c r="Y302" s="714" t="n">
        <v>16000</v>
      </c>
      <c r="Z302" s="63" t="inlineStr">
        <is>
          <t xml:space="preserve">C </t>
        </is>
      </c>
      <c r="AC302" s="67" t="n"/>
      <c r="AD302" s="61" t="inlineStr"/>
      <c r="AE302" s="716" t="n"/>
      <c r="AF302" s="716" t="n"/>
      <c r="AG302" s="716" t="n"/>
      <c r="AH302" s="716" t="n"/>
      <c r="AI302" s="716" t="n"/>
      <c r="AJ302" s="716" t="n"/>
      <c r="AK302" s="717" t="inlineStr"/>
      <c r="AL302">
        <f>IF(AND(ISNUMBER($S302),$S302&gt;0,ISNUMBER($K302),ISNUMBER($J302)),($K302*$J302)/$S302,"")</f>
        <v/>
      </c>
      <c r="AM302" s="59" t="inlineStr"/>
    </row>
    <row r="303">
      <c r="A303" s="62" t="n">
        <v>7</v>
      </c>
      <c r="B303" s="93" t="n">
        <v>294</v>
      </c>
      <c r="C303" s="92" t="inlineStr">
        <is>
          <t>2011W</t>
        </is>
      </c>
      <c r="D303" s="93" t="inlineStr">
        <is>
          <t>01144-07-012-000</t>
        </is>
      </c>
      <c r="E303" s="92" t="inlineStr">
        <is>
          <t>Actual</t>
        </is>
      </c>
      <c r="F303" s="93" t="inlineStr">
        <is>
          <t>4800 Nome Street</t>
        </is>
      </c>
      <c r="G303" s="94" t="inlineStr">
        <is>
          <t>44.2</t>
        </is>
      </c>
      <c r="H303" s="93" t="n">
        <v>9102</v>
      </c>
      <c r="I303" s="92" t="n">
        <v>0</v>
      </c>
      <c r="J303" s="95" t="n">
        <v>38194</v>
      </c>
      <c r="K303" s="718" t="n">
        <v>2.94</v>
      </c>
      <c r="L303" s="97" t="n">
        <v>0</v>
      </c>
      <c r="M303" s="97" t="n">
        <v>0</v>
      </c>
      <c r="N303" s="93" t="n">
        <v>1974</v>
      </c>
      <c r="O303" s="92" t="n">
        <v>2460</v>
      </c>
      <c r="P303" s="59" t="n">
        <v>2772</v>
      </c>
      <c r="Q303" s="59" t="n">
        <v>24</v>
      </c>
      <c r="R303" s="59" t="n">
        <v>10</v>
      </c>
      <c r="S303" s="59" t="n">
        <v>1</v>
      </c>
      <c r="T303" s="93" t="inlineStr">
        <is>
          <t xml:space="preserve">I1   </t>
        </is>
      </c>
      <c r="U303" s="93" t="n">
        <v>398</v>
      </c>
      <c r="V303" s="95" t="n">
        <v>67926</v>
      </c>
      <c r="W303" s="95" t="n">
        <v>68000</v>
      </c>
      <c r="X303" s="98" t="inlineStr">
        <is>
          <t>1.8:1</t>
        </is>
      </c>
      <c r="Y303" s="95" t="n">
        <v>38000</v>
      </c>
      <c r="Z303" s="93" t="inlineStr">
        <is>
          <t>C</t>
        </is>
      </c>
      <c r="AA303" s="93" t="n">
        <v>3</v>
      </c>
      <c r="AB303" s="93" t="n">
        <v>3</v>
      </c>
      <c r="AC303" s="93" t="n">
        <v>33</v>
      </c>
      <c r="AD303" s="93" t="n"/>
      <c r="AE303" s="719" t="n"/>
      <c r="AF303" s="720" t="n"/>
      <c r="AG303" s="720" t="n"/>
      <c r="AH303" s="719" t="n"/>
      <c r="AI303" s="720" t="n"/>
      <c r="AJ303" s="719" t="n"/>
      <c r="AK303" s="716" t="n"/>
      <c r="AL303">
        <f>IF(AND(ISNUMBER($S303),$S303&gt;0,ISNUMBER($K303),ISNUMBER($J303)),($K303*$J303)/$S303,"")</f>
        <v/>
      </c>
      <c r="AM303" s="59" t="inlineStr"/>
    </row>
    <row r="304" ht="14" customHeight="1" s="518">
      <c r="A304" s="62" t="n">
        <v>7</v>
      </c>
      <c r="B304" s="93" t="n">
        <v>295</v>
      </c>
      <c r="C304" s="68" t="inlineStr">
        <is>
          <t>2011Q</t>
        </is>
      </c>
      <c r="D304" s="59" t="inlineStr">
        <is>
          <t xml:space="preserve">01153-03-007-000 </t>
        </is>
      </c>
      <c r="E304" s="72" t="inlineStr">
        <is>
          <t>Actual</t>
        </is>
      </c>
      <c r="F304" s="73" t="inlineStr">
        <is>
          <t>9355   NORTHFIELD          BV</t>
        </is>
      </c>
      <c r="G304" s="708" t="inlineStr">
        <is>
          <t>44.M</t>
        </is>
      </c>
      <c r="H304" s="67" t="n">
        <v>9103</v>
      </c>
      <c r="I304" s="69" t="n">
        <v>0</v>
      </c>
      <c r="J304" s="714" t="n">
        <v>22183</v>
      </c>
      <c r="K304" s="715" t="n">
        <v>10.27814091872154</v>
      </c>
      <c r="L304" s="74" t="n">
        <v>0</v>
      </c>
      <c r="M304" s="76" t="n">
        <v>0</v>
      </c>
      <c r="N304" s="67" t="n">
        <v>2008</v>
      </c>
      <c r="O304" s="64" t="n">
        <v>6965</v>
      </c>
      <c r="P304" s="64" t="n">
        <v>6150</v>
      </c>
      <c r="Q304" s="59" t="n">
        <v>32</v>
      </c>
      <c r="R304" s="59" t="n">
        <v>9</v>
      </c>
      <c r="S304" s="59" t="n">
        <v>1</v>
      </c>
      <c r="T304" s="63" t="inlineStr">
        <is>
          <t>CMU30</t>
        </is>
      </c>
      <c r="U304" s="63" t="n">
        <v>397</v>
      </c>
      <c r="V304" s="714" t="n">
        <v>45344</v>
      </c>
      <c r="W304" s="714" t="n">
        <v>45000</v>
      </c>
      <c r="X304" s="83" t="inlineStr">
        <is>
          <t>2.0:1</t>
        </is>
      </c>
      <c r="Y304" s="714" t="n">
        <v>22000</v>
      </c>
      <c r="Z304" s="63" t="inlineStr">
        <is>
          <t xml:space="preserve">C </t>
        </is>
      </c>
      <c r="AC304" s="67" t="n"/>
      <c r="AD304" s="61" t="inlineStr"/>
      <c r="AE304" s="716" t="n"/>
      <c r="AF304" s="716" t="n"/>
      <c r="AG304" s="716" t="n"/>
      <c r="AH304" s="716" t="n"/>
      <c r="AI304" s="716" t="n"/>
      <c r="AJ304" s="716" t="n"/>
      <c r="AK304" s="717" t="inlineStr"/>
      <c r="AL304">
        <f>IF(AND(ISNUMBER($S304),$S304&gt;0,ISNUMBER($K304),ISNUMBER($J304)),($K304*$J304)/$S304,"")</f>
        <v/>
      </c>
      <c r="AM304" s="59" t="inlineStr"/>
    </row>
    <row r="305" ht="14" customHeight="1" s="518">
      <c r="A305" s="62" t="n">
        <v>7</v>
      </c>
      <c r="B305" s="93" t="n">
        <v>296</v>
      </c>
      <c r="C305" s="68" t="inlineStr">
        <is>
          <t>2011Q</t>
        </is>
      </c>
      <c r="D305" s="59" t="inlineStr">
        <is>
          <t xml:space="preserve">01154-03-004-000 </t>
        </is>
      </c>
      <c r="E305" s="72" t="inlineStr">
        <is>
          <t>Actual</t>
        </is>
      </c>
      <c r="F305" s="73" t="inlineStr">
        <is>
          <t>10275 E 47TH                AV</t>
        </is>
      </c>
      <c r="G305" s="708" t="n">
        <v>44.2</v>
      </c>
      <c r="H305" s="67" t="n">
        <v>9103</v>
      </c>
      <c r="I305" s="69" t="n">
        <v>0</v>
      </c>
      <c r="J305" s="714" t="n">
        <v>50533</v>
      </c>
      <c r="K305" s="715" t="n">
        <v>5.791403637227159</v>
      </c>
      <c r="L305" s="74" t="n">
        <v>0</v>
      </c>
      <c r="M305" s="76" t="n">
        <v>0.01316899988724001</v>
      </c>
      <c r="N305" s="67" t="n">
        <v>1998</v>
      </c>
      <c r="O305" s="64" t="n">
        <v>11472</v>
      </c>
      <c r="P305" s="64" t="n">
        <v>12133</v>
      </c>
      <c r="Q305" s="59" t="n">
        <v>22</v>
      </c>
      <c r="R305" s="59" t="n">
        <v>14</v>
      </c>
      <c r="S305" s="59" t="n">
        <v>1</v>
      </c>
      <c r="T305" s="63" t="inlineStr">
        <is>
          <t>CMU30</t>
        </is>
      </c>
      <c r="U305" s="63" t="n">
        <v>398</v>
      </c>
      <c r="V305" s="714" t="n">
        <v>202118</v>
      </c>
      <c r="W305" s="714" t="n">
        <v>200000</v>
      </c>
      <c r="X305" s="83" t="inlineStr">
        <is>
          <t>4.0:1</t>
        </is>
      </c>
      <c r="Y305" s="714" t="n">
        <v>51000</v>
      </c>
      <c r="Z305" s="63" t="inlineStr">
        <is>
          <t xml:space="preserve">C </t>
        </is>
      </c>
      <c r="AC305" s="67" t="n"/>
      <c r="AD305" s="61" t="inlineStr">
        <is>
          <t xml:space="preserve">GUY'S FLOOR SERVICE </t>
        </is>
      </c>
      <c r="AE305" s="716" t="n"/>
      <c r="AF305" s="716" t="n"/>
      <c r="AG305" s="716" t="n"/>
      <c r="AH305" s="716" t="n"/>
      <c r="AI305" s="716" t="n"/>
      <c r="AJ305" s="716" t="n"/>
      <c r="AK305" s="717" t="inlineStr"/>
      <c r="AL305">
        <f>IF(AND(ISNUMBER($S305),$S305&gt;0,ISNUMBER($K305),ISNUMBER($J305)),($K305*$J305)/$S305,"")</f>
        <v/>
      </c>
      <c r="AM305" s="59" t="inlineStr"/>
    </row>
    <row r="306" ht="14" customHeight="1" s="518">
      <c r="A306" s="62" t="n">
        <v>7</v>
      </c>
      <c r="B306" s="93" t="n">
        <v>297</v>
      </c>
      <c r="C306" s="68" t="inlineStr">
        <is>
          <t>2011Q</t>
        </is>
      </c>
      <c r="D306" s="59" t="inlineStr">
        <is>
          <t xml:space="preserve">01154-04-002-000 </t>
        </is>
      </c>
      <c r="E306" s="72" t="inlineStr">
        <is>
          <t>Actual</t>
        </is>
      </c>
      <c r="F306" s="73" t="inlineStr">
        <is>
          <t>4800   GENEVA              ST</t>
        </is>
      </c>
      <c r="G306" s="708" t="n">
        <v>44.2</v>
      </c>
      <c r="H306" s="67" t="n">
        <v>9103</v>
      </c>
      <c r="I306" s="69" t="n">
        <v>0</v>
      </c>
      <c r="J306" s="714" t="n">
        <v>20146</v>
      </c>
      <c r="K306" s="715" t="n">
        <v>2.334210265065025</v>
      </c>
      <c r="L306" s="74" t="n">
        <v>0</v>
      </c>
      <c r="M306" s="76" t="n">
        <v>0.04378522062732589</v>
      </c>
      <c r="N306" s="67" t="n">
        <v>2005</v>
      </c>
      <c r="O306" s="64" t="n">
        <v>964</v>
      </c>
      <c r="Q306" s="59" t="n">
        <v>28</v>
      </c>
      <c r="R306" s="59" t="n">
        <v>14</v>
      </c>
      <c r="S306" s="59" t="n">
        <v>1</v>
      </c>
      <c r="T306" s="63" t="inlineStr">
        <is>
          <t>CMU30</t>
        </is>
      </c>
      <c r="U306" s="63" t="n">
        <v>398</v>
      </c>
      <c r="V306" s="714" t="n">
        <v>71003</v>
      </c>
      <c r="W306" s="714" t="n">
        <v>71000</v>
      </c>
      <c r="X306" s="83" t="inlineStr">
        <is>
          <t>3.5:1</t>
        </is>
      </c>
      <c r="Y306" s="714" t="n">
        <v>20000</v>
      </c>
      <c r="Z306" s="63" t="inlineStr">
        <is>
          <t xml:space="preserve">C </t>
        </is>
      </c>
      <c r="AC306" s="67" t="n"/>
      <c r="AD306" s="61" t="inlineStr">
        <is>
          <t xml:space="preserve">GUY'S FLOOR SERVICE </t>
        </is>
      </c>
      <c r="AE306" s="716" t="n"/>
      <c r="AF306" s="716" t="n"/>
      <c r="AG306" s="716" t="n"/>
      <c r="AH306" s="716" t="n"/>
      <c r="AI306" s="716" t="n"/>
      <c r="AJ306" s="716" t="n"/>
      <c r="AK306" s="717" t="inlineStr"/>
      <c r="AL306">
        <f>IF(AND(ISNUMBER($S306),$S306&gt;0,ISNUMBER($K306),ISNUMBER($J306)),($K306*$J306)/$S306,"")</f>
        <v/>
      </c>
      <c r="AM306" s="59" t="inlineStr"/>
    </row>
    <row r="307" ht="28" customHeight="1" s="518">
      <c r="A307" s="62" t="n">
        <v>7</v>
      </c>
      <c r="B307" s="93" t="n">
        <v>298</v>
      </c>
      <c r="C307" s="68" t="inlineStr">
        <is>
          <t>2011Q</t>
        </is>
      </c>
      <c r="D307" s="59" t="inlineStr">
        <is>
          <t xml:space="preserve">01183-00-019-000 </t>
        </is>
      </c>
      <c r="E307" s="72" t="inlineStr">
        <is>
          <t>Actual</t>
        </is>
      </c>
      <c r="F307" s="73" t="inlineStr">
        <is>
          <t>4200 E 52ND                AV</t>
        </is>
      </c>
      <c r="G307" s="708" t="n">
        <v>44.3</v>
      </c>
      <c r="H307" s="67" t="n">
        <v>9101</v>
      </c>
      <c r="I307" s="69" t="n">
        <v>0</v>
      </c>
      <c r="J307" s="714" t="n">
        <v>128963</v>
      </c>
      <c r="K307" s="715" t="n">
        <v>3.163698114963207</v>
      </c>
      <c r="L307" s="74" t="n">
        <v>0</v>
      </c>
      <c r="M307" s="76" t="n">
        <v>0</v>
      </c>
      <c r="N307" s="67" t="n">
        <v>1966</v>
      </c>
      <c r="O307" s="64" t="n">
        <v>9653</v>
      </c>
      <c r="P307" s="64" t="n">
        <v>1015</v>
      </c>
      <c r="Q307" s="59" t="n">
        <v>34</v>
      </c>
      <c r="R307" s="59" t="n">
        <v>3</v>
      </c>
      <c r="S307" s="59" t="n">
        <v>1</v>
      </c>
      <c r="T307" s="63" t="inlineStr">
        <is>
          <t xml:space="preserve">I2   </t>
        </is>
      </c>
      <c r="U307" s="63" t="n">
        <v>398</v>
      </c>
      <c r="V307" s="714" t="n">
        <v>292070</v>
      </c>
      <c r="W307" s="714" t="n">
        <v>290000</v>
      </c>
      <c r="X307" s="83" t="inlineStr">
        <is>
          <t>2.3:1</t>
        </is>
      </c>
      <c r="Y307" s="714" t="n">
        <v>130000</v>
      </c>
      <c r="Z307" s="63" t="inlineStr">
        <is>
          <t xml:space="preserve">C </t>
        </is>
      </c>
      <c r="AC307" s="67" t="n"/>
      <c r="AD307" s="61" t="inlineStr">
        <is>
          <t xml:space="preserve">S-W-AMERICAN WHSE   </t>
        </is>
      </c>
      <c r="AE307" s="716" t="n"/>
      <c r="AF307" s="716" t="n"/>
      <c r="AG307" s="716" t="n"/>
      <c r="AH307" s="716" t="n"/>
      <c r="AI307" s="716" t="n"/>
      <c r="AJ307" s="716" t="n"/>
      <c r="AK307" s="717" t="inlineStr">
        <is>
          <t xml:space="preserve">RELATED ENTITIES BUT APPEARS TO BE MARKET NONETHELESS.            </t>
        </is>
      </c>
      <c r="AL307">
        <f>IF(AND(ISNUMBER($S307),$S307&gt;0,ISNUMBER($K307),ISNUMBER($J307)),($K307*$J307)/$S307,"")</f>
        <v/>
      </c>
      <c r="AM307" s="59" t="inlineStr"/>
    </row>
    <row r="308" ht="14" customHeight="1" s="518">
      <c r="A308" s="62" t="n">
        <v>7</v>
      </c>
      <c r="B308" s="93" t="n">
        <v>299</v>
      </c>
      <c r="C308" s="68" t="inlineStr">
        <is>
          <t>2011Q</t>
        </is>
      </c>
      <c r="D308" s="59" t="inlineStr">
        <is>
          <t xml:space="preserve">01183-00-058-000 </t>
        </is>
      </c>
      <c r="E308" s="72" t="inlineStr">
        <is>
          <t>Actual</t>
        </is>
      </c>
      <c r="F308" s="73" t="inlineStr">
        <is>
          <t>4201 E 48TH                AV</t>
        </is>
      </c>
      <c r="G308" s="708" t="n">
        <v>44.2</v>
      </c>
      <c r="H308" s="67" t="n">
        <v>9101</v>
      </c>
      <c r="I308" s="69" t="n">
        <v>0</v>
      </c>
      <c r="J308" s="714" t="n">
        <v>19692</v>
      </c>
      <c r="K308" s="715" t="n">
        <v>2.412147064797888</v>
      </c>
      <c r="L308" s="74" t="n">
        <v>0</v>
      </c>
      <c r="M308" s="76" t="n">
        <v>0</v>
      </c>
      <c r="N308" s="67" t="n">
        <v>1959</v>
      </c>
      <c r="O308" s="64" t="n">
        <v>1400</v>
      </c>
      <c r="Q308" s="59" t="n">
        <v>17</v>
      </c>
      <c r="R308" s="59" t="n">
        <v>3</v>
      </c>
      <c r="S308" s="59" t="n">
        <v>1</v>
      </c>
      <c r="T308" s="63" t="inlineStr">
        <is>
          <t xml:space="preserve">I2   </t>
        </is>
      </c>
      <c r="U308" s="63" t="n">
        <v>398</v>
      </c>
      <c r="V308" s="714" t="n">
        <v>45551</v>
      </c>
      <c r="W308" s="714" t="n">
        <v>46000</v>
      </c>
      <c r="X308" s="83" t="inlineStr">
        <is>
          <t>2.3:1</t>
        </is>
      </c>
      <c r="Y308" s="714" t="n">
        <v>20000</v>
      </c>
      <c r="Z308" s="63" t="inlineStr">
        <is>
          <t xml:space="preserve">C </t>
        </is>
      </c>
      <c r="AC308" s="67" t="n"/>
      <c r="AD308" s="61" t="inlineStr"/>
      <c r="AE308" s="716" t="n"/>
      <c r="AF308" s="716" t="n"/>
      <c r="AG308" s="716" t="n"/>
      <c r="AH308" s="716" t="n"/>
      <c r="AI308" s="716" t="n"/>
      <c r="AJ308" s="716" t="n"/>
      <c r="AK308" s="717" t="inlineStr"/>
      <c r="AL308">
        <f>IF(AND(ISNUMBER($S308),$S308&gt;0,ISNUMBER($K308),ISNUMBER($J308)),($K308*$J308)/$S308,"")</f>
        <v/>
      </c>
      <c r="AM308" s="59" t="inlineStr"/>
    </row>
    <row r="309" ht="14" customHeight="1" s="518">
      <c r="A309" s="62" t="n">
        <v>7</v>
      </c>
      <c r="B309" s="93" t="n">
        <v>300</v>
      </c>
      <c r="C309" s="68" t="inlineStr">
        <is>
          <t>2011Q</t>
        </is>
      </c>
      <c r="D309" s="59" t="inlineStr">
        <is>
          <t xml:space="preserve">01183-01-024-000 </t>
        </is>
      </c>
      <c r="E309" s="72" t="inlineStr">
        <is>
          <t>Actual</t>
        </is>
      </c>
      <c r="F309" s="73" t="inlineStr">
        <is>
          <t>4545 E 51ST                AV</t>
        </is>
      </c>
      <c r="G309" s="708" t="n">
        <v>44.4</v>
      </c>
      <c r="H309" s="67" t="n">
        <v>9101</v>
      </c>
      <c r="I309" s="69" t="n">
        <v>0</v>
      </c>
      <c r="J309" s="714" t="n">
        <v>122398</v>
      </c>
      <c r="K309" s="715" t="n">
        <v>4.769195575091096</v>
      </c>
      <c r="L309" s="74" t="n">
        <v>0</v>
      </c>
      <c r="M309" s="76" t="n">
        <v>0.01829410353924692</v>
      </c>
      <c r="N309" s="67" t="n">
        <v>1993</v>
      </c>
      <c r="O309" s="64" t="n">
        <v>6829</v>
      </c>
      <c r="P309" s="64" t="n">
        <v>13273</v>
      </c>
      <c r="Q309" s="59" t="n">
        <v>30</v>
      </c>
      <c r="R309" s="59" t="n">
        <v>14</v>
      </c>
      <c r="S309" s="59" t="n">
        <v>1</v>
      </c>
      <c r="T309" s="63" t="inlineStr">
        <is>
          <t xml:space="preserve">I2   </t>
        </is>
      </c>
      <c r="U309" s="63" t="n">
        <v>398</v>
      </c>
      <c r="V309" s="714" t="n">
        <v>317659</v>
      </c>
      <c r="W309" s="714" t="n">
        <v>320000</v>
      </c>
      <c r="X309" s="83" t="inlineStr">
        <is>
          <t>2.6:1</t>
        </is>
      </c>
      <c r="Y309" s="714" t="n">
        <v>120000</v>
      </c>
      <c r="Z309" s="63" t="inlineStr">
        <is>
          <t xml:space="preserve">C </t>
        </is>
      </c>
      <c r="AC309" s="67" t="n"/>
      <c r="AD309" s="61" t="inlineStr">
        <is>
          <t xml:space="preserve">S-W-MILLER BRANDS   </t>
        </is>
      </c>
      <c r="AE309" s="716" t="n"/>
      <c r="AF309" s="716" t="n"/>
      <c r="AG309" s="716" t="n"/>
      <c r="AH309" s="716" t="n"/>
      <c r="AI309" s="716" t="n"/>
      <c r="AJ309" s="716" t="n"/>
      <c r="AK309" s="717" t="inlineStr">
        <is>
          <t xml:space="preserve">LEASED TO QWEST THRU 12-31-2010                                   </t>
        </is>
      </c>
      <c r="AL309">
        <f>IF(AND(ISNUMBER($S309),$S309&gt;0,ISNUMBER($K309),ISNUMBER($J309)),($K309*$J309)/$S309,"")</f>
        <v/>
      </c>
      <c r="AM309" s="59" t="inlineStr"/>
    </row>
    <row r="310" ht="14" customHeight="1" s="518">
      <c r="A310" s="62" t="n">
        <v>7</v>
      </c>
      <c r="B310" s="93" t="n">
        <v>301</v>
      </c>
      <c r="C310" s="68" t="inlineStr">
        <is>
          <t>2011Q</t>
        </is>
      </c>
      <c r="D310" s="59" t="inlineStr">
        <is>
          <t xml:space="preserve">01183-02-017-000 </t>
        </is>
      </c>
      <c r="E310" s="72" t="inlineStr">
        <is>
          <t>Actual</t>
        </is>
      </c>
      <c r="F310" s="73" t="inlineStr">
        <is>
          <t>5025   DAHLIA              ST</t>
        </is>
      </c>
      <c r="G310" s="708" t="n">
        <v>44.2</v>
      </c>
      <c r="H310" s="67" t="n">
        <v>9101</v>
      </c>
      <c r="I310" s="69" t="n">
        <v>0</v>
      </c>
      <c r="J310" s="714" t="n">
        <v>11440</v>
      </c>
      <c r="K310" s="715" t="n">
        <v>6.293706293706293</v>
      </c>
      <c r="L310" s="74" t="n">
        <v>0</v>
      </c>
      <c r="M310" s="76" t="n">
        <v>0</v>
      </c>
      <c r="N310" s="67" t="n">
        <v>1974</v>
      </c>
      <c r="O310" s="64" t="n">
        <v>1564</v>
      </c>
      <c r="Q310" s="59" t="n">
        <v>22</v>
      </c>
      <c r="R310" s="59" t="n">
        <v>1</v>
      </c>
      <c r="S310" s="59" t="n">
        <v>1</v>
      </c>
      <c r="T310" s="63" t="inlineStr">
        <is>
          <t xml:space="preserve">I2   </t>
        </is>
      </c>
      <c r="U310" s="63" t="n">
        <v>398</v>
      </c>
      <c r="V310" s="714" t="n">
        <v>21764</v>
      </c>
      <c r="W310" s="714" t="n">
        <v>22000</v>
      </c>
      <c r="X310" s="83" t="inlineStr">
        <is>
          <t>1.9:1</t>
        </is>
      </c>
      <c r="Y310" s="714" t="n">
        <v>11000</v>
      </c>
      <c r="Z310" s="63" t="inlineStr">
        <is>
          <t xml:space="preserve">C </t>
        </is>
      </c>
      <c r="AC310" s="67" t="n"/>
      <c r="AD310" s="61" t="inlineStr"/>
      <c r="AE310" s="716" t="n"/>
      <c r="AF310" s="716" t="n"/>
      <c r="AG310" s="716" t="n"/>
      <c r="AH310" s="716" t="n"/>
      <c r="AI310" s="716" t="n"/>
      <c r="AJ310" s="716" t="n"/>
      <c r="AK310" s="717" t="inlineStr">
        <is>
          <t xml:space="preserve">2008 LEASE.                                                       </t>
        </is>
      </c>
      <c r="AL310">
        <f>IF(AND(ISNUMBER($S310),$S310&gt;0,ISNUMBER($K310),ISNUMBER($J310)),($K310*$J310)/$S310,"")</f>
        <v/>
      </c>
      <c r="AM310" s="59" t="inlineStr"/>
    </row>
    <row r="311" ht="14" customHeight="1" s="518">
      <c r="A311" s="62" t="n">
        <v>7</v>
      </c>
      <c r="B311" s="93" t="n">
        <v>302</v>
      </c>
      <c r="C311" s="68" t="inlineStr">
        <is>
          <t>2011Q</t>
        </is>
      </c>
      <c r="D311" s="59" t="inlineStr">
        <is>
          <t xml:space="preserve">01184-00-016-000 </t>
        </is>
      </c>
      <c r="E311" s="72" t="inlineStr">
        <is>
          <t>Actual</t>
        </is>
      </c>
      <c r="F311" s="73" t="inlineStr">
        <is>
          <t>4900   DAHLIA              ST</t>
        </is>
      </c>
      <c r="G311" s="708" t="n">
        <v>44.2</v>
      </c>
      <c r="H311" s="67" t="n">
        <v>9101</v>
      </c>
      <c r="I311" s="69" t="n">
        <v>0</v>
      </c>
      <c r="J311" s="714" t="n">
        <v>40200</v>
      </c>
      <c r="K311" s="715" t="n">
        <v>5.970149253731344</v>
      </c>
      <c r="L311" s="74" t="n">
        <v>0</v>
      </c>
      <c r="M311" s="76" t="n">
        <v>0.06715416666666667</v>
      </c>
      <c r="N311" s="67" t="n">
        <v>1966</v>
      </c>
      <c r="O311" s="64" t="n">
        <v>0</v>
      </c>
      <c r="Q311" s="59" t="n">
        <v>30</v>
      </c>
      <c r="R311" s="59" t="n">
        <v>1</v>
      </c>
      <c r="S311" s="59" t="n">
        <v>1</v>
      </c>
      <c r="T311" s="63" t="inlineStr">
        <is>
          <t xml:space="preserve">I2   </t>
        </is>
      </c>
      <c r="U311" s="63" t="n">
        <v>398</v>
      </c>
      <c r="V311" s="714" t="n">
        <v>102703</v>
      </c>
      <c r="W311" s="714" t="n">
        <v>100000</v>
      </c>
      <c r="X311" s="83" t="inlineStr">
        <is>
          <t>2.6:1</t>
        </is>
      </c>
      <c r="Y311" s="714" t="n">
        <v>40000</v>
      </c>
      <c r="Z311" s="63" t="inlineStr">
        <is>
          <t xml:space="preserve">C </t>
        </is>
      </c>
      <c r="AC311" s="67" t="n"/>
      <c r="AD311" s="61" t="inlineStr">
        <is>
          <t xml:space="preserve">AMERICAN WHSE       </t>
        </is>
      </c>
      <c r="AE311" s="716" t="n"/>
      <c r="AF311" s="716" t="n"/>
      <c r="AG311" s="716" t="n"/>
      <c r="AH311" s="716" t="n"/>
      <c r="AI311" s="716" t="n"/>
      <c r="AJ311" s="716" t="n"/>
      <c r="AK311" s="717" t="inlineStr"/>
      <c r="AL311">
        <f>IF(AND(ISNUMBER($S311),$S311&gt;0,ISNUMBER($K311),ISNUMBER($J311)),($K311*$J311)/$S311,"")</f>
        <v/>
      </c>
      <c r="AM311" s="59" t="inlineStr"/>
    </row>
    <row r="312" ht="14" customHeight="1" s="518">
      <c r="A312" s="62" t="n">
        <v>7</v>
      </c>
      <c r="B312" s="93" t="n">
        <v>303</v>
      </c>
      <c r="C312" s="68" t="inlineStr">
        <is>
          <t>2011Q</t>
        </is>
      </c>
      <c r="D312" s="59" t="inlineStr">
        <is>
          <t xml:space="preserve">01184-01-004-000 </t>
        </is>
      </c>
      <c r="E312" s="72" t="inlineStr">
        <is>
          <t>Actual</t>
        </is>
      </c>
      <c r="F312" s="73" t="inlineStr">
        <is>
          <t>5199 E 48TH                AV</t>
        </is>
      </c>
      <c r="G312" s="708" t="n">
        <v>44.2</v>
      </c>
      <c r="H312" s="67" t="n">
        <v>9101</v>
      </c>
      <c r="I312" s="69" t="n">
        <v>0</v>
      </c>
      <c r="J312" s="714" t="n">
        <v>14222</v>
      </c>
      <c r="K312" s="715" t="n">
        <v>5.062579102798481</v>
      </c>
      <c r="L312" s="74" t="n">
        <v>0</v>
      </c>
      <c r="M312" s="76" t="n">
        <v>0</v>
      </c>
      <c r="N312" s="67" t="n">
        <v>1986</v>
      </c>
      <c r="O312" s="64" t="n">
        <v>1731</v>
      </c>
      <c r="Q312" s="59" t="n">
        <v>18</v>
      </c>
      <c r="R312" s="59" t="n">
        <v>8</v>
      </c>
      <c r="S312" s="59" t="n">
        <v>1</v>
      </c>
      <c r="T312" s="63" t="inlineStr">
        <is>
          <t xml:space="preserve">I2   </t>
        </is>
      </c>
      <c r="U312" s="63" t="n">
        <v>398</v>
      </c>
      <c r="V312" s="714" t="n">
        <v>99260</v>
      </c>
      <c r="W312" s="714" t="n">
        <v>99000</v>
      </c>
      <c r="X312" s="83" t="inlineStr">
        <is>
          <t>7.0:1</t>
        </is>
      </c>
      <c r="Y312" s="714" t="n">
        <v>14000</v>
      </c>
      <c r="Z312" s="63" t="inlineStr">
        <is>
          <t xml:space="preserve">C </t>
        </is>
      </c>
      <c r="AC312" s="67" t="n"/>
      <c r="AD312" s="61" t="inlineStr">
        <is>
          <t xml:space="preserve">CENTRAL STATES HOSE </t>
        </is>
      </c>
      <c r="AE312" s="716" t="n"/>
      <c r="AF312" s="716" t="n"/>
      <c r="AG312" s="716" t="n"/>
      <c r="AH312" s="716" t="n"/>
      <c r="AI312" s="716" t="n"/>
      <c r="AJ312" s="716" t="n"/>
      <c r="AK312" s="717" t="inlineStr"/>
      <c r="AL312">
        <f>IF(AND(ISNUMBER($S312),$S312&gt;0,ISNUMBER($K312),ISNUMBER($J312)),($K312*$J312)/$S312,"")</f>
        <v/>
      </c>
      <c r="AM312" s="59" t="inlineStr"/>
    </row>
    <row r="313" ht="14" customHeight="1" s="518">
      <c r="A313" s="62" t="n">
        <v>7</v>
      </c>
      <c r="B313" s="93" t="n">
        <v>304</v>
      </c>
      <c r="C313" s="68" t="inlineStr">
        <is>
          <t>2011Q</t>
        </is>
      </c>
      <c r="D313" s="59" t="inlineStr">
        <is>
          <t xml:space="preserve">01191-00-028-000 </t>
        </is>
      </c>
      <c r="E313" s="72" t="inlineStr">
        <is>
          <t>Actual</t>
        </is>
      </c>
      <c r="F313" s="73" t="inlineStr">
        <is>
          <t>4310   GRAPE               ST</t>
        </is>
      </c>
      <c r="G313" s="67" t="n">
        <v>44.1</v>
      </c>
      <c r="H313" s="67" t="n">
        <v>9101</v>
      </c>
      <c r="I313" s="69" t="n">
        <v>0</v>
      </c>
      <c r="J313" s="714" t="n">
        <v>20300</v>
      </c>
      <c r="K313" s="715" t="n">
        <v>5.320197044334975</v>
      </c>
      <c r="L313" s="74" t="n">
        <v>0</v>
      </c>
      <c r="M313" s="76" t="n">
        <v>0.1101851851851852</v>
      </c>
      <c r="N313" s="67" t="n">
        <v>1978</v>
      </c>
      <c r="O313" s="64" t="n">
        <v>2080</v>
      </c>
      <c r="Q313" s="59" t="n">
        <v>15</v>
      </c>
      <c r="R313" s="59" t="n">
        <v>1</v>
      </c>
      <c r="S313" s="59" t="n">
        <v>1</v>
      </c>
      <c r="T313" s="63" t="inlineStr">
        <is>
          <t xml:space="preserve">I2   </t>
        </is>
      </c>
      <c r="U313" s="63" t="n">
        <v>398</v>
      </c>
      <c r="V313" s="714" t="n">
        <v>60517</v>
      </c>
      <c r="W313" s="714" t="n">
        <v>61000</v>
      </c>
      <c r="X313" s="83" t="inlineStr">
        <is>
          <t>3.0:1</t>
        </is>
      </c>
      <c r="Y313" s="714" t="n">
        <v>20000</v>
      </c>
      <c r="Z313" s="63" t="inlineStr">
        <is>
          <t xml:space="preserve">C </t>
        </is>
      </c>
      <c r="AC313" s="67" t="n"/>
      <c r="AD313" s="61" t="inlineStr">
        <is>
          <t xml:space="preserve">GROWING SPROUTS     </t>
        </is>
      </c>
      <c r="AE313" s="716" t="n"/>
      <c r="AF313" s="716" t="n"/>
      <c r="AG313" s="716" t="n"/>
      <c r="AH313" s="716" t="n"/>
      <c r="AI313" s="716" t="n"/>
      <c r="AJ313" s="716" t="n"/>
      <c r="AK313" s="717" t="inlineStr"/>
      <c r="AL313">
        <f>IF(AND(ISNUMBER($S313),$S313&gt;0,ISNUMBER($K313),ISNUMBER($J313)),($K313*$J313)/$S313,"")</f>
        <v/>
      </c>
      <c r="AM313" s="59" t="inlineStr"/>
    </row>
    <row r="314" ht="14" customHeight="1" s="518">
      <c r="A314" s="62" t="n">
        <v>7</v>
      </c>
      <c r="B314" s="93" t="n">
        <v>305</v>
      </c>
      <c r="C314" s="68" t="inlineStr">
        <is>
          <t>2011Q</t>
        </is>
      </c>
      <c r="D314" s="59" t="inlineStr">
        <is>
          <t xml:space="preserve">01191-00-059-000 </t>
        </is>
      </c>
      <c r="E314" s="72" t="inlineStr">
        <is>
          <t>Actual</t>
        </is>
      </c>
      <c r="F314" s="73" t="inlineStr">
        <is>
          <t>4747   HOLLY               ST</t>
        </is>
      </c>
      <c r="G314" s="708" t="n">
        <v>44.2</v>
      </c>
      <c r="H314" s="67" t="n">
        <v>9101</v>
      </c>
      <c r="I314" s="69" t="n">
        <v>0</v>
      </c>
      <c r="J314" s="714" t="n">
        <v>29447</v>
      </c>
      <c r="K314" s="715" t="n">
        <v>4.075118008625666</v>
      </c>
      <c r="L314" s="74" t="n">
        <v>0</v>
      </c>
      <c r="M314" s="76" t="n">
        <v>0</v>
      </c>
      <c r="N314" s="67" t="n">
        <v>1967</v>
      </c>
      <c r="O314" s="64" t="n">
        <v>7053</v>
      </c>
      <c r="Q314" s="59" t="n">
        <v>24</v>
      </c>
      <c r="R314" s="59" t="n">
        <v>10</v>
      </c>
      <c r="S314" s="59" t="n">
        <v>1</v>
      </c>
      <c r="T314" s="63" t="inlineStr">
        <is>
          <t xml:space="preserve">I2   </t>
        </is>
      </c>
      <c r="U314" s="63" t="n">
        <v>398</v>
      </c>
      <c r="V314" s="714" t="n">
        <v>90213</v>
      </c>
      <c r="W314" s="714" t="n">
        <v>90000</v>
      </c>
      <c r="X314" s="83" t="inlineStr">
        <is>
          <t>3.1:1</t>
        </is>
      </c>
      <c r="Y314" s="714" t="n">
        <v>29000</v>
      </c>
      <c r="Z314" s="63" t="inlineStr">
        <is>
          <t xml:space="preserve">C </t>
        </is>
      </c>
      <c r="AC314" s="67" t="n"/>
      <c r="AD314" s="61" t="inlineStr"/>
      <c r="AE314" s="716" t="n"/>
      <c r="AF314" s="716" t="n"/>
      <c r="AG314" s="716" t="n"/>
      <c r="AH314" s="716" t="n"/>
      <c r="AI314" s="716" t="n"/>
      <c r="AJ314" s="716" t="n"/>
      <c r="AK314" s="717" t="inlineStr">
        <is>
          <t xml:space="preserve">2008 LEASE.                                                       </t>
        </is>
      </c>
      <c r="AL314">
        <f>IF(AND(ISNUMBER($S314),$S314&gt;0,ISNUMBER($K314),ISNUMBER($J314)),($K314*$J314)/$S314,"")</f>
        <v/>
      </c>
      <c r="AM314" s="59" t="inlineStr"/>
    </row>
    <row r="315" ht="14" customHeight="1" s="518">
      <c r="A315" s="62" t="n">
        <v>7</v>
      </c>
      <c r="B315" s="93" t="n">
        <v>306</v>
      </c>
      <c r="C315" s="68" t="inlineStr">
        <is>
          <t>2011Q</t>
        </is>
      </c>
      <c r="D315" s="59" t="inlineStr">
        <is>
          <t xml:space="preserve">01192-00-065-000 </t>
        </is>
      </c>
      <c r="E315" s="72" t="inlineStr">
        <is>
          <t>Actual</t>
        </is>
      </c>
      <c r="F315" s="73" t="inlineStr">
        <is>
          <t>4351 E 46TH                AV</t>
        </is>
      </c>
      <c r="G315" s="708" t="n">
        <v>44.2</v>
      </c>
      <c r="H315" s="67" t="n">
        <v>9101</v>
      </c>
      <c r="I315" s="69" t="n">
        <v>0</v>
      </c>
      <c r="J315" s="714" t="n">
        <v>43880</v>
      </c>
      <c r="K315" s="715" t="n">
        <v>2.734731084776663</v>
      </c>
      <c r="L315" s="74" t="n">
        <v>0</v>
      </c>
      <c r="M315" s="76" t="n">
        <v>0.03333333333333333</v>
      </c>
      <c r="N315" s="67" t="n">
        <v>1953</v>
      </c>
      <c r="O315" s="64" t="n">
        <v>8618</v>
      </c>
      <c r="Q315" s="59" t="n">
        <v>18</v>
      </c>
      <c r="R315" s="59" t="n">
        <v>4</v>
      </c>
      <c r="S315" s="59" t="n">
        <v>1</v>
      </c>
      <c r="T315" s="63" t="inlineStr">
        <is>
          <t xml:space="preserve">I2   </t>
        </is>
      </c>
      <c r="U315" s="63" t="n">
        <v>398</v>
      </c>
      <c r="V315" s="714" t="n">
        <v>89166</v>
      </c>
      <c r="W315" s="714" t="n">
        <v>89000</v>
      </c>
      <c r="X315" s="83" t="inlineStr">
        <is>
          <t>2.0:1</t>
        </is>
      </c>
      <c r="Y315" s="714" t="n">
        <v>44000</v>
      </c>
      <c r="Z315" s="63" t="inlineStr">
        <is>
          <t xml:space="preserve">C </t>
        </is>
      </c>
      <c r="AC315" s="67" t="n"/>
      <c r="AD315" s="61" t="inlineStr">
        <is>
          <t xml:space="preserve">SPEEDWORLD GO-CARTS </t>
        </is>
      </c>
      <c r="AE315" s="716" t="n"/>
      <c r="AF315" s="716" t="n"/>
      <c r="AG315" s="716" t="n"/>
      <c r="AH315" s="716" t="n"/>
      <c r="AI315" s="716" t="n"/>
      <c r="AJ315" s="716" t="n"/>
      <c r="AK315" s="717" t="inlineStr">
        <is>
          <t xml:space="preserve">2008 LEASE.                                                       </t>
        </is>
      </c>
      <c r="AL315">
        <f>IF(AND(ISNUMBER($S315),$S315&gt;0,ISNUMBER($K315),ISNUMBER($J315)),($K315*$J315)/$S315,"")</f>
        <v/>
      </c>
      <c r="AM315" s="59" t="inlineStr"/>
    </row>
    <row r="316" ht="14" customHeight="1" s="518">
      <c r="A316" s="62" t="n">
        <v>7</v>
      </c>
      <c r="B316" s="93" t="n">
        <v>307</v>
      </c>
      <c r="C316" s="68" t="inlineStr">
        <is>
          <t>2011Q</t>
        </is>
      </c>
      <c r="D316" s="59" t="inlineStr">
        <is>
          <t xml:space="preserve">01192-03-006-000 </t>
        </is>
      </c>
      <c r="E316" s="72" t="inlineStr">
        <is>
          <t>Actual</t>
        </is>
      </c>
      <c r="F316" s="73" t="inlineStr">
        <is>
          <t>4555   STAPLETON N         DR</t>
        </is>
      </c>
      <c r="G316" s="708" t="n">
        <v>44.2</v>
      </c>
      <c r="H316" s="67" t="n">
        <v>9101</v>
      </c>
      <c r="I316" s="69" t="n">
        <v>0</v>
      </c>
      <c r="J316" s="714" t="n">
        <v>12559</v>
      </c>
      <c r="K316" s="715" t="n">
        <v>3.961223027311092</v>
      </c>
      <c r="L316" s="74" t="n">
        <v>0</v>
      </c>
      <c r="M316" s="76" t="n">
        <v>0.1766467667691813</v>
      </c>
      <c r="N316" s="67" t="n">
        <v>1953</v>
      </c>
      <c r="O316" s="64" t="n">
        <v>0</v>
      </c>
      <c r="P316" s="64" t="n">
        <v>1233</v>
      </c>
      <c r="Q316" s="59" t="n">
        <v>15</v>
      </c>
      <c r="R316" s="59" t="n">
        <v>3</v>
      </c>
      <c r="S316" s="59" t="n">
        <v>1</v>
      </c>
      <c r="T316" s="63" t="inlineStr">
        <is>
          <t xml:space="preserve">I2   </t>
        </is>
      </c>
      <c r="U316" s="63" t="n">
        <v>398</v>
      </c>
      <c r="V316" s="714" t="n">
        <v>25000</v>
      </c>
      <c r="W316" s="714" t="n">
        <v>25000</v>
      </c>
      <c r="X316" s="83" t="inlineStr">
        <is>
          <t>2.0:1</t>
        </is>
      </c>
      <c r="Y316" s="714" t="n">
        <v>13000</v>
      </c>
      <c r="Z316" s="63" t="inlineStr">
        <is>
          <t xml:space="preserve">C </t>
        </is>
      </c>
      <c r="AC316" s="67" t="n"/>
      <c r="AD316" s="61" t="inlineStr"/>
      <c r="AE316" s="716" t="n"/>
      <c r="AF316" s="716" t="n"/>
      <c r="AG316" s="716" t="n"/>
      <c r="AH316" s="716" t="n"/>
      <c r="AI316" s="716" t="n"/>
      <c r="AJ316" s="716" t="n"/>
      <c r="AK316" s="717" t="inlineStr"/>
      <c r="AL316">
        <f>IF(AND(ISNUMBER($S316),$S316&gt;0,ISNUMBER($K316),ISNUMBER($J316)),($K316*$J316)/$S316,"")</f>
        <v/>
      </c>
      <c r="AM316" s="59" t="inlineStr"/>
    </row>
    <row r="317" ht="28" customHeight="1" s="518">
      <c r="A317" s="62" t="n">
        <v>7</v>
      </c>
      <c r="B317" s="93" t="n">
        <v>308</v>
      </c>
      <c r="C317" s="68" t="inlineStr">
        <is>
          <t>2011Q</t>
        </is>
      </c>
      <c r="D317" s="59" t="inlineStr">
        <is>
          <t xml:space="preserve">01194-00-076-000 </t>
        </is>
      </c>
      <c r="E317" s="72" t="inlineStr">
        <is>
          <t>Actual</t>
        </is>
      </c>
      <c r="F317" s="73" t="inlineStr">
        <is>
          <t>3855   ELM                 ST</t>
        </is>
      </c>
      <c r="G317" s="708" t="n">
        <v>44.2</v>
      </c>
      <c r="H317" s="67" t="n">
        <v>9101</v>
      </c>
      <c r="I317" s="69" t="n">
        <v>0</v>
      </c>
      <c r="J317" s="714" t="n">
        <v>1200</v>
      </c>
      <c r="K317" s="715" t="n">
        <v>5.75</v>
      </c>
      <c r="L317" s="74" t="n">
        <v>0</v>
      </c>
      <c r="M317" s="76" t="n">
        <v>0.2857971014492753</v>
      </c>
      <c r="N317" s="67" t="n">
        <v>1961</v>
      </c>
      <c r="O317" s="64" t="n">
        <v>3164</v>
      </c>
      <c r="Q317" s="59" t="n">
        <v>15</v>
      </c>
      <c r="R317" s="59" t="n">
        <v>3</v>
      </c>
      <c r="S317" s="59" t="n">
        <v>1</v>
      </c>
      <c r="T317" s="63" t="inlineStr">
        <is>
          <t xml:space="preserve">I0   </t>
        </is>
      </c>
      <c r="U317" s="63" t="n">
        <v>398</v>
      </c>
      <c r="V317" s="714" t="n">
        <v>14387</v>
      </c>
      <c r="W317" s="714" t="n">
        <v>14000</v>
      </c>
      <c r="X317" s="83" t="inlineStr">
        <is>
          <t>2.0:1</t>
        </is>
      </c>
      <c r="Y317" s="714" t="n">
        <v>1000</v>
      </c>
      <c r="Z317" s="63" t="inlineStr">
        <is>
          <t xml:space="preserve">B </t>
        </is>
      </c>
      <c r="AC317" s="67" t="n"/>
      <c r="AD317" s="61" t="inlineStr"/>
      <c r="AE317" s="716" t="n"/>
      <c r="AF317" s="716" t="n"/>
      <c r="AG317" s="716" t="n"/>
      <c r="AH317" s="716" t="n"/>
      <c r="AI317" s="716" t="n"/>
      <c r="AJ317" s="716" t="n"/>
      <c r="AK317" s="717" t="inlineStr">
        <is>
          <t xml:space="preserve">ONLY DATA ALLOCABLE TO 2009 LEASE HAS BEEN ENTERED.               </t>
        </is>
      </c>
      <c r="AL317">
        <f>IF(AND(ISNUMBER($S317),$S317&gt;0,ISNUMBER($K317),ISNUMBER($J317)),($K317*$J317)/$S317,"")</f>
        <v/>
      </c>
      <c r="AM317" s="59" t="inlineStr"/>
    </row>
    <row r="318" ht="14" customHeight="1" s="518">
      <c r="A318" s="62" t="n">
        <v>7</v>
      </c>
      <c r="B318" s="93" t="n">
        <v>309</v>
      </c>
      <c r="C318" s="68" t="inlineStr">
        <is>
          <t>2011Q</t>
        </is>
      </c>
      <c r="D318" s="59" t="inlineStr">
        <is>
          <t xml:space="preserve">01194-00-110-000 </t>
        </is>
      </c>
      <c r="E318" s="72" t="inlineStr">
        <is>
          <t>Actual</t>
        </is>
      </c>
      <c r="F318" s="73" t="inlineStr">
        <is>
          <t>5195 E 39TH                AV</t>
        </is>
      </c>
      <c r="G318" s="708" t="n">
        <v>45.1</v>
      </c>
      <c r="H318" s="67" t="n">
        <v>9101</v>
      </c>
      <c r="I318" s="69" t="n">
        <v>0</v>
      </c>
      <c r="J318" s="714" t="n">
        <v>10250</v>
      </c>
      <c r="K318" s="715" t="n">
        <v>6.348390243902439</v>
      </c>
      <c r="L318" s="74" t="n">
        <v>1</v>
      </c>
      <c r="M318" s="76" t="n">
        <v>0</v>
      </c>
      <c r="N318" s="67" t="n">
        <v>1965</v>
      </c>
      <c r="O318" s="64" t="n">
        <v>2584</v>
      </c>
      <c r="Q318" s="59" t="n">
        <v>18</v>
      </c>
      <c r="R318" s="59" t="n">
        <v>1</v>
      </c>
      <c r="S318" s="59" t="n">
        <v>1</v>
      </c>
      <c r="T318" s="63" t="inlineStr">
        <is>
          <t xml:space="preserve">I1   </t>
        </is>
      </c>
      <c r="U318" s="63" t="n">
        <v>401</v>
      </c>
      <c r="V318" s="714" t="n">
        <v>18500</v>
      </c>
      <c r="W318" s="714" t="n">
        <v>19000</v>
      </c>
      <c r="X318" s="83" t="inlineStr">
        <is>
          <t>1.8:1</t>
        </is>
      </c>
      <c r="Y318" s="714" t="n">
        <v>10000</v>
      </c>
      <c r="Z318" s="63" t="inlineStr">
        <is>
          <t xml:space="preserve">C </t>
        </is>
      </c>
      <c r="AC318" s="67" t="n"/>
      <c r="AD318" s="61" t="inlineStr">
        <is>
          <t>S-W GRANDMA'S FROZEN</t>
        </is>
      </c>
      <c r="AE318" s="716" t="n"/>
      <c r="AF318" s="716" t="n"/>
      <c r="AG318" s="716" t="n"/>
      <c r="AH318" s="716" t="n"/>
      <c r="AI318" s="716" t="n"/>
      <c r="AJ318" s="716" t="n"/>
      <c r="AK318" s="717" t="inlineStr">
        <is>
          <t xml:space="preserve">REFLECTS 2010 LEASE &amp; 2009 VACANCY.                               </t>
        </is>
      </c>
      <c r="AL318">
        <f>IF(AND(ISNUMBER($S318),$S318&gt;0,ISNUMBER($K318),ISNUMBER($J318)),($K318*$J318)/$S318,"")</f>
        <v/>
      </c>
      <c r="AM318" s="59" t="inlineStr"/>
    </row>
    <row r="319" ht="28" customHeight="1" s="518">
      <c r="A319" s="62" t="n">
        <v>7</v>
      </c>
      <c r="B319" s="93" t="n">
        <v>310</v>
      </c>
      <c r="C319" s="68" t="inlineStr">
        <is>
          <t>2011Q</t>
        </is>
      </c>
      <c r="D319" s="59" t="inlineStr">
        <is>
          <t xml:space="preserve">01194-00-136-000 </t>
        </is>
      </c>
      <c r="E319" s="72" t="inlineStr">
        <is>
          <t>Actual</t>
        </is>
      </c>
      <c r="F319" s="73" t="inlineStr">
        <is>
          <t>3931   HOLLY               ST</t>
        </is>
      </c>
      <c r="G319" s="708" t="n">
        <v>44.2</v>
      </c>
      <c r="H319" s="67" t="n">
        <v>9101</v>
      </c>
      <c r="I319" s="69" t="n">
        <v>0</v>
      </c>
      <c r="J319" s="714" t="n">
        <v>16770</v>
      </c>
      <c r="K319" s="715" t="n">
        <v>4.722719141323792</v>
      </c>
      <c r="L319" s="74" t="n">
        <v>0</v>
      </c>
      <c r="M319" s="76" t="n">
        <v>0.1261363636363636</v>
      </c>
      <c r="N319" s="67" t="n">
        <v>1980</v>
      </c>
      <c r="O319" s="64" t="n">
        <v>3949</v>
      </c>
      <c r="Q319" s="59" t="n">
        <v>14</v>
      </c>
      <c r="R319" s="59" t="n">
        <v>1</v>
      </c>
      <c r="S319" s="59" t="n">
        <v>1</v>
      </c>
      <c r="T319" s="63" t="inlineStr">
        <is>
          <t xml:space="preserve">I1   </t>
        </is>
      </c>
      <c r="U319" s="63" t="n">
        <v>398</v>
      </c>
      <c r="V319" s="714" t="n">
        <v>39942</v>
      </c>
      <c r="W319" s="714" t="n">
        <v>40000</v>
      </c>
      <c r="X319" s="83" t="inlineStr">
        <is>
          <t>2.4:1</t>
        </is>
      </c>
      <c r="Y319" s="714" t="n">
        <v>17000</v>
      </c>
      <c r="Z319" s="63" t="inlineStr">
        <is>
          <t xml:space="preserve">C </t>
        </is>
      </c>
      <c r="AC319" s="67" t="n"/>
      <c r="AD319" s="61" t="inlineStr">
        <is>
          <t xml:space="preserve">M-W                 </t>
        </is>
      </c>
      <c r="AE319" s="716" t="n"/>
      <c r="AF319" s="716" t="n"/>
      <c r="AG319" s="716" t="n"/>
      <c r="AH319" s="716" t="n"/>
      <c r="AI319" s="716" t="n"/>
      <c r="AJ319" s="716" t="n"/>
      <c r="AK319" s="717" t="inlineStr">
        <is>
          <t xml:space="preserve">ATYPICAL FOR OWNER TO PAY THIS LEVEL OF EXPENSE.                  </t>
        </is>
      </c>
      <c r="AL319">
        <f>IF(AND(ISNUMBER($S319),$S319&gt;0,ISNUMBER($K319),ISNUMBER($J319)),($K319*$J319)/$S319,"")</f>
        <v/>
      </c>
      <c r="AM319" s="59" t="inlineStr"/>
    </row>
    <row r="320" ht="14" customHeight="1" s="518">
      <c r="A320" s="62" t="n">
        <v>7</v>
      </c>
      <c r="B320" s="93" t="n">
        <v>311</v>
      </c>
      <c r="C320" s="68" t="inlineStr">
        <is>
          <t>2011Q</t>
        </is>
      </c>
      <c r="D320" s="59" t="inlineStr">
        <is>
          <t xml:space="preserve">01194-00-182-000 </t>
        </is>
      </c>
      <c r="E320" s="72" t="inlineStr">
        <is>
          <t>Actual</t>
        </is>
      </c>
      <c r="F320" s="73" t="inlineStr">
        <is>
          <t>5150 E 39TH                AV</t>
        </is>
      </c>
      <c r="G320" s="67" t="n">
        <v>44.1</v>
      </c>
      <c r="H320" s="67" t="n">
        <v>9101</v>
      </c>
      <c r="I320" s="69" t="n">
        <v>0</v>
      </c>
      <c r="J320" s="714" t="n">
        <v>18901</v>
      </c>
      <c r="K320" s="715" t="n">
        <v>5.713983387122375</v>
      </c>
      <c r="L320" s="74" t="n">
        <v>0.5</v>
      </c>
      <c r="M320" s="76" t="n">
        <v>0</v>
      </c>
      <c r="N320" s="67" t="n">
        <v>1959</v>
      </c>
      <c r="O320" s="64" t="n">
        <v>3532</v>
      </c>
      <c r="Q320" s="59" t="n">
        <v>12</v>
      </c>
      <c r="R320" s="59" t="n">
        <v>1</v>
      </c>
      <c r="S320" s="59" t="n">
        <v>1</v>
      </c>
      <c r="T320" s="63" t="inlineStr">
        <is>
          <t xml:space="preserve">I0   </t>
        </is>
      </c>
      <c r="U320" s="63" t="n">
        <v>398</v>
      </c>
      <c r="V320" s="714" t="n">
        <v>43080</v>
      </c>
      <c r="W320" s="714" t="n">
        <v>43000</v>
      </c>
      <c r="X320" s="83" t="inlineStr">
        <is>
          <t>2.3:1</t>
        </is>
      </c>
      <c r="Y320" s="714" t="n">
        <v>19000</v>
      </c>
      <c r="Z320" s="63" t="inlineStr">
        <is>
          <t xml:space="preserve">C </t>
        </is>
      </c>
      <c r="AC320" s="67" t="n"/>
      <c r="AD320" s="61" t="inlineStr">
        <is>
          <t xml:space="preserve">DIST WHSE           </t>
        </is>
      </c>
      <c r="AE320" s="716" t="n"/>
      <c r="AF320" s="716" t="n"/>
      <c r="AG320" s="716" t="n"/>
      <c r="AH320" s="716" t="n"/>
      <c r="AI320" s="716" t="n"/>
      <c r="AJ320" s="716" t="n"/>
      <c r="AK320" s="717" t="inlineStr"/>
      <c r="AL320">
        <f>IF(AND(ISNUMBER($S320),$S320&gt;0,ISNUMBER($K320),ISNUMBER($J320)),($K320*$J320)/$S320,"")</f>
        <v/>
      </c>
    </row>
    <row r="321" ht="14" customHeight="1" s="518">
      <c r="A321" s="62" t="n">
        <v>7</v>
      </c>
      <c r="B321" s="93" t="n">
        <v>312</v>
      </c>
      <c r="C321" s="68" t="inlineStr">
        <is>
          <t>2011Q</t>
        </is>
      </c>
      <c r="D321" s="59" t="inlineStr">
        <is>
          <t xml:space="preserve">01194-00-211-000 </t>
        </is>
      </c>
      <c r="E321" s="72" t="inlineStr">
        <is>
          <t>Actual</t>
        </is>
      </c>
      <c r="F321" s="73" t="inlineStr">
        <is>
          <t>4880 E 41ST                AV</t>
        </is>
      </c>
      <c r="G321" s="67" t="n">
        <v>44.1</v>
      </c>
      <c r="H321" s="67" t="n">
        <v>9101</v>
      </c>
      <c r="I321" s="69" t="n">
        <v>0</v>
      </c>
      <c r="J321" s="714" t="n">
        <v>11308</v>
      </c>
      <c r="K321" s="715" t="n">
        <v>4.987619384506544</v>
      </c>
      <c r="L321" s="74" t="n">
        <v>0.42</v>
      </c>
      <c r="M321" s="76" t="n">
        <v>0</v>
      </c>
      <c r="N321" s="67" t="n">
        <v>1976</v>
      </c>
      <c r="O321" s="64" t="n">
        <v>1392</v>
      </c>
      <c r="Q321" s="59" t="n">
        <v>19</v>
      </c>
      <c r="R321" s="59" t="n">
        <v>10</v>
      </c>
      <c r="S321" s="59" t="n">
        <v>1</v>
      </c>
      <c r="T321" s="63" t="inlineStr">
        <is>
          <t xml:space="preserve">I1   </t>
        </is>
      </c>
      <c r="U321" s="63" t="n">
        <v>398</v>
      </c>
      <c r="V321" s="714" t="n">
        <v>35505</v>
      </c>
      <c r="W321" s="714" t="n">
        <v>36000</v>
      </c>
      <c r="X321" s="83" t="inlineStr">
        <is>
          <t>3.1:1</t>
        </is>
      </c>
      <c r="Y321" s="714" t="n">
        <v>11000</v>
      </c>
      <c r="Z321" s="63" t="inlineStr">
        <is>
          <t xml:space="preserve">C </t>
        </is>
      </c>
      <c r="AC321" s="67" t="n"/>
      <c r="AD321" s="61" t="inlineStr"/>
      <c r="AE321" s="716" t="n"/>
      <c r="AF321" s="716" t="n"/>
      <c r="AG321" s="716" t="n"/>
      <c r="AH321" s="716" t="n"/>
      <c r="AI321" s="716" t="n"/>
      <c r="AJ321" s="716" t="n"/>
      <c r="AK321" s="717" t="inlineStr"/>
      <c r="AL321">
        <f>IF(AND(ISNUMBER($S321),$S321&gt;0,ISNUMBER($K321),ISNUMBER($J321)),($K321*$J321)/$S321,"")</f>
        <v/>
      </c>
      <c r="AM321" s="59" t="inlineStr"/>
    </row>
    <row r="322" ht="14" customHeight="1" s="518">
      <c r="A322" s="62" t="n">
        <v>7</v>
      </c>
      <c r="B322" s="93" t="n">
        <v>313</v>
      </c>
      <c r="C322" s="68" t="inlineStr">
        <is>
          <t>2011Q</t>
        </is>
      </c>
      <c r="D322" s="59" t="inlineStr">
        <is>
          <t xml:space="preserve">01194-00-215-000 </t>
        </is>
      </c>
      <c r="E322" s="72" t="inlineStr">
        <is>
          <t>Actual</t>
        </is>
      </c>
      <c r="F322" s="73" t="inlineStr">
        <is>
          <t>4000   DAHLIA              ST</t>
        </is>
      </c>
      <c r="G322" s="708" t="n">
        <v>46.1</v>
      </c>
      <c r="H322" s="67" t="n">
        <v>9101</v>
      </c>
      <c r="I322" s="69" t="n">
        <v>0</v>
      </c>
      <c r="J322" s="714" t="n">
        <v>80137</v>
      </c>
      <c r="K322" s="715" t="n">
        <v>6.499993760684827</v>
      </c>
      <c r="L322" s="74" t="n">
        <v>0</v>
      </c>
      <c r="M322" s="76" t="n">
        <v>0</v>
      </c>
      <c r="N322" s="67" t="n">
        <v>1975</v>
      </c>
      <c r="O322" s="64" t="n">
        <v>0</v>
      </c>
      <c r="P322" s="64" t="n">
        <v>12308</v>
      </c>
      <c r="Q322" s="59" t="n">
        <v>17</v>
      </c>
      <c r="R322" s="59" t="n">
        <v>1</v>
      </c>
      <c r="S322" s="59" t="n">
        <v>1</v>
      </c>
      <c r="T322" s="63" t="inlineStr">
        <is>
          <t xml:space="preserve">I1   </t>
        </is>
      </c>
      <c r="U322" s="63" t="n">
        <v>401</v>
      </c>
      <c r="V322" s="714" t="n">
        <v>157000</v>
      </c>
      <c r="W322" s="714" t="n">
        <v>160000</v>
      </c>
      <c r="X322" s="83" t="inlineStr">
        <is>
          <t>2.0:1</t>
        </is>
      </c>
      <c r="Y322" s="714" t="n">
        <v>80000</v>
      </c>
      <c r="Z322" s="63" t="inlineStr">
        <is>
          <t xml:space="preserve">C </t>
        </is>
      </c>
      <c r="AC322" s="67" t="n"/>
      <c r="AD322" s="61" t="inlineStr">
        <is>
          <t xml:space="preserve">READY FOODS         </t>
        </is>
      </c>
      <c r="AE322" s="716" t="n"/>
      <c r="AF322" s="716" t="n"/>
      <c r="AG322" s="716" t="n"/>
      <c r="AH322" s="716" t="n"/>
      <c r="AI322" s="716" t="n"/>
      <c r="AJ322" s="716" t="n"/>
      <c r="AK322" s="717" t="inlineStr"/>
      <c r="AL322">
        <f>IF(AND(ISNUMBER($S322),$S322&gt;0,ISNUMBER($K322),ISNUMBER($J322)),($K322*$J322)/$S322,"")</f>
        <v/>
      </c>
      <c r="AM322" s="59" t="inlineStr"/>
    </row>
    <row r="323" ht="28" customHeight="1" s="518">
      <c r="A323" s="62" t="n">
        <v>7</v>
      </c>
      <c r="B323" s="93" t="n">
        <v>314</v>
      </c>
      <c r="C323" s="68" t="inlineStr">
        <is>
          <t>2011Q</t>
        </is>
      </c>
      <c r="D323" s="59" t="inlineStr">
        <is>
          <t xml:space="preserve">01194-00-229-000 </t>
        </is>
      </c>
      <c r="E323" s="72" t="inlineStr">
        <is>
          <t>Actual</t>
        </is>
      </c>
      <c r="F323" s="73" t="inlineStr">
        <is>
          <t>3812   DAHLIA              ST</t>
        </is>
      </c>
      <c r="G323" s="67" t="n">
        <v>44.1</v>
      </c>
      <c r="H323" s="67" t="n">
        <v>9101</v>
      </c>
      <c r="I323" s="69" t="n">
        <v>0</v>
      </c>
      <c r="J323" s="714" t="n">
        <v>6579</v>
      </c>
      <c r="K323" s="715" t="n">
        <v>6.143030855753154</v>
      </c>
      <c r="L323" s="74" t="n">
        <v>0</v>
      </c>
      <c r="M323" s="76" t="n">
        <v>0.1465297538042806</v>
      </c>
      <c r="N323" s="67" t="n">
        <v>1926</v>
      </c>
      <c r="O323" s="64" t="n">
        <v>1620</v>
      </c>
      <c r="Q323" s="59" t="n">
        <v>10</v>
      </c>
      <c r="R323" s="59" t="n">
        <v>1</v>
      </c>
      <c r="S323" s="59" t="n">
        <v>1</v>
      </c>
      <c r="T323" s="63" t="inlineStr">
        <is>
          <t xml:space="preserve">I0   </t>
        </is>
      </c>
      <c r="U323" s="63" t="n">
        <v>398</v>
      </c>
      <c r="V323" s="714" t="n">
        <v>92437</v>
      </c>
      <c r="W323" s="714" t="n">
        <v>92000</v>
      </c>
      <c r="X323" s="83" t="inlineStr">
        <is>
          <t>14.1:1</t>
        </is>
      </c>
      <c r="Y323" s="714" t="n">
        <v>7000</v>
      </c>
      <c r="Z323" s="63" t="inlineStr">
        <is>
          <t xml:space="preserve">C </t>
        </is>
      </c>
      <c r="AC323" s="67" t="n"/>
      <c r="AD323" s="61" t="inlineStr"/>
      <c r="AE323" s="716" t="n"/>
      <c r="AF323" s="716" t="n"/>
      <c r="AG323" s="716" t="n"/>
      <c r="AH323" s="716" t="n"/>
      <c r="AI323" s="716" t="n"/>
      <c r="AJ323" s="716" t="n"/>
      <c r="AK323" s="717" t="inlineStr">
        <is>
          <t xml:space="preserve">2008 LEASES; HUGE L-TO-B RATIO; INCLUDES 2 LARGE LAND LEASES.     </t>
        </is>
      </c>
      <c r="AL323">
        <f>IF(AND(ISNUMBER($S323),$S323&gt;0,ISNUMBER($K323),ISNUMBER($J323)),($K323*$J323)/$S323,"")</f>
        <v/>
      </c>
      <c r="AM323" s="59" t="inlineStr"/>
    </row>
    <row r="324" ht="14" customHeight="1" s="518">
      <c r="A324" s="62" t="n">
        <v>7</v>
      </c>
      <c r="B324" s="93" t="n">
        <v>315</v>
      </c>
      <c r="C324" s="68" t="inlineStr">
        <is>
          <t>2011Q</t>
        </is>
      </c>
      <c r="D324" s="59" t="inlineStr">
        <is>
          <t xml:space="preserve">01194-00-240-000 </t>
        </is>
      </c>
      <c r="E324" s="72" t="inlineStr">
        <is>
          <t>Actual</t>
        </is>
      </c>
      <c r="F324" s="73" t="inlineStr">
        <is>
          <t>5055 E 41ST                AV</t>
        </is>
      </c>
      <c r="G324" s="67" t="n">
        <v>44.1</v>
      </c>
      <c r="H324" s="67" t="n">
        <v>9101</v>
      </c>
      <c r="I324" s="69" t="n">
        <v>0</v>
      </c>
      <c r="J324" s="714" t="n">
        <v>73030</v>
      </c>
      <c r="K324" s="715" t="n">
        <v>2.464740517595509</v>
      </c>
      <c r="L324" s="74" t="n">
        <v>0</v>
      </c>
      <c r="M324" s="76" t="n">
        <v>0.06336666666666667</v>
      </c>
      <c r="N324" s="67" t="n">
        <v>1969</v>
      </c>
      <c r="O324" s="64" t="n">
        <v>5937</v>
      </c>
      <c r="Q324" s="59" t="n">
        <v>20</v>
      </c>
      <c r="R324" s="59" t="n">
        <v>3</v>
      </c>
      <c r="S324" s="59" t="n">
        <v>1</v>
      </c>
      <c r="T324" s="63" t="inlineStr">
        <is>
          <t xml:space="preserve">I1   </t>
        </is>
      </c>
      <c r="U324" s="63" t="n">
        <v>398</v>
      </c>
      <c r="V324" s="714" t="n">
        <v>124455</v>
      </c>
      <c r="W324" s="714" t="n">
        <v>120000</v>
      </c>
      <c r="X324" s="83" t="inlineStr">
        <is>
          <t>1.7:1</t>
        </is>
      </c>
      <c r="Y324" s="714" t="n">
        <v>73000</v>
      </c>
      <c r="Z324" s="63" t="inlineStr">
        <is>
          <t xml:space="preserve">C </t>
        </is>
      </c>
      <c r="AC324" s="67" t="n"/>
      <c r="AD324" s="61" t="inlineStr">
        <is>
          <t xml:space="preserve">VANASK II           </t>
        </is>
      </c>
      <c r="AE324" s="716" t="n"/>
      <c r="AF324" s="716" t="n"/>
      <c r="AG324" s="716" t="n"/>
      <c r="AH324" s="716" t="n"/>
      <c r="AI324" s="716" t="n"/>
      <c r="AJ324" s="716" t="n"/>
      <c r="AK324" s="717" t="inlineStr"/>
      <c r="AL324">
        <f>IF(AND(ISNUMBER($S324),$S324&gt;0,ISNUMBER($K324),ISNUMBER($J324)),($K324*$J324)/$S324,"")</f>
        <v/>
      </c>
      <c r="AM324" s="59" t="inlineStr"/>
    </row>
    <row r="325" ht="14" customHeight="1" s="518">
      <c r="A325" s="62" t="n">
        <v>7</v>
      </c>
      <c r="B325" s="93" t="n">
        <v>316</v>
      </c>
      <c r="C325" s="68" t="inlineStr">
        <is>
          <t>2011Q</t>
        </is>
      </c>
      <c r="D325" s="59" t="inlineStr">
        <is>
          <t xml:space="preserve">01194-01-002-000 </t>
        </is>
      </c>
      <c r="E325" s="72" t="inlineStr">
        <is>
          <t>Actual</t>
        </is>
      </c>
      <c r="F325" s="73" t="inlineStr">
        <is>
          <t>4981 E 39TH                AV</t>
        </is>
      </c>
      <c r="G325" s="67" t="n">
        <v>44.1</v>
      </c>
      <c r="H325" s="67" t="n">
        <v>9101</v>
      </c>
      <c r="I325" s="69" t="n">
        <v>0</v>
      </c>
      <c r="J325" s="714" t="n">
        <v>7000</v>
      </c>
      <c r="K325" s="715" t="n">
        <v>5.142857142857143</v>
      </c>
      <c r="L325" s="74" t="n">
        <v>0</v>
      </c>
      <c r="M325" s="76" t="n">
        <v>0</v>
      </c>
      <c r="N325" s="67" t="n">
        <v>1963</v>
      </c>
      <c r="O325" s="64" t="n">
        <v>1400</v>
      </c>
      <c r="Q325" s="59" t="n">
        <v>12</v>
      </c>
      <c r="R325" s="59" t="n">
        <v>3</v>
      </c>
      <c r="S325" s="59" t="n">
        <v>1</v>
      </c>
      <c r="T325" s="63" t="inlineStr">
        <is>
          <t xml:space="preserve">I1   </t>
        </is>
      </c>
      <c r="U325" s="63" t="n">
        <v>398</v>
      </c>
      <c r="V325" s="714" t="n">
        <v>18600</v>
      </c>
      <c r="W325" s="714" t="n">
        <v>19000</v>
      </c>
      <c r="X325" s="83" t="inlineStr">
        <is>
          <t>2.7:1</t>
        </is>
      </c>
      <c r="Y325" s="714" t="n">
        <v>7000</v>
      </c>
      <c r="Z325" s="63" t="inlineStr">
        <is>
          <t xml:space="preserve">C </t>
        </is>
      </c>
      <c r="AC325" s="67" t="n"/>
      <c r="AD325" s="61" t="inlineStr"/>
      <c r="AE325" s="716" t="n"/>
      <c r="AF325" s="716" t="n"/>
      <c r="AG325" s="716" t="n"/>
      <c r="AH325" s="716" t="n"/>
      <c r="AI325" s="716" t="n"/>
      <c r="AJ325" s="716" t="n"/>
      <c r="AK325" s="717" t="inlineStr">
        <is>
          <t xml:space="preserve">MO-TO-MO.                                                         </t>
        </is>
      </c>
      <c r="AL325">
        <f>IF(AND(ISNUMBER($S325),$S325&gt;0,ISNUMBER($K325),ISNUMBER($J325)),($K325*$J325)/$S325,"")</f>
        <v/>
      </c>
      <c r="AM325" s="59" t="inlineStr"/>
    </row>
    <row r="326" ht="14" customHeight="1" s="518">
      <c r="A326" s="62" t="n">
        <v>7</v>
      </c>
      <c r="B326" s="93" t="n">
        <v>317</v>
      </c>
      <c r="C326" s="68" t="inlineStr">
        <is>
          <t>2011Q</t>
        </is>
      </c>
      <c r="D326" s="59" t="inlineStr">
        <is>
          <t xml:space="preserve">01194-03-002-000 </t>
        </is>
      </c>
      <c r="E326" s="72" t="inlineStr">
        <is>
          <t>Actual</t>
        </is>
      </c>
      <c r="F326" s="73" t="inlineStr">
        <is>
          <t>3875   ELM                 ST</t>
        </is>
      </c>
      <c r="G326" s="67" t="n">
        <v>44.1</v>
      </c>
      <c r="H326" s="67" t="n">
        <v>9101</v>
      </c>
      <c r="I326" s="69" t="n">
        <v>0</v>
      </c>
      <c r="J326" s="714" t="n">
        <v>7200</v>
      </c>
      <c r="K326" s="715" t="n">
        <v>5.833333333333333</v>
      </c>
      <c r="L326" s="74" t="n">
        <v>0</v>
      </c>
      <c r="M326" s="76" t="n">
        <v>0.1073571428571429</v>
      </c>
      <c r="N326" s="67" t="n">
        <v>1962</v>
      </c>
      <c r="O326" s="64" t="n">
        <v>2411</v>
      </c>
      <c r="Q326" s="59" t="n">
        <v>12</v>
      </c>
      <c r="R326" s="59" t="n">
        <v>3</v>
      </c>
      <c r="S326" s="59" t="n">
        <v>1</v>
      </c>
      <c r="T326" s="63" t="inlineStr">
        <is>
          <t xml:space="preserve">I0   </t>
        </is>
      </c>
      <c r="U326" s="63" t="n">
        <v>398</v>
      </c>
      <c r="V326" s="714" t="n">
        <v>19800</v>
      </c>
      <c r="W326" s="714" t="n">
        <v>20000</v>
      </c>
      <c r="X326" s="83" t="inlineStr">
        <is>
          <t>2.8:1</t>
        </is>
      </c>
      <c r="Y326" s="714" t="n">
        <v>7000</v>
      </c>
      <c r="Z326" s="63" t="inlineStr">
        <is>
          <t xml:space="preserve">C </t>
        </is>
      </c>
      <c r="AC326" s="67" t="n"/>
      <c r="AD326" s="61" t="inlineStr">
        <is>
          <t xml:space="preserve">DIST    AIRPRO      </t>
        </is>
      </c>
      <c r="AE326" s="716" t="n"/>
      <c r="AF326" s="716" t="n"/>
      <c r="AG326" s="716" t="n"/>
      <c r="AH326" s="716" t="n"/>
      <c r="AI326" s="716" t="n"/>
      <c r="AJ326" s="716" t="n"/>
      <c r="AK326" s="717" t="inlineStr">
        <is>
          <t xml:space="preserve">2008 LEASE.                                                       </t>
        </is>
      </c>
      <c r="AL326">
        <f>IF(AND(ISNUMBER($S326),$S326&gt;0,ISNUMBER($K326),ISNUMBER($J326)),($K326*$J326)/$S326,"")</f>
        <v/>
      </c>
      <c r="AM326" s="59" t="inlineStr"/>
    </row>
    <row r="327" ht="14" customHeight="1" s="518">
      <c r="A327" s="62" t="n">
        <v>7</v>
      </c>
      <c r="B327" s="93" t="n">
        <v>318</v>
      </c>
      <c r="C327" s="68" t="inlineStr">
        <is>
          <t>2011Q</t>
        </is>
      </c>
      <c r="D327" s="59" t="inlineStr">
        <is>
          <t xml:space="preserve">01194-03-006-000 </t>
        </is>
      </c>
      <c r="E327" s="72" t="inlineStr">
        <is>
          <t>Actual</t>
        </is>
      </c>
      <c r="F327" s="73" t="inlineStr">
        <is>
          <t>4940 E 39TH                AV</t>
        </is>
      </c>
      <c r="G327" s="708" t="n">
        <v>44.1</v>
      </c>
      <c r="H327" s="67" t="n">
        <v>9101</v>
      </c>
      <c r="I327" s="69" t="n">
        <v>0</v>
      </c>
      <c r="J327" s="714" t="n">
        <v>6272</v>
      </c>
      <c r="K327" s="715" t="n">
        <v>5.830038265306122</v>
      </c>
      <c r="L327" s="74" t="n">
        <v>0</v>
      </c>
      <c r="M327" s="76" t="n">
        <v>0.05319148936170213</v>
      </c>
      <c r="N327" s="67" t="n">
        <v>1966</v>
      </c>
      <c r="O327" s="64" t="n">
        <v>1040</v>
      </c>
      <c r="Q327" s="59" t="n">
        <v>12</v>
      </c>
      <c r="R327" s="59" t="n">
        <v>1</v>
      </c>
      <c r="S327" s="59" t="n">
        <v>1</v>
      </c>
      <c r="T327" s="63" t="inlineStr">
        <is>
          <t xml:space="preserve">I1   </t>
        </is>
      </c>
      <c r="U327" s="63" t="n">
        <v>401</v>
      </c>
      <c r="V327" s="714" t="n">
        <v>12951</v>
      </c>
      <c r="W327" s="714" t="n">
        <v>13000</v>
      </c>
      <c r="X327" s="83" t="inlineStr">
        <is>
          <t>2.1:1</t>
        </is>
      </c>
      <c r="Y327" s="714" t="n">
        <v>6000</v>
      </c>
      <c r="Z327" s="63" t="inlineStr">
        <is>
          <t xml:space="preserve">C </t>
        </is>
      </c>
      <c r="AC327" s="67" t="n"/>
      <c r="AD327" s="61" t="inlineStr">
        <is>
          <t>S-M BC PRINTING INC.</t>
        </is>
      </c>
      <c r="AE327" s="716" t="n"/>
      <c r="AF327" s="716" t="n"/>
      <c r="AG327" s="716" t="n"/>
      <c r="AH327" s="716" t="n"/>
      <c r="AI327" s="716" t="n"/>
      <c r="AJ327" s="716" t="n"/>
      <c r="AK327" s="717" t="inlineStr"/>
      <c r="AL327">
        <f>IF(AND(ISNUMBER($S327),$S327&gt;0,ISNUMBER($K327),ISNUMBER($J327)),($K327*$J327)/$S327,"")</f>
        <v/>
      </c>
      <c r="AM327" s="59" t="inlineStr"/>
    </row>
    <row r="328" ht="28" customHeight="1" s="518">
      <c r="A328" s="62" t="n">
        <v>7</v>
      </c>
      <c r="B328" s="93" t="n">
        <v>319</v>
      </c>
      <c r="C328" s="68" t="inlineStr">
        <is>
          <t>2011Q</t>
        </is>
      </c>
      <c r="D328" s="59" t="inlineStr">
        <is>
          <t xml:space="preserve">01194-04-001-000 </t>
        </is>
      </c>
      <c r="E328" s="72" t="inlineStr">
        <is>
          <t>Actual</t>
        </is>
      </c>
      <c r="F328" s="73" t="inlineStr">
        <is>
          <t>3835   ELM                 ST</t>
        </is>
      </c>
      <c r="G328" s="708" t="n">
        <v>44.2</v>
      </c>
      <c r="H328" s="67" t="n">
        <v>9101</v>
      </c>
      <c r="I328" s="69" t="n">
        <v>0</v>
      </c>
      <c r="J328" s="714" t="n">
        <v>18000</v>
      </c>
      <c r="K328" s="715" t="n">
        <v>4.623333333333333</v>
      </c>
      <c r="L328" s="74" t="n">
        <v>0</v>
      </c>
      <c r="M328" s="76" t="n">
        <v>0.2607065609228551</v>
      </c>
      <c r="N328" s="67" t="n">
        <v>1962</v>
      </c>
      <c r="O328" s="64" t="n">
        <v>9120</v>
      </c>
      <c r="Q328" s="59" t="n">
        <v>13</v>
      </c>
      <c r="R328" s="59" t="n">
        <v>3</v>
      </c>
      <c r="S328" s="59" t="n">
        <v>6</v>
      </c>
      <c r="T328" s="63" t="inlineStr">
        <is>
          <t xml:space="preserve">I0   </t>
        </is>
      </c>
      <c r="U328" s="63" t="n">
        <v>398</v>
      </c>
      <c r="V328" s="714" t="n">
        <v>41400</v>
      </c>
      <c r="W328" s="714" t="n">
        <v>41000</v>
      </c>
      <c r="X328" s="83" t="inlineStr">
        <is>
          <t>2.3:1</t>
        </is>
      </c>
      <c r="Y328" s="714" t="n">
        <v>18000</v>
      </c>
      <c r="Z328" s="63" t="inlineStr">
        <is>
          <t xml:space="preserve">C </t>
        </is>
      </c>
      <c r="AC328" s="67" t="n"/>
      <c r="AD328" s="61" t="inlineStr">
        <is>
          <t xml:space="preserve">DIST/MULTI TENANT   </t>
        </is>
      </c>
      <c r="AE328" s="716" t="n"/>
      <c r="AF328" s="716" t="n"/>
      <c r="AG328" s="716" t="n"/>
      <c r="AH328" s="716" t="n"/>
      <c r="AI328" s="716" t="n"/>
      <c r="AJ328" s="716" t="n"/>
      <c r="AK328" s="717" t="inlineStr">
        <is>
          <t xml:space="preserve">2008-2010 LEASES;  GROSS LEASING BASIS IS ATYPICAL.               </t>
        </is>
      </c>
      <c r="AL328">
        <f>IF(AND(ISNUMBER($S328),$S328&gt;0,ISNUMBER($K328),ISNUMBER($J328)),($K328*$J328)/$S328,"")</f>
        <v/>
      </c>
      <c r="AM328" s="93" t="n"/>
      <c r="AN328" s="93" t="n"/>
      <c r="AO328" s="93" t="n"/>
      <c r="AP328" s="93" t="n"/>
      <c r="AQ328" s="93" t="n"/>
    </row>
    <row r="329" ht="14" customHeight="1" s="518">
      <c r="A329" s="62" t="n">
        <v>7</v>
      </c>
      <c r="B329" s="93" t="n">
        <v>320</v>
      </c>
      <c r="C329" s="68" t="inlineStr">
        <is>
          <t>2011Q</t>
        </is>
      </c>
      <c r="D329" s="59" t="inlineStr">
        <is>
          <t xml:space="preserve">01201-19-020-000 </t>
        </is>
      </c>
      <c r="E329" s="72" t="inlineStr">
        <is>
          <t>Actual</t>
        </is>
      </c>
      <c r="F329" s="73" t="inlineStr">
        <is>
          <t>6804 E 48TH                AV</t>
        </is>
      </c>
      <c r="G329" s="708" t="n">
        <v>44.2</v>
      </c>
      <c r="H329" s="67" t="n">
        <v>9101</v>
      </c>
      <c r="I329" s="69" t="n">
        <v>0</v>
      </c>
      <c r="J329" s="714" t="n">
        <v>46464</v>
      </c>
      <c r="K329" s="715" t="n">
        <v>5.214101239669422</v>
      </c>
      <c r="L329" s="74" t="n">
        <v>0</v>
      </c>
      <c r="M329" s="76" t="n">
        <v>0.0396626876021596</v>
      </c>
      <c r="N329" s="67" t="n">
        <v>1973</v>
      </c>
      <c r="O329" s="64" t="n">
        <v>5987</v>
      </c>
      <c r="Q329" s="59" t="n">
        <v>15</v>
      </c>
      <c r="R329" s="59" t="n">
        <v>10</v>
      </c>
      <c r="S329" s="59" t="n">
        <v>8</v>
      </c>
      <c r="T329" s="63" t="inlineStr">
        <is>
          <t xml:space="preserve">I2   </t>
        </is>
      </c>
      <c r="U329" s="63" t="n">
        <v>398</v>
      </c>
      <c r="V329" s="714" t="n">
        <v>97473</v>
      </c>
      <c r="W329" s="714" t="n">
        <v>97000</v>
      </c>
      <c r="X329" s="83" t="inlineStr">
        <is>
          <t>2.1:1</t>
        </is>
      </c>
      <c r="Y329" s="714" t="n">
        <v>46000</v>
      </c>
      <c r="Z329" s="63" t="inlineStr">
        <is>
          <t xml:space="preserve">C </t>
        </is>
      </c>
      <c r="AC329" s="67" t="n"/>
      <c r="AD329" s="61" t="inlineStr"/>
      <c r="AE329" s="716" t="n"/>
      <c r="AF329" s="716" t="n"/>
      <c r="AG329" s="716" t="n"/>
      <c r="AH329" s="716" t="n"/>
      <c r="AI329" s="716" t="n"/>
      <c r="AJ329" s="716" t="n"/>
      <c r="AK329" s="717" t="inlineStr">
        <is>
          <t xml:space="preserve">MOSTLY BASE PERIOD LEASES BUT NOT ALL.                            </t>
        </is>
      </c>
      <c r="AL329">
        <f>IF(AND(ISNUMBER($S329),$S329&gt;0,ISNUMBER($K329),ISNUMBER($J329)),($K329*$J329)/$S329,"")</f>
        <v/>
      </c>
      <c r="AM329" s="59" t="inlineStr"/>
    </row>
    <row r="330" ht="14" customHeight="1" s="518">
      <c r="A330" s="62" t="n">
        <v>7</v>
      </c>
      <c r="B330" s="93" t="n">
        <v>321</v>
      </c>
      <c r="C330" s="68" t="inlineStr">
        <is>
          <t>2011Q</t>
        </is>
      </c>
      <c r="D330" s="59" t="inlineStr">
        <is>
          <t xml:space="preserve">01202-00-081-000 </t>
        </is>
      </c>
      <c r="E330" s="72" t="inlineStr">
        <is>
          <t>Actual</t>
        </is>
      </c>
      <c r="F330" s="73" t="inlineStr">
        <is>
          <t>4780   HOLLY               ST</t>
        </is>
      </c>
      <c r="G330" s="708" t="n">
        <v>44.2</v>
      </c>
      <c r="H330" s="67" t="n">
        <v>9101</v>
      </c>
      <c r="I330" s="69" t="n">
        <v>0</v>
      </c>
      <c r="J330" s="714" t="n">
        <v>46176</v>
      </c>
      <c r="K330" s="715" t="n">
        <v>3.417684511434512</v>
      </c>
      <c r="L330" s="74" t="n">
        <v>0</v>
      </c>
      <c r="M330" s="76" t="n">
        <v>0.0868548617051611</v>
      </c>
      <c r="N330" s="67" t="n">
        <v>1974</v>
      </c>
      <c r="O330" s="64" t="n">
        <v>5160</v>
      </c>
      <c r="Q330" s="59" t="n">
        <v>27</v>
      </c>
      <c r="R330" s="59" t="n">
        <v>14</v>
      </c>
      <c r="S330" s="59" t="n">
        <v>2</v>
      </c>
      <c r="T330" s="63" t="inlineStr">
        <is>
          <t xml:space="preserve">I2   </t>
        </is>
      </c>
      <c r="U330" s="63" t="n">
        <v>398</v>
      </c>
      <c r="V330" s="714" t="n">
        <v>77626</v>
      </c>
      <c r="W330" s="714" t="n">
        <v>78000</v>
      </c>
      <c r="X330" s="83" t="inlineStr">
        <is>
          <t>1.7:1</t>
        </is>
      </c>
      <c r="Y330" s="714" t="n">
        <v>46000</v>
      </c>
      <c r="Z330" s="63" t="inlineStr">
        <is>
          <t xml:space="preserve">C </t>
        </is>
      </c>
      <c r="AC330" s="67" t="n"/>
      <c r="AD330" s="61" t="inlineStr">
        <is>
          <t xml:space="preserve">DIST/ MULTI TENANT  </t>
        </is>
      </c>
      <c r="AE330" s="716" t="n"/>
      <c r="AF330" s="716" t="n"/>
      <c r="AG330" s="716" t="n"/>
      <c r="AH330" s="716" t="n"/>
      <c r="AI330" s="716" t="n"/>
      <c r="AJ330" s="716" t="n"/>
      <c r="AK330" s="717" t="inlineStr">
        <is>
          <t xml:space="preserve">2008/2009 LEASES.                                                 </t>
        </is>
      </c>
      <c r="AL330">
        <f>IF(AND(ISNUMBER($S330),$S330&gt;0,ISNUMBER($K330),ISNUMBER($J330)),($K330*$J330)/$S330,"")</f>
        <v/>
      </c>
      <c r="AM330" s="59" t="inlineStr"/>
    </row>
    <row r="331">
      <c r="A331" s="62" t="n">
        <v>7</v>
      </c>
      <c r="B331" s="93" t="n">
        <v>322</v>
      </c>
      <c r="C331" s="93" t="inlineStr">
        <is>
          <t>2011W</t>
        </is>
      </c>
      <c r="D331" s="93" t="inlineStr">
        <is>
          <t>01202-00-094-000</t>
        </is>
      </c>
      <c r="E331" s="93" t="inlineStr">
        <is>
          <t xml:space="preserve">  Actual</t>
        </is>
      </c>
      <c r="F331" s="93" t="inlineStr">
        <is>
          <t>4570 Ivy St.</t>
        </is>
      </c>
      <c r="G331" s="93" t="n">
        <v>44.4</v>
      </c>
      <c r="H331" s="93" t="n">
        <v>9101</v>
      </c>
      <c r="I331" s="93" t="inlineStr">
        <is>
          <t xml:space="preserve"> ^    0</t>
        </is>
      </c>
      <c r="J331" s="93" t="n">
        <v>144820</v>
      </c>
      <c r="K331" s="721" t="n">
        <v>5.25</v>
      </c>
      <c r="L331" s="97" t="n">
        <v>0.07000000000000001</v>
      </c>
      <c r="M331" s="102" t="n">
        <v>0</v>
      </c>
      <c r="N331" s="93" t="n">
        <v>1985</v>
      </c>
      <c r="O331" s="64" t="n">
        <v>23519</v>
      </c>
      <c r="Q331" s="59" t="n">
        <v>21</v>
      </c>
      <c r="R331" s="59" t="n">
        <v>10</v>
      </c>
      <c r="S331" s="59" t="n">
        <v>7</v>
      </c>
      <c r="T331" s="93" t="inlineStr">
        <is>
          <t xml:space="preserve">      I2</t>
        </is>
      </c>
      <c r="U331" s="93" t="n">
        <v>398</v>
      </c>
      <c r="V331" s="95" t="n">
        <v>311856</v>
      </c>
      <c r="W331" s="93" t="n">
        <v>300000</v>
      </c>
      <c r="X331" s="93" t="inlineStr">
        <is>
          <t xml:space="preserve">           2.1:1</t>
        </is>
      </c>
      <c r="Y331" s="93" t="n">
        <v>140000</v>
      </c>
      <c r="Z331" s="93" t="inlineStr">
        <is>
          <t>B</t>
        </is>
      </c>
      <c r="AA331" s="93" t="n">
        <v>3</v>
      </c>
      <c r="AB331" s="93" t="n">
        <v>3</v>
      </c>
      <c r="AC331" s="93" t="n">
        <v>33</v>
      </c>
      <c r="AD331" s="93" t="n"/>
      <c r="AE331" s="93" t="n"/>
      <c r="AF331" s="93" t="n"/>
      <c r="AG331" s="93" t="n"/>
      <c r="AH331" s="93" t="n"/>
      <c r="AI331" s="93" t="n"/>
      <c r="AJ331" s="93" t="n"/>
      <c r="AK331" s="93" t="n"/>
      <c r="AL331">
        <f>IF(AND(ISNUMBER($S331),$S331&gt;0,ISNUMBER($K331),ISNUMBER($J331)),($K331*$J331)/$S331,"")</f>
        <v/>
      </c>
      <c r="AM331" s="59" t="inlineStr"/>
    </row>
    <row r="332" ht="14" customHeight="1" s="518">
      <c r="A332" s="62" t="n">
        <v>7</v>
      </c>
      <c r="B332" s="93" t="n">
        <v>323</v>
      </c>
      <c r="C332" s="68" t="inlineStr">
        <is>
          <t>2011Q</t>
        </is>
      </c>
      <c r="D332" s="59" t="inlineStr">
        <is>
          <t xml:space="preserve">01202-00-126-000 </t>
        </is>
      </c>
      <c r="E332" s="72" t="inlineStr">
        <is>
          <t>Actual</t>
        </is>
      </c>
      <c r="F332" s="73" t="inlineStr">
        <is>
          <t>4760   HOLLY               ST</t>
        </is>
      </c>
      <c r="G332" s="708" t="n">
        <v>44.2</v>
      </c>
      <c r="H332" s="67" t="n">
        <v>9101</v>
      </c>
      <c r="I332" s="69" t="n">
        <v>0</v>
      </c>
      <c r="J332" s="714" t="n">
        <v>21280</v>
      </c>
      <c r="K332" s="715" t="n">
        <v>7.894736842105263</v>
      </c>
      <c r="L332" s="74" t="n">
        <v>0</v>
      </c>
      <c r="M332" s="76" t="n">
        <v>0</v>
      </c>
      <c r="N332" s="67" t="n">
        <v>1974</v>
      </c>
      <c r="O332" s="64" t="n">
        <v>2700</v>
      </c>
      <c r="Q332" s="59" t="n">
        <v>28</v>
      </c>
      <c r="R332" s="59" t="n">
        <v>10</v>
      </c>
      <c r="S332" s="59" t="n">
        <v>1</v>
      </c>
      <c r="T332" s="63" t="inlineStr">
        <is>
          <t xml:space="preserve">I2   </t>
        </is>
      </c>
      <c r="U332" s="63" t="n">
        <v>398</v>
      </c>
      <c r="V332" s="714" t="n">
        <v>89455</v>
      </c>
      <c r="W332" s="714" t="n">
        <v>89000</v>
      </c>
      <c r="X332" s="83" t="inlineStr">
        <is>
          <t>4.2:1</t>
        </is>
      </c>
      <c r="Y332" s="714" t="n">
        <v>21000</v>
      </c>
      <c r="Z332" s="63" t="inlineStr">
        <is>
          <t xml:space="preserve">C </t>
        </is>
      </c>
      <c r="AC332" s="67" t="n"/>
      <c r="AD332" s="61" t="inlineStr">
        <is>
          <t xml:space="preserve">COLO DRYWALL SUPPLY </t>
        </is>
      </c>
      <c r="AE332" s="716" t="n"/>
      <c r="AF332" s="716" t="n"/>
      <c r="AG332" s="716" t="n"/>
      <c r="AH332" s="716" t="n"/>
      <c r="AI332" s="716" t="n"/>
      <c r="AJ332" s="716" t="n"/>
      <c r="AK332" s="717" t="inlineStr">
        <is>
          <t xml:space="preserve">2008 LEASE.                                                       </t>
        </is>
      </c>
      <c r="AL332">
        <f>IF(AND(ISNUMBER($S332),$S332&gt;0,ISNUMBER($K332),ISNUMBER($J332)),($K332*$J332)/$S332,"")</f>
        <v/>
      </c>
      <c r="AM332" s="59" t="inlineStr"/>
    </row>
    <row r="333" ht="14" customHeight="1" s="518">
      <c r="A333" s="62" t="n">
        <v>7</v>
      </c>
      <c r="B333" s="93" t="n">
        <v>325</v>
      </c>
      <c r="C333" s="68" t="inlineStr">
        <is>
          <t>2011Q</t>
        </is>
      </c>
      <c r="D333" s="59" t="inlineStr">
        <is>
          <t xml:space="preserve">01203-00-073-000 </t>
        </is>
      </c>
      <c r="E333" s="72" t="inlineStr">
        <is>
          <t>Actual</t>
        </is>
      </c>
      <c r="F333" s="73" t="inlineStr">
        <is>
          <t>3880   HOLLY               ST</t>
        </is>
      </c>
      <c r="G333" s="708" t="n">
        <v>47.1</v>
      </c>
      <c r="H333" s="67" t="n">
        <v>9101</v>
      </c>
      <c r="I333" s="69" t="n">
        <v>0</v>
      </c>
      <c r="J333" s="714" t="n">
        <v>40388</v>
      </c>
      <c r="K333" s="715" t="n">
        <v>2.971179558284639</v>
      </c>
      <c r="L333" s="74" t="n">
        <v>0</v>
      </c>
      <c r="M333" s="76" t="n">
        <v>0</v>
      </c>
      <c r="N333" s="67" t="n">
        <v>1965</v>
      </c>
      <c r="O333" s="64" t="n">
        <v>8677</v>
      </c>
      <c r="Q333" s="59" t="n">
        <v>19</v>
      </c>
      <c r="R333" s="59" t="n">
        <v>4</v>
      </c>
      <c r="S333" s="59" t="n">
        <v>1</v>
      </c>
      <c r="T333" s="63" t="inlineStr">
        <is>
          <t xml:space="preserve">I0   </t>
        </is>
      </c>
      <c r="U333" s="63" t="n">
        <v>398</v>
      </c>
      <c r="V333" s="714" t="n">
        <v>106128</v>
      </c>
      <c r="W333" s="714" t="n">
        <v>110000</v>
      </c>
      <c r="X333" s="83" t="inlineStr">
        <is>
          <t>2.6:1</t>
        </is>
      </c>
      <c r="Y333" s="714" t="n">
        <v>40000</v>
      </c>
      <c r="Z333" s="63" t="inlineStr">
        <is>
          <t xml:space="preserve">C </t>
        </is>
      </c>
      <c r="AC333" s="67" t="n"/>
      <c r="AD333" s="61" t="inlineStr">
        <is>
          <t xml:space="preserve">DIST/BRASS SMITH    </t>
        </is>
      </c>
      <c r="AE333" s="716" t="n"/>
      <c r="AF333" s="716" t="n"/>
      <c r="AG333" s="716" t="n"/>
      <c r="AH333" s="716" t="n"/>
      <c r="AI333" s="716" t="n"/>
      <c r="AJ333" s="716" t="n"/>
      <c r="AK333" s="717" t="inlineStr"/>
      <c r="AL333">
        <f>IF(AND(ISNUMBER($S333),$S333&gt;0,ISNUMBER($K333),ISNUMBER($J333)),($K333*$J333)/$S333,"")</f>
        <v/>
      </c>
      <c r="AM333" s="59" t="inlineStr"/>
    </row>
    <row r="334" ht="14" customHeight="1" s="518">
      <c r="A334" s="62" t="n">
        <v>7</v>
      </c>
      <c r="B334" s="93" t="n">
        <v>328</v>
      </c>
      <c r="C334" s="68" t="inlineStr">
        <is>
          <t>2011Q</t>
        </is>
      </c>
      <c r="D334" s="59" t="inlineStr">
        <is>
          <t xml:space="preserve">01204-00-019-000 </t>
        </is>
      </c>
      <c r="E334" s="72" t="inlineStr">
        <is>
          <t>Actual</t>
        </is>
      </c>
      <c r="F334" s="73" t="inlineStr">
        <is>
          <t>4200   MONACO              ST</t>
        </is>
      </c>
      <c r="G334" s="708" t="n">
        <v>44.3</v>
      </c>
      <c r="H334" s="67" t="n">
        <v>9101</v>
      </c>
      <c r="I334" s="69" t="n">
        <v>0</v>
      </c>
      <c r="J334" s="714" t="n">
        <v>112939</v>
      </c>
      <c r="K334" s="715" t="n">
        <v>3.426628533987374</v>
      </c>
      <c r="L334" s="74" t="n">
        <v>0</v>
      </c>
      <c r="M334" s="76" t="n">
        <v>0.01899483204134367</v>
      </c>
      <c r="N334" s="67" t="n">
        <v>1964</v>
      </c>
      <c r="O334" s="64" t="n">
        <v>1978</v>
      </c>
      <c r="P334" s="64" t="n">
        <v>7424</v>
      </c>
      <c r="Q334" s="59" t="n">
        <v>20</v>
      </c>
      <c r="R334" s="59" t="n">
        <v>1</v>
      </c>
      <c r="S334" s="59" t="n">
        <v>1</v>
      </c>
      <c r="T334" s="63" t="inlineStr">
        <is>
          <t xml:space="preserve">I2   </t>
        </is>
      </c>
      <c r="U334" s="63" t="n">
        <v>398</v>
      </c>
      <c r="V334" s="714" t="n">
        <v>317968</v>
      </c>
      <c r="W334" s="714" t="n">
        <v>320000</v>
      </c>
      <c r="X334" s="83" t="inlineStr">
        <is>
          <t>2.8:1</t>
        </is>
      </c>
      <c r="Y334" s="714" t="n">
        <v>110000</v>
      </c>
      <c r="Z334" s="63" t="inlineStr">
        <is>
          <t xml:space="preserve">C </t>
        </is>
      </c>
      <c r="AC334" s="67" t="n"/>
      <c r="AD334" s="61" t="inlineStr">
        <is>
          <t xml:space="preserve">ANKMAR DOORS        </t>
        </is>
      </c>
      <c r="AE334" s="716" t="n"/>
      <c r="AF334" s="716" t="n"/>
      <c r="AG334" s="716" t="n"/>
      <c r="AH334" s="716" t="n"/>
      <c r="AI334" s="716" t="n"/>
      <c r="AJ334" s="716" t="n"/>
      <c r="AK334" s="717" t="inlineStr">
        <is>
          <t xml:space="preserve">COMMENCEMENT DATE OF LEASE UNKNOWN.                               </t>
        </is>
      </c>
      <c r="AL334">
        <f>IF(AND(ISNUMBER($S334),$S334&gt;0,ISNUMBER($K334),ISNUMBER($J334)),($K334*$J334)/$S334,"")</f>
        <v/>
      </c>
      <c r="AM334" s="59" t="inlineStr"/>
    </row>
    <row r="335" ht="28" customHeight="1" s="518">
      <c r="A335" s="62" t="n">
        <v>7</v>
      </c>
      <c r="B335" s="93" t="n">
        <v>329</v>
      </c>
      <c r="C335" s="68" t="inlineStr">
        <is>
          <t>2011Q</t>
        </is>
      </c>
      <c r="D335" s="59" t="inlineStr">
        <is>
          <t xml:space="preserve">01204-18-024-000 </t>
        </is>
      </c>
      <c r="E335" s="72" t="inlineStr">
        <is>
          <t>Actual</t>
        </is>
      </c>
      <c r="F335" s="73" t="inlineStr">
        <is>
          <t>3900   MAGNOLIA            ST</t>
        </is>
      </c>
      <c r="G335" s="708" t="n">
        <v>44.2</v>
      </c>
      <c r="H335" s="67" t="n">
        <v>9101</v>
      </c>
      <c r="I335" s="69" t="n">
        <v>0</v>
      </c>
      <c r="J335" s="714" t="n">
        <v>13000</v>
      </c>
      <c r="K335" s="715" t="n">
        <v>6.014615384615385</v>
      </c>
      <c r="L335" s="74" t="n">
        <v>0.12</v>
      </c>
      <c r="M335" s="76" t="n">
        <v>0.1380355544187236</v>
      </c>
      <c r="N335" s="67" t="n">
        <v>1972</v>
      </c>
      <c r="O335" s="64" t="n">
        <v>792</v>
      </c>
      <c r="Q335" s="59" t="n">
        <v>14</v>
      </c>
      <c r="R335" s="59" t="n">
        <v>1</v>
      </c>
      <c r="S335" s="59" t="n">
        <v>4</v>
      </c>
      <c r="T335" s="63" t="inlineStr">
        <is>
          <t xml:space="preserve">I1   </t>
        </is>
      </c>
      <c r="U335" s="63" t="n">
        <v>398</v>
      </c>
      <c r="V335" s="714" t="n">
        <v>11800</v>
      </c>
      <c r="W335" s="714" t="n">
        <v>12000</v>
      </c>
      <c r="X335" s="83" t="inlineStr">
        <is>
          <t>0.9:1</t>
        </is>
      </c>
      <c r="Y335" s="714" t="n">
        <v>13000</v>
      </c>
      <c r="Z335" s="63" t="inlineStr">
        <is>
          <t xml:space="preserve">C </t>
        </is>
      </c>
      <c r="AC335" s="67" t="n"/>
      <c r="AD335" s="61" t="inlineStr"/>
      <c r="AE335" s="716" t="n"/>
      <c r="AF335" s="716" t="n"/>
      <c r="AG335" s="716" t="n"/>
      <c r="AH335" s="716" t="n"/>
      <c r="AI335" s="716" t="n"/>
      <c r="AJ335" s="716" t="n"/>
      <c r="AK335" s="717" t="inlineStr">
        <is>
          <t>8 UNITS, ALL LEASES MO-TO-MO. MOVED FROM 18-023 DKC. INCLUDES -025</t>
        </is>
      </c>
      <c r="AL335">
        <f>IF(AND(ISNUMBER($S335),$S335&gt;0,ISNUMBER($K335),ISNUMBER($J335)),($K335*$J335)/$S335,"")</f>
        <v/>
      </c>
      <c r="AM335" s="59" t="inlineStr"/>
    </row>
    <row r="336">
      <c r="A336" s="62" t="n">
        <v>7</v>
      </c>
      <c r="B336" s="93" t="n">
        <v>330</v>
      </c>
      <c r="C336" s="63" t="inlineStr">
        <is>
          <t>2011W</t>
        </is>
      </c>
      <c r="D336" s="59" t="inlineStr">
        <is>
          <t>01204-22-001-000</t>
        </is>
      </c>
      <c r="E336" s="63" t="inlineStr">
        <is>
          <t>Actual</t>
        </is>
      </c>
      <c r="F336" s="59" t="inlineStr">
        <is>
          <t>3880-3886 Niagara St.</t>
        </is>
      </c>
      <c r="G336" s="91" t="inlineStr">
        <is>
          <t>442</t>
        </is>
      </c>
      <c r="H336" s="59" t="n">
        <v>9101</v>
      </c>
      <c r="I336" s="63" t="n">
        <v>0</v>
      </c>
      <c r="J336" s="64" t="n">
        <v>8400</v>
      </c>
      <c r="K336" s="722" t="n">
        <v>6.29</v>
      </c>
      <c r="L336" s="88" t="n">
        <v>0</v>
      </c>
      <c r="M336" s="88" t="n">
        <v>0.25</v>
      </c>
      <c r="N336" s="59" t="n">
        <v>1978</v>
      </c>
      <c r="O336" s="59" t="n">
        <v>1494</v>
      </c>
      <c r="P336" s="59" t="n"/>
      <c r="Q336" s="59" t="n">
        <v>17</v>
      </c>
      <c r="R336" s="59" t="n">
        <v>3</v>
      </c>
      <c r="S336" s="59" t="n">
        <v>4</v>
      </c>
      <c r="T336" s="63" t="inlineStr">
        <is>
          <t>I0</t>
        </is>
      </c>
      <c r="U336" s="63" t="n">
        <v>398</v>
      </c>
      <c r="V336" s="64" t="n">
        <v>17701</v>
      </c>
      <c r="W336" s="64" t="n">
        <v>20000</v>
      </c>
      <c r="X336" s="67" t="n">
        <v>2.5</v>
      </c>
      <c r="Y336" s="64" t="n">
        <v>8000</v>
      </c>
      <c r="Z336" s="63" t="inlineStr">
        <is>
          <t>C</t>
        </is>
      </c>
      <c r="AE336" s="701" t="n"/>
      <c r="AH336" s="716" t="n"/>
      <c r="AI336" s="716" t="n"/>
      <c r="AJ336" s="716" t="n"/>
      <c r="AK336" s="716" t="n"/>
      <c r="AL336">
        <f>IF(AND(ISNUMBER($S336),$S336&gt;0,ISNUMBER($K336),ISNUMBER($J336)),($K336*$J336)/$S336,"")</f>
        <v/>
      </c>
    </row>
    <row r="337" ht="14" customHeight="1" s="518">
      <c r="A337" s="62" t="n">
        <v>7</v>
      </c>
      <c r="B337" s="93" t="n">
        <v>331</v>
      </c>
      <c r="C337" s="68" t="inlineStr">
        <is>
          <t>2011Q</t>
        </is>
      </c>
      <c r="D337" s="59" t="inlineStr">
        <is>
          <t xml:space="preserve">01204-22-013-000 </t>
        </is>
      </c>
      <c r="E337" s="72" t="inlineStr">
        <is>
          <t>Actual</t>
        </is>
      </c>
      <c r="F337" s="73" t="inlineStr">
        <is>
          <t>6711 E 38TH                AV</t>
        </is>
      </c>
      <c r="G337" s="67" t="n">
        <v>44.1</v>
      </c>
      <c r="H337" s="67" t="n">
        <v>9101</v>
      </c>
      <c r="I337" s="69" t="n">
        <v>0</v>
      </c>
      <c r="J337" s="714" t="n">
        <v>6240</v>
      </c>
      <c r="K337" s="715" t="n">
        <v>5.769230769230769</v>
      </c>
      <c r="L337" s="74" t="n">
        <v>0</v>
      </c>
      <c r="M337" s="76" t="n">
        <v>0.07222222222222222</v>
      </c>
      <c r="N337" s="67" t="n">
        <v>1971</v>
      </c>
      <c r="O337" s="64" t="n">
        <v>2184</v>
      </c>
      <c r="Q337" s="59" t="n">
        <v>15</v>
      </c>
      <c r="R337" s="59" t="n">
        <v>1</v>
      </c>
      <c r="S337" s="59" t="n">
        <v>1</v>
      </c>
      <c r="T337" s="63" t="inlineStr">
        <is>
          <t xml:space="preserve">I0   </t>
        </is>
      </c>
      <c r="U337" s="63" t="n">
        <v>398</v>
      </c>
      <c r="V337" s="714" t="n">
        <v>35401</v>
      </c>
      <c r="W337" s="714" t="n">
        <v>35000</v>
      </c>
      <c r="X337" s="83" t="inlineStr">
        <is>
          <t>5.7:1</t>
        </is>
      </c>
      <c r="Y337" s="714" t="n">
        <v>6000</v>
      </c>
      <c r="Z337" s="63" t="inlineStr">
        <is>
          <t xml:space="preserve">C </t>
        </is>
      </c>
      <c r="AC337" s="67" t="n"/>
      <c r="AD337" s="61" t="inlineStr"/>
      <c r="AE337" s="716" t="n"/>
      <c r="AF337" s="716" t="n"/>
      <c r="AG337" s="716" t="n"/>
      <c r="AH337" s="716" t="n"/>
      <c r="AI337" s="716" t="n"/>
      <c r="AJ337" s="716" t="n"/>
      <c r="AK337" s="717" t="inlineStr">
        <is>
          <t xml:space="preserve">8-2009 LEASE/FIVE YEAR TERM                                       </t>
        </is>
      </c>
      <c r="AL337">
        <f>IF(AND(ISNUMBER($S337),$S337&gt;0,ISNUMBER($K337),ISNUMBER($J337)),($K337*$J337)/$S337,"")</f>
        <v/>
      </c>
      <c r="AM337" s="59" t="inlineStr"/>
    </row>
    <row r="338" ht="14" customHeight="1" s="518">
      <c r="A338" s="62" t="n">
        <v>7</v>
      </c>
      <c r="B338" s="93" t="n">
        <v>332</v>
      </c>
      <c r="C338" s="68" t="inlineStr">
        <is>
          <t>2011Q</t>
        </is>
      </c>
      <c r="D338" s="59" t="inlineStr">
        <is>
          <t xml:space="preserve">01213-00-075-000 </t>
        </is>
      </c>
      <c r="E338" s="72" t="inlineStr">
        <is>
          <t>Actual</t>
        </is>
      </c>
      <c r="F338" s="73" t="inlineStr">
        <is>
          <t>7825 E 40TH                AV</t>
        </is>
      </c>
      <c r="G338" s="67" t="n">
        <v>44.1</v>
      </c>
      <c r="H338" s="67" t="n">
        <v>9101</v>
      </c>
      <c r="I338" s="69" t="n">
        <v>0</v>
      </c>
      <c r="J338" s="714" t="n">
        <v>4537</v>
      </c>
      <c r="K338" s="715" t="n">
        <v>5.289839100727353</v>
      </c>
      <c r="L338" s="74" t="n">
        <v>0</v>
      </c>
      <c r="M338" s="76" t="n">
        <v>0.073875</v>
      </c>
      <c r="N338" s="67" t="n">
        <v>1983</v>
      </c>
      <c r="O338" s="64" t="n">
        <v>1155</v>
      </c>
      <c r="Q338" s="59" t="n">
        <v>18</v>
      </c>
      <c r="R338" s="59" t="n">
        <v>8</v>
      </c>
      <c r="S338" s="59" t="n">
        <v>1</v>
      </c>
      <c r="T338" s="63" t="inlineStr">
        <is>
          <t xml:space="preserve">I2   </t>
        </is>
      </c>
      <c r="U338" s="63" t="n">
        <v>398</v>
      </c>
      <c r="V338" s="714" t="n">
        <v>25100</v>
      </c>
      <c r="W338" s="714" t="n">
        <v>25000</v>
      </c>
      <c r="X338" s="83" t="inlineStr">
        <is>
          <t>5.5:1</t>
        </is>
      </c>
      <c r="Y338" s="714" t="n">
        <v>5000</v>
      </c>
      <c r="Z338" s="63" t="inlineStr">
        <is>
          <t xml:space="preserve">C </t>
        </is>
      </c>
      <c r="AC338" s="67" t="n"/>
      <c r="AD338" s="61" t="inlineStr">
        <is>
          <t>S-D OILIND SUPPLY CO</t>
        </is>
      </c>
      <c r="AE338" s="716" t="n"/>
      <c r="AF338" s="716" t="n"/>
      <c r="AG338" s="716" t="n"/>
      <c r="AH338" s="716" t="n"/>
      <c r="AI338" s="716" t="n"/>
      <c r="AJ338" s="716" t="n"/>
      <c r="AK338" s="717" t="inlineStr">
        <is>
          <t xml:space="preserve">2008 LEASE.                                                       </t>
        </is>
      </c>
      <c r="AL338">
        <f>IF(AND(ISNUMBER($S338),$S338&gt;0,ISNUMBER($K338),ISNUMBER($J338)),($K338*$J338)/$S338,"")</f>
        <v/>
      </c>
      <c r="AM338" s="59" t="inlineStr"/>
    </row>
    <row r="339" ht="28" customHeight="1" s="518">
      <c r="A339" s="62" t="n">
        <v>7</v>
      </c>
      <c r="B339" s="93" t="n">
        <v>333</v>
      </c>
      <c r="C339" s="68" t="inlineStr">
        <is>
          <t>2011Q</t>
        </is>
      </c>
      <c r="D339" s="59" t="inlineStr">
        <is>
          <t xml:space="preserve">01213-00-077-000 </t>
        </is>
      </c>
      <c r="E339" s="72" t="inlineStr">
        <is>
          <t>Actual</t>
        </is>
      </c>
      <c r="F339" s="73" t="inlineStr">
        <is>
          <t>8025 E 40TH                AV</t>
        </is>
      </c>
      <c r="G339" s="708" t="n">
        <v>44.2</v>
      </c>
      <c r="H339" s="67" t="n">
        <v>9101</v>
      </c>
      <c r="I339" s="69" t="n">
        <v>0</v>
      </c>
      <c r="J339" s="714" t="n">
        <v>3400</v>
      </c>
      <c r="K339" s="715" t="n">
        <v>8.294117647058824</v>
      </c>
      <c r="L339" s="74" t="n">
        <v>0</v>
      </c>
      <c r="M339" s="76" t="n">
        <v>0.08301418439716313</v>
      </c>
      <c r="N339" s="67" t="n">
        <v>1959</v>
      </c>
      <c r="O339" s="64" t="n">
        <v>10174</v>
      </c>
      <c r="Q339" s="59" t="n">
        <v>14</v>
      </c>
      <c r="R339" s="59" t="n">
        <v>1</v>
      </c>
      <c r="S339" s="59" t="n">
        <v>3</v>
      </c>
      <c r="T339" s="63" t="inlineStr">
        <is>
          <t xml:space="preserve">I2   </t>
        </is>
      </c>
      <c r="U339" s="63" t="n">
        <v>398</v>
      </c>
      <c r="V339" s="714" t="n">
        <v>80527</v>
      </c>
      <c r="W339" s="714" t="n">
        <v>81000</v>
      </c>
      <c r="X339" s="83" t="inlineStr">
        <is>
          <t>1.8:1</t>
        </is>
      </c>
      <c r="Y339" s="714" t="n">
        <v>3000</v>
      </c>
      <c r="Z339" s="63" t="inlineStr">
        <is>
          <t xml:space="preserve">C </t>
        </is>
      </c>
      <c r="AC339" s="67" t="n"/>
      <c r="AD339" s="61" t="inlineStr">
        <is>
          <t xml:space="preserve">M-W ASPEN BAKERY    </t>
        </is>
      </c>
      <c r="AE339" s="716" t="n"/>
      <c r="AF339" s="716" t="n"/>
      <c r="AG339" s="716" t="n"/>
      <c r="AH339" s="716" t="n"/>
      <c r="AI339" s="716" t="n"/>
      <c r="AJ339" s="716" t="n"/>
      <c r="AK339" s="717" t="inlineStr">
        <is>
          <t xml:space="preserve">44,596 SQ BLDG - ONLY 3,400 SF RENTAL UNIT ENTERED.               </t>
        </is>
      </c>
      <c r="AL339">
        <f>IF(AND(ISNUMBER($S339),$S339&gt;0,ISNUMBER($K339),ISNUMBER($J339)),($K339*$J339)/$S339,"")</f>
        <v/>
      </c>
      <c r="AM339" s="59" t="inlineStr"/>
    </row>
    <row r="340" ht="28" customHeight="1" s="518">
      <c r="A340" s="62" t="n">
        <v>7</v>
      </c>
      <c r="B340" s="93" t="n">
        <v>334</v>
      </c>
      <c r="C340" s="68" t="inlineStr">
        <is>
          <t>2011Q</t>
        </is>
      </c>
      <c r="D340" s="59" t="inlineStr">
        <is>
          <t xml:space="preserve">01231-05-002-000 </t>
        </is>
      </c>
      <c r="E340" s="72" t="inlineStr">
        <is>
          <t>Actual</t>
        </is>
      </c>
      <c r="F340" s="73" t="inlineStr">
        <is>
          <t>4701   MOLINE              ST</t>
        </is>
      </c>
      <c r="G340" s="708" t="n">
        <v>44.4</v>
      </c>
      <c r="H340" s="67" t="n">
        <v>9102</v>
      </c>
      <c r="I340" s="69" t="n">
        <v>0</v>
      </c>
      <c r="J340" s="714" t="n">
        <v>104891</v>
      </c>
      <c r="K340" s="715" t="n">
        <v>4.930146533067661</v>
      </c>
      <c r="L340" s="74" t="n">
        <v>0</v>
      </c>
      <c r="M340" s="76" t="n">
        <v>0.1469094692223202</v>
      </c>
      <c r="N340" s="67" t="n">
        <v>1985</v>
      </c>
      <c r="O340" s="64" t="n">
        <v>14479</v>
      </c>
      <c r="Q340" s="59" t="n">
        <v>24</v>
      </c>
      <c r="R340" s="59" t="n">
        <v>14</v>
      </c>
      <c r="S340" s="59" t="n">
        <v>8</v>
      </c>
      <c r="T340" s="63" t="inlineStr">
        <is>
          <t xml:space="preserve">I2   </t>
        </is>
      </c>
      <c r="U340" s="63" t="n">
        <v>398</v>
      </c>
      <c r="V340" s="714" t="n">
        <v>219619</v>
      </c>
      <c r="W340" s="714" t="n">
        <v>220000</v>
      </c>
      <c r="X340" s="83" t="inlineStr">
        <is>
          <t>2.1:1</t>
        </is>
      </c>
      <c r="Y340" s="714" t="n">
        <v>100000</v>
      </c>
      <c r="Z340" s="63" t="inlineStr">
        <is>
          <t xml:space="preserve">C </t>
        </is>
      </c>
      <c r="AC340" s="67" t="n"/>
      <c r="AD340" s="61" t="inlineStr">
        <is>
          <t xml:space="preserve">M-W DIST WAREHOUSE  </t>
        </is>
      </c>
      <c r="AE340" s="716" t="n"/>
      <c r="AF340" s="716" t="n"/>
      <c r="AG340" s="716" t="n"/>
      <c r="AH340" s="716" t="n"/>
      <c r="AI340" s="716" t="n"/>
      <c r="AJ340" s="716" t="n"/>
      <c r="AK340" s="717" t="inlineStr">
        <is>
          <t xml:space="preserve">LEASES 2007-2009; GROSS BASIS IS HIGHLY ATYPICAL FOR WHSES.       </t>
        </is>
      </c>
      <c r="AL340">
        <f>IF(AND(ISNUMBER($S340),$S340&gt;0,ISNUMBER($K340),ISNUMBER($J340)),($K340*$J340)/$S340,"")</f>
        <v/>
      </c>
      <c r="AM340" s="59" t="inlineStr"/>
    </row>
    <row r="341" ht="28" customHeight="1" s="518">
      <c r="A341" s="62" t="n">
        <v>7</v>
      </c>
      <c r="B341" s="93" t="n">
        <v>334.3</v>
      </c>
      <c r="C341" s="92" t="inlineStr">
        <is>
          <t>2012W</t>
        </is>
      </c>
      <c r="D341" s="93" t="inlineStr">
        <is>
          <t>01231-06-002-000</t>
        </is>
      </c>
      <c r="E341" s="92" t="inlineStr">
        <is>
          <t>Lease</t>
        </is>
      </c>
      <c r="F341" s="93" t="inlineStr">
        <is>
          <t>11775 E 45th Ave</t>
        </is>
      </c>
      <c r="G341" s="94" t="inlineStr">
        <is>
          <t>44.1</t>
        </is>
      </c>
      <c r="H341" s="93" t="n">
        <v>9102</v>
      </c>
      <c r="I341" s="92" t="n">
        <v>0</v>
      </c>
      <c r="J341" s="95" t="n">
        <v>89867</v>
      </c>
      <c r="K341" s="718" t="n">
        <v>6.22</v>
      </c>
      <c r="L341" s="97" t="n">
        <v>0</v>
      </c>
      <c r="M341" s="97" t="n">
        <v>0.08</v>
      </c>
      <c r="N341" s="93" t="n">
        <v>2007</v>
      </c>
      <c r="O341" s="714" t="n">
        <v>22499</v>
      </c>
      <c r="P341" s="59" t="n"/>
      <c r="Q341" s="59" t="n">
        <v>33</v>
      </c>
      <c r="R341" s="59" t="n">
        <v>14</v>
      </c>
      <c r="S341" s="59" t="n">
        <v>1</v>
      </c>
      <c r="T341" s="92" t="inlineStr">
        <is>
          <t>I2</t>
        </is>
      </c>
      <c r="U341" s="93" t="n">
        <v>398</v>
      </c>
      <c r="V341" s="95" t="n">
        <v>279946</v>
      </c>
      <c r="W341" s="95" t="n">
        <v>300000</v>
      </c>
      <c r="X341" s="98" t="inlineStr">
        <is>
          <t>3.1:1</t>
        </is>
      </c>
      <c r="Y341" s="95" t="n">
        <v>100000</v>
      </c>
      <c r="Z341" s="93" t="inlineStr">
        <is>
          <t>C</t>
        </is>
      </c>
      <c r="AA341" s="93" t="n">
        <v>3</v>
      </c>
      <c r="AB341" s="93" t="n">
        <v>3</v>
      </c>
      <c r="AC341" s="93" t="n">
        <v>33</v>
      </c>
      <c r="AD341" s="93" t="inlineStr">
        <is>
          <t>Summers Corp</t>
        </is>
      </c>
      <c r="AE341" s="719" t="n"/>
      <c r="AF341" s="720" t="n"/>
      <c r="AG341" s="720" t="n"/>
      <c r="AH341" s="719" t="n"/>
      <c r="AI341" s="720" t="n"/>
      <c r="AJ341" s="719" t="n"/>
      <c r="AK341" s="265" t="inlineStr">
        <is>
          <t>4-2008 lease date, 8 yr term. Expenses are estimated-no expense data in lease memo</t>
        </is>
      </c>
      <c r="AL341">
        <f>IF(AND(ISNUMBER($S341),$S341&gt;0,ISNUMBER($K341),ISNUMBER($J341)),($K341*$J341)/$S341,"")</f>
        <v/>
      </c>
      <c r="AM341" s="716" t="n"/>
      <c r="AN341" s="716" t="n"/>
      <c r="AO341" s="716" t="n"/>
      <c r="AP341" s="716" t="n"/>
    </row>
    <row r="342" ht="28" customHeight="1" s="518">
      <c r="A342" s="62" t="n">
        <v>7</v>
      </c>
      <c r="B342" s="93" t="n">
        <v>335</v>
      </c>
      <c r="C342" s="68" t="inlineStr">
        <is>
          <t>2011Q</t>
        </is>
      </c>
      <c r="D342" s="59" t="inlineStr">
        <is>
          <t xml:space="preserve">01232-00-051-000 </t>
        </is>
      </c>
      <c r="E342" s="72" t="inlineStr">
        <is>
          <t>Actual</t>
        </is>
      </c>
      <c r="F342" s="73" t="inlineStr">
        <is>
          <t>4690   IRONTON             ST</t>
        </is>
      </c>
      <c r="G342" s="708" t="n">
        <v>44.2</v>
      </c>
      <c r="H342" s="67" t="n">
        <v>9102</v>
      </c>
      <c r="I342" s="69" t="n">
        <v>0</v>
      </c>
      <c r="J342" s="714" t="n">
        <v>11918</v>
      </c>
      <c r="K342" s="715" t="n">
        <v>6.217486155395201</v>
      </c>
      <c r="L342" s="74" t="n">
        <v>0</v>
      </c>
      <c r="M342" s="76" t="n">
        <v>0</v>
      </c>
      <c r="N342" s="67" t="n">
        <v>1967</v>
      </c>
      <c r="O342" s="64" t="n">
        <v>2910</v>
      </c>
      <c r="Q342" s="59" t="n">
        <v>22</v>
      </c>
      <c r="R342" s="59" t="n">
        <v>1</v>
      </c>
      <c r="S342" s="59" t="n">
        <v>1</v>
      </c>
      <c r="T342" s="63" t="inlineStr">
        <is>
          <t xml:space="preserve">I2   </t>
        </is>
      </c>
      <c r="U342" s="63" t="n">
        <v>398</v>
      </c>
      <c r="V342" s="714" t="n">
        <v>32585</v>
      </c>
      <c r="W342" s="714" t="n">
        <v>33000</v>
      </c>
      <c r="X342" s="83" t="inlineStr">
        <is>
          <t>2.7:1</t>
        </is>
      </c>
      <c r="Y342" s="714" t="n">
        <v>12000</v>
      </c>
      <c r="Z342" s="63" t="inlineStr">
        <is>
          <t xml:space="preserve">C </t>
        </is>
      </c>
      <c r="AC342" s="67" t="n"/>
      <c r="AD342" s="61" t="inlineStr">
        <is>
          <t xml:space="preserve">M-W                 </t>
        </is>
      </c>
      <c r="AE342" s="716" t="n"/>
      <c r="AF342" s="716" t="n"/>
      <c r="AG342" s="716" t="n"/>
      <c r="AH342" s="716" t="n"/>
      <c r="AI342" s="716" t="n"/>
      <c r="AJ342" s="716" t="n"/>
      <c r="AK342" s="717" t="inlineStr">
        <is>
          <t xml:space="preserve">OWNER'S LEVEL OF EXPENSE IS EXCESSIVE - NOT ENTERED.              </t>
        </is>
      </c>
      <c r="AL342">
        <f>IF(AND(ISNUMBER($S342),$S342&gt;0,ISNUMBER($K342),ISNUMBER($J342)),($K342*$J342)/$S342,"")</f>
        <v/>
      </c>
      <c r="AM342" s="59" t="inlineStr"/>
    </row>
    <row r="343" ht="14" customHeight="1" s="518">
      <c r="A343" s="62" t="n">
        <v>7</v>
      </c>
      <c r="B343" s="93" t="n">
        <v>336</v>
      </c>
      <c r="C343" s="68" t="inlineStr">
        <is>
          <t>2011Q</t>
        </is>
      </c>
      <c r="D343" s="59" t="inlineStr">
        <is>
          <t xml:space="preserve">01232-08-004-000 </t>
        </is>
      </c>
      <c r="E343" s="72" t="inlineStr">
        <is>
          <t>Actual</t>
        </is>
      </c>
      <c r="F343" s="73" t="inlineStr">
        <is>
          <t>4690   JOLIET              ST</t>
        </is>
      </c>
      <c r="G343" s="708" t="n">
        <v>44.2</v>
      </c>
      <c r="H343" s="67" t="n">
        <v>9102</v>
      </c>
      <c r="I343" s="69" t="n">
        <v>0</v>
      </c>
      <c r="J343" s="714" t="n">
        <v>43840</v>
      </c>
      <c r="K343" s="715" t="n">
        <v>6.747262773722627</v>
      </c>
      <c r="L343" s="74" t="n">
        <v>0</v>
      </c>
      <c r="M343" s="76" t="n">
        <v>0</v>
      </c>
      <c r="N343" s="67" t="n">
        <v>1970</v>
      </c>
      <c r="O343" s="64" t="n">
        <v>4099</v>
      </c>
      <c r="P343" s="64" t="n">
        <v>12536</v>
      </c>
      <c r="Q343" s="59" t="n">
        <v>24</v>
      </c>
      <c r="R343" s="59" t="n">
        <v>10</v>
      </c>
      <c r="S343" s="59" t="n">
        <v>1</v>
      </c>
      <c r="T343" s="63" t="inlineStr">
        <is>
          <t xml:space="preserve">I2   </t>
        </is>
      </c>
      <c r="U343" s="63" t="n">
        <v>398</v>
      </c>
      <c r="V343" s="714" t="n">
        <v>124250</v>
      </c>
      <c r="W343" s="714" t="n">
        <v>120000</v>
      </c>
      <c r="X343" s="83" t="inlineStr">
        <is>
          <t>2.8:1</t>
        </is>
      </c>
      <c r="Y343" s="714" t="n">
        <v>44000</v>
      </c>
      <c r="Z343" s="63" t="inlineStr">
        <is>
          <t xml:space="preserve">C </t>
        </is>
      </c>
      <c r="AC343" s="67" t="n"/>
      <c r="AD343" s="61" t="inlineStr">
        <is>
          <t xml:space="preserve">BELFOR              </t>
        </is>
      </c>
      <c r="AE343" s="716" t="n"/>
      <c r="AF343" s="716" t="n"/>
      <c r="AG343" s="716" t="n"/>
      <c r="AH343" s="716" t="n"/>
      <c r="AI343" s="716" t="n"/>
      <c r="AJ343" s="716" t="n"/>
      <c r="AK343" s="717" t="inlineStr">
        <is>
          <t xml:space="preserve">2008 LEASE.                                                       </t>
        </is>
      </c>
      <c r="AL343">
        <f>IF(AND(ISNUMBER($S343),$S343&gt;0,ISNUMBER($K343),ISNUMBER($J343)),($K343*$J343)/$S343,"")</f>
        <v/>
      </c>
      <c r="AM343" s="59" t="inlineStr"/>
    </row>
    <row r="344" ht="28" customHeight="1" s="518">
      <c r="A344" s="62" t="n">
        <v>7</v>
      </c>
      <c r="B344" s="93" t="n">
        <v>337</v>
      </c>
      <c r="C344" s="68" t="inlineStr">
        <is>
          <t>2011Q</t>
        </is>
      </c>
      <c r="D344" s="59" t="inlineStr">
        <is>
          <t xml:space="preserve">01232-08-006-000 </t>
        </is>
      </c>
      <c r="E344" s="72" t="inlineStr">
        <is>
          <t>Actual</t>
        </is>
      </c>
      <c r="F344" s="73" t="inlineStr">
        <is>
          <t>4600   JOLIET              ST</t>
        </is>
      </c>
      <c r="G344" s="67" t="n">
        <v>44.1</v>
      </c>
      <c r="H344" s="67" t="n">
        <v>9102</v>
      </c>
      <c r="I344" s="69" t="n">
        <v>0</v>
      </c>
      <c r="J344" s="714" t="n">
        <v>58984</v>
      </c>
      <c r="K344" s="715" t="n">
        <v>4.275735792757358</v>
      </c>
      <c r="L344" s="74" t="n">
        <v>0</v>
      </c>
      <c r="M344" s="76" t="n">
        <v>0</v>
      </c>
      <c r="N344" s="67" t="n">
        <v>1982</v>
      </c>
      <c r="O344" s="64" t="n">
        <v>3144</v>
      </c>
      <c r="Q344" s="59" t="n">
        <v>27</v>
      </c>
      <c r="R344" s="59" t="n">
        <v>3</v>
      </c>
      <c r="S344" s="59" t="n">
        <v>2</v>
      </c>
      <c r="T344" s="63" t="inlineStr">
        <is>
          <t xml:space="preserve">I2   </t>
        </is>
      </c>
      <c r="U344" s="63" t="n">
        <v>398</v>
      </c>
      <c r="V344" s="714" t="n">
        <v>111825</v>
      </c>
      <c r="W344" s="714" t="n">
        <v>110000</v>
      </c>
      <c r="X344" s="83" t="inlineStr">
        <is>
          <t>1.9:1</t>
        </is>
      </c>
      <c r="Y344" s="714" t="n">
        <v>59000</v>
      </c>
      <c r="Z344" s="63" t="inlineStr">
        <is>
          <t xml:space="preserve">C </t>
        </is>
      </c>
      <c r="AC344" s="67" t="n"/>
      <c r="AD344" s="61" t="inlineStr">
        <is>
          <t xml:space="preserve">M-W BREMNER BISCUIT </t>
        </is>
      </c>
      <c r="AE344" s="716" t="n"/>
      <c r="AF344" s="716" t="n"/>
      <c r="AG344" s="716" t="n"/>
      <c r="AH344" s="716" t="n"/>
      <c r="AI344" s="716" t="n"/>
      <c r="AJ344" s="716" t="n"/>
      <c r="AK344" s="717" t="inlineStr">
        <is>
          <t xml:space="preserve">EXPENSES ARE EXCESSIVE - MAY BE FOR BUSINESS,TOO, NOT ENTERED.    </t>
        </is>
      </c>
      <c r="AL344">
        <f>IF(AND(ISNUMBER($S344),$S344&gt;0,ISNUMBER($K344),ISNUMBER($J344)),($K344*$J344)/$S344,"")</f>
        <v/>
      </c>
      <c r="AM344" s="59" t="inlineStr"/>
    </row>
    <row r="345" ht="14" customHeight="1" s="518">
      <c r="A345" s="62" t="n">
        <v>7</v>
      </c>
      <c r="B345" s="93" t="n">
        <v>338</v>
      </c>
      <c r="C345" s="68" t="inlineStr">
        <is>
          <t>2011Q</t>
        </is>
      </c>
      <c r="D345" s="59" t="inlineStr">
        <is>
          <t xml:space="preserve">01232-10-002-000 </t>
        </is>
      </c>
      <c r="E345" s="72" t="inlineStr">
        <is>
          <t>Actual</t>
        </is>
      </c>
      <c r="F345" s="73" t="inlineStr">
        <is>
          <t>10645 E 47TH                AV</t>
        </is>
      </c>
      <c r="G345" s="67" t="n">
        <v>44.1</v>
      </c>
      <c r="H345" s="67" t="n">
        <v>9102</v>
      </c>
      <c r="I345" s="69" t="n">
        <v>0</v>
      </c>
      <c r="J345" s="714" t="n">
        <v>10527</v>
      </c>
      <c r="K345" s="715" t="n">
        <v>6.269592476489028</v>
      </c>
      <c r="L345" s="74" t="n">
        <v>0.25</v>
      </c>
      <c r="M345" s="76" t="n">
        <v>0</v>
      </c>
      <c r="N345" s="67" t="n">
        <v>1968</v>
      </c>
      <c r="O345" s="64" t="n">
        <v>4329</v>
      </c>
      <c r="Q345" s="59" t="n">
        <v>21</v>
      </c>
      <c r="R345" s="59" t="n">
        <v>1</v>
      </c>
      <c r="S345" s="59" t="n">
        <v>1</v>
      </c>
      <c r="T345" s="63" t="inlineStr">
        <is>
          <t xml:space="preserve">I2   </t>
        </is>
      </c>
      <c r="U345" s="63" t="n">
        <v>398</v>
      </c>
      <c r="V345" s="714" t="n">
        <v>25100</v>
      </c>
      <c r="W345" s="714" t="n">
        <v>25000</v>
      </c>
      <c r="X345" s="83" t="inlineStr">
        <is>
          <t>2.4:1</t>
        </is>
      </c>
      <c r="Y345" s="714" t="n">
        <v>11000</v>
      </c>
      <c r="Z345" s="63" t="inlineStr">
        <is>
          <t xml:space="preserve">C </t>
        </is>
      </c>
      <c r="AC345" s="67" t="n"/>
      <c r="AD345" s="61" t="inlineStr">
        <is>
          <t xml:space="preserve">INETDEALS           </t>
        </is>
      </c>
      <c r="AE345" s="716" t="n"/>
      <c r="AF345" s="716" t="n"/>
      <c r="AG345" s="716" t="n"/>
      <c r="AH345" s="716" t="n"/>
      <c r="AI345" s="716" t="n"/>
      <c r="AJ345" s="716" t="n"/>
      <c r="AK345" s="717" t="inlineStr"/>
      <c r="AL345">
        <f>IF(AND(ISNUMBER($S345),$S345&gt;0,ISNUMBER($K345),ISNUMBER($J345)),($K345*$J345)/$S345,"")</f>
        <v/>
      </c>
      <c r="AM345" s="59" t="inlineStr"/>
    </row>
    <row r="346" ht="14" customHeight="1" s="518">
      <c r="A346" s="62" t="n">
        <v>7</v>
      </c>
      <c r="B346" s="93" t="n">
        <v>339</v>
      </c>
      <c r="C346" s="68" t="inlineStr">
        <is>
          <t>2011Q</t>
        </is>
      </c>
      <c r="D346" s="59" t="inlineStr">
        <is>
          <t xml:space="preserve">01233-00-026-000 </t>
        </is>
      </c>
      <c r="E346" s="72" t="inlineStr">
        <is>
          <t>Actual</t>
        </is>
      </c>
      <c r="F346" s="73" t="inlineStr">
        <is>
          <t>11200 E 40TH                AV</t>
        </is>
      </c>
      <c r="G346" s="708" t="n">
        <v>44.2</v>
      </c>
      <c r="H346" s="67" t="n">
        <v>9104</v>
      </c>
      <c r="I346" s="69" t="n">
        <v>0</v>
      </c>
      <c r="J346" s="714" t="n">
        <v>86060</v>
      </c>
      <c r="K346" s="715" t="n">
        <v>4.541808040901697</v>
      </c>
      <c r="L346" s="74" t="n">
        <v>0</v>
      </c>
      <c r="M346" s="76" t="n">
        <v>0</v>
      </c>
      <c r="N346" s="67" t="n">
        <v>1973</v>
      </c>
      <c r="O346" s="64" t="n">
        <v>12963</v>
      </c>
      <c r="P346" s="64" t="n">
        <v>15020</v>
      </c>
      <c r="Q346" s="59" t="n">
        <v>20</v>
      </c>
      <c r="R346" s="59" t="n">
        <v>8</v>
      </c>
      <c r="S346" s="59" t="n">
        <v>1</v>
      </c>
      <c r="T346" s="63" t="inlineStr">
        <is>
          <t xml:space="preserve">I2   </t>
        </is>
      </c>
      <c r="U346" s="63" t="n">
        <v>398</v>
      </c>
      <c r="V346" s="714" t="n">
        <v>304924</v>
      </c>
      <c r="W346" s="714" t="n">
        <v>300000</v>
      </c>
      <c r="X346" s="83" t="inlineStr">
        <is>
          <t>3.5:1</t>
        </is>
      </c>
      <c r="Y346" s="714" t="n">
        <v>86000</v>
      </c>
      <c r="Z346" s="63" t="inlineStr">
        <is>
          <t xml:space="preserve">C </t>
        </is>
      </c>
      <c r="AC346" s="67" t="n"/>
      <c r="AD346" s="61" t="inlineStr">
        <is>
          <t xml:space="preserve">CENTER RENTAL/SALES </t>
        </is>
      </c>
      <c r="AE346" s="716" t="n"/>
      <c r="AF346" s="716" t="n"/>
      <c r="AG346" s="716" t="n"/>
      <c r="AH346" s="716" t="n"/>
      <c r="AI346" s="716" t="n"/>
      <c r="AJ346" s="716" t="n"/>
      <c r="AK346" s="717" t="inlineStr">
        <is>
          <t xml:space="preserve">2008 LEASE.                                                       </t>
        </is>
      </c>
      <c r="AL346">
        <f>IF(AND(ISNUMBER($S346),$S346&gt;0,ISNUMBER($K346),ISNUMBER($J346)),($K346*$J346)/$S346,"")</f>
        <v/>
      </c>
      <c r="AM346" s="59" t="inlineStr"/>
    </row>
    <row r="347" ht="14" customHeight="1" s="518">
      <c r="A347" s="62" t="n">
        <v>7</v>
      </c>
      <c r="B347" s="93" t="n">
        <v>340</v>
      </c>
      <c r="C347" s="68" t="inlineStr">
        <is>
          <t>2011Q</t>
        </is>
      </c>
      <c r="D347" s="59" t="inlineStr">
        <is>
          <t xml:space="preserve">01234-01-009-000 </t>
        </is>
      </c>
      <c r="E347" s="72" t="inlineStr">
        <is>
          <t>Actual</t>
        </is>
      </c>
      <c r="F347" s="73" t="inlineStr">
        <is>
          <t>3891   PARIS               ST</t>
        </is>
      </c>
      <c r="G347" s="708" t="n">
        <v>44.2</v>
      </c>
      <c r="H347" s="67" t="n">
        <v>9104</v>
      </c>
      <c r="I347" s="69" t="n">
        <v>0</v>
      </c>
      <c r="J347" s="714" t="n">
        <v>14149</v>
      </c>
      <c r="K347" s="715" t="n">
        <v>5.512757085306382</v>
      </c>
      <c r="L347" s="74" t="n">
        <v>0</v>
      </c>
      <c r="M347" s="76" t="n">
        <v>0.1307692307692308</v>
      </c>
      <c r="N347" s="67" t="n">
        <v>2000</v>
      </c>
      <c r="O347" s="64" t="n">
        <v>1629</v>
      </c>
      <c r="Q347" s="59" t="n">
        <v>19</v>
      </c>
      <c r="R347" s="59" t="n">
        <v>14</v>
      </c>
      <c r="S347" s="59" t="n">
        <v>1</v>
      </c>
      <c r="T347" s="63" t="inlineStr">
        <is>
          <t xml:space="preserve">I1   </t>
        </is>
      </c>
      <c r="U347" s="63" t="n">
        <v>398</v>
      </c>
      <c r="V347" s="714" t="n">
        <v>36116</v>
      </c>
      <c r="W347" s="714" t="n">
        <v>36000</v>
      </c>
      <c r="X347" s="83" t="inlineStr">
        <is>
          <t>2.6:1</t>
        </is>
      </c>
      <c r="Y347" s="714" t="n">
        <v>14000</v>
      </c>
      <c r="Z347" s="63" t="inlineStr">
        <is>
          <t xml:space="preserve">C </t>
        </is>
      </c>
      <c r="AC347" s="67" t="n"/>
      <c r="AD347" s="61" t="inlineStr"/>
      <c r="AE347" s="716" t="n"/>
      <c r="AF347" s="716" t="n"/>
      <c r="AG347" s="716" t="n"/>
      <c r="AH347" s="716" t="n"/>
      <c r="AI347" s="716" t="n"/>
      <c r="AJ347" s="716" t="n"/>
      <c r="AK347" s="717" t="inlineStr">
        <is>
          <t xml:space="preserve">EXCESSIVE EXPENSES TO OWNER.                                      </t>
        </is>
      </c>
      <c r="AL347">
        <f>IF(AND(ISNUMBER($S347),$S347&gt;0,ISNUMBER($K347),ISNUMBER($J347)),($K347*$J347)/$S347,"")</f>
        <v/>
      </c>
      <c r="AM347" s="59" t="inlineStr"/>
    </row>
    <row r="348" ht="28" customHeight="1" s="518">
      <c r="A348" s="62" t="n">
        <v>7</v>
      </c>
      <c r="B348" s="93" t="n">
        <v>341</v>
      </c>
      <c r="C348" s="68" t="inlineStr">
        <is>
          <t>2011Q</t>
        </is>
      </c>
      <c r="D348" s="59" t="inlineStr">
        <is>
          <t xml:space="preserve">01234-01-014-000 </t>
        </is>
      </c>
      <c r="E348" s="72" t="inlineStr">
        <is>
          <t>Actual</t>
        </is>
      </c>
      <c r="F348" s="73" t="inlineStr">
        <is>
          <t>3841   PARIS               ST</t>
        </is>
      </c>
      <c r="G348" s="708" t="n">
        <v>44.2</v>
      </c>
      <c r="H348" s="67" t="n">
        <v>9104</v>
      </c>
      <c r="I348" s="69" t="n">
        <v>0</v>
      </c>
      <c r="J348" s="714" t="n">
        <v>20046</v>
      </c>
      <c r="K348" s="715" t="n">
        <v>6.076025142173002</v>
      </c>
      <c r="L348" s="74" t="n">
        <v>0</v>
      </c>
      <c r="M348" s="76" t="n">
        <v>0.1093267651888341</v>
      </c>
      <c r="N348" s="67" t="n">
        <v>1978</v>
      </c>
      <c r="O348" s="64" t="n">
        <v>4212</v>
      </c>
      <c r="Q348" s="59" t="n">
        <v>20</v>
      </c>
      <c r="R348" s="59" t="n">
        <v>10</v>
      </c>
      <c r="S348" s="59" t="n">
        <v>1</v>
      </c>
      <c r="T348" s="63" t="inlineStr">
        <is>
          <t xml:space="preserve">I2   </t>
        </is>
      </c>
      <c r="U348" s="63" t="n">
        <v>398</v>
      </c>
      <c r="V348" s="714" t="n">
        <v>43000</v>
      </c>
      <c r="W348" s="714" t="n">
        <v>43000</v>
      </c>
      <c r="X348" s="83" t="inlineStr">
        <is>
          <t>2.1:1</t>
        </is>
      </c>
      <c r="Y348" s="714" t="n">
        <v>20000</v>
      </c>
      <c r="Z348" s="63" t="inlineStr">
        <is>
          <t xml:space="preserve">C </t>
        </is>
      </c>
      <c r="AC348" s="67" t="n"/>
      <c r="AD348" s="61" t="inlineStr"/>
      <c r="AE348" s="716" t="n"/>
      <c r="AF348" s="716" t="n"/>
      <c r="AG348" s="716" t="n"/>
      <c r="AH348" s="716" t="n"/>
      <c r="AI348" s="716" t="n"/>
      <c r="AJ348" s="716" t="n"/>
      <c r="AK348" s="717" t="inlineStr">
        <is>
          <t xml:space="preserve">2008 LEASES; GROSS BASIS ATYPICAL FOR WAREHOUSES.                 </t>
        </is>
      </c>
      <c r="AL348">
        <f>IF(AND(ISNUMBER($S348),$S348&gt;0,ISNUMBER($K348),ISNUMBER($J348)),($K348*$J348)/$S348,"")</f>
        <v/>
      </c>
      <c r="AM348" s="59" t="inlineStr"/>
    </row>
    <row r="349" ht="14" customHeight="1" s="518">
      <c r="A349" s="62" t="n">
        <v>7</v>
      </c>
      <c r="B349" s="93" t="n">
        <v>342</v>
      </c>
      <c r="C349" s="68" t="inlineStr">
        <is>
          <t>2011Q</t>
        </is>
      </c>
      <c r="D349" s="59" t="inlineStr">
        <is>
          <t xml:space="preserve">01246-00-038-000 </t>
        </is>
      </c>
      <c r="E349" s="72" t="inlineStr">
        <is>
          <t>Actual</t>
        </is>
      </c>
      <c r="F349" s="73" t="inlineStr">
        <is>
          <t>14135 E 42ND                AV</t>
        </is>
      </c>
      <c r="G349" s="708" t="n">
        <v>44.4</v>
      </c>
      <c r="H349" s="67" t="n">
        <v>9102</v>
      </c>
      <c r="I349" s="69" t="n">
        <v>0</v>
      </c>
      <c r="J349" s="714" t="n">
        <v>160236</v>
      </c>
      <c r="K349" s="715" t="n">
        <v>5.40160138795277</v>
      </c>
      <c r="L349" s="74" t="n">
        <v>0.1</v>
      </c>
      <c r="M349" s="76" t="n">
        <v>0.002838719814772666</v>
      </c>
      <c r="N349" s="67" t="n">
        <v>1998</v>
      </c>
      <c r="O349" s="64" t="n">
        <v>24983</v>
      </c>
      <c r="Q349" s="59" t="n">
        <v>26</v>
      </c>
      <c r="R349" s="59" t="n">
        <v>14</v>
      </c>
      <c r="S349" s="59" t="n">
        <v>7</v>
      </c>
      <c r="T349" s="63" t="inlineStr">
        <is>
          <t xml:space="preserve">I0   </t>
        </is>
      </c>
      <c r="U349" s="63" t="n">
        <v>398</v>
      </c>
      <c r="V349" s="714" t="n">
        <v>395173</v>
      </c>
      <c r="W349" s="714" t="n">
        <v>400000</v>
      </c>
      <c r="X349" s="83" t="inlineStr">
        <is>
          <t>2.5:1</t>
        </is>
      </c>
      <c r="Y349" s="714" t="n">
        <v>160000</v>
      </c>
      <c r="Z349" s="63" t="inlineStr">
        <is>
          <t xml:space="preserve">C </t>
        </is>
      </c>
      <c r="AC349" s="67" t="n"/>
      <c r="AD349" s="61" t="inlineStr">
        <is>
          <t xml:space="preserve">M-W DIST WHSE       </t>
        </is>
      </c>
      <c r="AE349" s="716" t="n"/>
      <c r="AF349" s="716" t="n"/>
      <c r="AG349" s="716" t="n"/>
      <c r="AH349" s="716" t="n"/>
      <c r="AI349" s="716" t="n"/>
      <c r="AJ349" s="716" t="n"/>
      <c r="AK349" s="717" t="inlineStr">
        <is>
          <t xml:space="preserve">LEASES 2006-2009.                                                 </t>
        </is>
      </c>
      <c r="AL349">
        <f>IF(AND(ISNUMBER($S349),$S349&gt;0,ISNUMBER($K349),ISNUMBER($J349)),($K349*$J349)/$S349,"")</f>
        <v/>
      </c>
      <c r="AM349" s="59" t="inlineStr"/>
    </row>
    <row r="350" ht="14" customHeight="1" s="518">
      <c r="A350" s="62" t="n">
        <v>7</v>
      </c>
      <c r="B350" s="93" t="n">
        <v>343</v>
      </c>
      <c r="C350" s="68" t="inlineStr">
        <is>
          <t>2011Q</t>
        </is>
      </c>
      <c r="D350" s="59" t="inlineStr">
        <is>
          <t xml:space="preserve">01252-00-034-000 </t>
        </is>
      </c>
      <c r="E350" s="72" t="inlineStr">
        <is>
          <t>Actual</t>
        </is>
      </c>
      <c r="F350" s="73" t="inlineStr">
        <is>
          <t>12770 E 39TH                AV</t>
        </is>
      </c>
      <c r="G350" s="708" t="n">
        <v>44.4</v>
      </c>
      <c r="H350" s="67" t="n">
        <v>9104</v>
      </c>
      <c r="I350" s="69" t="n">
        <v>0</v>
      </c>
      <c r="J350" s="714" t="n">
        <v>121360</v>
      </c>
      <c r="K350" s="715" t="n">
        <v>2.9</v>
      </c>
      <c r="L350" s="74" t="n">
        <v>0</v>
      </c>
      <c r="M350" s="76" t="n">
        <v>0.09468551815061486</v>
      </c>
      <c r="N350" s="67" t="n">
        <v>1971</v>
      </c>
      <c r="O350" s="64" t="n">
        <v>6439</v>
      </c>
      <c r="P350" s="64" t="n">
        <v>157</v>
      </c>
      <c r="Q350" s="59" t="n">
        <v>30</v>
      </c>
      <c r="R350" s="59" t="n">
        <v>14</v>
      </c>
      <c r="S350" s="59" t="n">
        <v>2</v>
      </c>
      <c r="T350" s="63" t="inlineStr">
        <is>
          <t xml:space="preserve">I2   </t>
        </is>
      </c>
      <c r="U350" s="63" t="n">
        <v>398</v>
      </c>
      <c r="V350" s="714" t="n">
        <v>255000</v>
      </c>
      <c r="W350" s="714" t="n">
        <v>260000</v>
      </c>
      <c r="X350" s="83" t="inlineStr">
        <is>
          <t>2.1:1</t>
        </is>
      </c>
      <c r="Y350" s="714" t="n">
        <v>120000</v>
      </c>
      <c r="Z350" s="63" t="inlineStr">
        <is>
          <t xml:space="preserve">C </t>
        </is>
      </c>
      <c r="AC350" s="67" t="n"/>
      <c r="AD350" s="61" t="inlineStr">
        <is>
          <t xml:space="preserve">M-W UNISOURCE       </t>
        </is>
      </c>
      <c r="AE350" s="716" t="n"/>
      <c r="AF350" s="716" t="n"/>
      <c r="AG350" s="716" t="n"/>
      <c r="AH350" s="716" t="n"/>
      <c r="AI350" s="716" t="n"/>
      <c r="AJ350" s="716" t="n"/>
      <c r="AK350" s="717" t="inlineStr">
        <is>
          <t xml:space="preserve">2010 LEASE USED FOR RENTAL RATES.                                 </t>
        </is>
      </c>
      <c r="AL350">
        <f>IF(AND(ISNUMBER($S350),$S350&gt;0,ISNUMBER($K350),ISNUMBER($J350)),($K350*$J350)/$S350,"")</f>
        <v/>
      </c>
      <c r="AM350" s="59" t="inlineStr"/>
    </row>
    <row r="351" ht="14" customHeight="1" s="518">
      <c r="A351" s="62" t="n">
        <v>7</v>
      </c>
      <c r="B351" s="93" t="n">
        <v>344</v>
      </c>
      <c r="C351" s="68" t="inlineStr">
        <is>
          <t>2011Q</t>
        </is>
      </c>
      <c r="D351" s="59" t="inlineStr">
        <is>
          <t xml:space="preserve">01252-00-093-000 </t>
        </is>
      </c>
      <c r="E351" s="72" t="inlineStr">
        <is>
          <t>Actual</t>
        </is>
      </c>
      <c r="F351" s="73" t="inlineStr">
        <is>
          <t>3899   QUENTIN             ST</t>
        </is>
      </c>
      <c r="G351" s="67" t="n">
        <v>44.1</v>
      </c>
      <c r="H351" s="67" t="n">
        <v>9104</v>
      </c>
      <c r="I351" s="69" t="n">
        <v>0</v>
      </c>
      <c r="J351" s="714" t="n">
        <v>8018</v>
      </c>
      <c r="K351" s="715" t="n">
        <v>11.22474432526815</v>
      </c>
      <c r="L351" s="74" t="n">
        <v>0</v>
      </c>
      <c r="M351" s="76" t="n">
        <v>0.01383333333333333</v>
      </c>
      <c r="N351" s="67" t="n">
        <v>2004</v>
      </c>
      <c r="O351" s="64" t="n">
        <v>1337</v>
      </c>
      <c r="Q351" s="59" t="n">
        <v>19</v>
      </c>
      <c r="R351" s="59" t="n">
        <v>3</v>
      </c>
      <c r="S351" s="59" t="n">
        <v>1</v>
      </c>
      <c r="T351" s="63" t="inlineStr">
        <is>
          <t xml:space="preserve">I2   </t>
        </is>
      </c>
      <c r="U351" s="63" t="n">
        <v>398</v>
      </c>
      <c r="V351" s="714" t="n">
        <v>23918</v>
      </c>
      <c r="W351" s="714" t="n">
        <v>24000</v>
      </c>
      <c r="X351" s="83" t="inlineStr">
        <is>
          <t>3.0:1</t>
        </is>
      </c>
      <c r="Y351" s="714" t="n">
        <v>8000</v>
      </c>
      <c r="Z351" s="63" t="inlineStr">
        <is>
          <t xml:space="preserve">C </t>
        </is>
      </c>
      <c r="AC351" s="67" t="n"/>
      <c r="AD351" s="61" t="inlineStr"/>
      <c r="AE351" s="716" t="n"/>
      <c r="AF351" s="716" t="n"/>
      <c r="AG351" s="716" t="n"/>
      <c r="AH351" s="716" t="n"/>
      <c r="AI351" s="716" t="n"/>
      <c r="AJ351" s="716" t="n"/>
      <c r="AK351" s="717" t="inlineStr"/>
      <c r="AL351">
        <f>IF(AND(ISNUMBER($S351),$S351&gt;0,ISNUMBER($K351),ISNUMBER($J351)),($K351*$J351)/$S351,"")</f>
        <v/>
      </c>
      <c r="AM351" s="59" t="inlineStr"/>
    </row>
    <row r="352" ht="28" customHeight="1" s="518">
      <c r="A352" s="62" t="n">
        <v>7</v>
      </c>
      <c r="B352" s="93" t="n">
        <v>345</v>
      </c>
      <c r="C352" s="68" t="inlineStr">
        <is>
          <t>2011Q</t>
        </is>
      </c>
      <c r="D352" s="59" t="inlineStr">
        <is>
          <t xml:space="preserve">01252-00-095-000 </t>
        </is>
      </c>
      <c r="E352" s="72" t="inlineStr">
        <is>
          <t>Actual</t>
        </is>
      </c>
      <c r="F352" s="73" t="inlineStr">
        <is>
          <t>3751   REVERE              ST</t>
        </is>
      </c>
      <c r="G352" s="708" t="n">
        <v>44.2</v>
      </c>
      <c r="H352" s="67" t="n">
        <v>9104</v>
      </c>
      <c r="I352" s="69" t="n">
        <v>0</v>
      </c>
      <c r="J352" s="714" t="n">
        <v>54662</v>
      </c>
      <c r="K352" s="715" t="n">
        <v>4.829680582488749</v>
      </c>
      <c r="L352" s="74" t="n">
        <v>0</v>
      </c>
      <c r="M352" s="76" t="n">
        <v>0.1315909090909091</v>
      </c>
      <c r="N352" s="67" t="n">
        <v>1980</v>
      </c>
      <c r="O352" s="64" t="n">
        <v>3736</v>
      </c>
      <c r="Q352" s="59" t="n">
        <v>27</v>
      </c>
      <c r="R352" s="59" t="n">
        <v>14</v>
      </c>
      <c r="S352" s="59" t="n">
        <v>1</v>
      </c>
      <c r="T352" s="63" t="inlineStr">
        <is>
          <t xml:space="preserve">I2   </t>
        </is>
      </c>
      <c r="U352" s="63" t="n">
        <v>398</v>
      </c>
      <c r="V352" s="714" t="n">
        <v>99319</v>
      </c>
      <c r="W352" s="714" t="n">
        <v>99000</v>
      </c>
      <c r="X352" s="83" t="inlineStr">
        <is>
          <t>1.8:1</t>
        </is>
      </c>
      <c r="Y352" s="714" t="n">
        <v>55000</v>
      </c>
      <c r="Z352" s="63" t="inlineStr">
        <is>
          <t xml:space="preserve">C </t>
        </is>
      </c>
      <c r="AC352" s="67" t="n"/>
      <c r="AD352" s="61" t="inlineStr">
        <is>
          <t xml:space="preserve">CONLEY              </t>
        </is>
      </c>
      <c r="AE352" s="716" t="n"/>
      <c r="AF352" s="716" t="n"/>
      <c r="AG352" s="716" t="n"/>
      <c r="AH352" s="716" t="n"/>
      <c r="AI352" s="716" t="n"/>
      <c r="AJ352" s="716" t="n"/>
      <c r="AK352" s="717" t="inlineStr">
        <is>
          <t xml:space="preserve">GROSS LEASE BASIS IS ATYPICAL FOR WAREHOUSES.                     </t>
        </is>
      </c>
      <c r="AL352">
        <f>IF(AND(ISNUMBER($S352),$S352&gt;0,ISNUMBER($K352),ISNUMBER($J352)),($K352*$J352)/$S352,"")</f>
        <v/>
      </c>
      <c r="AM352" s="59" t="inlineStr"/>
    </row>
    <row r="353">
      <c r="A353" s="62" t="n">
        <v>7</v>
      </c>
      <c r="B353" s="93" t="n">
        <v>346</v>
      </c>
      <c r="C353" s="92" t="inlineStr">
        <is>
          <t>2011W</t>
        </is>
      </c>
      <c r="D353" s="93" t="inlineStr">
        <is>
          <t>01252-00-096-000</t>
        </is>
      </c>
      <c r="E353" s="92" t="inlineStr">
        <is>
          <t>Actual</t>
        </is>
      </c>
      <c r="F353" s="93" t="inlineStr">
        <is>
          <t>3851-71 Revere St.</t>
        </is>
      </c>
      <c r="G353" s="94" t="inlineStr">
        <is>
          <t>44.2</t>
        </is>
      </c>
      <c r="H353" s="93" t="n">
        <v>9104</v>
      </c>
      <c r="I353" s="92" t="n">
        <v>0</v>
      </c>
      <c r="J353" s="95" t="n">
        <v>75264</v>
      </c>
      <c r="K353" s="718" t="n">
        <v>2.85</v>
      </c>
      <c r="L353" s="97" t="n">
        <v>0</v>
      </c>
      <c r="M353" s="103" t="n">
        <v>0</v>
      </c>
      <c r="N353" s="93" t="n">
        <v>1979</v>
      </c>
      <c r="O353" s="64" t="n">
        <v>5703</v>
      </c>
      <c r="Q353" s="59" t="n">
        <v>25</v>
      </c>
      <c r="R353" s="59" t="n">
        <v>3</v>
      </c>
      <c r="S353" s="59" t="n">
        <v>1</v>
      </c>
      <c r="T353" s="92" t="inlineStr">
        <is>
          <t>I2</t>
        </is>
      </c>
      <c r="U353" s="93" t="n">
        <v>398</v>
      </c>
      <c r="V353" s="95" t="n">
        <v>134721</v>
      </c>
      <c r="W353" s="95" t="n">
        <v>130000</v>
      </c>
      <c r="X353" s="98" t="inlineStr">
        <is>
          <t>1.7:1</t>
        </is>
      </c>
      <c r="Y353" s="95" t="n">
        <v>75000</v>
      </c>
      <c r="Z353" s="93" t="inlineStr">
        <is>
          <t>C</t>
        </is>
      </c>
      <c r="AA353" s="93" t="n">
        <v>3</v>
      </c>
      <c r="AB353" s="93" t="n">
        <v>3</v>
      </c>
      <c r="AC353" s="93" t="n">
        <v>33</v>
      </c>
      <c r="AD353" s="93" t="n"/>
      <c r="AE353" s="719" t="n"/>
      <c r="AF353" s="720" t="n"/>
      <c r="AG353" s="720" t="n"/>
      <c r="AH353" s="719" t="n"/>
      <c r="AI353" s="720" t="n"/>
      <c r="AJ353" s="719" t="n"/>
      <c r="AK353" s="93" t="n"/>
      <c r="AL353">
        <f>IF(AND(ISNUMBER($S353),$S353&gt;0,ISNUMBER($K353),ISNUMBER($J353)),($K353*$J353)/$S353,"")</f>
        <v/>
      </c>
      <c r="AM353" s="93" t="n"/>
      <c r="AN353" s="93" t="n"/>
      <c r="AO353" s="93" t="n"/>
      <c r="AP353" s="93" t="n"/>
      <c r="AQ353" s="93" t="n"/>
      <c r="AR353" s="93" t="n"/>
    </row>
    <row r="354" ht="14" customHeight="1" s="518">
      <c r="A354" s="62" t="n">
        <v>7</v>
      </c>
      <c r="B354" s="93" t="n">
        <v>347</v>
      </c>
      <c r="C354" s="68" t="inlineStr">
        <is>
          <t>2011Q</t>
        </is>
      </c>
      <c r="D354" s="59" t="inlineStr">
        <is>
          <t xml:space="preserve">01261-00-013-000 </t>
        </is>
      </c>
      <c r="E354" s="72" t="inlineStr">
        <is>
          <t>Actual</t>
        </is>
      </c>
      <c r="F354" s="73" t="inlineStr">
        <is>
          <t>3737   PEORIA              ST</t>
        </is>
      </c>
      <c r="G354" s="708" t="n">
        <v>44.2</v>
      </c>
      <c r="H354" s="67" t="n">
        <v>9104</v>
      </c>
      <c r="I354" s="69" t="n">
        <v>3</v>
      </c>
      <c r="J354" s="714" t="n">
        <v>10700</v>
      </c>
      <c r="K354" s="715" t="n">
        <v>4.182056074766355</v>
      </c>
      <c r="L354" s="74" t="n">
        <v>0</v>
      </c>
      <c r="M354" s="76" t="n">
        <v>0.2064226334137839</v>
      </c>
      <c r="N354" s="67" t="n">
        <v>1973</v>
      </c>
      <c r="O354" s="64" t="n">
        <v>2344</v>
      </c>
      <c r="Q354" s="59" t="n">
        <v>20</v>
      </c>
      <c r="R354" s="59" t="n">
        <v>10</v>
      </c>
      <c r="S354" s="59" t="n">
        <v>2</v>
      </c>
      <c r="T354" s="63" t="inlineStr">
        <is>
          <t xml:space="preserve">I2   </t>
        </is>
      </c>
      <c r="U354" s="63" t="n">
        <v>398</v>
      </c>
      <c r="V354" s="714" t="n">
        <v>31803</v>
      </c>
      <c r="W354" s="714" t="n">
        <v>32000</v>
      </c>
      <c r="X354" s="83" t="inlineStr">
        <is>
          <t>1.9:1</t>
        </is>
      </c>
      <c r="Y354" s="714" t="n">
        <v>11000</v>
      </c>
      <c r="Z354" s="63" t="inlineStr">
        <is>
          <t xml:space="preserve">C </t>
        </is>
      </c>
      <c r="AC354" s="67" t="n"/>
      <c r="AD354" s="61" t="inlineStr">
        <is>
          <t xml:space="preserve">GOODYEAR            </t>
        </is>
      </c>
      <c r="AE354" s="716" t="n"/>
      <c r="AF354" s="716" t="n"/>
      <c r="AG354" s="716" t="n"/>
      <c r="AH354" s="716" t="n"/>
      <c r="AI354" s="716" t="n"/>
      <c r="AJ354" s="716" t="n"/>
      <c r="AK354" s="717" t="inlineStr">
        <is>
          <t xml:space="preserve">ONLY DATA FOR 2010 LEASE ENTERED.                                 </t>
        </is>
      </c>
      <c r="AL354">
        <f>IF(AND(ISNUMBER($S354),$S354&gt;0,ISNUMBER($K354),ISNUMBER($J354)),($K354*$J354)/$S354,"")</f>
        <v/>
      </c>
      <c r="AM354" s="59" t="inlineStr"/>
    </row>
    <row r="355" ht="14" customHeight="1" s="518">
      <c r="A355" s="62" t="n">
        <v>7</v>
      </c>
      <c r="B355" s="93" t="n">
        <v>348</v>
      </c>
      <c r="C355" s="68" t="inlineStr">
        <is>
          <t>2011Q</t>
        </is>
      </c>
      <c r="D355" s="59" t="inlineStr">
        <is>
          <t xml:space="preserve">01261-02-001-000 </t>
        </is>
      </c>
      <c r="E355" s="72" t="inlineStr">
        <is>
          <t>Actual</t>
        </is>
      </c>
      <c r="F355" s="73" t="inlineStr">
        <is>
          <t>3701   PARIS               ST</t>
        </is>
      </c>
      <c r="G355" s="708" t="n">
        <v>44.2</v>
      </c>
      <c r="H355" s="67" t="n">
        <v>9104</v>
      </c>
      <c r="I355" s="69" t="n">
        <v>0</v>
      </c>
      <c r="J355" s="714" t="n">
        <v>12335</v>
      </c>
      <c r="K355" s="715" t="n">
        <v>8.836643696797729</v>
      </c>
      <c r="L355" s="74" t="n">
        <v>0</v>
      </c>
      <c r="M355" s="76" t="n">
        <v>0</v>
      </c>
      <c r="N355" s="67" t="n">
        <v>2006</v>
      </c>
      <c r="O355" s="64" t="n">
        <v>1785</v>
      </c>
      <c r="Q355" s="59" t="n">
        <v>25</v>
      </c>
      <c r="R355" s="59" t="n">
        <v>14</v>
      </c>
      <c r="S355" s="59" t="n">
        <v>1</v>
      </c>
      <c r="T355" s="63" t="inlineStr">
        <is>
          <t xml:space="preserve">I2   </t>
        </is>
      </c>
      <c r="U355" s="63" t="n">
        <v>398</v>
      </c>
      <c r="V355" s="714" t="n">
        <v>42900</v>
      </c>
      <c r="W355" s="714" t="n">
        <v>43000</v>
      </c>
      <c r="X355" s="83" t="inlineStr">
        <is>
          <t>3.5:1</t>
        </is>
      </c>
      <c r="Y355" s="714" t="n">
        <v>12000</v>
      </c>
      <c r="Z355" s="63" t="inlineStr">
        <is>
          <t xml:space="preserve">C </t>
        </is>
      </c>
      <c r="AC355" s="67" t="n"/>
      <c r="AD355" s="61" t="inlineStr">
        <is>
          <t xml:space="preserve">SINGLE TENANT WHSE  </t>
        </is>
      </c>
      <c r="AE355" s="716" t="n"/>
      <c r="AF355" s="716" t="n"/>
      <c r="AG355" s="716" t="n"/>
      <c r="AH355" s="716" t="n"/>
      <c r="AI355" s="716" t="n"/>
      <c r="AJ355" s="716" t="n"/>
      <c r="AK355" s="717" t="inlineStr"/>
      <c r="AL355">
        <f>IF(AND(ISNUMBER($S355),$S355&gt;0,ISNUMBER($K355),ISNUMBER($J355)),($K355*$J355)/$S355,"")</f>
        <v/>
      </c>
      <c r="AM355" s="59" t="inlineStr"/>
    </row>
    <row r="356" ht="28" customHeight="1" s="518">
      <c r="A356" s="62" t="n">
        <v>7</v>
      </c>
      <c r="B356" s="93" t="n">
        <v>349</v>
      </c>
      <c r="C356" s="68" t="inlineStr">
        <is>
          <t>2011Q</t>
        </is>
      </c>
      <c r="D356" s="59" t="inlineStr">
        <is>
          <t xml:space="preserve">01283-26-005-000 </t>
        </is>
      </c>
      <c r="E356" s="72" t="inlineStr">
        <is>
          <t>Actual</t>
        </is>
      </c>
      <c r="F356" s="73" t="inlineStr">
        <is>
          <t>2997   ULSTER              ST</t>
        </is>
      </c>
      <c r="G356" s="708" t="n">
        <v>44.5</v>
      </c>
      <c r="H356" s="67" t="n">
        <v>9201</v>
      </c>
      <c r="I356" s="69" t="n">
        <v>0</v>
      </c>
      <c r="J356" s="714" t="n">
        <v>89751</v>
      </c>
      <c r="K356" s="715" t="n">
        <v>7.024813094004523</v>
      </c>
      <c r="L356" s="74" t="n">
        <v>0.06</v>
      </c>
      <c r="M356" s="76" t="n">
        <v>0.254855000285495</v>
      </c>
      <c r="N356" s="67" t="n">
        <v>2007</v>
      </c>
      <c r="O356" s="64" t="n">
        <v>0</v>
      </c>
      <c r="Q356" s="59" t="n">
        <v>12</v>
      </c>
      <c r="R356" s="59" t="n">
        <v>1</v>
      </c>
      <c r="S356" s="59" t="n">
        <v>2</v>
      </c>
      <c r="T356" s="63" t="inlineStr">
        <is>
          <t>R30MU</t>
        </is>
      </c>
      <c r="U356" s="63" t="n">
        <v>396</v>
      </c>
      <c r="V356" s="714" t="n">
        <v>71049</v>
      </c>
      <c r="W356" s="714" t="n">
        <v>71000</v>
      </c>
      <c r="X356" s="83" t="inlineStr">
        <is>
          <t>0.8:1</t>
        </is>
      </c>
      <c r="Y356" s="714" t="n">
        <v>90000</v>
      </c>
      <c r="Z356" s="63" t="inlineStr">
        <is>
          <t xml:space="preserve">C </t>
        </is>
      </c>
      <c r="AC356" s="67" t="n"/>
      <c r="AD356" s="61" t="inlineStr">
        <is>
          <t xml:space="preserve">MINI STORAGE/RETAIL </t>
        </is>
      </c>
      <c r="AE356" s="716" t="n"/>
      <c r="AF356" s="716" t="n"/>
      <c r="AG356" s="716" t="n"/>
      <c r="AH356" s="716" t="n"/>
      <c r="AI356" s="716" t="n"/>
      <c r="AJ356" s="716" t="n"/>
      <c r="AK356" s="717" t="inlineStr">
        <is>
          <t xml:space="preserve">WTR/SWER &amp; GAS/ELEC UNDER "GAS/ELEC", SNO REMVL&amp;LNDSCP IN PRKNG   </t>
        </is>
      </c>
      <c r="AL356">
        <f>IF(AND(ISNUMBER($S356),$S356&gt;0,ISNUMBER($K356),ISNUMBER($J356)),($K356*$J356)/$S356,"")</f>
        <v/>
      </c>
      <c r="AM356" s="59" t="inlineStr"/>
    </row>
    <row r="357" ht="14" customHeight="1" s="518">
      <c r="A357" s="62" t="n">
        <v>7</v>
      </c>
      <c r="B357" s="93" t="n">
        <v>350</v>
      </c>
      <c r="C357" s="68" t="inlineStr">
        <is>
          <t>2011Q</t>
        </is>
      </c>
      <c r="D357" s="59" t="inlineStr">
        <is>
          <t xml:space="preserve">02131-07-019-000 </t>
        </is>
      </c>
      <c r="E357" s="72" t="inlineStr">
        <is>
          <t>Actual</t>
        </is>
      </c>
      <c r="F357" s="73" t="inlineStr">
        <is>
          <t>5270   STEELE              ST</t>
        </is>
      </c>
      <c r="G357" s="67" t="n">
        <v>44.1</v>
      </c>
      <c r="H357" s="67" t="n">
        <v>9201</v>
      </c>
      <c r="I357" s="69" t="n">
        <v>0</v>
      </c>
      <c r="J357" s="714" t="n">
        <v>6400</v>
      </c>
      <c r="K357" s="715" t="n">
        <v>3.46875</v>
      </c>
      <c r="L357" s="74" t="n">
        <v>0</v>
      </c>
      <c r="M357" s="76" t="n">
        <v>0</v>
      </c>
      <c r="N357" s="67" t="n">
        <v>1972</v>
      </c>
      <c r="O357" s="64" t="n">
        <v>360</v>
      </c>
      <c r="Q357" s="59" t="n">
        <v>15</v>
      </c>
      <c r="R357" s="59" t="n">
        <v>7</v>
      </c>
      <c r="S357" s="59" t="n">
        <v>1</v>
      </c>
      <c r="T357" s="63" t="inlineStr">
        <is>
          <t xml:space="preserve">I1   </t>
        </is>
      </c>
      <c r="U357" s="63" t="n">
        <v>398</v>
      </c>
      <c r="V357" s="714" t="n">
        <v>12750</v>
      </c>
      <c r="W357" s="714" t="n">
        <v>13000</v>
      </c>
      <c r="X357" s="83" t="inlineStr">
        <is>
          <t>2.0:1</t>
        </is>
      </c>
      <c r="Y357" s="714" t="n">
        <v>6000</v>
      </c>
      <c r="Z357" s="63" t="inlineStr">
        <is>
          <t xml:space="preserve">C </t>
        </is>
      </c>
      <c r="AC357" s="67" t="n"/>
      <c r="AD357" s="61" t="inlineStr"/>
      <c r="AE357" s="716" t="n"/>
      <c r="AF357" s="716" t="n"/>
      <c r="AG357" s="716" t="n"/>
      <c r="AH357" s="716" t="n"/>
      <c r="AI357" s="716" t="n"/>
      <c r="AJ357" s="716" t="n"/>
      <c r="AK357" s="717" t="inlineStr">
        <is>
          <t xml:space="preserve">MO-TO-MO.                                                         </t>
        </is>
      </c>
      <c r="AL357">
        <f>IF(AND(ISNUMBER($S357),$S357&gt;0,ISNUMBER($K357),ISNUMBER($J357)),($K357*$J357)/$S357,"")</f>
        <v/>
      </c>
      <c r="AM357" s="59" t="inlineStr"/>
    </row>
    <row r="358" ht="28" customHeight="1" s="518">
      <c r="A358" s="62" t="n">
        <v>7</v>
      </c>
      <c r="B358" s="93" t="n">
        <v>351</v>
      </c>
      <c r="C358" s="68" t="inlineStr">
        <is>
          <t>2011Q</t>
        </is>
      </c>
      <c r="D358" s="59" t="inlineStr">
        <is>
          <t xml:space="preserve">02132-00-039-000 </t>
        </is>
      </c>
      <c r="E358" s="72" t="inlineStr">
        <is>
          <t>Actual</t>
        </is>
      </c>
      <c r="F358" s="73" t="inlineStr">
        <is>
          <t>3055 E 52ND                AV</t>
        </is>
      </c>
      <c r="G358" s="708" t="n">
        <v>44.2</v>
      </c>
      <c r="H358" s="67" t="n">
        <v>9201</v>
      </c>
      <c r="I358" s="69" t="n">
        <v>0</v>
      </c>
      <c r="J358" s="714" t="n">
        <v>24250</v>
      </c>
      <c r="K358" s="715" t="n">
        <v>3.142268041237113</v>
      </c>
      <c r="L358" s="74" t="n">
        <v>0</v>
      </c>
      <c r="M358" s="76" t="n">
        <v>0.2475590551181102</v>
      </c>
      <c r="N358" s="67" t="n">
        <v>1963</v>
      </c>
      <c r="O358" s="64" t="n">
        <v>2784</v>
      </c>
      <c r="Q358" s="59" t="n">
        <v>14</v>
      </c>
      <c r="R358" s="59" t="n">
        <v>3</v>
      </c>
      <c r="S358" s="59" t="n">
        <v>5</v>
      </c>
      <c r="T358" s="63" t="inlineStr">
        <is>
          <t xml:space="preserve">I1   </t>
        </is>
      </c>
      <c r="U358" s="63" t="n">
        <v>398</v>
      </c>
      <c r="V358" s="714" t="n">
        <v>58000</v>
      </c>
      <c r="W358" s="714" t="n">
        <v>58000</v>
      </c>
      <c r="X358" s="83" t="inlineStr">
        <is>
          <t>2.4:1</t>
        </is>
      </c>
      <c r="Y358" s="714" t="n">
        <v>24000</v>
      </c>
      <c r="Z358" s="63" t="inlineStr">
        <is>
          <t xml:space="preserve">C </t>
        </is>
      </c>
      <c r="AC358" s="67" t="n"/>
      <c r="AD358" s="61" t="inlineStr">
        <is>
          <t xml:space="preserve">DIST/STRGE WHSE     </t>
        </is>
      </c>
      <c r="AE358" s="716" t="n"/>
      <c r="AF358" s="716" t="n"/>
      <c r="AG358" s="716" t="n"/>
      <c r="AH358" s="716" t="n"/>
      <c r="AI358" s="716" t="n"/>
      <c r="AJ358" s="716" t="n"/>
      <c r="AK358" s="717" t="inlineStr">
        <is>
          <t xml:space="preserve">GROSS LEASES &amp; FULL SERVICE EXPENSES ATYPICAL FOR WAREHOUSES.     </t>
        </is>
      </c>
      <c r="AL358">
        <f>IF(AND(ISNUMBER($S358),$S358&gt;0,ISNUMBER($K358),ISNUMBER($J358)),($K358*$J358)/$S358,"")</f>
        <v/>
      </c>
      <c r="AM358" s="59" t="inlineStr"/>
    </row>
    <row r="359" ht="14" customHeight="1" s="518">
      <c r="A359" s="62" t="n">
        <v>7</v>
      </c>
      <c r="B359" s="93" t="n">
        <v>352</v>
      </c>
      <c r="C359" s="68" t="inlineStr">
        <is>
          <t>2011Q</t>
        </is>
      </c>
      <c r="D359" s="59" t="inlineStr">
        <is>
          <t xml:space="preserve">02132-00-048-000 </t>
        </is>
      </c>
      <c r="E359" s="72" t="inlineStr">
        <is>
          <t>Actual</t>
        </is>
      </c>
      <c r="F359" s="73" t="inlineStr">
        <is>
          <t>5285   STEELE              ST</t>
        </is>
      </c>
      <c r="G359" s="708" t="n">
        <v>47.1</v>
      </c>
      <c r="H359" s="67" t="n">
        <v>9201</v>
      </c>
      <c r="I359" s="69" t="n">
        <v>0</v>
      </c>
      <c r="J359" s="714" t="n">
        <v>53250</v>
      </c>
      <c r="K359" s="715" t="n">
        <v>2.929577464788732</v>
      </c>
      <c r="L359" s="74" t="n">
        <v>0</v>
      </c>
      <c r="M359" s="76" t="n">
        <v>0</v>
      </c>
      <c r="N359" s="67" t="n">
        <v>1967</v>
      </c>
      <c r="O359" s="64" t="n">
        <v>1360</v>
      </c>
      <c r="Q359" s="59" t="n">
        <v>24</v>
      </c>
      <c r="R359" s="59" t="n">
        <v>7</v>
      </c>
      <c r="S359" s="59" t="n">
        <v>1</v>
      </c>
      <c r="T359" s="63" t="inlineStr">
        <is>
          <t xml:space="preserve">I1   </t>
        </is>
      </c>
      <c r="U359" s="63" t="n">
        <v>401</v>
      </c>
      <c r="V359" s="714" t="n">
        <v>142334</v>
      </c>
      <c r="W359" s="714" t="n">
        <v>140000</v>
      </c>
      <c r="X359" s="83" t="inlineStr">
        <is>
          <t>2.7:1</t>
        </is>
      </c>
      <c r="Y359" s="714" t="n">
        <v>53000</v>
      </c>
      <c r="Z359" s="63" t="inlineStr">
        <is>
          <t xml:space="preserve">C </t>
        </is>
      </c>
      <c r="AC359" s="67" t="n"/>
      <c r="AD359" s="61" t="inlineStr">
        <is>
          <t>RCKY MTN PRC'SN FRMG</t>
        </is>
      </c>
      <c r="AE359" s="716" t="n"/>
      <c r="AF359" s="716" t="n"/>
      <c r="AG359" s="716" t="n"/>
      <c r="AH359" s="716" t="n"/>
      <c r="AI359" s="716" t="n"/>
      <c r="AJ359" s="716" t="n"/>
      <c r="AK359" s="717" t="inlineStr"/>
      <c r="AL359">
        <f>IF(AND(ISNUMBER($S359),$S359&gt;0,ISNUMBER($K359),ISNUMBER($J359)),($K359*$J359)/$S359,"")</f>
        <v/>
      </c>
      <c r="AM359" s="59" t="inlineStr"/>
    </row>
    <row r="360" ht="14" customHeight="1" s="518">
      <c r="A360" s="62" t="n">
        <v>7</v>
      </c>
      <c r="B360" s="93" t="n">
        <v>353</v>
      </c>
      <c r="C360" s="68" t="inlineStr">
        <is>
          <t>2011Q</t>
        </is>
      </c>
      <c r="D360" s="59" t="inlineStr">
        <is>
          <t xml:space="preserve">02133-00-045-000 </t>
        </is>
      </c>
      <c r="E360" s="72" t="inlineStr">
        <is>
          <t>Actual</t>
        </is>
      </c>
      <c r="F360" s="73" t="inlineStr">
        <is>
          <t>5101   COLUMBINE           ST</t>
        </is>
      </c>
      <c r="G360" s="67" t="n">
        <v>44.1</v>
      </c>
      <c r="H360" s="67" t="n">
        <v>9201</v>
      </c>
      <c r="I360" s="69" t="n">
        <v>0</v>
      </c>
      <c r="J360" s="714" t="n">
        <v>6800</v>
      </c>
      <c r="K360" s="715" t="n">
        <v>8.823529411764707</v>
      </c>
      <c r="L360" s="74" t="n">
        <v>1</v>
      </c>
      <c r="M360" s="76" t="n">
        <v>0.01833333333333333</v>
      </c>
      <c r="N360" s="67" t="n">
        <v>1981</v>
      </c>
      <c r="O360" s="64" t="n">
        <v>2000</v>
      </c>
      <c r="Q360" s="59" t="n">
        <v>16</v>
      </c>
      <c r="R360" s="59" t="n">
        <v>8</v>
      </c>
      <c r="S360" s="59" t="n">
        <v>1</v>
      </c>
      <c r="T360" s="63" t="inlineStr">
        <is>
          <t xml:space="preserve">I2   </t>
        </is>
      </c>
      <c r="U360" s="63" t="n">
        <v>398</v>
      </c>
      <c r="V360" s="714" t="n">
        <v>71169</v>
      </c>
      <c r="W360" s="714" t="n">
        <v>71000</v>
      </c>
      <c r="X360" s="83" t="inlineStr">
        <is>
          <t>10.5:1</t>
        </is>
      </c>
      <c r="Y360" s="714" t="n">
        <v>7000</v>
      </c>
      <c r="Z360" s="63" t="inlineStr">
        <is>
          <t xml:space="preserve">C </t>
        </is>
      </c>
      <c r="AC360" s="67" t="n"/>
      <c r="AD360" s="61" t="inlineStr">
        <is>
          <t xml:space="preserve">DIST WAREHOUSE      </t>
        </is>
      </c>
      <c r="AE360" s="716" t="n"/>
      <c r="AF360" s="716" t="n"/>
      <c r="AG360" s="716" t="n"/>
      <c r="AH360" s="716" t="n"/>
      <c r="AI360" s="716" t="n"/>
      <c r="AJ360" s="716" t="n"/>
      <c r="AK360" s="717" t="inlineStr">
        <is>
          <t xml:space="preserve">VACANCY IS 2009; LEASE BEGAN 02/10.                               </t>
        </is>
      </c>
      <c r="AL360">
        <f>IF(AND(ISNUMBER($S360),$S360&gt;0,ISNUMBER($K360),ISNUMBER($J360)),($K360*$J360)/$S360,"")</f>
        <v/>
      </c>
      <c r="AM360" s="59" t="inlineStr"/>
    </row>
    <row r="361" ht="14" customHeight="1" s="518">
      <c r="A361" s="62" t="n">
        <v>7</v>
      </c>
      <c r="B361" s="93" t="n">
        <v>354</v>
      </c>
      <c r="C361" s="68" t="inlineStr">
        <is>
          <t>2011Q</t>
        </is>
      </c>
      <c r="D361" s="59" t="inlineStr">
        <is>
          <t xml:space="preserve">02134-00-158-000 </t>
        </is>
      </c>
      <c r="E361" s="72" t="inlineStr">
        <is>
          <t>Actual</t>
        </is>
      </c>
      <c r="F361" s="73" t="inlineStr">
        <is>
          <t>5105   COOK                ST</t>
        </is>
      </c>
      <c r="G361" s="67" t="n">
        <v>44.1</v>
      </c>
      <c r="H361" s="67" t="n">
        <v>9201</v>
      </c>
      <c r="I361" s="69" t="n">
        <v>0</v>
      </c>
      <c r="J361" s="714" t="n">
        <v>29787</v>
      </c>
      <c r="K361" s="715" t="n">
        <v>5.237184006445765</v>
      </c>
      <c r="L361" s="74" t="n">
        <v>0</v>
      </c>
      <c r="M361" s="76" t="n">
        <v>0</v>
      </c>
      <c r="N361" s="67" t="n">
        <v>1983</v>
      </c>
      <c r="O361" s="64" t="n">
        <v>1063</v>
      </c>
      <c r="Q361" s="59" t="n">
        <v>18</v>
      </c>
      <c r="R361" s="59" t="n">
        <v>10</v>
      </c>
      <c r="S361" s="59" t="n">
        <v>1</v>
      </c>
      <c r="T361" s="63" t="inlineStr">
        <is>
          <t xml:space="preserve">I1   </t>
        </is>
      </c>
      <c r="U361" s="63" t="n">
        <v>398</v>
      </c>
      <c r="V361" s="714" t="n">
        <v>130639</v>
      </c>
      <c r="W361" s="714" t="n">
        <v>130000</v>
      </c>
      <c r="X361" s="83" t="inlineStr">
        <is>
          <t>4.4:1</t>
        </is>
      </c>
      <c r="Y361" s="714" t="n">
        <v>30000</v>
      </c>
      <c r="Z361" s="63" t="inlineStr">
        <is>
          <t xml:space="preserve">C </t>
        </is>
      </c>
      <c r="AC361" s="67" t="n"/>
      <c r="AD361" s="61" t="inlineStr">
        <is>
          <t xml:space="preserve">SAMS PRODUCE        </t>
        </is>
      </c>
      <c r="AE361" s="716" t="n"/>
      <c r="AF361" s="716" t="n"/>
      <c r="AG361" s="716" t="n"/>
      <c r="AH361" s="716" t="n"/>
      <c r="AI361" s="716" t="n"/>
      <c r="AJ361" s="716" t="n"/>
      <c r="AK361" s="717" t="inlineStr"/>
      <c r="AL361">
        <f>IF(AND(ISNUMBER($S361),$S361&gt;0,ISNUMBER($K361),ISNUMBER($J361)),($K361*$J361)/$S361,"")</f>
        <v/>
      </c>
      <c r="AM361" s="59" t="inlineStr"/>
    </row>
    <row r="362" ht="14" customHeight="1" s="518">
      <c r="A362" s="62" t="n">
        <v>7</v>
      </c>
      <c r="B362" s="93" t="n">
        <v>355</v>
      </c>
      <c r="C362" s="68" t="inlineStr">
        <is>
          <t>2011Q</t>
        </is>
      </c>
      <c r="D362" s="59" t="inlineStr">
        <is>
          <t xml:space="preserve">02134-01-021-000 </t>
        </is>
      </c>
      <c r="E362" s="72" t="inlineStr">
        <is>
          <t>Actual</t>
        </is>
      </c>
      <c r="F362" s="73" t="inlineStr">
        <is>
          <t>4985   COLORADO            BV</t>
        </is>
      </c>
      <c r="G362" s="67" t="n">
        <v>44.1</v>
      </c>
      <c r="H362" s="67" t="n">
        <v>9201</v>
      </c>
      <c r="I362" s="69" t="n">
        <v>5</v>
      </c>
      <c r="J362" s="714" t="n">
        <v>24416</v>
      </c>
      <c r="K362" s="715" t="n">
        <v>3.931847968545216</v>
      </c>
      <c r="L362" s="74" t="n">
        <v>0</v>
      </c>
      <c r="M362" s="76" t="n">
        <v>0.03177083333333333</v>
      </c>
      <c r="N362" s="67" t="n">
        <v>1973</v>
      </c>
      <c r="O362" s="64" t="n">
        <v>1560</v>
      </c>
      <c r="Q362" s="59" t="n">
        <v>17</v>
      </c>
      <c r="R362" s="59" t="n">
        <v>1</v>
      </c>
      <c r="S362" s="59" t="n">
        <v>1</v>
      </c>
      <c r="T362" s="63" t="inlineStr">
        <is>
          <t xml:space="preserve">I1   </t>
        </is>
      </c>
      <c r="U362" s="63" t="n">
        <v>398</v>
      </c>
      <c r="V362" s="714" t="n">
        <v>45515</v>
      </c>
      <c r="W362" s="714" t="n">
        <v>46000</v>
      </c>
      <c r="X362" s="83" t="inlineStr">
        <is>
          <t>1.9:1</t>
        </is>
      </c>
      <c r="Y362" s="714" t="n">
        <v>24000</v>
      </c>
      <c r="Z362" s="63" t="inlineStr">
        <is>
          <t xml:space="preserve">C </t>
        </is>
      </c>
      <c r="AC362" s="67" t="n"/>
      <c r="AD362" s="61" t="inlineStr">
        <is>
          <t xml:space="preserve">FOREE TIRE          </t>
        </is>
      </c>
      <c r="AE362" s="716" t="n"/>
      <c r="AF362" s="716" t="n"/>
      <c r="AG362" s="716" t="n"/>
      <c r="AH362" s="716" t="n"/>
      <c r="AI362" s="716" t="n"/>
      <c r="AJ362" s="716" t="n"/>
      <c r="AK362" s="717" t="inlineStr"/>
      <c r="AL362">
        <f>IF(AND(ISNUMBER($S362),$S362&gt;0,ISNUMBER($K362),ISNUMBER($J362)),($K362*$J362)/$S362,"")</f>
        <v/>
      </c>
      <c r="AM362" s="59" t="inlineStr"/>
    </row>
    <row r="363" ht="14" customHeight="1" s="518">
      <c r="A363" s="62" t="n">
        <v>7</v>
      </c>
      <c r="B363" s="93" t="n">
        <v>356</v>
      </c>
      <c r="C363" s="68" t="inlineStr">
        <is>
          <t>2011Q</t>
        </is>
      </c>
      <c r="D363" s="59" t="inlineStr">
        <is>
          <t xml:space="preserve">02134-01-045-000 </t>
        </is>
      </c>
      <c r="E363" s="72" t="inlineStr">
        <is>
          <t>Actual</t>
        </is>
      </c>
      <c r="F363" s="73" t="inlineStr">
        <is>
          <t>4916   JACKSON             ST</t>
        </is>
      </c>
      <c r="G363" s="67" t="n">
        <v>44.1</v>
      </c>
      <c r="H363" s="67" t="n">
        <v>9201</v>
      </c>
      <c r="I363" s="69" t="n">
        <v>0</v>
      </c>
      <c r="J363" s="714" t="n">
        <v>9960</v>
      </c>
      <c r="K363" s="715" t="n">
        <v>3.975903614457831</v>
      </c>
      <c r="L363" s="74" t="n">
        <v>0</v>
      </c>
      <c r="M363" s="76" t="n">
        <v>0</v>
      </c>
      <c r="N363" s="67" t="n">
        <v>1956</v>
      </c>
      <c r="O363" s="64" t="n">
        <v>3858</v>
      </c>
      <c r="Q363" s="59" t="n">
        <v>16</v>
      </c>
      <c r="R363" s="59" t="n">
        <v>1</v>
      </c>
      <c r="S363" s="59" t="n">
        <v>1</v>
      </c>
      <c r="T363" s="63" t="inlineStr">
        <is>
          <t xml:space="preserve">I1   </t>
        </is>
      </c>
      <c r="U363" s="63" t="n">
        <v>398</v>
      </c>
      <c r="V363" s="714" t="n">
        <v>17647</v>
      </c>
      <c r="W363" s="714" t="n">
        <v>18000</v>
      </c>
      <c r="X363" s="83" t="inlineStr">
        <is>
          <t>1.8:1</t>
        </is>
      </c>
      <c r="Y363" s="714" t="n">
        <v>10000</v>
      </c>
      <c r="Z363" s="63" t="inlineStr">
        <is>
          <t xml:space="preserve">C </t>
        </is>
      </c>
      <c r="AC363" s="67" t="n"/>
      <c r="AD363" s="61" t="inlineStr">
        <is>
          <t xml:space="preserve">SW ROCKMOUNT        </t>
        </is>
      </c>
      <c r="AE363" s="716" t="n"/>
      <c r="AF363" s="716" t="n"/>
      <c r="AG363" s="716" t="n"/>
      <c r="AH363" s="716" t="n"/>
      <c r="AI363" s="716" t="n"/>
      <c r="AJ363" s="716" t="n"/>
      <c r="AK363" s="717" t="inlineStr">
        <is>
          <t xml:space="preserve">2008 LEASE.                                                       </t>
        </is>
      </c>
      <c r="AL363">
        <f>IF(AND(ISNUMBER($S363),$S363&gt;0,ISNUMBER($K363),ISNUMBER($J363)),($K363*$J363)/$S363,"")</f>
        <v/>
      </c>
      <c r="AM363" s="59" t="inlineStr"/>
    </row>
    <row r="364" ht="14" customHeight="1" s="518">
      <c r="A364" s="62" t="n">
        <v>7</v>
      </c>
      <c r="B364" s="93" t="n">
        <v>357</v>
      </c>
      <c r="C364" s="68" t="inlineStr">
        <is>
          <t>2011Q</t>
        </is>
      </c>
      <c r="D364" s="59" t="inlineStr">
        <is>
          <t xml:space="preserve">02141-00-010-000 </t>
        </is>
      </c>
      <c r="E364" s="72" t="inlineStr">
        <is>
          <t>Actual</t>
        </is>
      </c>
      <c r="F364" s="73" t="inlineStr">
        <is>
          <t>5300   FRANKLIN            ST</t>
        </is>
      </c>
      <c r="G364" s="708" t="n">
        <v>45.7</v>
      </c>
      <c r="H364" s="67" t="n">
        <v>9201</v>
      </c>
      <c r="I364" s="69" t="n">
        <v>0</v>
      </c>
      <c r="J364" s="714" t="n">
        <v>31705</v>
      </c>
      <c r="K364" s="715" t="n">
        <v>5.499984229616779</v>
      </c>
      <c r="L364" s="74" t="n">
        <v>0.4</v>
      </c>
      <c r="M364" s="76" t="n">
        <v>0</v>
      </c>
      <c r="N364" s="67" t="n">
        <v>1951</v>
      </c>
      <c r="O364" s="64" t="n">
        <v>5790</v>
      </c>
      <c r="Q364" s="59" t="n">
        <v>17</v>
      </c>
      <c r="R364" s="59" t="n">
        <v>4</v>
      </c>
      <c r="S364" s="59" t="n">
        <v>1</v>
      </c>
      <c r="T364" s="63" t="inlineStr">
        <is>
          <t xml:space="preserve">I2   </t>
        </is>
      </c>
      <c r="U364" s="63" t="n">
        <v>401</v>
      </c>
      <c r="V364" s="714" t="n">
        <v>85400</v>
      </c>
      <c r="W364" s="714" t="n">
        <v>85000</v>
      </c>
      <c r="X364" s="83" t="inlineStr">
        <is>
          <t>2.7:1</t>
        </is>
      </c>
      <c r="Y364" s="714" t="n">
        <v>32000</v>
      </c>
      <c r="Z364" s="63" t="inlineStr">
        <is>
          <t xml:space="preserve">C </t>
        </is>
      </c>
      <c r="AC364" s="67" t="n"/>
      <c r="AD364" s="61" t="inlineStr"/>
      <c r="AE364" s="716" t="n"/>
      <c r="AF364" s="716" t="n"/>
      <c r="AG364" s="716" t="n"/>
      <c r="AH364" s="716" t="n"/>
      <c r="AI364" s="716" t="n"/>
      <c r="AJ364" s="716" t="n"/>
      <c r="AK364" s="717" t="inlineStr"/>
      <c r="AL364">
        <f>IF(AND(ISNUMBER($S364),$S364&gt;0,ISNUMBER($K364),ISNUMBER($J364)),($K364*$J364)/$S364,"")</f>
        <v/>
      </c>
      <c r="AM364" s="59" t="inlineStr"/>
    </row>
    <row r="365" ht="14" customHeight="1" s="518">
      <c r="A365" s="62" t="n">
        <v>7</v>
      </c>
      <c r="B365" s="93" t="n">
        <v>358</v>
      </c>
      <c r="C365" s="68" t="inlineStr">
        <is>
          <t>2011Q</t>
        </is>
      </c>
      <c r="D365" s="59" t="inlineStr">
        <is>
          <t xml:space="preserve">02143-00-030-000 </t>
        </is>
      </c>
      <c r="E365" s="72" t="inlineStr">
        <is>
          <t>Actual</t>
        </is>
      </c>
      <c r="F365" s="73" t="inlineStr">
        <is>
          <t>5040   WASHINGTON          ST</t>
        </is>
      </c>
      <c r="G365" s="67" t="n">
        <v>44.1</v>
      </c>
      <c r="H365" s="67" t="n">
        <v>9201</v>
      </c>
      <c r="I365" s="69" t="n">
        <v>0</v>
      </c>
      <c r="J365" s="714" t="n">
        <v>1200</v>
      </c>
      <c r="K365" s="715" t="n">
        <v>3.333333333333333</v>
      </c>
      <c r="L365" s="74" t="n">
        <v>0</v>
      </c>
      <c r="M365" s="76" t="n">
        <v>0.01675</v>
      </c>
      <c r="N365" s="67" t="n">
        <v>1967</v>
      </c>
      <c r="O365" s="64" t="n">
        <v>116</v>
      </c>
      <c r="Q365" s="59" t="n">
        <v>10</v>
      </c>
      <c r="R365" s="59" t="n">
        <v>7</v>
      </c>
      <c r="S365" s="59" t="n">
        <v>2</v>
      </c>
      <c r="T365" s="63" t="inlineStr">
        <is>
          <t xml:space="preserve">I1   </t>
        </is>
      </c>
      <c r="U365" s="63" t="n">
        <v>398</v>
      </c>
      <c r="V365" s="714" t="n">
        <v>12600</v>
      </c>
      <c r="W365" s="714" t="n">
        <v>13000</v>
      </c>
      <c r="X365" s="83" t="inlineStr">
        <is>
          <t>10.5:1</t>
        </is>
      </c>
      <c r="Y365" s="714" t="n">
        <v>1000</v>
      </c>
      <c r="Z365" s="63" t="inlineStr">
        <is>
          <t xml:space="preserve">C </t>
        </is>
      </c>
      <c r="AC365" s="67" t="n"/>
      <c r="AD365" s="61" t="inlineStr">
        <is>
          <t xml:space="preserve">S-W                 </t>
        </is>
      </c>
      <c r="AE365" s="716" t="n"/>
      <c r="AF365" s="716" t="n"/>
      <c r="AG365" s="716" t="n"/>
      <c r="AH365" s="716" t="n"/>
      <c r="AI365" s="716" t="n"/>
      <c r="AJ365" s="716" t="n"/>
      <c r="AK365" s="717" t="inlineStr"/>
      <c r="AL365">
        <f>IF(AND(ISNUMBER($S365),$S365&gt;0,ISNUMBER($K365),ISNUMBER($J365)),($K365*$J365)/$S365,"")</f>
        <v/>
      </c>
      <c r="AM365" s="59" t="inlineStr"/>
    </row>
    <row r="366" ht="14" customHeight="1" s="518">
      <c r="A366" s="62" t="n">
        <v>7</v>
      </c>
      <c r="B366" s="93" t="n">
        <v>359</v>
      </c>
      <c r="C366" s="68" t="inlineStr">
        <is>
          <t>2011Q</t>
        </is>
      </c>
      <c r="D366" s="59" t="inlineStr">
        <is>
          <t xml:space="preserve">02143-00-093-000 </t>
        </is>
      </c>
      <c r="E366" s="72" t="inlineStr">
        <is>
          <t>Actual</t>
        </is>
      </c>
      <c r="F366" s="73" t="inlineStr">
        <is>
          <t>770 E 51ST                AV</t>
        </is>
      </c>
      <c r="G366" s="708" t="n">
        <v>44.2</v>
      </c>
      <c r="H366" s="67" t="n">
        <v>9201</v>
      </c>
      <c r="I366" s="69" t="n">
        <v>0</v>
      </c>
      <c r="J366" s="714" t="n">
        <v>2982</v>
      </c>
      <c r="K366" s="715" t="n">
        <v>4.426559356136821</v>
      </c>
      <c r="L366" s="74" t="n">
        <v>0</v>
      </c>
      <c r="M366" s="76" t="n">
        <v>0.08181818181818182</v>
      </c>
      <c r="N366" s="67" t="n">
        <v>1961</v>
      </c>
      <c r="O366" s="64" t="n">
        <v>0</v>
      </c>
      <c r="Q366" s="59" t="n">
        <v>9</v>
      </c>
      <c r="R366" s="59" t="n">
        <v>10</v>
      </c>
      <c r="S366" s="59" t="n">
        <v>1</v>
      </c>
      <c r="T366" s="63" t="inlineStr">
        <is>
          <t xml:space="preserve">I1   </t>
        </is>
      </c>
      <c r="U366" s="63" t="n">
        <v>353</v>
      </c>
      <c r="V366" s="714" t="n">
        <v>6711</v>
      </c>
      <c r="W366" s="714" t="n">
        <v>7000</v>
      </c>
      <c r="X366" s="83" t="inlineStr">
        <is>
          <t>2.3:1</t>
        </is>
      </c>
      <c r="Y366" s="714" t="n">
        <v>3000</v>
      </c>
      <c r="Z366" s="63" t="inlineStr">
        <is>
          <t xml:space="preserve">C </t>
        </is>
      </c>
      <c r="AC366" s="67" t="n"/>
      <c r="AD366" s="61" t="inlineStr"/>
      <c r="AE366" s="716" t="n"/>
      <c r="AF366" s="716" t="n"/>
      <c r="AG366" s="716" t="n"/>
      <c r="AH366" s="716" t="n"/>
      <c r="AI366" s="716" t="n"/>
      <c r="AJ366" s="716" t="n"/>
      <c r="AK366" s="717" t="inlineStr"/>
      <c r="AL366">
        <f>IF(AND(ISNUMBER($S366),$S366&gt;0,ISNUMBER($K366),ISNUMBER($J366)),($K366*$J366)/$S366,"")</f>
        <v/>
      </c>
      <c r="AM366" s="59" t="inlineStr"/>
    </row>
    <row r="367" ht="14" customHeight="1" s="518">
      <c r="A367" s="62" t="n">
        <v>7</v>
      </c>
      <c r="B367" s="93" t="n">
        <v>360</v>
      </c>
      <c r="C367" s="68" t="inlineStr">
        <is>
          <t>2011Q</t>
        </is>
      </c>
      <c r="D367" s="59" t="inlineStr">
        <is>
          <t xml:space="preserve">02143-00-148-000 </t>
        </is>
      </c>
      <c r="E367" s="72" t="inlineStr">
        <is>
          <t>Actual</t>
        </is>
      </c>
      <c r="F367" s="73" t="inlineStr">
        <is>
          <t>5151   FRANKLIN            ST</t>
        </is>
      </c>
      <c r="G367" s="708" t="n">
        <v>44.4</v>
      </c>
      <c r="H367" s="67" t="n">
        <v>9201</v>
      </c>
      <c r="I367" s="69" t="n">
        <v>0</v>
      </c>
      <c r="J367" s="714" t="n">
        <v>143328</v>
      </c>
      <c r="K367" s="715" t="n">
        <v>2.82103985264568</v>
      </c>
      <c r="L367" s="74" t="n">
        <v>0</v>
      </c>
      <c r="M367" s="76" t="n">
        <v>0</v>
      </c>
      <c r="N367" s="67" t="n">
        <v>1980</v>
      </c>
      <c r="O367" s="64" t="n">
        <v>11852</v>
      </c>
      <c r="Q367" s="59" t="n">
        <v>25</v>
      </c>
      <c r="R367" s="59" t="n">
        <v>3</v>
      </c>
      <c r="S367" s="59" t="n">
        <v>1</v>
      </c>
      <c r="T367" s="63" t="inlineStr">
        <is>
          <t xml:space="preserve">I2   </t>
        </is>
      </c>
      <c r="U367" s="63" t="n">
        <v>398</v>
      </c>
      <c r="V367" s="714" t="n">
        <v>286723</v>
      </c>
      <c r="W367" s="714" t="n">
        <v>290000</v>
      </c>
      <c r="X367" s="83" t="inlineStr">
        <is>
          <t>2.0:1</t>
        </is>
      </c>
      <c r="Y367" s="714" t="n">
        <v>140000</v>
      </c>
      <c r="Z367" s="63" t="inlineStr">
        <is>
          <t xml:space="preserve">C </t>
        </is>
      </c>
      <c r="AC367" s="67" t="n"/>
      <c r="AD367" s="61" t="inlineStr">
        <is>
          <t xml:space="preserve">MW                  </t>
        </is>
      </c>
      <c r="AE367" s="716" t="n"/>
      <c r="AF367" s="716" t="n"/>
      <c r="AG367" s="716" t="n"/>
      <c r="AH367" s="716" t="n"/>
      <c r="AI367" s="716" t="n"/>
      <c r="AJ367" s="716" t="n"/>
      <c r="AK367" s="717" t="inlineStr"/>
      <c r="AL367">
        <f>IF(AND(ISNUMBER($S367),$S367&gt;0,ISNUMBER($K367),ISNUMBER($J367)),($K367*$J367)/$S367,"")</f>
        <v/>
      </c>
      <c r="AM367" s="59" t="inlineStr"/>
    </row>
    <row r="368" ht="28" customHeight="1" s="518">
      <c r="A368" s="62" t="n">
        <v>7</v>
      </c>
      <c r="B368" s="93" t="n">
        <v>361</v>
      </c>
      <c r="C368" s="68" t="inlineStr">
        <is>
          <t>2011Q</t>
        </is>
      </c>
      <c r="D368" s="59" t="inlineStr">
        <is>
          <t xml:space="preserve">02143-00-149-000 </t>
        </is>
      </c>
      <c r="E368" s="72" t="inlineStr">
        <is>
          <t>Actual</t>
        </is>
      </c>
      <c r="F368" s="73" t="inlineStr">
        <is>
          <t>4950   WASHINGTON          ST</t>
        </is>
      </c>
      <c r="G368" s="67" t="n">
        <v>44.1</v>
      </c>
      <c r="H368" s="67" t="n">
        <v>9201</v>
      </c>
      <c r="I368" s="69" t="n">
        <v>0</v>
      </c>
      <c r="J368" s="714" t="n">
        <v>19990</v>
      </c>
      <c r="K368" s="715" t="n">
        <v>4.327163581790895</v>
      </c>
      <c r="L368" s="74" t="n">
        <v>0</v>
      </c>
      <c r="M368" s="76" t="n">
        <v>0</v>
      </c>
      <c r="N368" s="67" t="n">
        <v>1948</v>
      </c>
      <c r="O368" s="64" t="n">
        <v>5730</v>
      </c>
      <c r="Q368" s="59" t="n">
        <v>18</v>
      </c>
      <c r="R368" s="59" t="n">
        <v>1</v>
      </c>
      <c r="S368" s="59" t="n">
        <v>1</v>
      </c>
      <c r="T368" s="63" t="inlineStr">
        <is>
          <t xml:space="preserve">I2   </t>
        </is>
      </c>
      <c r="U368" s="63" t="n">
        <v>398</v>
      </c>
      <c r="V368" s="714" t="n">
        <v>100554</v>
      </c>
      <c r="W368" s="714" t="n">
        <v>101000</v>
      </c>
      <c r="X368" s="83" t="inlineStr">
        <is>
          <t>3.0:1</t>
        </is>
      </c>
      <c r="Y368" s="714" t="n">
        <v>20000</v>
      </c>
      <c r="Z368" s="63" t="inlineStr">
        <is>
          <t xml:space="preserve">C </t>
        </is>
      </c>
      <c r="AC368" s="67" t="n"/>
      <c r="AD368" s="61" t="inlineStr"/>
      <c r="AE368" s="716" t="n"/>
      <c r="AF368" s="716" t="n"/>
      <c r="AG368" s="716" t="n"/>
      <c r="AH368" s="716" t="n"/>
      <c r="AI368" s="716" t="n"/>
      <c r="AJ368" s="716" t="n"/>
      <c r="AK368" s="717" t="inlineStr">
        <is>
          <t xml:space="preserve">2008 LEASE; EXPENSES NOT ALLOCABLE BETWEEN OWNER AND TENANT.      </t>
        </is>
      </c>
      <c r="AL368">
        <f>IF(AND(ISNUMBER($S368),$S368&gt;0,ISNUMBER($K368),ISNUMBER($J368)),($K368*$J368)/$S368,"")</f>
        <v/>
      </c>
      <c r="AM368" s="59" t="inlineStr"/>
    </row>
    <row r="369" ht="14" customHeight="1" s="518">
      <c r="A369" s="62" t="n">
        <v>7</v>
      </c>
      <c r="B369" s="93" t="n">
        <v>362</v>
      </c>
      <c r="C369" s="68" t="inlineStr">
        <is>
          <t>2011Q</t>
        </is>
      </c>
      <c r="D369" s="59" t="inlineStr">
        <is>
          <t xml:space="preserve">02143-04-026-000 </t>
        </is>
      </c>
      <c r="E369" s="72" t="inlineStr">
        <is>
          <t>Actual</t>
        </is>
      </c>
      <c r="F369" s="73" t="inlineStr">
        <is>
          <t>5171   EMERSON             ST</t>
        </is>
      </c>
      <c r="G369" s="67" t="n">
        <v>44.1</v>
      </c>
      <c r="H369" s="67" t="n">
        <v>9201</v>
      </c>
      <c r="I369" s="69" t="n">
        <v>0</v>
      </c>
      <c r="J369" s="714" t="n">
        <v>5030</v>
      </c>
      <c r="K369" s="715" t="n">
        <v>5.36779324055666</v>
      </c>
      <c r="L369" s="74" t="n">
        <v>0</v>
      </c>
      <c r="M369" s="76" t="n">
        <v>0.008148148148148147</v>
      </c>
      <c r="N369" s="67" t="n">
        <v>1980</v>
      </c>
      <c r="O369" s="64" t="n">
        <v>387</v>
      </c>
      <c r="Q369" s="59" t="n">
        <v>16</v>
      </c>
      <c r="R369" s="59" t="n">
        <v>7</v>
      </c>
      <c r="S369" s="59" t="n">
        <v>1</v>
      </c>
      <c r="T369" s="63" t="inlineStr">
        <is>
          <t xml:space="preserve">I1   </t>
        </is>
      </c>
      <c r="U369" s="63" t="n">
        <v>398</v>
      </c>
      <c r="V369" s="714" t="n">
        <v>18700</v>
      </c>
      <c r="W369" s="714" t="n">
        <v>19000</v>
      </c>
      <c r="X369" s="83" t="inlineStr">
        <is>
          <t>3.7:1</t>
        </is>
      </c>
      <c r="Y369" s="714" t="n">
        <v>5000</v>
      </c>
      <c r="Z369" s="63" t="inlineStr">
        <is>
          <t xml:space="preserve">C </t>
        </is>
      </c>
      <c r="AC369" s="67" t="n"/>
      <c r="AD369" s="61" t="inlineStr"/>
      <c r="AE369" s="716" t="n"/>
      <c r="AF369" s="716" t="n"/>
      <c r="AG369" s="716" t="n"/>
      <c r="AH369" s="716" t="n"/>
      <c r="AI369" s="716" t="n"/>
      <c r="AJ369" s="716" t="n"/>
      <c r="AK369" s="717" t="inlineStr">
        <is>
          <t xml:space="preserve">MO-TO-MO                                                          </t>
        </is>
      </c>
      <c r="AL369">
        <f>IF(AND(ISNUMBER($S369),$S369&gt;0,ISNUMBER($K369),ISNUMBER($J369)),($K369*$J369)/$S369,"")</f>
        <v/>
      </c>
      <c r="AM369" s="59" t="inlineStr"/>
    </row>
    <row r="370" ht="28" customHeight="1" s="518">
      <c r="A370" s="62" t="n">
        <v>7</v>
      </c>
      <c r="B370" s="93" t="n">
        <v>363</v>
      </c>
      <c r="C370" s="68" t="inlineStr">
        <is>
          <t>2011Q</t>
        </is>
      </c>
      <c r="D370" s="59" t="inlineStr">
        <is>
          <t xml:space="preserve">02144-00-111-000 </t>
        </is>
      </c>
      <c r="E370" s="72" t="inlineStr">
        <is>
          <t>Actual</t>
        </is>
      </c>
      <c r="F370" s="73" t="inlineStr">
        <is>
          <t>5125   RACE                CT</t>
        </is>
      </c>
      <c r="G370" s="708" t="n">
        <v>44.4</v>
      </c>
      <c r="H370" s="67" t="n">
        <v>9201</v>
      </c>
      <c r="I370" s="69" t="n">
        <v>0</v>
      </c>
      <c r="J370" s="714" t="n">
        <v>95948</v>
      </c>
      <c r="K370" s="715" t="n">
        <v>4.450327260599491</v>
      </c>
      <c r="L370" s="74" t="n">
        <v>0</v>
      </c>
      <c r="M370" s="76" t="n">
        <v>0.006693208430913349</v>
      </c>
      <c r="N370" s="67" t="n">
        <v>1979</v>
      </c>
      <c r="O370" s="64" t="n">
        <v>677</v>
      </c>
      <c r="Q370" s="59" t="n">
        <v>21</v>
      </c>
      <c r="R370" s="59" t="n">
        <v>3</v>
      </c>
      <c r="S370" s="59" t="n">
        <v>2</v>
      </c>
      <c r="T370" s="63" t="inlineStr">
        <is>
          <t xml:space="preserve">I2   </t>
        </is>
      </c>
      <c r="U370" s="63" t="n">
        <v>398</v>
      </c>
      <c r="V370" s="714" t="n">
        <v>416941</v>
      </c>
      <c r="W370" s="714" t="n">
        <v>420000</v>
      </c>
      <c r="X370" s="83" t="inlineStr">
        <is>
          <t>3.1:1</t>
        </is>
      </c>
      <c r="Y370" s="714" t="n">
        <v>96000</v>
      </c>
      <c r="Z370" s="63" t="inlineStr">
        <is>
          <t xml:space="preserve">C </t>
        </is>
      </c>
      <c r="AC370" s="67" t="n"/>
      <c r="AD370" s="61" t="inlineStr">
        <is>
          <t xml:space="preserve">DIST/MANU           </t>
        </is>
      </c>
      <c r="AE370" s="716" t="n"/>
      <c r="AF370" s="716" t="n"/>
      <c r="AG370" s="716" t="n"/>
      <c r="AH370" s="716" t="n"/>
      <c r="AI370" s="716" t="n"/>
      <c r="AJ370" s="716" t="n"/>
      <c r="AK370" s="717" t="inlineStr">
        <is>
          <t xml:space="preserve">INFO PERTAINS THE UNIT LEASED DURING THE BASE PERIOD ONLY.        </t>
        </is>
      </c>
      <c r="AL370">
        <f>IF(AND(ISNUMBER($S370),$S370&gt;0,ISNUMBER($K370),ISNUMBER($J370)),($K370*$J370)/$S370,"")</f>
        <v/>
      </c>
      <c r="AM370" s="59" t="inlineStr"/>
    </row>
    <row r="371" ht="28" customHeight="1" s="518">
      <c r="A371" s="62" t="n">
        <v>7</v>
      </c>
      <c r="B371" s="93" t="n">
        <v>364</v>
      </c>
      <c r="C371" s="68" t="inlineStr">
        <is>
          <t>2011Q</t>
        </is>
      </c>
      <c r="D371" s="59" t="inlineStr">
        <is>
          <t xml:space="preserve">02153-00-014-000 </t>
        </is>
      </c>
      <c r="E371" s="72" t="inlineStr">
        <is>
          <t>Actual</t>
        </is>
      </c>
      <c r="F371" s="73" t="inlineStr">
        <is>
          <t>555 W 48TH                AV</t>
        </is>
      </c>
      <c r="G371" s="708" t="n">
        <v>44.4</v>
      </c>
      <c r="H371" s="67" t="n">
        <v>9208</v>
      </c>
      <c r="I371" s="69" t="n">
        <v>0</v>
      </c>
      <c r="J371" s="714" t="n">
        <v>109323</v>
      </c>
      <c r="K371" s="715" t="n">
        <v>8.794992819443301</v>
      </c>
      <c r="L371" s="74" t="n">
        <v>0.26</v>
      </c>
      <c r="M371" s="76" t="n">
        <v>0.2539617990733181</v>
      </c>
      <c r="N371" s="67" t="n">
        <v>1955</v>
      </c>
      <c r="O371" s="64" t="n">
        <v>27857</v>
      </c>
      <c r="Q371" s="59" t="n">
        <v>20</v>
      </c>
      <c r="R371" s="59" t="n">
        <v>1</v>
      </c>
      <c r="S371" s="59" t="n">
        <v>5</v>
      </c>
      <c r="T371" s="63" t="inlineStr">
        <is>
          <t xml:space="preserve">I2   </t>
        </is>
      </c>
      <c r="U371" s="63" t="n">
        <v>398</v>
      </c>
      <c r="V371" s="714" t="n">
        <v>240000</v>
      </c>
      <c r="W371" s="714" t="n">
        <v>240000</v>
      </c>
      <c r="X371" s="83" t="inlineStr">
        <is>
          <t>2.2:1</t>
        </is>
      </c>
      <c r="Y371" s="714" t="n">
        <v>110000</v>
      </c>
      <c r="Z371" s="63" t="inlineStr">
        <is>
          <t xml:space="preserve">C </t>
        </is>
      </c>
      <c r="AC371" s="67" t="n"/>
      <c r="AD371" s="61" t="inlineStr">
        <is>
          <t>M-W-LINCOLN BUS PARK</t>
        </is>
      </c>
      <c r="AE371" s="716" t="n"/>
      <c r="AF371" s="716" t="n"/>
      <c r="AG371" s="716" t="n"/>
      <c r="AH371" s="716" t="n"/>
      <c r="AI371" s="716" t="n"/>
      <c r="AJ371" s="716" t="n"/>
      <c r="AK371" s="717" t="inlineStr">
        <is>
          <t xml:space="preserve">FULL EXPENSE RECOVERY MAKES THESE EFFECTIVELY NET LEASES.         </t>
        </is>
      </c>
      <c r="AL371">
        <f>IF(AND(ISNUMBER($S371),$S371&gt;0,ISNUMBER($K371),ISNUMBER($J371)),($K371*$J371)/$S371,"")</f>
        <v/>
      </c>
      <c r="AM371" s="59" t="inlineStr"/>
    </row>
    <row r="372" ht="28" customHeight="1" s="518">
      <c r="A372" s="62" t="n">
        <v>7</v>
      </c>
      <c r="B372" s="93" t="n">
        <v>365</v>
      </c>
      <c r="C372" s="68" t="inlineStr">
        <is>
          <t>2011Q</t>
        </is>
      </c>
      <c r="D372" s="59" t="inlineStr">
        <is>
          <t xml:space="preserve">02153-09-014-000 </t>
        </is>
      </c>
      <c r="E372" s="72" t="inlineStr">
        <is>
          <t>Actual</t>
        </is>
      </c>
      <c r="F372" s="73" t="inlineStr">
        <is>
          <t>4855   BROADWAY            ST</t>
        </is>
      </c>
      <c r="G372" s="708" t="n">
        <v>44.2</v>
      </c>
      <c r="H372" s="67" t="n">
        <v>9201</v>
      </c>
      <c r="I372" s="69" t="n">
        <v>0</v>
      </c>
      <c r="J372" s="714" t="n">
        <v>14000</v>
      </c>
      <c r="K372" s="715" t="n">
        <v>3.857142857142857</v>
      </c>
      <c r="L372" s="74" t="n">
        <v>0</v>
      </c>
      <c r="M372" s="76" t="n">
        <v>0.1868333333333333</v>
      </c>
      <c r="N372" s="67" t="n">
        <v>1968</v>
      </c>
      <c r="O372" s="64" t="n">
        <v>1143</v>
      </c>
      <c r="Q372" s="59" t="n">
        <v>18</v>
      </c>
      <c r="R372" s="59" t="n">
        <v>10</v>
      </c>
      <c r="S372" s="59" t="n">
        <v>2</v>
      </c>
      <c r="T372" s="63" t="inlineStr">
        <is>
          <t xml:space="preserve">I1   </t>
        </is>
      </c>
      <c r="U372" s="63" t="n">
        <v>398</v>
      </c>
      <c r="V372" s="714" t="n">
        <v>24000</v>
      </c>
      <c r="W372" s="714" t="n">
        <v>24000</v>
      </c>
      <c r="X372" s="83" t="inlineStr">
        <is>
          <t>1.7:1</t>
        </is>
      </c>
      <c r="Y372" s="714" t="n">
        <v>14000</v>
      </c>
      <c r="Z372" s="63" t="inlineStr">
        <is>
          <t xml:space="preserve">C </t>
        </is>
      </c>
      <c r="AC372" s="67" t="n"/>
      <c r="AD372" s="61" t="inlineStr"/>
      <c r="AE372" s="716" t="n"/>
      <c r="AF372" s="716" t="n"/>
      <c r="AG372" s="716" t="n"/>
      <c r="AH372" s="716" t="n"/>
      <c r="AI372" s="716" t="n"/>
      <c r="AJ372" s="716" t="n"/>
      <c r="AK372" s="717" t="inlineStr">
        <is>
          <t>GROSS LEASE BASIS IS ATYPICAL FOR WAREHOUSES - OWNER EXP TOO HIGH.</t>
        </is>
      </c>
      <c r="AL372">
        <f>IF(AND(ISNUMBER($S372),$S372&gt;0,ISNUMBER($K372),ISNUMBER($J372)),($K372*$J372)/$S372,"")</f>
        <v/>
      </c>
      <c r="AM372" s="59" t="inlineStr"/>
    </row>
    <row r="373" ht="14" customHeight="1" s="518">
      <c r="A373" s="62" t="n">
        <v>7</v>
      </c>
      <c r="B373" s="93" t="n">
        <v>366</v>
      </c>
      <c r="C373" s="68" t="inlineStr">
        <is>
          <t>2011Q</t>
        </is>
      </c>
      <c r="D373" s="59" t="inlineStr">
        <is>
          <t xml:space="preserve">02154-00-046-000 </t>
        </is>
      </c>
      <c r="E373" s="72" t="inlineStr">
        <is>
          <t>Actual</t>
        </is>
      </c>
      <c r="F373" s="73" t="inlineStr">
        <is>
          <t>5005   WASHINGTON          ST</t>
        </is>
      </c>
      <c r="G373" s="67" t="n">
        <v>44.1</v>
      </c>
      <c r="H373" s="67" t="n">
        <v>9201</v>
      </c>
      <c r="I373" s="69" t="n">
        <v>0</v>
      </c>
      <c r="J373" s="714" t="n">
        <v>38845</v>
      </c>
      <c r="K373" s="715" t="n">
        <v>7.723001673317029</v>
      </c>
      <c r="L373" s="74" t="n">
        <v>0</v>
      </c>
      <c r="M373" s="76" t="n">
        <v>0</v>
      </c>
      <c r="N373" s="67" t="n">
        <v>1991</v>
      </c>
      <c r="O373" s="64" t="n">
        <v>7755</v>
      </c>
      <c r="Q373" s="59" t="n">
        <v>28</v>
      </c>
      <c r="R373" s="59" t="n">
        <v>3</v>
      </c>
      <c r="S373" s="59" t="n">
        <v>1</v>
      </c>
      <c r="T373" s="63" t="inlineStr">
        <is>
          <t xml:space="preserve">I1   </t>
        </is>
      </c>
      <c r="U373" s="63" t="n">
        <v>398</v>
      </c>
      <c r="V373" s="714" t="n">
        <v>87200</v>
      </c>
      <c r="W373" s="714" t="n">
        <v>87000</v>
      </c>
      <c r="X373" s="83" t="inlineStr">
        <is>
          <t>2.2:1</t>
        </is>
      </c>
      <c r="Y373" s="714" t="n">
        <v>39000</v>
      </c>
      <c r="Z373" s="63" t="inlineStr">
        <is>
          <t xml:space="preserve">C </t>
        </is>
      </c>
      <c r="AC373" s="67" t="n"/>
      <c r="AD373" s="61" t="inlineStr">
        <is>
          <t xml:space="preserve">S-W REST SOURCE     </t>
        </is>
      </c>
      <c r="AE373" s="716" t="n"/>
      <c r="AF373" s="716" t="n"/>
      <c r="AG373" s="716" t="n"/>
      <c r="AH373" s="716" t="n"/>
      <c r="AI373" s="716" t="n"/>
      <c r="AJ373" s="716" t="n"/>
      <c r="AK373" s="717" t="inlineStr">
        <is>
          <t xml:space="preserve">LEASE COMMENCEMENT UNKNOWN.                                       </t>
        </is>
      </c>
      <c r="AL373">
        <f>IF(AND(ISNUMBER($S373),$S373&gt;0,ISNUMBER($K373),ISNUMBER($J373)),($K373*$J373)/$S373,"")</f>
        <v/>
      </c>
      <c r="AM373" s="59" t="inlineStr"/>
    </row>
    <row r="374" ht="28" customHeight="1" s="518">
      <c r="A374" s="62" t="n">
        <v>7</v>
      </c>
      <c r="B374" s="93" t="n">
        <v>367</v>
      </c>
      <c r="C374" s="68" t="inlineStr">
        <is>
          <t>2011Q</t>
        </is>
      </c>
      <c r="D374" s="59" t="inlineStr">
        <is>
          <t xml:space="preserve">02154-17-014-000 </t>
        </is>
      </c>
      <c r="E374" s="72" t="inlineStr">
        <is>
          <t>Actual</t>
        </is>
      </c>
      <c r="F374" s="73" t="inlineStr">
        <is>
          <t>4850   BROADWAY            ST</t>
        </is>
      </c>
      <c r="G374" s="708" t="n">
        <v>46.2</v>
      </c>
      <c r="H374" s="67" t="n">
        <v>9201</v>
      </c>
      <c r="I374" s="69" t="n">
        <v>0</v>
      </c>
      <c r="J374" s="714" t="n">
        <v>10354</v>
      </c>
      <c r="K374" s="715" t="n">
        <v>4.339289163608267</v>
      </c>
      <c r="L374" s="74" t="n">
        <v>0</v>
      </c>
      <c r="M374" s="76" t="n">
        <v>0.1744530258852857</v>
      </c>
      <c r="N374" s="67" t="n">
        <v>1967</v>
      </c>
      <c r="O374" s="64" t="n">
        <v>3374</v>
      </c>
      <c r="Q374" s="59" t="n">
        <v>17</v>
      </c>
      <c r="R374" s="59" t="n">
        <v>14</v>
      </c>
      <c r="S374" s="59" t="n">
        <v>3</v>
      </c>
      <c r="T374" s="63" t="inlineStr">
        <is>
          <t xml:space="preserve">I1   </t>
        </is>
      </c>
      <c r="U374" s="63" t="n">
        <v>401</v>
      </c>
      <c r="V374" s="714" t="n">
        <v>21063</v>
      </c>
      <c r="W374" s="714" t="n">
        <v>21000</v>
      </c>
      <c r="X374" s="83" t="inlineStr">
        <is>
          <t>2.0:1</t>
        </is>
      </c>
      <c r="Y374" s="714" t="n">
        <v>10000</v>
      </c>
      <c r="Z374" s="63" t="inlineStr">
        <is>
          <t xml:space="preserve">C </t>
        </is>
      </c>
      <c r="AC374" s="67" t="n"/>
      <c r="AD374" s="61" t="inlineStr"/>
      <c r="AE374" s="716" t="n"/>
      <c r="AF374" s="716" t="n"/>
      <c r="AG374" s="716" t="n"/>
      <c r="AH374" s="716" t="n"/>
      <c r="AI374" s="716" t="n"/>
      <c r="AJ374" s="716" t="n"/>
      <c r="AK374" s="717" t="inlineStr">
        <is>
          <t xml:space="preserve">GROSS LEASE BASIS IS ATYPICAL FOR WHSES - OWNER EXP TOO HIGH.     </t>
        </is>
      </c>
      <c r="AL374">
        <f>IF(AND(ISNUMBER($S374),$S374&gt;0,ISNUMBER($K374),ISNUMBER($J374)),($K374*$J374)/$S374,"")</f>
        <v/>
      </c>
      <c r="AM374" s="59" t="inlineStr"/>
    </row>
    <row r="375" ht="28" customHeight="1" s="518">
      <c r="A375" s="62" t="n">
        <v>7</v>
      </c>
      <c r="B375" s="93" t="n">
        <v>368</v>
      </c>
      <c r="C375" s="68" t="inlineStr">
        <is>
          <t>2011Q</t>
        </is>
      </c>
      <c r="D375" s="59" t="inlineStr">
        <is>
          <t xml:space="preserve">02154-23-037-000 </t>
        </is>
      </c>
      <c r="E375" s="72" t="inlineStr">
        <is>
          <t>Actual</t>
        </is>
      </c>
      <c r="F375" s="73" t="inlineStr">
        <is>
          <t>4895   WASHINGTON          ST</t>
        </is>
      </c>
      <c r="G375" s="708" t="n">
        <v>44.2</v>
      </c>
      <c r="H375" s="67" t="n">
        <v>9201</v>
      </c>
      <c r="I375" s="69" t="n">
        <v>0</v>
      </c>
      <c r="J375" s="714" t="n">
        <v>13881</v>
      </c>
      <c r="K375" s="715" t="n">
        <v>2.434983070383978</v>
      </c>
      <c r="L375" s="74" t="n">
        <v>0</v>
      </c>
      <c r="M375" s="76" t="n">
        <v>0</v>
      </c>
      <c r="N375" s="67" t="n">
        <v>1950</v>
      </c>
      <c r="O375" s="64" t="n">
        <v>3456</v>
      </c>
      <c r="Q375" s="59" t="n">
        <v>14</v>
      </c>
      <c r="R375" s="59" t="n">
        <v>8</v>
      </c>
      <c r="S375" s="59" t="n">
        <v>1</v>
      </c>
      <c r="T375" s="63" t="inlineStr">
        <is>
          <t xml:space="preserve">I1   </t>
        </is>
      </c>
      <c r="U375" s="63" t="n">
        <v>398</v>
      </c>
      <c r="V375" s="714" t="n">
        <v>28675</v>
      </c>
      <c r="W375" s="714" t="n">
        <v>29000</v>
      </c>
      <c r="X375" s="83" t="inlineStr">
        <is>
          <t>2.1:1</t>
        </is>
      </c>
      <c r="Y375" s="714" t="n">
        <v>14000</v>
      </c>
      <c r="Z375" s="63" t="inlineStr">
        <is>
          <t xml:space="preserve">C </t>
        </is>
      </c>
      <c r="AC375" s="67" t="n"/>
      <c r="AD375" s="61" t="inlineStr">
        <is>
          <t>MILE HI AUTO ELECTRI</t>
        </is>
      </c>
      <c r="AE375" s="716" t="n"/>
      <c r="AF375" s="716" t="n"/>
      <c r="AG375" s="716" t="n"/>
      <c r="AH375" s="716" t="n"/>
      <c r="AI375" s="716" t="n"/>
      <c r="AJ375" s="716" t="n"/>
      <c r="AK375" s="717" t="inlineStr">
        <is>
          <t xml:space="preserve">2010 LEASE; WHO PAYS WHAT ARE GUESSES BASED ON MKT &amp; LOCATION.    </t>
        </is>
      </c>
      <c r="AL375">
        <f>IF(AND(ISNUMBER($S375),$S375&gt;0,ISNUMBER($K375),ISNUMBER($J375)),($K375*$J375)/$S375,"")</f>
        <v/>
      </c>
      <c r="AM375" s="59" t="inlineStr"/>
    </row>
    <row r="376" ht="14" customHeight="1" s="518">
      <c r="A376" s="62" t="n">
        <v>7</v>
      </c>
      <c r="B376" s="93" t="n">
        <v>369</v>
      </c>
      <c r="C376" s="68" t="inlineStr">
        <is>
          <t>2011Q</t>
        </is>
      </c>
      <c r="D376" s="59" t="inlineStr">
        <is>
          <t xml:space="preserve">02154-23-038-000 </t>
        </is>
      </c>
      <c r="E376" s="72" t="inlineStr">
        <is>
          <t>Actual</t>
        </is>
      </c>
      <c r="F376" s="73" t="inlineStr">
        <is>
          <t>650 E 49TH                AV</t>
        </is>
      </c>
      <c r="G376" s="67" t="n">
        <v>44.1</v>
      </c>
      <c r="H376" s="67" t="n">
        <v>9201</v>
      </c>
      <c r="I376" s="69" t="n">
        <v>0</v>
      </c>
      <c r="J376" s="714" t="n">
        <v>6000</v>
      </c>
      <c r="K376" s="715" t="n">
        <v>8</v>
      </c>
      <c r="L376" s="74" t="n">
        <v>0</v>
      </c>
      <c r="M376" s="76" t="n">
        <v>0.082125</v>
      </c>
      <c r="N376" s="67" t="n">
        <v>1980</v>
      </c>
      <c r="O376" s="64" t="n">
        <v>702</v>
      </c>
      <c r="Q376" s="59" t="n">
        <v>14</v>
      </c>
      <c r="R376" s="59" t="n">
        <v>7</v>
      </c>
      <c r="S376" s="59" t="n">
        <v>1</v>
      </c>
      <c r="T376" s="63" t="inlineStr">
        <is>
          <t xml:space="preserve">I1   </t>
        </is>
      </c>
      <c r="U376" s="63" t="n">
        <v>398</v>
      </c>
      <c r="V376" s="714" t="n">
        <v>19115</v>
      </c>
      <c r="W376" s="714" t="n">
        <v>19000</v>
      </c>
      <c r="X376" s="83" t="inlineStr">
        <is>
          <t>3.2:1</t>
        </is>
      </c>
      <c r="Y376" s="714" t="n">
        <v>6000</v>
      </c>
      <c r="Z376" s="63" t="inlineStr">
        <is>
          <t xml:space="preserve">C </t>
        </is>
      </c>
      <c r="AC376" s="67" t="n"/>
      <c r="AD376" s="61" t="inlineStr"/>
      <c r="AE376" s="716" t="n"/>
      <c r="AF376" s="716" t="n"/>
      <c r="AG376" s="716" t="n"/>
      <c r="AH376" s="716" t="n"/>
      <c r="AI376" s="716" t="n"/>
      <c r="AJ376" s="716" t="n"/>
      <c r="AK376" s="717" t="inlineStr">
        <is>
          <t xml:space="preserve">2008 LEASE.                                                       </t>
        </is>
      </c>
      <c r="AL376">
        <f>IF(AND(ISNUMBER($S376),$S376&gt;0,ISNUMBER($K376),ISNUMBER($J376)),($K376*$J376)/$S376,"")</f>
        <v/>
      </c>
      <c r="AM376" s="59" t="inlineStr"/>
    </row>
    <row r="377" ht="42" customHeight="1" s="518">
      <c r="A377" s="62" t="n">
        <v>7</v>
      </c>
      <c r="B377" s="93" t="n">
        <v>370</v>
      </c>
      <c r="C377" s="68" t="inlineStr">
        <is>
          <t>2011Q</t>
        </is>
      </c>
      <c r="D377" s="59" t="inlineStr">
        <is>
          <t xml:space="preserve">02164-09-030-000 </t>
        </is>
      </c>
      <c r="E377" s="72" t="inlineStr">
        <is>
          <t>Actual</t>
        </is>
      </c>
      <c r="F377" s="73" t="inlineStr">
        <is>
          <t>4900   OSAGE               ST</t>
        </is>
      </c>
      <c r="G377" s="708" t="n">
        <v>44.4</v>
      </c>
      <c r="H377" s="67" t="n">
        <v>9208</v>
      </c>
      <c r="I377" s="69" t="n">
        <v>0</v>
      </c>
      <c r="J377" s="714" t="n">
        <v>176800</v>
      </c>
      <c r="K377" s="715" t="n">
        <v>5.49</v>
      </c>
      <c r="L377" s="74" t="n">
        <v>0</v>
      </c>
      <c r="M377" s="76" t="n">
        <v>0.04849278172807585</v>
      </c>
      <c r="N377" s="67" t="n">
        <v>2003</v>
      </c>
      <c r="O377" s="64" t="n">
        <v>21717</v>
      </c>
      <c r="Q377" s="59" t="n">
        <v>42</v>
      </c>
      <c r="R377" s="59" t="n">
        <v>14</v>
      </c>
      <c r="S377" s="59" t="n">
        <v>8</v>
      </c>
      <c r="T377" s="63" t="inlineStr">
        <is>
          <t xml:space="preserve">I0   </t>
        </is>
      </c>
      <c r="U377" s="63" t="n">
        <v>398</v>
      </c>
      <c r="V377" s="714" t="n">
        <v>383884</v>
      </c>
      <c r="W377" s="714" t="n">
        <v>380000</v>
      </c>
      <c r="X377" s="83" t="inlineStr">
        <is>
          <t>2.2:1</t>
        </is>
      </c>
      <c r="Y377" s="714" t="n">
        <v>180000</v>
      </c>
      <c r="Z377" s="63" t="inlineStr">
        <is>
          <t xml:space="preserve">C </t>
        </is>
      </c>
      <c r="AC377" s="67" t="n"/>
      <c r="AD377" s="61" t="inlineStr">
        <is>
          <t>CENTERPARK M-T WHSE.</t>
        </is>
      </c>
      <c r="AE377" s="716" t="n"/>
      <c r="AF377" s="716" t="n"/>
      <c r="AG377" s="716" t="n"/>
      <c r="AH377" s="716" t="n"/>
      <c r="AI377" s="716" t="n"/>
      <c r="AJ377" s="716" t="n"/>
      <c r="AK377" s="265" t="inlineStr">
        <is>
          <t>3% exp ratio represents the owner's non-reimbursable expenses - CAM = $2.16 PSF Exp = $2.34 PSF</t>
        </is>
      </c>
      <c r="AL377">
        <f>IF(AND(ISNUMBER($S377),$S377&gt;0,ISNUMBER($K377),ISNUMBER($J377)),($K377*$J377)/$S377,"")</f>
        <v/>
      </c>
      <c r="AM377" s="59" t="inlineStr"/>
    </row>
    <row r="378" ht="42" customHeight="1" s="518">
      <c r="A378" s="62" t="n">
        <v>7</v>
      </c>
      <c r="B378" s="93" t="n">
        <v>371</v>
      </c>
      <c r="C378" s="92" t="inlineStr">
        <is>
          <t>2011W</t>
        </is>
      </c>
      <c r="D378" s="93" t="inlineStr">
        <is>
          <t>02164-09-031-000</t>
        </is>
      </c>
      <c r="E378" s="92" t="inlineStr">
        <is>
          <t>Actual</t>
        </is>
      </c>
      <c r="F378" s="93" t="inlineStr">
        <is>
          <t>5000 Osage St</t>
        </is>
      </c>
      <c r="G378" s="94" t="inlineStr">
        <is>
          <t>44.4</t>
        </is>
      </c>
      <c r="H378" s="93" t="n">
        <v>9208</v>
      </c>
      <c r="I378" s="92" t="n">
        <v>0</v>
      </c>
      <c r="J378" s="95" t="n">
        <v>176800</v>
      </c>
      <c r="K378" s="718" t="n">
        <v>5.89</v>
      </c>
      <c r="L378" s="97" t="n">
        <v>0</v>
      </c>
      <c r="M378" s="97" t="n">
        <v>0.06</v>
      </c>
      <c r="N378" s="93" t="n">
        <v>2005</v>
      </c>
      <c r="O378" s="92" t="inlineStr">
        <is>
          <t>I0</t>
        </is>
      </c>
      <c r="P378" s="93" t="n">
        <v>398</v>
      </c>
      <c r="Q378" s="95" t="n">
        <v>379708</v>
      </c>
      <c r="R378" s="95">
        <f>MROUND(Q378,1000)</f>
        <v/>
      </c>
      <c r="S378" s="98" t="inlineStr">
        <is>
          <t>2.1:1</t>
        </is>
      </c>
      <c r="T378" s="95">
        <f>MROUND(J378,1000)</f>
        <v/>
      </c>
      <c r="U378" s="93" t="inlineStr">
        <is>
          <t>C</t>
        </is>
      </c>
      <c r="V378" s="93" t="n">
        <v>3</v>
      </c>
      <c r="W378" s="93" t="n">
        <v>3</v>
      </c>
      <c r="X378" s="93" t="n">
        <v>33</v>
      </c>
      <c r="Y378" s="93" t="inlineStr">
        <is>
          <t>Centerpark Warehouse</t>
        </is>
      </c>
      <c r="Z378" s="719" t="n"/>
      <c r="AA378" s="720" t="n"/>
      <c r="AB378" s="720" t="n"/>
      <c r="AC378" s="67" t="n"/>
      <c r="AD378" s="61" t="n"/>
      <c r="AE378" s="716" t="n"/>
      <c r="AF378" s="716" t="n"/>
      <c r="AG378" s="716" t="n"/>
      <c r="AH378" s="716" t="n"/>
      <c r="AI378" s="716" t="n"/>
      <c r="AJ378" s="716" t="n"/>
      <c r="AK378" s="265" t="inlineStr">
        <is>
          <t>6% exp ratio represents the owner's non-reimbursable expenses - CAM = $2.19 PSF Exp = $2.50 PSF</t>
        </is>
      </c>
      <c r="AL378">
        <f>IF(AND(ISNUMBER($S378),$S378&gt;0,ISNUMBER($K378),ISNUMBER($J378)),($K378*$J378)/$S378,"")</f>
        <v/>
      </c>
    </row>
    <row r="379" ht="42" customHeight="1" s="518">
      <c r="A379" s="62" t="n">
        <v>7</v>
      </c>
      <c r="B379" s="93" t="n">
        <v>372</v>
      </c>
      <c r="C379" s="68" t="inlineStr">
        <is>
          <t>2011Q</t>
        </is>
      </c>
      <c r="D379" s="59" t="inlineStr">
        <is>
          <t xml:space="preserve">02164-09-032-000 </t>
        </is>
      </c>
      <c r="E379" s="72" t="inlineStr">
        <is>
          <t>Actual</t>
        </is>
      </c>
      <c r="F379" s="73" t="inlineStr">
        <is>
          <t>5050   OSAGE               ST</t>
        </is>
      </c>
      <c r="G379" s="708" t="n">
        <v>44.2</v>
      </c>
      <c r="H379" s="67" t="n">
        <v>9208</v>
      </c>
      <c r="I379" s="69" t="n">
        <v>0</v>
      </c>
      <c r="J379" s="714" t="n">
        <v>78000</v>
      </c>
      <c r="K379" s="715" t="n">
        <v>6.15</v>
      </c>
      <c r="L379" s="74" t="n">
        <v>0.07000000000000001</v>
      </c>
      <c r="M379" s="76" t="n">
        <v>0.3336556776556777</v>
      </c>
      <c r="N379" s="67" t="n">
        <v>2005</v>
      </c>
      <c r="O379" s="64" t="n">
        <v>8008</v>
      </c>
      <c r="Q379" s="59" t="n">
        <v>36</v>
      </c>
      <c r="R379" s="59" t="n">
        <v>14</v>
      </c>
      <c r="S379" s="59" t="n">
        <v>5</v>
      </c>
      <c r="T379" s="63" t="inlineStr">
        <is>
          <t xml:space="preserve">I0   </t>
        </is>
      </c>
      <c r="U379" s="63" t="n">
        <v>398</v>
      </c>
      <c r="V379" s="714" t="n">
        <v>209231</v>
      </c>
      <c r="W379" s="714" t="n">
        <v>210000</v>
      </c>
      <c r="X379" s="83" t="inlineStr">
        <is>
          <t>2.7:1</t>
        </is>
      </c>
      <c r="Y379" s="714" t="n">
        <v>78000</v>
      </c>
      <c r="Z379" s="63" t="inlineStr">
        <is>
          <t xml:space="preserve">C </t>
        </is>
      </c>
      <c r="AC379" s="67" t="n"/>
      <c r="AD379" s="61" t="inlineStr">
        <is>
          <t xml:space="preserve">CENTERPARK M-T WHSE </t>
        </is>
      </c>
      <c r="AE379" s="716" t="n"/>
      <c r="AF379" s="716" t="n"/>
      <c r="AG379" s="716" t="n"/>
      <c r="AH379" s="716" t="n"/>
      <c r="AI379" s="716" t="n"/>
      <c r="AJ379" s="716" t="n"/>
      <c r="AK379" s="265" t="inlineStr">
        <is>
          <t>6% exp ratio represents the owner's non-reimbursable expenses - CAM = $2.58 PSF Exp = $2.95 PSF</t>
        </is>
      </c>
      <c r="AL379">
        <f>IF(AND(ISNUMBER($S379),$S379&gt;0,ISNUMBER($K379),ISNUMBER($J379)),($K379*$J379)/$S379,"")</f>
        <v/>
      </c>
      <c r="AM379" s="59" t="inlineStr"/>
    </row>
    <row r="380" ht="14" customHeight="1" s="518">
      <c r="A380" s="62" t="n">
        <v>7</v>
      </c>
      <c r="B380" s="93" t="n">
        <v>373</v>
      </c>
      <c r="C380" s="68" t="inlineStr">
        <is>
          <t>2011Q</t>
        </is>
      </c>
      <c r="D380" s="59" t="inlineStr">
        <is>
          <t xml:space="preserve">02194-28-018-000 </t>
        </is>
      </c>
      <c r="E380" s="72" t="inlineStr">
        <is>
          <t>Actual</t>
        </is>
      </c>
      <c r="F380" s="73" t="inlineStr">
        <is>
          <t>3868   TENNYSON            ST</t>
        </is>
      </c>
      <c r="G380" s="708" t="n">
        <v>44.2</v>
      </c>
      <c r="H380" s="67" t="n">
        <v>9208</v>
      </c>
      <c r="I380" s="69" t="n">
        <v>3</v>
      </c>
      <c r="J380" s="714" t="n">
        <v>4240</v>
      </c>
      <c r="K380" s="715" t="n">
        <v>2.877358490566038</v>
      </c>
      <c r="L380" s="74" t="n">
        <v>0</v>
      </c>
      <c r="M380" s="76" t="n">
        <v>0.005081967213114754</v>
      </c>
      <c r="N380" s="67" t="n">
        <v>1972</v>
      </c>
      <c r="O380" s="64" t="n">
        <v>640</v>
      </c>
      <c r="Q380" s="59" t="n">
        <v>14</v>
      </c>
      <c r="R380" s="59" t="n">
        <v>3</v>
      </c>
      <c r="S380" s="59" t="n">
        <v>1</v>
      </c>
      <c r="T380" s="63" t="inlineStr">
        <is>
          <t xml:space="preserve">B4   </t>
        </is>
      </c>
      <c r="U380" s="63" t="n">
        <v>398</v>
      </c>
      <c r="V380" s="714" t="n">
        <v>9518</v>
      </c>
      <c r="W380" s="714" t="n">
        <v>10000</v>
      </c>
      <c r="X380" s="83" t="inlineStr">
        <is>
          <t>2.2:1</t>
        </is>
      </c>
      <c r="Y380" s="714" t="n">
        <v>4000</v>
      </c>
      <c r="Z380" s="63" t="inlineStr">
        <is>
          <t xml:space="preserve">C </t>
        </is>
      </c>
      <c r="AC380" s="67" t="n"/>
      <c r="AD380" s="61" t="inlineStr">
        <is>
          <t xml:space="preserve">S-W TULLAR ELECTRIC </t>
        </is>
      </c>
      <c r="AE380" s="716" t="n"/>
      <c r="AF380" s="716" t="n"/>
      <c r="AG380" s="716" t="n"/>
      <c r="AH380" s="716" t="n"/>
      <c r="AI380" s="716" t="n"/>
      <c r="AJ380" s="716" t="n"/>
      <c r="AK380" s="717" t="inlineStr">
        <is>
          <t xml:space="preserve">2006 LEASE.                                                       </t>
        </is>
      </c>
      <c r="AL380">
        <f>IF(AND(ISNUMBER($S380),$S380&gt;0,ISNUMBER($K380),ISNUMBER($J380)),($K380*$J380)/$S380,"")</f>
        <v/>
      </c>
      <c r="AM380" s="59" t="inlineStr"/>
    </row>
    <row r="381" ht="14" customHeight="1" s="518">
      <c r="A381" s="62" t="n">
        <v>7</v>
      </c>
      <c r="B381" s="93" t="n">
        <v>374</v>
      </c>
      <c r="C381" s="68" t="inlineStr">
        <is>
          <t>2011Q</t>
        </is>
      </c>
      <c r="D381" s="59" t="inlineStr">
        <is>
          <t xml:space="preserve">02211-12-011-000 </t>
        </is>
      </c>
      <c r="E381" s="72" t="inlineStr">
        <is>
          <t>Actual</t>
        </is>
      </c>
      <c r="F381" s="73" t="inlineStr">
        <is>
          <t>1100 W 47TH                AV</t>
        </is>
      </c>
      <c r="G381" s="708" t="n">
        <v>44.2</v>
      </c>
      <c r="H381" s="67" t="n">
        <v>9208</v>
      </c>
      <c r="I381" s="69" t="n">
        <v>0</v>
      </c>
      <c r="J381" s="714" t="n">
        <v>50974</v>
      </c>
      <c r="K381" s="715" t="n">
        <v>4.035469062659395</v>
      </c>
      <c r="L381" s="74" t="n">
        <v>0</v>
      </c>
      <c r="M381" s="76" t="n">
        <v>0</v>
      </c>
      <c r="N381" s="67" t="n">
        <v>1973</v>
      </c>
      <c r="O381" s="64" t="n">
        <v>3604</v>
      </c>
      <c r="Q381" s="59" t="n">
        <v>12</v>
      </c>
      <c r="R381" s="59" t="n">
        <v>3</v>
      </c>
      <c r="S381" s="59" t="n">
        <v>1</v>
      </c>
      <c r="T381" s="63" t="inlineStr">
        <is>
          <t xml:space="preserve">I1   </t>
        </is>
      </c>
      <c r="U381" s="63" t="n">
        <v>398</v>
      </c>
      <c r="V381" s="714" t="n">
        <v>80115</v>
      </c>
      <c r="W381" s="714" t="n">
        <v>80000</v>
      </c>
      <c r="X381" s="83" t="inlineStr">
        <is>
          <t>1.6:1</t>
        </is>
      </c>
      <c r="Y381" s="714" t="n">
        <v>51000</v>
      </c>
      <c r="Z381" s="63" t="inlineStr">
        <is>
          <t xml:space="preserve">B </t>
        </is>
      </c>
      <c r="AC381" s="67" t="n"/>
      <c r="AD381" s="61" t="inlineStr"/>
      <c r="AE381" s="716" t="n"/>
      <c r="AF381" s="716" t="n"/>
      <c r="AG381" s="716" t="n"/>
      <c r="AH381" s="716" t="n"/>
      <c r="AI381" s="716" t="n"/>
      <c r="AJ381" s="716" t="n"/>
      <c r="AK381" s="717" t="inlineStr">
        <is>
          <t xml:space="preserve">2010 DATA ENTERED.                                                </t>
        </is>
      </c>
      <c r="AL381">
        <f>IF(AND(ISNUMBER($S381),$S381&gt;0,ISNUMBER($K381),ISNUMBER($J381)),($K381*$J381)/$S381,"")</f>
        <v/>
      </c>
      <c r="AM381" s="59" t="inlineStr"/>
    </row>
    <row r="382" ht="14" customHeight="1" s="518">
      <c r="A382" s="62" t="n">
        <v>7</v>
      </c>
      <c r="B382" s="93" t="n">
        <v>375</v>
      </c>
      <c r="C382" s="68" t="inlineStr">
        <is>
          <t>2011Q</t>
        </is>
      </c>
      <c r="D382" s="59" t="inlineStr">
        <is>
          <t xml:space="preserve">02211-13-022-000 </t>
        </is>
      </c>
      <c r="E382" s="72" t="inlineStr">
        <is>
          <t>Actual</t>
        </is>
      </c>
      <c r="F382" s="73" t="inlineStr">
        <is>
          <t>1051 W 46TH                AV</t>
        </is>
      </c>
      <c r="G382" s="67" t="n">
        <v>44.1</v>
      </c>
      <c r="H382" s="67" t="n">
        <v>9208</v>
      </c>
      <c r="I382" s="69" t="n">
        <v>0</v>
      </c>
      <c r="J382" s="714" t="n">
        <v>4008</v>
      </c>
      <c r="K382" s="715" t="n">
        <v>6.736526946107785</v>
      </c>
      <c r="L382" s="74" t="n">
        <v>0</v>
      </c>
      <c r="M382" s="76" t="n">
        <v>0.1393703703703704</v>
      </c>
      <c r="N382" s="67" t="n">
        <v>1980</v>
      </c>
      <c r="O382" s="64" t="n">
        <v>484</v>
      </c>
      <c r="Q382" s="59" t="n">
        <v>17</v>
      </c>
      <c r="R382" s="59" t="n">
        <v>3</v>
      </c>
      <c r="S382" s="59" t="n">
        <v>1</v>
      </c>
      <c r="T382" s="63" t="inlineStr">
        <is>
          <t xml:space="preserve">I1   </t>
        </is>
      </c>
      <c r="U382" s="63" t="n">
        <v>398</v>
      </c>
      <c r="V382" s="714" t="n">
        <v>6625</v>
      </c>
      <c r="W382" s="714" t="n">
        <v>7000</v>
      </c>
      <c r="X382" s="83" t="inlineStr">
        <is>
          <t>1.7:1</t>
        </is>
      </c>
      <c r="Y382" s="714" t="n">
        <v>4000</v>
      </c>
      <c r="Z382" s="63" t="inlineStr">
        <is>
          <t xml:space="preserve">C </t>
        </is>
      </c>
      <c r="AC382" s="67" t="n"/>
      <c r="AD382" s="61" t="inlineStr">
        <is>
          <t xml:space="preserve">MILE HIGH DOOR SEAL </t>
        </is>
      </c>
      <c r="AE382" s="716" t="n"/>
      <c r="AF382" s="716" t="n"/>
      <c r="AG382" s="716" t="n"/>
      <c r="AH382" s="716" t="n"/>
      <c r="AI382" s="716" t="n"/>
      <c r="AJ382" s="716" t="n"/>
      <c r="AK382" s="717" t="inlineStr"/>
      <c r="AL382">
        <f>IF(AND(ISNUMBER($S382),$S382&gt;0,ISNUMBER($K382),ISNUMBER($J382)),($K382*$J382)/$S382,"")</f>
        <v/>
      </c>
      <c r="AM382" s="59" t="inlineStr"/>
    </row>
    <row r="383" ht="14" customHeight="1" s="518">
      <c r="A383" s="62" t="n">
        <v>7</v>
      </c>
      <c r="B383" s="93" t="n">
        <v>376</v>
      </c>
      <c r="C383" s="68" t="inlineStr">
        <is>
          <t>2011Q</t>
        </is>
      </c>
      <c r="D383" s="59" t="inlineStr">
        <is>
          <t xml:space="preserve">02211-22-014-000 </t>
        </is>
      </c>
      <c r="E383" s="72" t="inlineStr">
        <is>
          <t>Actual</t>
        </is>
      </c>
      <c r="F383" s="73" t="inlineStr">
        <is>
          <t>4414   JASON               ST</t>
        </is>
      </c>
      <c r="G383" s="67" t="n">
        <v>44.1</v>
      </c>
      <c r="H383" s="67" t="n">
        <v>9208</v>
      </c>
      <c r="I383" s="69" t="n">
        <v>0</v>
      </c>
      <c r="J383" s="714" t="n">
        <v>4130</v>
      </c>
      <c r="K383" s="715" t="n">
        <v>8.716707021791768</v>
      </c>
      <c r="L383" s="74" t="n">
        <v>0</v>
      </c>
      <c r="M383" s="76" t="n">
        <v>0</v>
      </c>
      <c r="N383" s="67" t="n">
        <v>1973</v>
      </c>
      <c r="O383" s="64" t="n">
        <v>1475</v>
      </c>
      <c r="Q383" s="59" t="n">
        <v>14</v>
      </c>
      <c r="R383" s="59" t="n">
        <v>3</v>
      </c>
      <c r="S383" s="59" t="n">
        <v>1</v>
      </c>
      <c r="T383" s="63" t="inlineStr">
        <is>
          <t xml:space="preserve">I1   </t>
        </is>
      </c>
      <c r="U383" s="63" t="n">
        <v>401</v>
      </c>
      <c r="V383" s="714" t="n">
        <v>6250</v>
      </c>
      <c r="W383" s="714" t="n">
        <v>6000</v>
      </c>
      <c r="X383" s="83" t="inlineStr">
        <is>
          <t>1.5:1</t>
        </is>
      </c>
      <c r="Y383" s="714" t="n">
        <v>4000</v>
      </c>
      <c r="Z383" s="63" t="inlineStr">
        <is>
          <t xml:space="preserve">C </t>
        </is>
      </c>
      <c r="AC383" s="67" t="n"/>
      <c r="AD383" s="61" t="inlineStr">
        <is>
          <t xml:space="preserve">S-W                 </t>
        </is>
      </c>
      <c r="AE383" s="716" t="n"/>
      <c r="AF383" s="716" t="n"/>
      <c r="AG383" s="716" t="n"/>
      <c r="AH383" s="716" t="n"/>
      <c r="AI383" s="716" t="n"/>
      <c r="AJ383" s="716" t="n"/>
      <c r="AK383" s="717" t="inlineStr"/>
      <c r="AL383">
        <f>IF(AND(ISNUMBER($S383),$S383&gt;0,ISNUMBER($K383),ISNUMBER($J383)),($K383*$J383)/$S383,"")</f>
        <v/>
      </c>
      <c r="AM383" s="59" t="inlineStr"/>
    </row>
    <row r="384" ht="14" customHeight="1" s="518">
      <c r="A384" s="62" t="n">
        <v>7</v>
      </c>
      <c r="B384" s="93" t="n">
        <v>377</v>
      </c>
      <c r="C384" s="68" t="inlineStr">
        <is>
          <t>2011Q</t>
        </is>
      </c>
      <c r="D384" s="59" t="inlineStr">
        <is>
          <t xml:space="preserve">02212-36-006-000 </t>
        </is>
      </c>
      <c r="E384" s="72" t="inlineStr">
        <is>
          <t>Actual</t>
        </is>
      </c>
      <c r="F384" s="73" t="inlineStr">
        <is>
          <t>2139 W 44TH                AV</t>
        </is>
      </c>
      <c r="G384" s="708" t="n">
        <v>46.1</v>
      </c>
      <c r="H384" s="67" t="n">
        <v>9208</v>
      </c>
      <c r="I384" s="69" t="n">
        <v>0</v>
      </c>
      <c r="J384" s="714" t="n">
        <v>1925</v>
      </c>
      <c r="K384" s="715" t="n">
        <v>5.584415584415584</v>
      </c>
      <c r="L384" s="74" t="n">
        <v>0</v>
      </c>
      <c r="M384" s="76" t="n">
        <v>0</v>
      </c>
      <c r="N384" s="67" t="n">
        <v>1961</v>
      </c>
      <c r="O384" s="64" t="n">
        <v>0</v>
      </c>
      <c r="Q384" s="59" t="n">
        <v>17</v>
      </c>
      <c r="R384" s="59" t="n">
        <v>3</v>
      </c>
      <c r="S384" s="59" t="n">
        <v>1</v>
      </c>
      <c r="T384" s="63" t="inlineStr">
        <is>
          <t xml:space="preserve">R2   </t>
        </is>
      </c>
      <c r="U384" s="63" t="n">
        <v>401</v>
      </c>
      <c r="V384" s="714" t="n">
        <v>5940</v>
      </c>
      <c r="W384" s="714" t="n">
        <v>6000</v>
      </c>
      <c r="X384" s="83" t="inlineStr">
        <is>
          <t>3.1:1</t>
        </is>
      </c>
      <c r="Y384" s="714" t="n">
        <v>2000</v>
      </c>
      <c r="Z384" s="63" t="inlineStr">
        <is>
          <t xml:space="preserve">C </t>
        </is>
      </c>
      <c r="AC384" s="67" t="n"/>
      <c r="AD384" s="61" t="inlineStr"/>
      <c r="AE384" s="716" t="n"/>
      <c r="AF384" s="716" t="n"/>
      <c r="AG384" s="716" t="n"/>
      <c r="AH384" s="716" t="n"/>
      <c r="AI384" s="716" t="n"/>
      <c r="AJ384" s="716" t="n"/>
      <c r="AK384" s="717" t="inlineStr">
        <is>
          <t xml:space="preserve">LEASE COMMENCEMENT UNKNOWN.                                       </t>
        </is>
      </c>
      <c r="AL384">
        <f>IF(AND(ISNUMBER($S384),$S384&gt;0,ISNUMBER($K384),ISNUMBER($J384)),($K384*$J384)/$S384,"")</f>
        <v/>
      </c>
      <c r="AM384" s="59" t="inlineStr"/>
    </row>
    <row r="385" ht="14" customHeight="1" s="518">
      <c r="A385" s="62" t="n">
        <v>7</v>
      </c>
      <c r="B385" s="93" t="n">
        <v>378</v>
      </c>
      <c r="C385" s="68" t="inlineStr">
        <is>
          <t>2011Q</t>
        </is>
      </c>
      <c r="D385" s="59" t="inlineStr">
        <is>
          <t xml:space="preserve">02214-18-011-000 </t>
        </is>
      </c>
      <c r="E385" s="72" t="inlineStr">
        <is>
          <t>Actual</t>
        </is>
      </c>
      <c r="F385" s="73" t="inlineStr">
        <is>
          <t>4101   INCA                ST</t>
        </is>
      </c>
      <c r="G385" s="67" t="n">
        <v>44.1</v>
      </c>
      <c r="H385" s="67" t="n">
        <v>9208</v>
      </c>
      <c r="I385" s="69" t="n">
        <v>0</v>
      </c>
      <c r="J385" s="714" t="n">
        <v>2320</v>
      </c>
      <c r="K385" s="715" t="n">
        <v>7.758620689655173</v>
      </c>
      <c r="L385" s="74" t="n">
        <v>0</v>
      </c>
      <c r="M385" s="76" t="n">
        <v>0.1388888888888889</v>
      </c>
      <c r="N385" s="67" t="n">
        <v>1935</v>
      </c>
      <c r="O385" s="64" t="n">
        <v>1021</v>
      </c>
      <c r="Q385" s="59" t="n">
        <v>17</v>
      </c>
      <c r="R385" s="59" t="n">
        <v>1</v>
      </c>
      <c r="S385" s="59" t="n">
        <v>1</v>
      </c>
      <c r="T385" s="63" t="inlineStr">
        <is>
          <t xml:space="preserve">I1   </t>
        </is>
      </c>
      <c r="U385" s="63" t="n">
        <v>398</v>
      </c>
      <c r="V385" s="714" t="n">
        <v>12500</v>
      </c>
      <c r="W385" s="714" t="n">
        <v>13000</v>
      </c>
      <c r="X385" s="83" t="inlineStr">
        <is>
          <t>5.4:1</t>
        </is>
      </c>
      <c r="Y385" s="714" t="n">
        <v>2000</v>
      </c>
      <c r="Z385" s="63" t="inlineStr">
        <is>
          <t xml:space="preserve">C </t>
        </is>
      </c>
      <c r="AC385" s="67" t="n"/>
      <c r="AD385" s="61" t="inlineStr">
        <is>
          <t>S-W COM CITY ELECTRC</t>
        </is>
      </c>
      <c r="AE385" s="716" t="n"/>
      <c r="AF385" s="716" t="n"/>
      <c r="AG385" s="716" t="n"/>
      <c r="AH385" s="716" t="n"/>
      <c r="AI385" s="716" t="n"/>
      <c r="AJ385" s="716" t="n"/>
      <c r="AK385" s="717" t="inlineStr"/>
      <c r="AL385">
        <f>IF(AND(ISNUMBER($S385),$S385&gt;0,ISNUMBER($K385),ISNUMBER($J385)),($K385*$J385)/$S385,"")</f>
        <v/>
      </c>
      <c r="AM385" s="59" t="inlineStr"/>
    </row>
    <row r="386" ht="14" customHeight="1" s="518">
      <c r="A386" s="62" t="n">
        <v>7</v>
      </c>
      <c r="B386" s="93" t="n">
        <v>379</v>
      </c>
      <c r="C386" s="68" t="inlineStr">
        <is>
          <t>2011Q</t>
        </is>
      </c>
      <c r="D386" s="59" t="inlineStr">
        <is>
          <t xml:space="preserve">02214-44-001-000 </t>
        </is>
      </c>
      <c r="E386" s="72" t="inlineStr">
        <is>
          <t>Actual</t>
        </is>
      </c>
      <c r="F386" s="73" t="inlineStr">
        <is>
          <t>3850   MARIPOSA            ST</t>
        </is>
      </c>
      <c r="G386" s="67" t="n">
        <v>44.1</v>
      </c>
      <c r="H386" s="67" t="n">
        <v>9208</v>
      </c>
      <c r="I386" s="69" t="n">
        <v>0</v>
      </c>
      <c r="J386" s="714" t="n">
        <v>5980</v>
      </c>
      <c r="K386" s="715" t="n">
        <v>10.03344481605351</v>
      </c>
      <c r="L386" s="74" t="n">
        <v>0</v>
      </c>
      <c r="M386" s="76" t="n">
        <v>0.03913333333333333</v>
      </c>
      <c r="N386" s="67" t="n">
        <v>1955</v>
      </c>
      <c r="O386" s="64" t="n">
        <v>1552</v>
      </c>
      <c r="Q386" s="59" t="n">
        <v>13</v>
      </c>
      <c r="R386" s="59" t="n">
        <v>1</v>
      </c>
      <c r="S386" s="59" t="n">
        <v>1</v>
      </c>
      <c r="T386" s="63" t="inlineStr">
        <is>
          <t xml:space="preserve">B4   </t>
        </is>
      </c>
      <c r="U386" s="63" t="n">
        <v>398</v>
      </c>
      <c r="V386" s="714" t="n">
        <v>12535</v>
      </c>
      <c r="W386" s="714" t="n">
        <v>13000</v>
      </c>
      <c r="X386" s="83" t="inlineStr">
        <is>
          <t>2.1:1</t>
        </is>
      </c>
      <c r="Y386" s="714" t="n">
        <v>6000</v>
      </c>
      <c r="Z386" s="63" t="inlineStr">
        <is>
          <t xml:space="preserve">C </t>
        </is>
      </c>
      <c r="AC386" s="67" t="n"/>
      <c r="AD386" s="61" t="inlineStr"/>
      <c r="AE386" s="716" t="n"/>
      <c r="AF386" s="716" t="n"/>
      <c r="AG386" s="716" t="n"/>
      <c r="AH386" s="716" t="n"/>
      <c r="AI386" s="716" t="n"/>
      <c r="AJ386" s="716" t="n"/>
      <c r="AK386" s="717" t="inlineStr"/>
      <c r="AL386">
        <f>IF(AND(ISNUMBER($S386),$S386&gt;0,ISNUMBER($K386),ISNUMBER($J386)),($K386*$J386)/$S386,"")</f>
        <v/>
      </c>
      <c r="AM386" s="59" t="inlineStr"/>
    </row>
    <row r="387" ht="28" customHeight="1" s="518">
      <c r="A387" s="62" t="n">
        <v>7</v>
      </c>
      <c r="B387" s="93" t="n">
        <v>380</v>
      </c>
      <c r="C387" s="68" t="inlineStr">
        <is>
          <t>2011Q</t>
        </is>
      </c>
      <c r="D387" s="59" t="inlineStr">
        <is>
          <t xml:space="preserve">02222-07-003-000 </t>
        </is>
      </c>
      <c r="E387" s="72" t="inlineStr">
        <is>
          <t>Actual</t>
        </is>
      </c>
      <c r="F387" s="73" t="inlineStr">
        <is>
          <t>4771   FOX                 ST</t>
        </is>
      </c>
      <c r="G387" s="708" t="n">
        <v>44.2</v>
      </c>
      <c r="H387" s="67" t="n">
        <v>9208</v>
      </c>
      <c r="I387" s="69" t="n">
        <v>0</v>
      </c>
      <c r="J387" s="714" t="n">
        <v>8770</v>
      </c>
      <c r="K387" s="715" t="n">
        <v>4.789053591790194</v>
      </c>
      <c r="L387" s="74" t="n">
        <v>0</v>
      </c>
      <c r="M387" s="76" t="n">
        <v>0</v>
      </c>
      <c r="N387" s="67" t="n">
        <v>1965</v>
      </c>
      <c r="O387" s="64" t="n">
        <v>2760</v>
      </c>
      <c r="Q387" s="59" t="n">
        <v>14</v>
      </c>
      <c r="R387" s="59" t="n">
        <v>7</v>
      </c>
      <c r="S387" s="59" t="n">
        <v>1</v>
      </c>
      <c r="T387" s="63" t="inlineStr">
        <is>
          <t xml:space="preserve">I2   </t>
        </is>
      </c>
      <c r="U387" s="63" t="n">
        <v>398</v>
      </c>
      <c r="V387" s="714" t="n">
        <v>40700</v>
      </c>
      <c r="W387" s="714" t="n">
        <v>41000</v>
      </c>
      <c r="X387" s="83" t="inlineStr">
        <is>
          <t>4.6:1</t>
        </is>
      </c>
      <c r="Y387" s="714" t="n">
        <v>9000</v>
      </c>
      <c r="Z387" s="63" t="inlineStr">
        <is>
          <t xml:space="preserve">C </t>
        </is>
      </c>
      <c r="AC387" s="67" t="n"/>
      <c r="AD387" s="61" t="inlineStr"/>
      <c r="AE387" s="716" t="n"/>
      <c r="AF387" s="716" t="n"/>
      <c r="AG387" s="716" t="n"/>
      <c r="AH387" s="716" t="n"/>
      <c r="AI387" s="716" t="n"/>
      <c r="AJ387" s="716" t="n"/>
      <c r="AK387" s="717" t="inlineStr">
        <is>
          <t xml:space="preserve">YEAR-TO-YEAR LEASE ASSUMED TO BE UPDATED YEAR-BY-YEAR             </t>
        </is>
      </c>
      <c r="AL387">
        <f>IF(AND(ISNUMBER($S387),$S387&gt;0,ISNUMBER($K387),ISNUMBER($J387)),($K387*$J387)/$S387,"")</f>
        <v/>
      </c>
      <c r="AM387" s="59" t="inlineStr"/>
    </row>
    <row r="388" ht="28" customHeight="1" s="518">
      <c r="A388" s="62" t="n">
        <v>7</v>
      </c>
      <c r="B388" s="93" t="n">
        <v>381</v>
      </c>
      <c r="C388" s="68" t="inlineStr">
        <is>
          <t>2011Q</t>
        </is>
      </c>
      <c r="D388" s="59" t="inlineStr">
        <is>
          <t xml:space="preserve">02223-12-011-000 </t>
        </is>
      </c>
      <c r="E388" s="72" t="inlineStr">
        <is>
          <t>Actual</t>
        </is>
      </c>
      <c r="F388" s="73" t="inlineStr">
        <is>
          <t>4242   FOX                 ST</t>
        </is>
      </c>
      <c r="G388" s="67" t="n">
        <v>44.1</v>
      </c>
      <c r="H388" s="67" t="n">
        <v>9208</v>
      </c>
      <c r="I388" s="69" t="n">
        <v>0</v>
      </c>
      <c r="J388" s="714" t="n">
        <v>1000</v>
      </c>
      <c r="K388" s="715" t="n">
        <v>10.38</v>
      </c>
      <c r="L388" s="74" t="n">
        <v>0</v>
      </c>
      <c r="M388" s="76" t="n">
        <v>0.1883429672447013</v>
      </c>
      <c r="N388" s="67" t="n">
        <v>1955</v>
      </c>
      <c r="O388" s="64" t="n">
        <v>380</v>
      </c>
      <c r="Q388" s="59" t="n">
        <v>14</v>
      </c>
      <c r="R388" s="59" t="n">
        <v>3</v>
      </c>
      <c r="S388" s="59" t="n">
        <v>1</v>
      </c>
      <c r="T388" s="63" t="inlineStr">
        <is>
          <t xml:space="preserve">I1   </t>
        </is>
      </c>
      <c r="U388" s="63" t="n">
        <v>398</v>
      </c>
      <c r="V388" s="714" t="n">
        <v>9370</v>
      </c>
      <c r="W388" s="714" t="n">
        <v>9000</v>
      </c>
      <c r="X388" s="83" t="inlineStr">
        <is>
          <t>1.7:1</t>
        </is>
      </c>
      <c r="Y388" s="714" t="n">
        <v>1000</v>
      </c>
      <c r="Z388" s="63" t="inlineStr">
        <is>
          <t xml:space="preserve">C </t>
        </is>
      </c>
      <c r="AC388" s="67" t="n"/>
      <c r="AD388" s="61" t="inlineStr"/>
      <c r="AE388" s="716" t="n"/>
      <c r="AF388" s="716" t="n"/>
      <c r="AG388" s="716" t="n"/>
      <c r="AH388" s="716" t="n"/>
      <c r="AI388" s="716" t="n"/>
      <c r="AJ388" s="716" t="n"/>
      <c r="AK388" s="717" t="inlineStr">
        <is>
          <t xml:space="preserve">ONLY DATA FOR 2009 LEASE HAS BEEN ENTERED.                        </t>
        </is>
      </c>
      <c r="AL388">
        <f>IF(AND(ISNUMBER($S388),$S388&gt;0,ISNUMBER($K388),ISNUMBER($J388)),($K388*$J388)/$S388,"")</f>
        <v/>
      </c>
      <c r="AM388" s="59" t="inlineStr"/>
    </row>
    <row r="389" ht="14" customHeight="1" s="518">
      <c r="A389" s="62" t="n">
        <v>7</v>
      </c>
      <c r="B389" s="93" t="n">
        <v>382</v>
      </c>
      <c r="C389" s="68" t="inlineStr">
        <is>
          <t>2011Q</t>
        </is>
      </c>
      <c r="D389" s="59" t="inlineStr">
        <is>
          <t xml:space="preserve">02223-19-009-000 </t>
        </is>
      </c>
      <c r="E389" s="72" t="inlineStr">
        <is>
          <t>Actual</t>
        </is>
      </c>
      <c r="F389" s="73" t="inlineStr">
        <is>
          <t>450 W 42ND                AV</t>
        </is>
      </c>
      <c r="G389" s="67" t="n">
        <v>44.1</v>
      </c>
      <c r="H389" s="67" t="n">
        <v>9208</v>
      </c>
      <c r="I389" s="69" t="n">
        <v>0</v>
      </c>
      <c r="J389" s="714" t="n">
        <v>6144</v>
      </c>
      <c r="K389" s="715" t="n">
        <v>5.78515625</v>
      </c>
      <c r="L389" s="74" t="n">
        <v>0</v>
      </c>
      <c r="M389" s="76" t="n">
        <v>0</v>
      </c>
      <c r="N389" s="67" t="n">
        <v>1973</v>
      </c>
      <c r="O389" s="64" t="n">
        <v>1593</v>
      </c>
      <c r="Q389" s="59" t="n">
        <v>14</v>
      </c>
      <c r="R389" s="59" t="n">
        <v>14</v>
      </c>
      <c r="S389" s="59" t="n">
        <v>1</v>
      </c>
      <c r="T389" s="63" t="inlineStr">
        <is>
          <t xml:space="preserve">I1   </t>
        </is>
      </c>
      <c r="U389" s="63" t="n">
        <v>398</v>
      </c>
      <c r="V389" s="714" t="n">
        <v>30805</v>
      </c>
      <c r="W389" s="714" t="n">
        <v>31000</v>
      </c>
      <c r="X389" s="83" t="inlineStr">
        <is>
          <t>5.0:1</t>
        </is>
      </c>
      <c r="Y389" s="714" t="n">
        <v>6000</v>
      </c>
      <c r="Z389" s="63" t="inlineStr">
        <is>
          <t xml:space="preserve">C </t>
        </is>
      </c>
      <c r="AC389" s="67" t="n"/>
      <c r="AD389" s="61" t="inlineStr">
        <is>
          <t xml:space="preserve">SHERMAN WILLIAMS    </t>
        </is>
      </c>
      <c r="AE389" s="716" t="n"/>
      <c r="AF389" s="716" t="n"/>
      <c r="AG389" s="716" t="n"/>
      <c r="AH389" s="716" t="n"/>
      <c r="AI389" s="716" t="n"/>
      <c r="AJ389" s="716" t="n"/>
      <c r="AK389" s="717" t="inlineStr"/>
      <c r="AL389">
        <f>IF(AND(ISNUMBER($S389),$S389&gt;0,ISNUMBER($K389),ISNUMBER($J389)),($K389*$J389)/$S389,"")</f>
        <v/>
      </c>
      <c r="AM389" s="59" t="inlineStr"/>
    </row>
    <row r="390" ht="14" customHeight="1" s="518">
      <c r="A390" s="62" t="n">
        <v>7</v>
      </c>
      <c r="B390" s="93" t="n">
        <v>383</v>
      </c>
      <c r="C390" s="68" t="inlineStr">
        <is>
          <t>2011Q</t>
        </is>
      </c>
      <c r="D390" s="59" t="inlineStr">
        <is>
          <t xml:space="preserve">02223-24-018-000 </t>
        </is>
      </c>
      <c r="E390" s="72" t="inlineStr">
        <is>
          <t>Actual</t>
        </is>
      </c>
      <c r="F390" s="73" t="inlineStr">
        <is>
          <t>4001   FOX                 ST</t>
        </is>
      </c>
      <c r="G390" s="708" t="n">
        <v>44.2</v>
      </c>
      <c r="H390" s="67" t="n">
        <v>9208</v>
      </c>
      <c r="I390" s="69" t="n">
        <v>0</v>
      </c>
      <c r="J390" s="714" t="n">
        <v>8000</v>
      </c>
      <c r="K390" s="715" t="n">
        <v>16.455875</v>
      </c>
      <c r="L390" s="74" t="n">
        <v>0</v>
      </c>
      <c r="M390" s="76" t="n">
        <v>0</v>
      </c>
      <c r="N390" s="67" t="n">
        <v>1967</v>
      </c>
      <c r="O390" s="64" t="n">
        <v>3131</v>
      </c>
      <c r="Q390" s="59" t="n">
        <v>16</v>
      </c>
      <c r="R390" s="59" t="n">
        <v>3</v>
      </c>
      <c r="S390" s="59" t="n">
        <v>1</v>
      </c>
      <c r="T390" s="63" t="inlineStr">
        <is>
          <t xml:space="preserve">I1   </t>
        </is>
      </c>
      <c r="U390" s="63" t="n">
        <v>398</v>
      </c>
      <c r="V390" s="714" t="n">
        <v>18620</v>
      </c>
      <c r="W390" s="714" t="n">
        <v>19000</v>
      </c>
      <c r="X390" s="83" t="inlineStr">
        <is>
          <t>2.3:1</t>
        </is>
      </c>
      <c r="Y390" s="714" t="n">
        <v>8000</v>
      </c>
      <c r="Z390" s="63" t="inlineStr">
        <is>
          <t xml:space="preserve">C </t>
        </is>
      </c>
      <c r="AC390" s="67" t="n"/>
      <c r="AD390" s="61" t="inlineStr">
        <is>
          <t xml:space="preserve">BUDGET COFFEE       </t>
        </is>
      </c>
      <c r="AE390" s="716" t="n"/>
      <c r="AF390" s="716" t="n"/>
      <c r="AG390" s="716" t="n"/>
      <c r="AH390" s="716" t="n"/>
      <c r="AI390" s="716" t="n"/>
      <c r="AJ390" s="716" t="n"/>
      <c r="AK390" s="717" t="inlineStr">
        <is>
          <t xml:space="preserve">2008 LEASE.                                                       </t>
        </is>
      </c>
      <c r="AL390">
        <f>IF(AND(ISNUMBER($S390),$S390&gt;0,ISNUMBER($K390),ISNUMBER($J390)),($K390*$J390)/$S390,"")</f>
        <v/>
      </c>
      <c r="AM390" s="59" t="inlineStr"/>
    </row>
    <row r="391" ht="14" customHeight="1" s="518">
      <c r="A391" s="62" t="n">
        <v>7</v>
      </c>
      <c r="B391" s="93" t="n">
        <v>384</v>
      </c>
      <c r="C391" s="68" t="inlineStr">
        <is>
          <t>2011Q</t>
        </is>
      </c>
      <c r="D391" s="59" t="inlineStr">
        <is>
          <t xml:space="preserve">02231-29-003-000 </t>
        </is>
      </c>
      <c r="E391" s="72" t="inlineStr">
        <is>
          <t>Actual</t>
        </is>
      </c>
      <c r="F391" s="73" t="inlineStr">
        <is>
          <t>4391   YORK                ST</t>
        </is>
      </c>
      <c r="G391" s="708" t="n">
        <v>44.2</v>
      </c>
      <c r="H391" s="67" t="n">
        <v>9201</v>
      </c>
      <c r="I391" s="69" t="n">
        <v>0</v>
      </c>
      <c r="J391" s="714" t="n">
        <v>31747</v>
      </c>
      <c r="K391" s="715" t="n">
        <v>5.342489054083851</v>
      </c>
      <c r="L391" s="74" t="n">
        <v>0</v>
      </c>
      <c r="M391" s="76" t="n">
        <v>0.04421961228243951</v>
      </c>
      <c r="N391" s="67" t="n">
        <v>1986</v>
      </c>
      <c r="O391" s="64" t="n">
        <v>2236</v>
      </c>
      <c r="Q391" s="59" t="n">
        <v>23</v>
      </c>
      <c r="R391" s="59" t="n">
        <v>10</v>
      </c>
      <c r="S391" s="59" t="n">
        <v>1</v>
      </c>
      <c r="T391" s="63" t="inlineStr">
        <is>
          <t xml:space="preserve">I1   </t>
        </is>
      </c>
      <c r="U391" s="63" t="n">
        <v>398</v>
      </c>
      <c r="V391" s="714" t="n">
        <v>74800</v>
      </c>
      <c r="W391" s="714" t="n">
        <v>75000</v>
      </c>
      <c r="X391" s="83" t="inlineStr">
        <is>
          <t>2.4:1</t>
        </is>
      </c>
      <c r="Y391" s="714" t="n">
        <v>32000</v>
      </c>
      <c r="Z391" s="63" t="inlineStr">
        <is>
          <t xml:space="preserve">C </t>
        </is>
      </c>
      <c r="AC391" s="67" t="n"/>
      <c r="AD391" s="61" t="inlineStr">
        <is>
          <t xml:space="preserve">ALUMINUM SUPPLY CO  </t>
        </is>
      </c>
      <c r="AE391" s="716" t="n"/>
      <c r="AF391" s="716" t="n"/>
      <c r="AG391" s="716" t="n"/>
      <c r="AH391" s="716" t="n"/>
      <c r="AI391" s="716" t="n"/>
      <c r="AJ391" s="716" t="n"/>
      <c r="AK391" s="717" t="inlineStr"/>
      <c r="AL391">
        <f>IF(AND(ISNUMBER($S391),$S391&gt;0,ISNUMBER($K391),ISNUMBER($J391)),($K391*$J391)/$S391,"")</f>
        <v/>
      </c>
      <c r="AM391" s="59" t="inlineStr"/>
    </row>
    <row r="392" ht="14" customHeight="1" s="518">
      <c r="A392" s="62" t="n">
        <v>7</v>
      </c>
      <c r="B392" s="93" t="n">
        <v>385</v>
      </c>
      <c r="C392" s="68" t="inlineStr">
        <is>
          <t>2011Q</t>
        </is>
      </c>
      <c r="D392" s="59" t="inlineStr">
        <is>
          <t xml:space="preserve">02232-00-128-000 </t>
        </is>
      </c>
      <c r="E392" s="72" t="inlineStr">
        <is>
          <t>Actual</t>
        </is>
      </c>
      <c r="F392" s="73" t="inlineStr">
        <is>
          <t>4699   MARION              ST</t>
        </is>
      </c>
      <c r="G392" s="67" t="n">
        <v>44.1</v>
      </c>
      <c r="H392" s="67" t="n">
        <v>9201</v>
      </c>
      <c r="I392" s="69" t="n">
        <v>0</v>
      </c>
      <c r="J392" s="714" t="n">
        <v>10672</v>
      </c>
      <c r="K392" s="715" t="n">
        <v>8.622188905547226</v>
      </c>
      <c r="L392" s="74" t="n">
        <v>0</v>
      </c>
      <c r="M392" s="76" t="n">
        <v>0.01412797774300122</v>
      </c>
      <c r="N392" s="67" t="n">
        <v>1917</v>
      </c>
      <c r="O392" s="64" t="n">
        <v>4085</v>
      </c>
      <c r="Q392" s="59" t="n">
        <v>14</v>
      </c>
      <c r="R392" s="59" t="n">
        <v>1</v>
      </c>
      <c r="S392" s="59" t="n">
        <v>1</v>
      </c>
      <c r="T392" s="63" t="inlineStr">
        <is>
          <t xml:space="preserve">I2   </t>
        </is>
      </c>
      <c r="U392" s="63" t="n">
        <v>398</v>
      </c>
      <c r="V392" s="714" t="n">
        <v>47800</v>
      </c>
      <c r="W392" s="714" t="n">
        <v>48000</v>
      </c>
      <c r="X392" s="83" t="inlineStr">
        <is>
          <t>4.5:1</t>
        </is>
      </c>
      <c r="Y392" s="714" t="n">
        <v>11000</v>
      </c>
      <c r="Z392" s="63" t="inlineStr">
        <is>
          <t xml:space="preserve">C </t>
        </is>
      </c>
      <c r="AC392" s="67" t="n"/>
      <c r="AD392" s="61" t="inlineStr">
        <is>
          <t xml:space="preserve">WHSE/KM CONSESSIONS </t>
        </is>
      </c>
      <c r="AE392" s="716" t="n"/>
      <c r="AF392" s="716" t="n"/>
      <c r="AG392" s="716" t="n"/>
      <c r="AH392" s="716" t="n"/>
      <c r="AI392" s="716" t="n"/>
      <c r="AJ392" s="716" t="n"/>
      <c r="AK392" s="717" t="inlineStr">
        <is>
          <t xml:space="preserve">LEASE COMMENCEMENT UNKNOWN.                                       </t>
        </is>
      </c>
      <c r="AL392">
        <f>IF(AND(ISNUMBER($S392),$S392&gt;0,ISNUMBER($K392),ISNUMBER($J392)),($K392*$J392)/$S392,"")</f>
        <v/>
      </c>
      <c r="AM392" s="59" t="inlineStr"/>
    </row>
    <row r="393" ht="14" customHeight="1" s="518">
      <c r="A393" s="62" t="n">
        <v>7</v>
      </c>
      <c r="B393" s="93" t="n">
        <v>386</v>
      </c>
      <c r="C393" s="68" t="inlineStr">
        <is>
          <t>2011Q</t>
        </is>
      </c>
      <c r="D393" s="59" t="inlineStr">
        <is>
          <t xml:space="preserve">02233-15-033-000 </t>
        </is>
      </c>
      <c r="E393" s="72" t="inlineStr">
        <is>
          <t>Actual</t>
        </is>
      </c>
      <c r="F393" s="73" t="inlineStr">
        <is>
          <t>3963   WALNUT              ST</t>
        </is>
      </c>
      <c r="G393" s="67" t="n">
        <v>44.1</v>
      </c>
      <c r="H393" s="67" t="n">
        <v>9210</v>
      </c>
      <c r="I393" s="69" t="n">
        <v>0</v>
      </c>
      <c r="J393" s="714" t="n">
        <v>13874</v>
      </c>
      <c r="K393" s="715" t="n">
        <v>3.488539714574023</v>
      </c>
      <c r="L393" s="74" t="n">
        <v>0</v>
      </c>
      <c r="M393" s="76" t="n">
        <v>0.03568181818181818</v>
      </c>
      <c r="N393" s="67" t="n">
        <v>1953</v>
      </c>
      <c r="O393" s="64" t="n">
        <v>560</v>
      </c>
      <c r="Q393" s="59" t="n">
        <v>15</v>
      </c>
      <c r="R393" s="59" t="n">
        <v>3</v>
      </c>
      <c r="S393" s="59" t="n">
        <v>1</v>
      </c>
      <c r="T393" s="63" t="inlineStr">
        <is>
          <t xml:space="preserve">I1   </t>
        </is>
      </c>
      <c r="U393" s="63" t="n">
        <v>398</v>
      </c>
      <c r="V393" s="714" t="n">
        <v>18750</v>
      </c>
      <c r="W393" s="714" t="n">
        <v>19000</v>
      </c>
      <c r="X393" s="83" t="inlineStr">
        <is>
          <t>1.4:1</t>
        </is>
      </c>
      <c r="Y393" s="714" t="n">
        <v>14000</v>
      </c>
      <c r="Z393" s="63" t="inlineStr">
        <is>
          <t xml:space="preserve">C </t>
        </is>
      </c>
      <c r="AC393" s="67" t="n"/>
      <c r="AD393" s="61" t="inlineStr"/>
      <c r="AE393" s="716" t="n"/>
      <c r="AF393" s="716" t="n"/>
      <c r="AG393" s="716" t="n"/>
      <c r="AH393" s="716" t="n"/>
      <c r="AI393" s="716" t="n"/>
      <c r="AJ393" s="716" t="n"/>
      <c r="AK393" s="717" t="inlineStr">
        <is>
          <t xml:space="preserve">2008 LEASE.                                                       </t>
        </is>
      </c>
      <c r="AL393">
        <f>IF(AND(ISNUMBER($S393),$S393&gt;0,ISNUMBER($K393),ISNUMBER($J393)),($K393*$J393)/$S393,"")</f>
        <v/>
      </c>
      <c r="AM393" s="59" t="inlineStr"/>
    </row>
    <row r="394" ht="28" customHeight="1" s="518">
      <c r="A394" s="62" t="n">
        <v>7</v>
      </c>
      <c r="B394" s="93" t="n">
        <v>387</v>
      </c>
      <c r="C394" s="68" t="inlineStr">
        <is>
          <t>2011Q</t>
        </is>
      </c>
      <c r="D394" s="59" t="inlineStr">
        <is>
          <t xml:space="preserve">02234-00-013-000 </t>
        </is>
      </c>
      <c r="E394" s="72" t="inlineStr">
        <is>
          <t>Actual</t>
        </is>
      </c>
      <c r="F394" s="73" t="inlineStr">
        <is>
          <t>3975   YORK                ST</t>
        </is>
      </c>
      <c r="G394" s="708" t="n">
        <v>47.1</v>
      </c>
      <c r="H394" s="67" t="n">
        <v>9201</v>
      </c>
      <c r="I394" s="69" t="n">
        <v>0</v>
      </c>
      <c r="J394" s="714" t="n">
        <v>20773</v>
      </c>
      <c r="K394" s="715" t="n">
        <v>5.199056467529966</v>
      </c>
      <c r="L394" s="74" t="n">
        <v>0</v>
      </c>
      <c r="M394" s="76" t="n">
        <v>0</v>
      </c>
      <c r="N394" s="67" t="n">
        <v>1949</v>
      </c>
      <c r="O394" s="64" t="n">
        <v>2655</v>
      </c>
      <c r="Q394" s="59" t="n">
        <v>18</v>
      </c>
      <c r="R394" s="59" t="n">
        <v>1</v>
      </c>
      <c r="S394" s="59" t="n">
        <v>1</v>
      </c>
      <c r="T394" s="63" t="inlineStr">
        <is>
          <t xml:space="preserve">I2   </t>
        </is>
      </c>
      <c r="U394" s="63" t="n">
        <v>401</v>
      </c>
      <c r="V394" s="714" t="n">
        <v>190793</v>
      </c>
      <c r="W394" s="714" t="n">
        <v>190000</v>
      </c>
      <c r="X394" s="83" t="inlineStr">
        <is>
          <t>9.2:1</t>
        </is>
      </c>
      <c r="Y394" s="714" t="n">
        <v>21000</v>
      </c>
      <c r="Z394" s="63" t="inlineStr">
        <is>
          <t xml:space="preserve">C </t>
        </is>
      </c>
      <c r="AC394" s="67" t="n"/>
      <c r="AD394" s="61" t="inlineStr">
        <is>
          <t xml:space="preserve">FELIX'S TOWING      </t>
        </is>
      </c>
      <c r="AE394" s="716" t="n"/>
      <c r="AF394" s="716" t="n"/>
      <c r="AG394" s="716" t="n"/>
      <c r="AH394" s="716" t="n"/>
      <c r="AI394" s="716" t="n"/>
      <c r="AJ394" s="716" t="n"/>
      <c r="AK394" s="717" t="inlineStr">
        <is>
          <t xml:space="preserve">LAND LEASE CHECKED BUT OBVIOUSLY HAS TO INCLUDE THE BLDG.         </t>
        </is>
      </c>
      <c r="AL394">
        <f>IF(AND(ISNUMBER($S394),$S394&gt;0,ISNUMBER($K394),ISNUMBER($J394)),($K394*$J394)/$S394,"")</f>
        <v/>
      </c>
      <c r="AM394" s="59" t="inlineStr"/>
    </row>
    <row r="395" ht="14" customHeight="1" s="518">
      <c r="A395" s="62" t="n">
        <v>7</v>
      </c>
      <c r="B395" s="93" t="n">
        <v>388</v>
      </c>
      <c r="C395" s="68" t="inlineStr">
        <is>
          <t>2011Q</t>
        </is>
      </c>
      <c r="D395" s="59" t="inlineStr">
        <is>
          <t xml:space="preserve">02242-25-009-000 </t>
        </is>
      </c>
      <c r="E395" s="72" t="inlineStr">
        <is>
          <t>Actual</t>
        </is>
      </c>
      <c r="F395" s="73" t="inlineStr">
        <is>
          <t>4570   COLUMBINE           ST</t>
        </is>
      </c>
      <c r="G395" s="67" t="n">
        <v>44.1</v>
      </c>
      <c r="H395" s="67" t="n">
        <v>9201</v>
      </c>
      <c r="I395" s="69" t="n">
        <v>0</v>
      </c>
      <c r="J395" s="714" t="n">
        <v>8960</v>
      </c>
      <c r="K395" s="715" t="n">
        <v>6.361607142857143</v>
      </c>
      <c r="L395" s="74" t="n">
        <v>0</v>
      </c>
      <c r="M395" s="76" t="n">
        <v>0.09356140350877193</v>
      </c>
      <c r="N395" s="67" t="n">
        <v>1974</v>
      </c>
      <c r="O395" s="64" t="n">
        <v>2400</v>
      </c>
      <c r="Q395" s="59" t="n">
        <v>15</v>
      </c>
      <c r="R395" s="59" t="n">
        <v>3</v>
      </c>
      <c r="S395" s="59" t="n">
        <v>1</v>
      </c>
      <c r="T395" s="63" t="inlineStr">
        <is>
          <t xml:space="preserve">PUD  </t>
        </is>
      </c>
      <c r="U395" s="63" t="n">
        <v>398</v>
      </c>
      <c r="V395" s="714" t="n">
        <v>31000</v>
      </c>
      <c r="W395" s="714" t="n">
        <v>31000</v>
      </c>
      <c r="X395" s="83" t="inlineStr">
        <is>
          <t>3.5:1</t>
        </is>
      </c>
      <c r="Y395" s="714" t="n">
        <v>9000</v>
      </c>
      <c r="Z395" s="63" t="inlineStr">
        <is>
          <t xml:space="preserve">C </t>
        </is>
      </c>
      <c r="AC395" s="67" t="n"/>
      <c r="AD395" s="61" t="inlineStr">
        <is>
          <t>S-W CONLEY EQUIP CO.</t>
        </is>
      </c>
      <c r="AE395" s="716" t="n"/>
      <c r="AF395" s="716" t="n"/>
      <c r="AG395" s="716" t="n"/>
      <c r="AH395" s="716" t="n"/>
      <c r="AI395" s="716" t="n"/>
      <c r="AJ395" s="716" t="n"/>
      <c r="AK395" s="717" t="inlineStr"/>
      <c r="AL395">
        <f>IF(AND(ISNUMBER($S395),$S395&gt;0,ISNUMBER($K395),ISNUMBER($J395)),($K395*$J395)/$S395,"")</f>
        <v/>
      </c>
      <c r="AM395" s="59" t="inlineStr"/>
    </row>
    <row r="396" ht="14" customHeight="1" s="518">
      <c r="A396" s="62" t="n">
        <v>7</v>
      </c>
      <c r="B396" s="93" t="n">
        <v>389</v>
      </c>
      <c r="C396" s="68" t="inlineStr">
        <is>
          <t>2011Q</t>
        </is>
      </c>
      <c r="D396" s="59" t="inlineStr">
        <is>
          <t xml:space="preserve">02243-01-012-000 </t>
        </is>
      </c>
      <c r="E396" s="72" t="inlineStr">
        <is>
          <t>Actual</t>
        </is>
      </c>
      <c r="F396" s="73" t="inlineStr">
        <is>
          <t>3100 E 43RD                AV</t>
        </is>
      </c>
      <c r="G396" s="708" t="n">
        <v>47.2</v>
      </c>
      <c r="H396" s="67" t="n">
        <v>9201</v>
      </c>
      <c r="I396" s="69" t="n">
        <v>0</v>
      </c>
      <c r="J396" s="714" t="n">
        <v>33001</v>
      </c>
      <c r="K396" s="715" t="n">
        <v>4.545316808581558</v>
      </c>
      <c r="L396" s="74" t="n">
        <v>0</v>
      </c>
      <c r="M396" s="76" t="n">
        <v>0</v>
      </c>
      <c r="N396" s="67" t="n">
        <v>1958</v>
      </c>
      <c r="O396" s="64" t="n">
        <v>1215</v>
      </c>
      <c r="Q396" s="59" t="n">
        <v>13</v>
      </c>
      <c r="R396" s="59" t="n">
        <v>3</v>
      </c>
      <c r="S396" s="59" t="n">
        <v>1</v>
      </c>
      <c r="T396" s="63" t="inlineStr">
        <is>
          <t xml:space="preserve">I1   </t>
        </is>
      </c>
      <c r="U396" s="63" t="n">
        <v>401</v>
      </c>
      <c r="V396" s="714" t="n">
        <v>36515</v>
      </c>
      <c r="W396" s="714" t="n">
        <v>37000</v>
      </c>
      <c r="X396" s="83" t="inlineStr">
        <is>
          <t>1.1:1</t>
        </is>
      </c>
      <c r="Y396" s="714" t="n">
        <v>33000</v>
      </c>
      <c r="Z396" s="63" t="inlineStr">
        <is>
          <t xml:space="preserve">C </t>
        </is>
      </c>
      <c r="AC396" s="67" t="n"/>
      <c r="AD396" s="61" t="inlineStr">
        <is>
          <t>DENVER METAL FINSHNG</t>
        </is>
      </c>
      <c r="AE396" s="716" t="n"/>
      <c r="AF396" s="716" t="n"/>
      <c r="AG396" s="716" t="n"/>
      <c r="AH396" s="716" t="n"/>
      <c r="AI396" s="716" t="n"/>
      <c r="AJ396" s="716" t="n"/>
      <c r="AK396" s="717" t="inlineStr">
        <is>
          <t xml:space="preserve">DATE OF LEASE COMMENCEMENT UNKNOWN                                </t>
        </is>
      </c>
      <c r="AL396">
        <f>IF(AND(ISNUMBER($S396),$S396&gt;0,ISNUMBER($K396),ISNUMBER($J396)),($K396*$J396)/$S396,"")</f>
        <v/>
      </c>
      <c r="AM396" s="59" t="inlineStr"/>
    </row>
    <row r="397" ht="28" customHeight="1" s="518">
      <c r="A397" s="62" t="n">
        <v>7</v>
      </c>
      <c r="B397" s="93" t="n">
        <v>390</v>
      </c>
      <c r="C397" s="68" t="inlineStr">
        <is>
          <t>2011Q</t>
        </is>
      </c>
      <c r="D397" s="59" t="inlineStr">
        <is>
          <t xml:space="preserve">02243-06-001-000 </t>
        </is>
      </c>
      <c r="E397" s="72" t="inlineStr">
        <is>
          <t>Actual</t>
        </is>
      </c>
      <c r="F397" s="73" t="inlineStr">
        <is>
          <t>4242   ELIZABETH           ST</t>
        </is>
      </c>
      <c r="G397" s="708" t="n">
        <v>47.2</v>
      </c>
      <c r="H397" s="67" t="n">
        <v>9201</v>
      </c>
      <c r="I397" s="69" t="n">
        <v>0</v>
      </c>
      <c r="J397" s="714" t="n">
        <v>18566</v>
      </c>
      <c r="K397" s="715" t="n">
        <v>2.843908219325649</v>
      </c>
      <c r="L397" s="74" t="n">
        <v>1</v>
      </c>
      <c r="M397" s="76" t="n">
        <v>0.1050189393939394</v>
      </c>
      <c r="N397" s="67" t="n">
        <v>1950</v>
      </c>
      <c r="O397" s="64" t="n">
        <v>1000</v>
      </c>
      <c r="Q397" s="59" t="n">
        <v>18</v>
      </c>
      <c r="R397" s="59" t="n">
        <v>10</v>
      </c>
      <c r="S397" s="59" t="n">
        <v>1</v>
      </c>
      <c r="T397" s="63" t="inlineStr">
        <is>
          <t xml:space="preserve">I1   </t>
        </is>
      </c>
      <c r="U397" s="63" t="n">
        <v>401</v>
      </c>
      <c r="V397" s="714" t="n">
        <v>32937</v>
      </c>
      <c r="W397" s="714" t="n">
        <v>33000</v>
      </c>
      <c r="X397" s="83" t="inlineStr">
        <is>
          <t>1.8:1</t>
        </is>
      </c>
      <c r="Y397" s="714" t="n">
        <v>19000</v>
      </c>
      <c r="Z397" s="63" t="inlineStr">
        <is>
          <t xml:space="preserve">C </t>
        </is>
      </c>
      <c r="AC397" s="67" t="n"/>
      <c r="AD397" s="61" t="inlineStr"/>
      <c r="AE397" s="716" t="n"/>
      <c r="AF397" s="716" t="n"/>
      <c r="AG397" s="716" t="n"/>
      <c r="AH397" s="716" t="n"/>
      <c r="AI397" s="716" t="n"/>
      <c r="AJ397" s="716" t="n"/>
      <c r="AK397" s="717" t="inlineStr">
        <is>
          <t xml:space="preserve">2008 LEASE; I/E DATA IS FROM 2009; VACANCY IS 2010.               </t>
        </is>
      </c>
      <c r="AL397">
        <f>IF(AND(ISNUMBER($S397),$S397&gt;0,ISNUMBER($K397),ISNUMBER($J397)),($K397*$J397)/$S397,"")</f>
        <v/>
      </c>
      <c r="AM397" s="59" t="inlineStr"/>
    </row>
    <row r="398" ht="28" customHeight="1" s="518">
      <c r="A398" s="62" t="n">
        <v>7</v>
      </c>
      <c r="B398" s="93" t="n">
        <v>391</v>
      </c>
      <c r="C398" s="68" t="inlineStr">
        <is>
          <t>2011Q</t>
        </is>
      </c>
      <c r="D398" s="59" t="inlineStr">
        <is>
          <t xml:space="preserve">02243-08-007-000 </t>
        </is>
      </c>
      <c r="E398" s="72" t="inlineStr">
        <is>
          <t>Actual</t>
        </is>
      </c>
      <c r="F398" s="73" t="inlineStr">
        <is>
          <t>4215   COLUMBINE           ST</t>
        </is>
      </c>
      <c r="G398" s="67" t="n">
        <v>44.1</v>
      </c>
      <c r="H398" s="67" t="n">
        <v>9201</v>
      </c>
      <c r="I398" s="69" t="n">
        <v>0</v>
      </c>
      <c r="J398" s="714" t="n">
        <v>1500</v>
      </c>
      <c r="K398" s="715" t="n">
        <v>8.106666666666667</v>
      </c>
      <c r="L398" s="74" t="n">
        <v>0</v>
      </c>
      <c r="M398" s="76" t="n">
        <v>0</v>
      </c>
      <c r="N398" s="67" t="n">
        <v>1930</v>
      </c>
      <c r="O398" s="64" t="n">
        <v>0</v>
      </c>
      <c r="Q398" s="59" t="n">
        <v>15</v>
      </c>
      <c r="R398" s="59" t="n">
        <v>7</v>
      </c>
      <c r="S398" s="59" t="n">
        <v>1</v>
      </c>
      <c r="T398" s="63" t="inlineStr">
        <is>
          <t xml:space="preserve">I1   </t>
        </is>
      </c>
      <c r="U398" s="63" t="n">
        <v>399</v>
      </c>
      <c r="V398" s="714" t="n">
        <v>8100</v>
      </c>
      <c r="W398" s="714" t="n">
        <v>8000</v>
      </c>
      <c r="X398" s="83" t="inlineStr">
        <is>
          <t>2.3:1</t>
        </is>
      </c>
      <c r="Y398" s="714" t="n">
        <v>2000</v>
      </c>
      <c r="Z398" s="63" t="inlineStr">
        <is>
          <t xml:space="preserve">C </t>
        </is>
      </c>
      <c r="AC398" s="67" t="n"/>
      <c r="AD398" s="61" t="inlineStr"/>
      <c r="AE398" s="716" t="n"/>
      <c r="AF398" s="716" t="n"/>
      <c r="AG398" s="716" t="n"/>
      <c r="AH398" s="716" t="n"/>
      <c r="AI398" s="716" t="n"/>
      <c r="AJ398" s="716" t="n"/>
      <c r="AK398" s="717" t="inlineStr">
        <is>
          <t>USED ONLY LEASED AREA OF BLDG; CAN'T BREAKOUT EXP BETWEEN OWN/TENS</t>
        </is>
      </c>
      <c r="AL398">
        <f>IF(AND(ISNUMBER($S398),$S398&gt;0,ISNUMBER($K398),ISNUMBER($J398)),($K398*$J398)/$S398,"")</f>
        <v/>
      </c>
      <c r="AM398" s="59" t="inlineStr"/>
    </row>
    <row r="399" ht="14" customHeight="1" s="518">
      <c r="A399" s="62" t="n">
        <v>7</v>
      </c>
      <c r="B399" s="93" t="n">
        <v>392</v>
      </c>
      <c r="C399" s="68" t="inlineStr">
        <is>
          <t>2011Q</t>
        </is>
      </c>
      <c r="D399" s="59" t="inlineStr">
        <is>
          <t xml:space="preserve">02243-15-009-000 </t>
        </is>
      </c>
      <c r="E399" s="72" t="inlineStr">
        <is>
          <t>Actual</t>
        </is>
      </c>
      <c r="F399" s="73" t="inlineStr">
        <is>
          <t>3115 E 40TH                AV</t>
        </is>
      </c>
      <c r="G399" s="708" t="n">
        <v>44.2</v>
      </c>
      <c r="H399" s="67" t="n">
        <v>9201</v>
      </c>
      <c r="I399" s="69" t="n">
        <v>0</v>
      </c>
      <c r="J399" s="714" t="n">
        <v>16650</v>
      </c>
      <c r="K399" s="715" t="n">
        <v>3.45945945945946</v>
      </c>
      <c r="L399" s="74" t="n">
        <v>0</v>
      </c>
      <c r="M399" s="76" t="n">
        <v>0</v>
      </c>
      <c r="N399" s="67" t="n">
        <v>1964</v>
      </c>
      <c r="O399" s="64" t="n">
        <v>0</v>
      </c>
      <c r="Q399" s="59" t="n">
        <v>14</v>
      </c>
      <c r="R399" s="59" t="n">
        <v>3</v>
      </c>
      <c r="S399" s="59" t="n">
        <v>1</v>
      </c>
      <c r="T399" s="63" t="inlineStr">
        <is>
          <t xml:space="preserve">I1   </t>
        </is>
      </c>
      <c r="U399" s="63" t="n">
        <v>398</v>
      </c>
      <c r="V399" s="714" t="n">
        <v>32214</v>
      </c>
      <c r="W399" s="714" t="n">
        <v>32000</v>
      </c>
      <c r="X399" s="83" t="inlineStr">
        <is>
          <t>1.9:1</t>
        </is>
      </c>
      <c r="Y399" s="714" t="n">
        <v>17000</v>
      </c>
      <c r="Z399" s="63" t="inlineStr">
        <is>
          <t xml:space="preserve">C </t>
        </is>
      </c>
      <c r="AC399" s="67" t="n"/>
      <c r="AD399" s="61" t="inlineStr"/>
      <c r="AE399" s="716" t="n"/>
      <c r="AF399" s="716" t="n"/>
      <c r="AG399" s="716" t="n"/>
      <c r="AH399" s="716" t="n"/>
      <c r="AI399" s="716" t="n"/>
      <c r="AJ399" s="716" t="n"/>
      <c r="AK399" s="717" t="inlineStr"/>
      <c r="AL399">
        <f>IF(AND(ISNUMBER($S399),$S399&gt;0,ISNUMBER($K399),ISNUMBER($J399)),($K399*$J399)/$S399,"")</f>
        <v/>
      </c>
      <c r="AM399" s="59" t="inlineStr"/>
    </row>
    <row r="400" ht="28" customHeight="1" s="518">
      <c r="A400" s="62" t="n">
        <v>7</v>
      </c>
      <c r="B400" s="93" t="n">
        <v>393</v>
      </c>
      <c r="C400" s="68" t="inlineStr">
        <is>
          <t>2011Q</t>
        </is>
      </c>
      <c r="D400" s="59" t="inlineStr">
        <is>
          <t xml:space="preserve">02271-00-019-000 </t>
        </is>
      </c>
      <c r="E400" s="72" t="inlineStr">
        <is>
          <t>Actual</t>
        </is>
      </c>
      <c r="F400" s="73" t="inlineStr">
        <is>
          <t>3325   BRIGHTON            BV</t>
        </is>
      </c>
      <c r="G400" s="67" t="n">
        <v>44.1</v>
      </c>
      <c r="H400" s="67" t="n">
        <v>9210</v>
      </c>
      <c r="I400" s="69" t="n">
        <v>0</v>
      </c>
      <c r="J400" s="714" t="n">
        <v>3000</v>
      </c>
      <c r="K400" s="715" t="n">
        <v>5.84</v>
      </c>
      <c r="L400" s="74" t="n">
        <v>0</v>
      </c>
      <c r="M400" s="76" t="n">
        <v>0.2164954337899543</v>
      </c>
      <c r="N400" s="67" t="n">
        <v>1948</v>
      </c>
      <c r="O400" s="64" t="n">
        <v>1800</v>
      </c>
      <c r="Q400" s="59" t="n">
        <v>15</v>
      </c>
      <c r="R400" s="59" t="n">
        <v>1</v>
      </c>
      <c r="S400" s="59" t="n">
        <v>1</v>
      </c>
      <c r="T400" s="63" t="inlineStr">
        <is>
          <t xml:space="preserve">I2   </t>
        </is>
      </c>
      <c r="U400" s="63" t="n">
        <v>398</v>
      </c>
      <c r="V400" s="714" t="n">
        <v>18830</v>
      </c>
      <c r="W400" s="714" t="n">
        <v>19000</v>
      </c>
      <c r="X400" s="83" t="inlineStr">
        <is>
          <t>2.5:1</t>
        </is>
      </c>
      <c r="Y400" s="714" t="n">
        <v>3000</v>
      </c>
      <c r="Z400" s="63" t="inlineStr">
        <is>
          <t xml:space="preserve">C </t>
        </is>
      </c>
      <c r="AC400" s="67" t="n"/>
      <c r="AD400" s="61" t="inlineStr">
        <is>
          <t>PYRAMID PRINT&amp;GRPHCS</t>
        </is>
      </c>
      <c r="AE400" s="716" t="n"/>
      <c r="AF400" s="716" t="n"/>
      <c r="AG400" s="716" t="n"/>
      <c r="AH400" s="716" t="n"/>
      <c r="AI400" s="716" t="n"/>
      <c r="AJ400" s="716" t="n"/>
      <c r="AK400" s="717" t="inlineStr">
        <is>
          <t xml:space="preserve">2008 LEASE; EXPENSES ALLOCATED TO THE 3000 SF LEASED.             </t>
        </is>
      </c>
      <c r="AL400">
        <f>IF(AND(ISNUMBER($S400),$S400&gt;0,ISNUMBER($K400),ISNUMBER($J400)),($K400*$J400)/$S400,"")</f>
        <v/>
      </c>
      <c r="AM400" s="59" t="inlineStr"/>
    </row>
    <row r="401" ht="14" customHeight="1" s="518">
      <c r="A401" s="62" t="n">
        <v>7</v>
      </c>
      <c r="B401" s="93" t="n">
        <v>394</v>
      </c>
      <c r="C401" s="68" t="inlineStr">
        <is>
          <t>2011Q</t>
        </is>
      </c>
      <c r="D401" s="59" t="inlineStr">
        <is>
          <t xml:space="preserve">02271-03-032-000 </t>
        </is>
      </c>
      <c r="E401" s="72" t="inlineStr">
        <is>
          <t>Actual</t>
        </is>
      </c>
      <c r="F401" s="73" t="inlineStr">
        <is>
          <t>3765   BLAKE               ST</t>
        </is>
      </c>
      <c r="G401" s="708" t="n">
        <v>47.1</v>
      </c>
      <c r="H401" s="67" t="n">
        <v>9210</v>
      </c>
      <c r="I401" s="69" t="n">
        <v>0</v>
      </c>
      <c r="J401" s="714" t="n">
        <v>17074</v>
      </c>
      <c r="K401" s="715" t="n">
        <v>3.514115028698606</v>
      </c>
      <c r="L401" s="74" t="n">
        <v>0</v>
      </c>
      <c r="M401" s="76" t="n">
        <v>0.05833333333333333</v>
      </c>
      <c r="N401" s="67" t="n">
        <v>1951</v>
      </c>
      <c r="O401" s="64" t="n">
        <v>982</v>
      </c>
      <c r="Q401" s="59" t="n">
        <v>12</v>
      </c>
      <c r="R401" s="59" t="n">
        <v>3</v>
      </c>
      <c r="S401" s="59" t="n">
        <v>1</v>
      </c>
      <c r="T401" s="63" t="inlineStr">
        <is>
          <t xml:space="preserve">I1   </t>
        </is>
      </c>
      <c r="U401" s="63" t="n">
        <v>401</v>
      </c>
      <c r="V401" s="714" t="n">
        <v>20037</v>
      </c>
      <c r="W401" s="714" t="n">
        <v>20000</v>
      </c>
      <c r="X401" s="83" t="inlineStr">
        <is>
          <t>1.2:1</t>
        </is>
      </c>
      <c r="Y401" s="714" t="n">
        <v>17000</v>
      </c>
      <c r="Z401" s="63" t="inlineStr">
        <is>
          <t xml:space="preserve">C </t>
        </is>
      </c>
      <c r="AC401" s="67" t="n"/>
      <c r="AD401" s="61" t="inlineStr">
        <is>
          <t xml:space="preserve">MW                  </t>
        </is>
      </c>
      <c r="AE401" s="716" t="n"/>
      <c r="AF401" s="716" t="n"/>
      <c r="AG401" s="716" t="n"/>
      <c r="AH401" s="716" t="n"/>
      <c r="AI401" s="716" t="n"/>
      <c r="AJ401" s="716" t="n"/>
      <c r="AK401" s="717" t="inlineStr">
        <is>
          <t xml:space="preserve">MONTH-TO-MONTH LEASE.                                             </t>
        </is>
      </c>
      <c r="AL401">
        <f>IF(AND(ISNUMBER($S401),$S401&gt;0,ISNUMBER($K401),ISNUMBER($J401)),($K401*$J401)/$S401,"")</f>
        <v/>
      </c>
      <c r="AM401" s="59" t="inlineStr"/>
    </row>
    <row r="402" ht="14" customHeight="1" s="518">
      <c r="A402" s="62" t="n">
        <v>7</v>
      </c>
      <c r="B402" s="93" t="n">
        <v>395</v>
      </c>
      <c r="C402" s="68" t="inlineStr">
        <is>
          <t>2011Q</t>
        </is>
      </c>
      <c r="D402" s="59" t="inlineStr">
        <is>
          <t xml:space="preserve">02271-12-020-000 </t>
        </is>
      </c>
      <c r="E402" s="72" t="inlineStr">
        <is>
          <t>Actual</t>
        </is>
      </c>
      <c r="F402" s="73" t="inlineStr">
        <is>
          <t>3551   BRIGHTON            BV</t>
        </is>
      </c>
      <c r="G402" s="708" t="n">
        <v>44.2</v>
      </c>
      <c r="H402" s="67" t="n">
        <v>9210</v>
      </c>
      <c r="I402" s="69" t="n">
        <v>0</v>
      </c>
      <c r="J402" s="714" t="n">
        <v>5340</v>
      </c>
      <c r="K402" s="715" t="n">
        <v>5.842696629213483</v>
      </c>
      <c r="L402" s="74" t="n">
        <v>0</v>
      </c>
      <c r="M402" s="76" t="n">
        <v>0.2656089743589743</v>
      </c>
      <c r="N402" s="67" t="n">
        <v>1955</v>
      </c>
      <c r="O402" s="64" t="n">
        <v>2960</v>
      </c>
      <c r="Q402" s="59" t="n">
        <v>16</v>
      </c>
      <c r="R402" s="59" t="n">
        <v>3</v>
      </c>
      <c r="S402" s="59" t="n">
        <v>1</v>
      </c>
      <c r="T402" s="63" t="inlineStr">
        <is>
          <t xml:space="preserve">I1   </t>
        </is>
      </c>
      <c r="U402" s="63" t="n">
        <v>398</v>
      </c>
      <c r="V402" s="714" t="n">
        <v>6250</v>
      </c>
      <c r="W402" s="714" t="n">
        <v>6000</v>
      </c>
      <c r="X402" s="83" t="inlineStr">
        <is>
          <t>1.2:1</t>
        </is>
      </c>
      <c r="Y402" s="714" t="n">
        <v>5000</v>
      </c>
      <c r="Z402" s="63" t="inlineStr">
        <is>
          <t xml:space="preserve">C </t>
        </is>
      </c>
      <c r="AC402" s="67" t="n"/>
      <c r="AD402" s="61" t="inlineStr"/>
      <c r="AE402" s="716" t="n"/>
      <c r="AF402" s="716" t="n"/>
      <c r="AG402" s="716" t="n"/>
      <c r="AH402" s="716" t="n"/>
      <c r="AI402" s="716" t="n"/>
      <c r="AJ402" s="716" t="n"/>
      <c r="AK402" s="717" t="inlineStr">
        <is>
          <t xml:space="preserve">LEASE COMMENCEMENT UNKNOWN.                                       </t>
        </is>
      </c>
      <c r="AL402">
        <f>IF(AND(ISNUMBER($S402),$S402&gt;0,ISNUMBER($K402),ISNUMBER($J402)),($K402*$J402)/$S402,"")</f>
        <v/>
      </c>
      <c r="AM402" s="59" t="inlineStr"/>
    </row>
    <row r="403" ht="28" customHeight="1" s="518">
      <c r="A403" s="62" t="n">
        <v>7</v>
      </c>
      <c r="B403" s="93" t="n">
        <v>396</v>
      </c>
      <c r="C403" s="68" t="inlineStr">
        <is>
          <t>2011Q</t>
        </is>
      </c>
      <c r="D403" s="59" t="inlineStr">
        <is>
          <t xml:space="preserve">02271-12-021-000 </t>
        </is>
      </c>
      <c r="E403" s="72" t="inlineStr">
        <is>
          <t>Actual</t>
        </is>
      </c>
      <c r="F403" s="73" t="inlineStr">
        <is>
          <t>3559   BRIGHTON            BV</t>
        </is>
      </c>
      <c r="G403" s="708" t="n">
        <v>44.2</v>
      </c>
      <c r="H403" s="67" t="n">
        <v>9210</v>
      </c>
      <c r="I403" s="69" t="n">
        <v>0</v>
      </c>
      <c r="J403" s="714" t="n">
        <v>5015</v>
      </c>
      <c r="K403" s="715" t="n">
        <v>5.931804586241276</v>
      </c>
      <c r="L403" s="74" t="n">
        <v>0</v>
      </c>
      <c r="M403" s="76" t="n">
        <v>0</v>
      </c>
      <c r="N403" s="67" t="n">
        <v>1950</v>
      </c>
      <c r="O403" s="64" t="n">
        <v>0</v>
      </c>
      <c r="Q403" s="59" t="n">
        <v>14</v>
      </c>
      <c r="R403" s="59" t="n">
        <v>3</v>
      </c>
      <c r="S403" s="59" t="n">
        <v>2</v>
      </c>
      <c r="T403" s="63" t="inlineStr">
        <is>
          <t xml:space="preserve">I1   </t>
        </is>
      </c>
      <c r="U403" s="63" t="n">
        <v>398</v>
      </c>
      <c r="V403" s="714" t="n">
        <v>6250</v>
      </c>
      <c r="W403" s="714" t="n">
        <v>6000</v>
      </c>
      <c r="X403" s="83" t="inlineStr">
        <is>
          <t>1.2:1</t>
        </is>
      </c>
      <c r="Y403" s="714" t="n">
        <v>5000</v>
      </c>
      <c r="Z403" s="63" t="inlineStr">
        <is>
          <t xml:space="preserve">C </t>
        </is>
      </c>
      <c r="AC403" s="67" t="n"/>
      <c r="AD403" s="61" t="inlineStr">
        <is>
          <t xml:space="preserve">5280 DESIGNS        </t>
        </is>
      </c>
      <c r="AE403" s="716" t="n"/>
      <c r="AF403" s="716" t="n"/>
      <c r="AG403" s="716" t="n"/>
      <c r="AH403" s="716" t="n"/>
      <c r="AI403" s="716" t="n"/>
      <c r="AJ403" s="716" t="n"/>
      <c r="AK403" s="717" t="inlineStr">
        <is>
          <t xml:space="preserve">EXPENSES UNABLE TO PRORATE OR DEFINE = NOT ENTERED.               </t>
        </is>
      </c>
      <c r="AL403">
        <f>IF(AND(ISNUMBER($S403),$S403&gt;0,ISNUMBER($K403),ISNUMBER($J403)),($K403*$J403)/$S403,"")</f>
        <v/>
      </c>
      <c r="AM403" s="59" t="inlineStr"/>
    </row>
    <row r="404" ht="14" customHeight="1" s="518">
      <c r="A404" s="62" t="n">
        <v>7</v>
      </c>
      <c r="B404" s="93" t="n">
        <v>397</v>
      </c>
      <c r="C404" s="68" t="inlineStr">
        <is>
          <t>2011Q</t>
        </is>
      </c>
      <c r="D404" s="59" t="inlineStr">
        <is>
          <t xml:space="preserve">02271-13-026-000 </t>
        </is>
      </c>
      <c r="E404" s="72" t="inlineStr">
        <is>
          <t>Actual</t>
        </is>
      </c>
      <c r="F404" s="73" t="inlineStr">
        <is>
          <t>3595   WYNKOOP             ST</t>
        </is>
      </c>
      <c r="G404" s="67" t="n">
        <v>44.1</v>
      </c>
      <c r="H404" s="67" t="n">
        <v>9210</v>
      </c>
      <c r="I404" s="69" t="n">
        <v>0</v>
      </c>
      <c r="J404" s="714" t="n">
        <v>4820</v>
      </c>
      <c r="K404" s="715" t="n">
        <v>8.921161825726141</v>
      </c>
      <c r="L404" s="74" t="n">
        <v>1</v>
      </c>
      <c r="M404" s="76" t="n">
        <v>0</v>
      </c>
      <c r="N404" s="67" t="n">
        <v>1978</v>
      </c>
      <c r="O404" s="64" t="n">
        <v>1000</v>
      </c>
      <c r="Q404" s="59" t="n">
        <v>16</v>
      </c>
      <c r="R404" s="59" t="n">
        <v>7</v>
      </c>
      <c r="S404" s="59" t="n">
        <v>1</v>
      </c>
      <c r="T404" s="63" t="inlineStr">
        <is>
          <t xml:space="preserve">I1   </t>
        </is>
      </c>
      <c r="U404" s="63" t="n">
        <v>398</v>
      </c>
      <c r="V404" s="714" t="n">
        <v>15625</v>
      </c>
      <c r="W404" s="714" t="n">
        <v>16000</v>
      </c>
      <c r="X404" s="83" t="inlineStr">
        <is>
          <t>3.2:1</t>
        </is>
      </c>
      <c r="Y404" s="714" t="n">
        <v>5000</v>
      </c>
      <c r="Z404" s="63" t="inlineStr">
        <is>
          <t xml:space="preserve">B </t>
        </is>
      </c>
      <c r="AC404" s="67" t="n"/>
      <c r="AD404" s="61" t="inlineStr"/>
      <c r="AE404" s="716" t="n"/>
      <c r="AF404" s="716" t="n"/>
      <c r="AG404" s="716" t="n"/>
      <c r="AH404" s="716" t="n"/>
      <c r="AI404" s="716" t="n"/>
      <c r="AJ404" s="716" t="n"/>
      <c r="AK404" s="717" t="inlineStr"/>
      <c r="AL404">
        <f>IF(AND(ISNUMBER($S404),$S404&gt;0,ISNUMBER($K404),ISNUMBER($J404)),($K404*$J404)/$S404,"")</f>
        <v/>
      </c>
      <c r="AM404" s="59" t="inlineStr"/>
    </row>
    <row r="405" ht="14" customHeight="1" s="518">
      <c r="A405" s="62" t="n">
        <v>7</v>
      </c>
      <c r="B405" s="93" t="n">
        <v>398</v>
      </c>
      <c r="C405" s="68" t="inlineStr">
        <is>
          <t>2011Q</t>
        </is>
      </c>
      <c r="D405" s="59" t="inlineStr">
        <is>
          <t xml:space="preserve">02271-18-022-000 </t>
        </is>
      </c>
      <c r="E405" s="72" t="inlineStr">
        <is>
          <t>Actual</t>
        </is>
      </c>
      <c r="F405" s="73" t="inlineStr">
        <is>
          <t>3400   WALNUT              ST</t>
        </is>
      </c>
      <c r="G405" s="708" t="inlineStr">
        <is>
          <t>44.M</t>
        </is>
      </c>
      <c r="H405" s="67" t="n">
        <v>9210</v>
      </c>
      <c r="I405" s="69" t="n">
        <v>0</v>
      </c>
      <c r="J405" s="714" t="n">
        <v>21350</v>
      </c>
      <c r="K405" s="715" t="n">
        <v>7.566042154566745</v>
      </c>
      <c r="L405" s="74" t="n">
        <v>0</v>
      </c>
      <c r="M405" s="76" t="n">
        <v>0.2724486953291856</v>
      </c>
      <c r="N405" s="67" t="n">
        <v>1950</v>
      </c>
      <c r="O405" s="64" t="n">
        <v>0</v>
      </c>
      <c r="Q405" s="59" t="n">
        <v>11</v>
      </c>
      <c r="R405" s="59" t="n">
        <v>1</v>
      </c>
      <c r="S405" s="59" t="n">
        <v>85</v>
      </c>
      <c r="T405" s="63" t="inlineStr">
        <is>
          <t xml:space="preserve">I2   </t>
        </is>
      </c>
      <c r="U405" s="63" t="n">
        <v>396</v>
      </c>
      <c r="V405" s="714" t="n">
        <v>31250</v>
      </c>
      <c r="W405" s="714" t="n">
        <v>31000</v>
      </c>
      <c r="X405" s="83" t="inlineStr">
        <is>
          <t>1.5:1</t>
        </is>
      </c>
      <c r="Y405" s="714" t="n">
        <v>21000</v>
      </c>
      <c r="Z405" s="63" t="inlineStr">
        <is>
          <t xml:space="preserve">C </t>
        </is>
      </c>
      <c r="AC405" s="67" t="n"/>
      <c r="AD405" s="61" t="inlineStr">
        <is>
          <t xml:space="preserve">DOWNTOWN SELF STRG  </t>
        </is>
      </c>
      <c r="AE405" s="716" t="n"/>
      <c r="AF405" s="716" t="n"/>
      <c r="AG405" s="716" t="n"/>
      <c r="AH405" s="716" t="n"/>
      <c r="AI405" s="716" t="n"/>
      <c r="AJ405" s="716" t="n"/>
      <c r="AK405" s="717" t="inlineStr">
        <is>
          <t xml:space="preserve">INT MTC WAS AMTZED FOR 10YRS                                      </t>
        </is>
      </c>
      <c r="AL405">
        <f>IF(AND(ISNUMBER($S405),$S405&gt;0,ISNUMBER($K405),ISNUMBER($J405)),($K405*$J405)/$S405,"")</f>
        <v/>
      </c>
      <c r="AM405" s="59" t="inlineStr"/>
    </row>
    <row r="406" ht="28" customHeight="1" s="518">
      <c r="A406" s="62" t="n">
        <v>7</v>
      </c>
      <c r="B406" s="93" t="n">
        <v>399</v>
      </c>
      <c r="C406" s="68" t="inlineStr">
        <is>
          <t>2011Q</t>
        </is>
      </c>
      <c r="D406" s="59" t="inlineStr">
        <is>
          <t xml:space="preserve">02271-22-005-000 </t>
        </is>
      </c>
      <c r="E406" s="72" t="inlineStr">
        <is>
          <t>Actual</t>
        </is>
      </c>
      <c r="F406" s="73" t="inlineStr">
        <is>
          <t>3430   BRIGHTON            BV</t>
        </is>
      </c>
      <c r="G406" s="67" t="n">
        <v>44.1</v>
      </c>
      <c r="H406" s="67" t="n">
        <v>9210</v>
      </c>
      <c r="I406" s="69" t="n">
        <v>0</v>
      </c>
      <c r="J406" s="714" t="n">
        <v>6500</v>
      </c>
      <c r="K406" s="715" t="n">
        <v>2.953846153846154</v>
      </c>
      <c r="L406" s="74" t="n">
        <v>0</v>
      </c>
      <c r="M406" s="76" t="n">
        <v>0</v>
      </c>
      <c r="N406" s="67" t="n">
        <v>1931</v>
      </c>
      <c r="O406" s="64" t="n">
        <v>180</v>
      </c>
      <c r="Q406" s="59" t="n">
        <v>14</v>
      </c>
      <c r="R406" s="59" t="n">
        <v>7</v>
      </c>
      <c r="S406" s="59" t="n">
        <v>1</v>
      </c>
      <c r="T406" s="63" t="inlineStr">
        <is>
          <t xml:space="preserve">I2   </t>
        </is>
      </c>
      <c r="U406" s="63" t="n">
        <v>398</v>
      </c>
      <c r="V406" s="714" t="n">
        <v>12500</v>
      </c>
      <c r="W406" s="714" t="n">
        <v>13000</v>
      </c>
      <c r="X406" s="83" t="inlineStr">
        <is>
          <t>1.7:1</t>
        </is>
      </c>
      <c r="Y406" s="714" t="n">
        <v>7000</v>
      </c>
      <c r="Z406" s="63" t="inlineStr">
        <is>
          <t xml:space="preserve">C </t>
        </is>
      </c>
      <c r="AC406" s="67" t="n"/>
      <c r="AD406" s="61" t="inlineStr">
        <is>
          <t xml:space="preserve">SANTA FE HTG &amp; AC   </t>
        </is>
      </c>
      <c r="AE406" s="716" t="n"/>
      <c r="AF406" s="716" t="n"/>
      <c r="AG406" s="716" t="n"/>
      <c r="AH406" s="716" t="n"/>
      <c r="AI406" s="716" t="n"/>
      <c r="AJ406" s="716" t="n"/>
      <c r="AK406" s="717" t="inlineStr">
        <is>
          <t xml:space="preserve">OWNER EXPENSES WAY TOO HIGH = NOT ENTERED.                        </t>
        </is>
      </c>
      <c r="AL406">
        <f>IF(AND(ISNUMBER($S406),$S406&gt;0,ISNUMBER($K406),ISNUMBER($J406)),($K406*$J406)/$S406,"")</f>
        <v/>
      </c>
      <c r="AM406" s="59" t="inlineStr"/>
    </row>
    <row r="407" ht="28" customHeight="1" s="518">
      <c r="A407" s="62" t="n">
        <v>7</v>
      </c>
      <c r="B407" s="93" t="n">
        <v>400</v>
      </c>
      <c r="C407" s="68" t="inlineStr">
        <is>
          <t>2011Q</t>
        </is>
      </c>
      <c r="D407" s="59" t="inlineStr">
        <is>
          <t xml:space="preserve">02275-00-023-000 </t>
        </is>
      </c>
      <c r="E407" s="72" t="inlineStr">
        <is>
          <t>Actual</t>
        </is>
      </c>
      <c r="F407" s="73" t="inlineStr">
        <is>
          <t>3150   BRIGHTON            BV</t>
        </is>
      </c>
      <c r="G407" s="708" t="n">
        <v>44.2</v>
      </c>
      <c r="H407" s="67" t="n">
        <v>9210</v>
      </c>
      <c r="I407" s="69" t="n">
        <v>0</v>
      </c>
      <c r="J407" s="714" t="n">
        <v>7500</v>
      </c>
      <c r="K407" s="715" t="n">
        <v>4.8</v>
      </c>
      <c r="L407" s="74" t="n">
        <v>0</v>
      </c>
      <c r="M407" s="76" t="n">
        <v>0</v>
      </c>
      <c r="N407" s="67" t="n">
        <v>1968</v>
      </c>
      <c r="O407" s="64" t="n">
        <v>2908</v>
      </c>
      <c r="Q407" s="59" t="n">
        <v>15</v>
      </c>
      <c r="R407" s="59" t="n">
        <v>1</v>
      </c>
      <c r="S407" s="59" t="n">
        <v>1</v>
      </c>
      <c r="T407" s="63" t="inlineStr">
        <is>
          <t xml:space="preserve">I2   </t>
        </is>
      </c>
      <c r="U407" s="63" t="n">
        <v>398</v>
      </c>
      <c r="V407" s="714" t="n">
        <v>21452</v>
      </c>
      <c r="W407" s="714" t="n">
        <v>21000</v>
      </c>
      <c r="X407" s="83" t="inlineStr">
        <is>
          <t>2.9:1</t>
        </is>
      </c>
      <c r="Y407" s="714" t="n">
        <v>8000</v>
      </c>
      <c r="Z407" s="63" t="inlineStr">
        <is>
          <t xml:space="preserve">C </t>
        </is>
      </c>
      <c r="AC407" s="67" t="n"/>
      <c r="AD407" s="61" t="inlineStr">
        <is>
          <t xml:space="preserve">DOGGIE DAY CARE     </t>
        </is>
      </c>
      <c r="AE407" s="716" t="n"/>
      <c r="AF407" s="716" t="n"/>
      <c r="AG407" s="716" t="n"/>
      <c r="AH407" s="716" t="n"/>
      <c r="AI407" s="716" t="n"/>
      <c r="AJ407" s="716" t="n"/>
      <c r="AK407" s="717" t="inlineStr">
        <is>
          <t xml:space="preserve">2008 LEASE; OWNER EXPENSES EXCESSIVE = NOT ENTERED.               </t>
        </is>
      </c>
      <c r="AL407">
        <f>IF(AND(ISNUMBER($S407),$S407&gt;0,ISNUMBER($K407),ISNUMBER($J407)),($K407*$J407)/$S407,"")</f>
        <v/>
      </c>
      <c r="AM407" s="59" t="inlineStr"/>
    </row>
    <row r="408" ht="28" customHeight="1" s="518">
      <c r="A408" s="62" t="n">
        <v>7</v>
      </c>
      <c r="B408" s="93" t="n">
        <v>401</v>
      </c>
      <c r="C408" s="68" t="inlineStr">
        <is>
          <t>2011Q</t>
        </is>
      </c>
      <c r="D408" s="59" t="inlineStr">
        <is>
          <t xml:space="preserve">02275-01-020-000 </t>
        </is>
      </c>
      <c r="E408" s="72" t="inlineStr">
        <is>
          <t>Actual</t>
        </is>
      </c>
      <c r="F408" s="73" t="inlineStr">
        <is>
          <t>3244   WALNUT              ST</t>
        </is>
      </c>
      <c r="G408" s="708" t="n">
        <v>47.2</v>
      </c>
      <c r="H408" s="67" t="n">
        <v>9210</v>
      </c>
      <c r="I408" s="69" t="n">
        <v>0</v>
      </c>
      <c r="J408" s="714" t="n">
        <v>26000</v>
      </c>
      <c r="K408" s="715" t="n">
        <v>2.653846153846154</v>
      </c>
      <c r="L408" s="74" t="n">
        <v>0</v>
      </c>
      <c r="M408" s="76" t="n">
        <v>0</v>
      </c>
      <c r="N408" s="67" t="n">
        <v>1937</v>
      </c>
      <c r="O408" s="64" t="n">
        <v>1600</v>
      </c>
      <c r="Q408" s="59" t="n">
        <v>14</v>
      </c>
      <c r="R408" s="59" t="n">
        <v>1</v>
      </c>
      <c r="S408" s="59" t="n">
        <v>1</v>
      </c>
      <c r="T408" s="63" t="inlineStr">
        <is>
          <t>I2 I1</t>
        </is>
      </c>
      <c r="U408" s="63" t="n">
        <v>401</v>
      </c>
      <c r="V408" s="714" t="n">
        <v>50025</v>
      </c>
      <c r="W408" s="714" t="n">
        <v>50000</v>
      </c>
      <c r="X408" s="83" t="inlineStr">
        <is>
          <t>1.7:1</t>
        </is>
      </c>
      <c r="Y408" s="714" t="n">
        <v>26000</v>
      </c>
      <c r="Z408" s="63" t="inlineStr">
        <is>
          <t xml:space="preserve">C </t>
        </is>
      </c>
      <c r="AC408" s="67" t="n"/>
      <c r="AD408" s="61" t="inlineStr">
        <is>
          <t xml:space="preserve">DENVER HARDWARE     </t>
        </is>
      </c>
      <c r="AE408" s="716" t="n"/>
      <c r="AF408" s="716" t="n"/>
      <c r="AG408" s="716" t="n"/>
      <c r="AH408" s="716" t="n"/>
      <c r="AI408" s="716" t="n"/>
      <c r="AJ408" s="716" t="n"/>
      <c r="AK408" s="717" t="inlineStr">
        <is>
          <t xml:space="preserve">MO-TO-MO LEASES; INCLUDES PARCEL -018; YOC'S AS OLD AS 1885.      </t>
        </is>
      </c>
      <c r="AL408">
        <f>IF(AND(ISNUMBER($S408),$S408&gt;0,ISNUMBER($K408),ISNUMBER($J408)),($K408*$J408)/$S408,"")</f>
        <v/>
      </c>
      <c r="AM408" s="59" t="inlineStr"/>
    </row>
    <row r="409" ht="14" customHeight="1" s="518">
      <c r="A409" s="62" t="n">
        <v>7</v>
      </c>
      <c r="B409" s="93" t="n">
        <v>402</v>
      </c>
      <c r="C409" s="68" t="inlineStr">
        <is>
          <t>2011Q</t>
        </is>
      </c>
      <c r="D409" s="59" t="inlineStr">
        <is>
          <t xml:space="preserve">02275-12-015-000 </t>
        </is>
      </c>
      <c r="E409" s="72" t="inlineStr">
        <is>
          <t>Actual</t>
        </is>
      </c>
      <c r="F409" s="73" t="inlineStr">
        <is>
          <t>2975   WALNUT              ST</t>
        </is>
      </c>
      <c r="G409" s="67" t="n">
        <v>44.1</v>
      </c>
      <c r="H409" s="67" t="n">
        <v>9210</v>
      </c>
      <c r="I409" s="69" t="n">
        <v>0</v>
      </c>
      <c r="J409" s="714" t="n">
        <v>20196</v>
      </c>
      <c r="K409" s="715" t="n">
        <v>5.438502673796791</v>
      </c>
      <c r="L409" s="74" t="n">
        <v>0</v>
      </c>
      <c r="M409" s="76" t="n">
        <v>0.07820750937761754</v>
      </c>
      <c r="N409" s="67" t="n">
        <v>1973</v>
      </c>
      <c r="O409" s="64" t="n">
        <v>18501</v>
      </c>
      <c r="Q409" s="59" t="n">
        <v>20</v>
      </c>
      <c r="R409" s="59" t="n">
        <v>3</v>
      </c>
      <c r="S409" s="59" t="n">
        <v>1</v>
      </c>
      <c r="T409" s="63" t="inlineStr">
        <is>
          <t xml:space="preserve">I2   </t>
        </is>
      </c>
      <c r="U409" s="63" t="n">
        <v>398</v>
      </c>
      <c r="V409" s="714" t="n">
        <v>31287</v>
      </c>
      <c r="W409" s="714" t="n">
        <v>31000</v>
      </c>
      <c r="X409" s="83" t="inlineStr">
        <is>
          <t>1.5:1</t>
        </is>
      </c>
      <c r="Y409" s="714" t="n">
        <v>20000</v>
      </c>
      <c r="Z409" s="63" t="inlineStr">
        <is>
          <t xml:space="preserve">C </t>
        </is>
      </c>
      <c r="AC409" s="67" t="n"/>
      <c r="AD409" s="61" t="inlineStr"/>
      <c r="AE409" s="716" t="n"/>
      <c r="AF409" s="716" t="n"/>
      <c r="AG409" s="716" t="n"/>
      <c r="AH409" s="716" t="n"/>
      <c r="AI409" s="716" t="n"/>
      <c r="AJ409" s="716" t="n"/>
      <c r="AK409" s="717" t="inlineStr"/>
      <c r="AL409">
        <f>IF(AND(ISNUMBER($S409),$S409&gt;0,ISNUMBER($K409),ISNUMBER($J409)),($K409*$J409)/$S409,"")</f>
        <v/>
      </c>
      <c r="AM409" s="59" t="inlineStr"/>
    </row>
    <row r="410" ht="14" customHeight="1" s="518">
      <c r="A410" s="62" t="n">
        <v>7</v>
      </c>
      <c r="B410" s="93" t="n">
        <v>403</v>
      </c>
      <c r="C410" s="68" t="inlineStr">
        <is>
          <t>2011Q</t>
        </is>
      </c>
      <c r="D410" s="59" t="inlineStr">
        <is>
          <t xml:space="preserve">02275-13-030-000 </t>
        </is>
      </c>
      <c r="E410" s="72" t="inlineStr">
        <is>
          <t>Actual</t>
        </is>
      </c>
      <c r="F410" s="73" t="inlineStr">
        <is>
          <t>2964   WALNUT              ST</t>
        </is>
      </c>
      <c r="G410" s="67" t="n">
        <v>44.1</v>
      </c>
      <c r="H410" s="67" t="n">
        <v>9210</v>
      </c>
      <c r="I410" s="69" t="n">
        <v>0</v>
      </c>
      <c r="J410" s="714" t="n">
        <v>3444</v>
      </c>
      <c r="K410" s="715" t="n">
        <v>2.271777003484321</v>
      </c>
      <c r="L410" s="74" t="n">
        <v>0</v>
      </c>
      <c r="M410" s="76" t="n">
        <v>0</v>
      </c>
      <c r="N410" s="67" t="n">
        <v>1958</v>
      </c>
      <c r="O410" s="64" t="n">
        <v>700</v>
      </c>
      <c r="Q410" s="59" t="n">
        <v>13</v>
      </c>
      <c r="R410" s="59" t="n">
        <v>7</v>
      </c>
      <c r="S410" s="59" t="n">
        <v>1</v>
      </c>
      <c r="T410" s="63" t="inlineStr">
        <is>
          <t xml:space="preserve">I2   </t>
        </is>
      </c>
      <c r="U410" s="63" t="n">
        <v>398</v>
      </c>
      <c r="V410" s="714" t="n">
        <v>15644</v>
      </c>
      <c r="W410" s="714" t="n">
        <v>16000</v>
      </c>
      <c r="X410" s="83" t="inlineStr">
        <is>
          <t>4.5:1</t>
        </is>
      </c>
      <c r="Y410" s="714" t="n">
        <v>3000</v>
      </c>
      <c r="Z410" s="63" t="inlineStr">
        <is>
          <t xml:space="preserve">C </t>
        </is>
      </c>
      <c r="AC410" s="67" t="n"/>
      <c r="AD410" s="61" t="inlineStr">
        <is>
          <t xml:space="preserve">S-W                 </t>
        </is>
      </c>
      <c r="AE410" s="716" t="n"/>
      <c r="AF410" s="716" t="n"/>
      <c r="AG410" s="716" t="n"/>
      <c r="AH410" s="716" t="n"/>
      <c r="AI410" s="716" t="n"/>
      <c r="AJ410" s="716" t="n"/>
      <c r="AK410" s="717" t="inlineStr"/>
      <c r="AL410">
        <f>IF(AND(ISNUMBER($S410),$S410&gt;0,ISNUMBER($K410),ISNUMBER($J410)),($K410*$J410)/$S410,"")</f>
        <v/>
      </c>
      <c r="AM410" s="59" t="inlineStr"/>
    </row>
    <row r="411" ht="14" customHeight="1" s="518">
      <c r="A411" s="62" t="n">
        <v>7</v>
      </c>
      <c r="B411" s="93" t="n">
        <v>404</v>
      </c>
      <c r="C411" s="68" t="inlineStr">
        <is>
          <t>2011Q</t>
        </is>
      </c>
      <c r="D411" s="59" t="inlineStr">
        <is>
          <t xml:space="preserve">02275-14-021-000 </t>
        </is>
      </c>
      <c r="E411" s="72" t="inlineStr">
        <is>
          <t>Actual</t>
        </is>
      </c>
      <c r="F411" s="73" t="inlineStr">
        <is>
          <t>2860   WALNUT              ST</t>
        </is>
      </c>
      <c r="G411" s="67" t="n">
        <v>44.1</v>
      </c>
      <c r="H411" s="67" t="n">
        <v>9210</v>
      </c>
      <c r="I411" s="69" t="n">
        <v>0</v>
      </c>
      <c r="J411" s="714" t="n">
        <v>4141</v>
      </c>
      <c r="K411" s="715" t="n">
        <v>5.390002414875634</v>
      </c>
      <c r="L411" s="74" t="n">
        <v>0</v>
      </c>
      <c r="M411" s="76" t="n">
        <v>0.004659498207885305</v>
      </c>
      <c r="N411" s="67" t="n">
        <v>1937</v>
      </c>
      <c r="O411" s="64" t="n">
        <v>0</v>
      </c>
      <c r="Q411" s="59" t="n">
        <v>13</v>
      </c>
      <c r="R411" s="59" t="n">
        <v>3</v>
      </c>
      <c r="S411" s="59" t="n">
        <v>1</v>
      </c>
      <c r="T411" s="63" t="inlineStr">
        <is>
          <t xml:space="preserve">I2   </t>
        </is>
      </c>
      <c r="U411" s="63" t="n">
        <v>398</v>
      </c>
      <c r="V411" s="714" t="n">
        <v>12530</v>
      </c>
      <c r="W411" s="714" t="n">
        <v>13000</v>
      </c>
      <c r="X411" s="83" t="inlineStr">
        <is>
          <t>3.0:1</t>
        </is>
      </c>
      <c r="Y411" s="714" t="n">
        <v>4000</v>
      </c>
      <c r="Z411" s="63" t="inlineStr">
        <is>
          <t xml:space="preserve">C </t>
        </is>
      </c>
      <c r="AC411" s="67" t="n"/>
      <c r="AD411" s="61" t="inlineStr">
        <is>
          <t xml:space="preserve">S-W                 </t>
        </is>
      </c>
      <c r="AE411" s="716" t="n"/>
      <c r="AF411" s="716" t="n"/>
      <c r="AG411" s="716" t="n"/>
      <c r="AH411" s="716" t="n"/>
      <c r="AI411" s="716" t="n"/>
      <c r="AJ411" s="716" t="n"/>
      <c r="AK411" s="717" t="inlineStr"/>
      <c r="AL411">
        <f>IF(AND(ISNUMBER($S411),$S411&gt;0,ISNUMBER($K411),ISNUMBER($J411)),($K411*$J411)/$S411,"")</f>
        <v/>
      </c>
      <c r="AM411" s="59" t="inlineStr"/>
    </row>
    <row r="412">
      <c r="A412" s="62" t="n">
        <v>7</v>
      </c>
      <c r="B412" s="93" t="n">
        <v>405</v>
      </c>
      <c r="C412" s="92" t="inlineStr">
        <is>
          <t>2011W</t>
        </is>
      </c>
      <c r="D412" s="93" t="inlineStr">
        <is>
          <t>02276-22-020-000</t>
        </is>
      </c>
      <c r="E412" s="92" t="inlineStr">
        <is>
          <t>Actual</t>
        </is>
      </c>
      <c r="F412" s="93" t="inlineStr">
        <is>
          <t>2728 Larimer</t>
        </is>
      </c>
      <c r="G412" s="94" t="inlineStr">
        <is>
          <t>42.1/44.1</t>
        </is>
      </c>
      <c r="H412" s="93" t="n">
        <v>9210</v>
      </c>
      <c r="I412" s="92" t="n">
        <v>0</v>
      </c>
      <c r="J412" s="95" t="n">
        <v>14766</v>
      </c>
      <c r="K412" s="718" t="n">
        <v>5.6</v>
      </c>
      <c r="L412" s="97" t="n">
        <v>0</v>
      </c>
      <c r="M412" s="97" t="n">
        <v>0.1</v>
      </c>
      <c r="N412" s="93" t="n">
        <v>1967</v>
      </c>
      <c r="O412" s="92" t="inlineStr">
        <is>
          <t>I1</t>
        </is>
      </c>
      <c r="P412" s="93" t="n">
        <v>401</v>
      </c>
      <c r="Q412" s="95" t="n">
        <v>21960</v>
      </c>
      <c r="R412" s="95">
        <f>MROUND(Q412,1000)</f>
        <v/>
      </c>
      <c r="S412" s="98" t="inlineStr">
        <is>
          <t>1.49:1</t>
        </is>
      </c>
      <c r="T412" s="95">
        <f>MROUND(J412,1000)</f>
        <v/>
      </c>
      <c r="U412" s="93" t="inlineStr">
        <is>
          <t>B</t>
        </is>
      </c>
      <c r="V412" s="93" t="n">
        <v>3</v>
      </c>
      <c r="W412" s="93" t="n">
        <v>3</v>
      </c>
      <c r="X412" s="93" t="n">
        <v>33</v>
      </c>
      <c r="Y412" s="93" t="n"/>
      <c r="Z412" s="719" t="n"/>
      <c r="AA412" s="720" t="n"/>
      <c r="AB412" s="720" t="n"/>
      <c r="AC412" s="719" t="n"/>
      <c r="AD412" s="720" t="n"/>
      <c r="AE412" s="719" t="n"/>
      <c r="AF412" s="93" t="n"/>
      <c r="AG412" s="93" t="n"/>
      <c r="AH412" s="716" t="n"/>
      <c r="AI412" s="716" t="n"/>
      <c r="AJ412" s="716" t="n"/>
      <c r="AK412" s="716" t="n"/>
      <c r="AL412">
        <f>IF(AND(ISNUMBER($S412),$S412&gt;0,ISNUMBER($K412),ISNUMBER($J412)),($K412*$J412)/$S412,"")</f>
        <v/>
      </c>
    </row>
    <row r="413" ht="14" customHeight="1" s="518">
      <c r="A413" s="62" t="n">
        <v>7</v>
      </c>
      <c r="B413" s="93" t="n">
        <v>406</v>
      </c>
      <c r="C413" s="68" t="inlineStr">
        <is>
          <t>2011Q</t>
        </is>
      </c>
      <c r="D413" s="59" t="inlineStr">
        <is>
          <t xml:space="preserve">02277-00-010-000 </t>
        </is>
      </c>
      <c r="E413" s="72" t="inlineStr">
        <is>
          <t>Actual</t>
        </is>
      </c>
      <c r="F413" s="73" t="inlineStr">
        <is>
          <t>2501   BLAKE               ST</t>
        </is>
      </c>
      <c r="G413" s="67" t="n">
        <v>44.1</v>
      </c>
      <c r="H413" s="67" t="n">
        <v>9202</v>
      </c>
      <c r="I413" s="69" t="n">
        <v>0</v>
      </c>
      <c r="J413" s="714" t="n">
        <v>28647</v>
      </c>
      <c r="K413" s="715" t="n">
        <v>15.42918979299752</v>
      </c>
      <c r="L413" s="74" t="n">
        <v>0</v>
      </c>
      <c r="M413" s="76" t="n">
        <v>0.009954751131221719</v>
      </c>
      <c r="N413" s="67" t="n">
        <v>1956</v>
      </c>
      <c r="O413" s="64" t="n">
        <v>0</v>
      </c>
      <c r="P413" s="64" t="n">
        <v>14952</v>
      </c>
      <c r="Q413" s="59" t="n">
        <v>22</v>
      </c>
      <c r="R413" s="59" t="n">
        <v>1</v>
      </c>
      <c r="S413" s="59" t="n">
        <v>1</v>
      </c>
      <c r="T413" s="63" t="inlineStr">
        <is>
          <t xml:space="preserve">I2   </t>
        </is>
      </c>
      <c r="U413" s="63" t="n">
        <v>398</v>
      </c>
      <c r="V413" s="714" t="n">
        <v>42092</v>
      </c>
      <c r="W413" s="714" t="n">
        <v>42000</v>
      </c>
      <c r="X413" s="83" t="inlineStr">
        <is>
          <t>1.5:1</t>
        </is>
      </c>
      <c r="Y413" s="714" t="n">
        <v>29000</v>
      </c>
      <c r="Z413" s="63" t="inlineStr">
        <is>
          <t xml:space="preserve">C </t>
        </is>
      </c>
      <c r="AC413" s="67" t="n"/>
      <c r="AD413" s="61" t="inlineStr">
        <is>
          <t xml:space="preserve">SPACES THAT WORK    </t>
        </is>
      </c>
      <c r="AE413" s="716" t="n"/>
      <c r="AF413" s="716" t="n"/>
      <c r="AG413" s="716" t="n"/>
      <c r="AH413" s="716" t="n"/>
      <c r="AI413" s="716" t="n"/>
      <c r="AJ413" s="716" t="n"/>
      <c r="AK413" s="717" t="inlineStr">
        <is>
          <t xml:space="preserve">2008 LEASE.                                                       </t>
        </is>
      </c>
      <c r="AL413">
        <f>IF(AND(ISNUMBER($S413),$S413&gt;0,ISNUMBER($K413),ISNUMBER($J413)),($K413*$J413)/$S413,"")</f>
        <v/>
      </c>
      <c r="AM413" s="59" t="inlineStr"/>
    </row>
    <row r="414" ht="14" customHeight="1" s="518">
      <c r="A414" s="62" t="n">
        <v>7</v>
      </c>
      <c r="B414" s="93" t="n">
        <v>407</v>
      </c>
      <c r="C414" s="68" t="inlineStr">
        <is>
          <t>2011Q</t>
        </is>
      </c>
      <c r="D414" s="59" t="inlineStr">
        <is>
          <t xml:space="preserve">02281-03-008-000 </t>
        </is>
      </c>
      <c r="E414" s="72" t="inlineStr">
        <is>
          <t>Actual</t>
        </is>
      </c>
      <c r="F414" s="73" t="inlineStr">
        <is>
          <t>3725   JASON               ST</t>
        </is>
      </c>
      <c r="G414" s="708" t="n">
        <v>47.1</v>
      </c>
      <c r="H414" s="67" t="n">
        <v>9208</v>
      </c>
      <c r="I414" s="69" t="n">
        <v>0</v>
      </c>
      <c r="J414" s="714" t="n">
        <v>5760</v>
      </c>
      <c r="K414" s="715" t="n">
        <v>3.125</v>
      </c>
      <c r="L414" s="74" t="n">
        <v>0</v>
      </c>
      <c r="M414" s="76" t="n">
        <v>0</v>
      </c>
      <c r="N414" s="67" t="n">
        <v>1971</v>
      </c>
      <c r="O414" s="64" t="n">
        <v>992</v>
      </c>
      <c r="Q414" s="59" t="n">
        <v>15</v>
      </c>
      <c r="R414" s="59" t="n">
        <v>7</v>
      </c>
      <c r="S414" s="59" t="n">
        <v>1</v>
      </c>
      <c r="T414" s="63" t="inlineStr">
        <is>
          <t xml:space="preserve">I0   </t>
        </is>
      </c>
      <c r="U414" s="63" t="n">
        <v>401</v>
      </c>
      <c r="V414" s="714" t="n">
        <v>18750</v>
      </c>
      <c r="W414" s="714" t="n">
        <v>19000</v>
      </c>
      <c r="X414" s="83" t="inlineStr">
        <is>
          <t>3.3:1</t>
        </is>
      </c>
      <c r="Y414" s="714" t="n">
        <v>6000</v>
      </c>
      <c r="Z414" s="63" t="inlineStr">
        <is>
          <t xml:space="preserve">C </t>
        </is>
      </c>
      <c r="AC414" s="67" t="n"/>
      <c r="AD414" s="61" t="inlineStr">
        <is>
          <t xml:space="preserve">SILVER STATE FOODS  </t>
        </is>
      </c>
      <c r="AE414" s="716" t="n"/>
      <c r="AF414" s="716" t="n"/>
      <c r="AG414" s="716" t="n"/>
      <c r="AH414" s="716" t="n"/>
      <c r="AI414" s="716" t="n"/>
      <c r="AJ414" s="716" t="n"/>
      <c r="AK414" s="717" t="inlineStr"/>
      <c r="AL414">
        <f>IF(AND(ISNUMBER($S414),$S414&gt;0,ISNUMBER($K414),ISNUMBER($J414)),($K414*$J414)/$S414,"")</f>
        <v/>
      </c>
      <c r="AM414" s="59" t="inlineStr"/>
    </row>
    <row r="415" ht="14" customHeight="1" s="518">
      <c r="A415" s="62" t="n">
        <v>7</v>
      </c>
      <c r="B415" s="93" t="n">
        <v>408</v>
      </c>
      <c r="C415" s="68" t="inlineStr">
        <is>
          <t>2011Q</t>
        </is>
      </c>
      <c r="D415" s="59" t="inlineStr">
        <is>
          <t xml:space="preserve">02281-04-010-000 </t>
        </is>
      </c>
      <c r="E415" s="72" t="inlineStr">
        <is>
          <t>Actual</t>
        </is>
      </c>
      <c r="F415" s="73" t="inlineStr">
        <is>
          <t>3737   KALAMATH            ST</t>
        </is>
      </c>
      <c r="G415" s="67" t="n">
        <v>44.1</v>
      </c>
      <c r="H415" s="67" t="n">
        <v>9208</v>
      </c>
      <c r="I415" s="69" t="n">
        <v>0</v>
      </c>
      <c r="J415" s="714" t="n">
        <v>3200</v>
      </c>
      <c r="K415" s="715" t="n">
        <v>12.65625</v>
      </c>
      <c r="L415" s="74" t="n">
        <v>0</v>
      </c>
      <c r="M415" s="76" t="n">
        <v>0</v>
      </c>
      <c r="N415" s="67" t="n">
        <v>1953</v>
      </c>
      <c r="O415" s="64" t="n">
        <v>180</v>
      </c>
      <c r="Q415" s="59" t="n">
        <v>14</v>
      </c>
      <c r="R415" s="59" t="n">
        <v>3</v>
      </c>
      <c r="S415" s="59" t="n">
        <v>1</v>
      </c>
      <c r="T415" s="63" t="inlineStr">
        <is>
          <t xml:space="preserve">B4   </t>
        </is>
      </c>
      <c r="U415" s="63" t="n">
        <v>398</v>
      </c>
      <c r="V415" s="714" t="n">
        <v>14062</v>
      </c>
      <c r="W415" s="714" t="n">
        <v>14000</v>
      </c>
      <c r="X415" s="83" t="inlineStr">
        <is>
          <t>4.4:1</t>
        </is>
      </c>
      <c r="Y415" s="714" t="n">
        <v>3000</v>
      </c>
      <c r="Z415" s="63" t="inlineStr">
        <is>
          <t xml:space="preserve">C </t>
        </is>
      </c>
      <c r="AC415" s="67" t="n"/>
      <c r="AD415" s="61" t="inlineStr">
        <is>
          <t xml:space="preserve">S-W                 </t>
        </is>
      </c>
      <c r="AE415" s="716" t="n"/>
      <c r="AF415" s="716" t="n"/>
      <c r="AG415" s="716" t="n"/>
      <c r="AH415" s="716" t="n"/>
      <c r="AI415" s="716" t="n"/>
      <c r="AJ415" s="716" t="n"/>
      <c r="AK415" s="717" t="inlineStr">
        <is>
          <t xml:space="preserve">LEASE COMMENCEMENT DATA UNKNOWN.                                  </t>
        </is>
      </c>
      <c r="AL415">
        <f>IF(AND(ISNUMBER($S415),$S415&gt;0,ISNUMBER($K415),ISNUMBER($J415)),($K415*$J415)/$S415,"")</f>
        <v/>
      </c>
      <c r="AM415" s="59" t="inlineStr"/>
    </row>
    <row r="416" ht="14" customHeight="1" s="518">
      <c r="A416" s="62" t="n">
        <v>7</v>
      </c>
      <c r="B416" s="93" t="n">
        <v>409</v>
      </c>
      <c r="C416" s="68" t="inlineStr">
        <is>
          <t>2011Q</t>
        </is>
      </c>
      <c r="D416" s="59" t="inlineStr">
        <is>
          <t xml:space="preserve">02281-07-005-000 </t>
        </is>
      </c>
      <c r="E416" s="72" t="inlineStr">
        <is>
          <t>Actual</t>
        </is>
      </c>
      <c r="F416" s="73" t="inlineStr">
        <is>
          <t>3700   OSAGE               ST</t>
        </is>
      </c>
      <c r="G416" s="67" t="n">
        <v>44.1</v>
      </c>
      <c r="H416" s="67" t="n">
        <v>9208</v>
      </c>
      <c r="I416" s="69" t="n">
        <v>0</v>
      </c>
      <c r="J416" s="714" t="n">
        <v>5920</v>
      </c>
      <c r="K416" s="715" t="n">
        <v>8.108108108108109</v>
      </c>
      <c r="L416" s="74" t="n">
        <v>0</v>
      </c>
      <c r="M416" s="76" t="n">
        <v>0.075</v>
      </c>
      <c r="N416" s="67" t="n">
        <v>1904</v>
      </c>
      <c r="O416" s="64" t="n">
        <v>468</v>
      </c>
      <c r="P416" s="64" t="n">
        <v>1000</v>
      </c>
      <c r="Q416" s="59" t="n">
        <v>12</v>
      </c>
      <c r="R416" s="59" t="n">
        <v>1</v>
      </c>
      <c r="S416" s="59" t="n">
        <v>1</v>
      </c>
      <c r="T416" s="63" t="inlineStr">
        <is>
          <t xml:space="preserve">B2   </t>
        </is>
      </c>
      <c r="U416" s="63" t="n">
        <v>398</v>
      </c>
      <c r="V416" s="714" t="n">
        <v>6237</v>
      </c>
      <c r="W416" s="714" t="n">
        <v>6000</v>
      </c>
      <c r="X416" s="83" t="inlineStr">
        <is>
          <t>1.1:1</t>
        </is>
      </c>
      <c r="Y416" s="714" t="n">
        <v>6000</v>
      </c>
      <c r="Z416" s="63" t="inlineStr">
        <is>
          <t xml:space="preserve">C </t>
        </is>
      </c>
      <c r="AC416" s="67" t="n"/>
      <c r="AD416" s="61" t="inlineStr"/>
      <c r="AE416" s="716" t="n"/>
      <c r="AF416" s="716" t="n"/>
      <c r="AG416" s="716" t="n"/>
      <c r="AH416" s="716" t="n"/>
      <c r="AI416" s="716" t="n"/>
      <c r="AJ416" s="716" t="n"/>
      <c r="AK416" s="717" t="inlineStr"/>
      <c r="AL416">
        <f>IF(AND(ISNUMBER($S416),$S416&gt;0,ISNUMBER($K416),ISNUMBER($J416)),($K416*$J416)/$S416,"")</f>
        <v/>
      </c>
      <c r="AM416" s="59" t="inlineStr"/>
    </row>
    <row r="417" ht="14" customHeight="1" s="518">
      <c r="A417" s="62" t="n">
        <v>7</v>
      </c>
      <c r="B417" s="93" t="n">
        <v>410</v>
      </c>
      <c r="C417" s="68" t="inlineStr">
        <is>
          <t>2011Q</t>
        </is>
      </c>
      <c r="D417" s="59" t="inlineStr">
        <is>
          <t xml:space="preserve">02281-27-013-000 </t>
        </is>
      </c>
      <c r="E417" s="72" t="inlineStr">
        <is>
          <t>Actual</t>
        </is>
      </c>
      <c r="F417" s="73" t="inlineStr">
        <is>
          <t>4400   MARIPOSA            ST</t>
        </is>
      </c>
      <c r="G417" s="67" t="n">
        <v>44.1</v>
      </c>
      <c r="H417" s="67" t="n">
        <v>9208</v>
      </c>
      <c r="I417" s="69" t="n">
        <v>0</v>
      </c>
      <c r="J417" s="714" t="n">
        <v>8142</v>
      </c>
      <c r="K417" s="715" t="n">
        <v>11.05379513633014</v>
      </c>
      <c r="L417" s="74" t="n">
        <v>0</v>
      </c>
      <c r="M417" s="76" t="n">
        <v>0.02777777777777778</v>
      </c>
      <c r="N417" s="67" t="n">
        <v>1966</v>
      </c>
      <c r="O417" s="64" t="n">
        <v>0</v>
      </c>
      <c r="P417" s="64" t="n">
        <v>6090</v>
      </c>
      <c r="Q417" s="59" t="n">
        <v>14</v>
      </c>
      <c r="R417" s="59" t="n">
        <v>3</v>
      </c>
      <c r="S417" s="59" t="n">
        <v>1</v>
      </c>
      <c r="T417" s="63" t="inlineStr">
        <is>
          <t xml:space="preserve">PRV  </t>
        </is>
      </c>
      <c r="U417" s="63" t="n">
        <v>398</v>
      </c>
      <c r="V417" s="714" t="n">
        <v>9375</v>
      </c>
      <c r="W417" s="714" t="n">
        <v>9000</v>
      </c>
      <c r="X417" s="83" t="inlineStr">
        <is>
          <t>1.2:1</t>
        </is>
      </c>
      <c r="Y417" s="714" t="n">
        <v>8000</v>
      </c>
      <c r="Z417" s="63" t="inlineStr">
        <is>
          <t xml:space="preserve">C </t>
        </is>
      </c>
      <c r="AC417" s="67" t="n"/>
      <c r="AD417" s="61" t="inlineStr"/>
      <c r="AE417" s="716" t="n"/>
      <c r="AF417" s="716" t="n"/>
      <c r="AG417" s="716" t="n"/>
      <c r="AH417" s="716" t="n"/>
      <c r="AI417" s="716" t="n"/>
      <c r="AJ417" s="716" t="n"/>
      <c r="AK417" s="717" t="inlineStr"/>
      <c r="AL417">
        <f>IF(AND(ISNUMBER($S417),$S417&gt;0,ISNUMBER($K417),ISNUMBER($J417)),($K417*$J417)/$S417,"")</f>
        <v/>
      </c>
      <c r="AM417" s="59" t="inlineStr"/>
    </row>
    <row r="418" ht="14" customHeight="1" s="518">
      <c r="A418" s="62" t="n">
        <v>7</v>
      </c>
      <c r="B418" s="93" t="n">
        <v>411</v>
      </c>
      <c r="C418" s="68" t="inlineStr">
        <is>
          <t>2011Q</t>
        </is>
      </c>
      <c r="D418" s="59" t="inlineStr">
        <is>
          <t xml:space="preserve">02283-23-024-000 </t>
        </is>
      </c>
      <c r="E418" s="72" t="inlineStr">
        <is>
          <t>Actual</t>
        </is>
      </c>
      <c r="F418" s="73" t="inlineStr">
        <is>
          <t>2226 W 29TH                AV</t>
        </is>
      </c>
      <c r="G418" s="67" t="n">
        <v>44.1</v>
      </c>
      <c r="H418" s="67" t="n">
        <v>9208</v>
      </c>
      <c r="I418" s="69" t="n">
        <v>0</v>
      </c>
      <c r="J418" s="714" t="n">
        <v>1800</v>
      </c>
      <c r="K418" s="715" t="n">
        <v>5.333333333333333</v>
      </c>
      <c r="L418" s="74" t="n">
        <v>0</v>
      </c>
      <c r="M418" s="76" t="n">
        <v>0</v>
      </c>
      <c r="N418" s="67" t="n">
        <v>1972</v>
      </c>
      <c r="O418" s="64" t="n">
        <v>2148</v>
      </c>
      <c r="Q418" s="59" t="n">
        <v>12</v>
      </c>
      <c r="R418" s="59" t="n">
        <v>7</v>
      </c>
      <c r="S418" s="59" t="n">
        <v>1</v>
      </c>
      <c r="T418" s="63" t="inlineStr">
        <is>
          <t xml:space="preserve">PRV  </t>
        </is>
      </c>
      <c r="U418" s="63" t="n">
        <v>398</v>
      </c>
      <c r="V418" s="714" t="n">
        <v>18075</v>
      </c>
      <c r="W418" s="714" t="n">
        <v>18000</v>
      </c>
      <c r="X418" s="83" t="inlineStr">
        <is>
          <t>1.7:1</t>
        </is>
      </c>
      <c r="Y418" s="714" t="n">
        <v>2000</v>
      </c>
      <c r="Z418" s="63" t="inlineStr">
        <is>
          <t xml:space="preserve">C </t>
        </is>
      </c>
      <c r="AC418" s="67" t="n"/>
      <c r="AD418" s="61" t="inlineStr"/>
      <c r="AE418" s="716" t="n"/>
      <c r="AF418" s="716" t="n"/>
      <c r="AG418" s="716" t="n"/>
      <c r="AH418" s="716" t="n"/>
      <c r="AI418" s="716" t="n"/>
      <c r="AJ418" s="716" t="n"/>
      <c r="AK418" s="717" t="inlineStr">
        <is>
          <t xml:space="preserve">1800 SF LEASED OUT OF A 10,408 SF BLDG.                           </t>
        </is>
      </c>
      <c r="AL418">
        <f>IF(AND(ISNUMBER($S418),$S418&gt;0,ISNUMBER($K418),ISNUMBER($J418)),($K418*$J418)/$S418,"")</f>
        <v/>
      </c>
      <c r="AM418" s="59" t="inlineStr"/>
    </row>
    <row r="419" ht="14" customHeight="1" s="518">
      <c r="A419" s="62" t="n">
        <v>7</v>
      </c>
      <c r="B419" s="93" t="n">
        <v>412</v>
      </c>
      <c r="C419" s="68" t="inlineStr">
        <is>
          <t>2011Q</t>
        </is>
      </c>
      <c r="D419" s="59" t="inlineStr">
        <is>
          <t xml:space="preserve">02342-28-021-000 </t>
        </is>
      </c>
      <c r="E419" s="72" t="inlineStr">
        <is>
          <t>Actual</t>
        </is>
      </c>
      <c r="F419" s="73" t="inlineStr">
        <is>
          <t>2258   CALIFORNIA          ST</t>
        </is>
      </c>
      <c r="G419" s="67" t="n">
        <v>44.1</v>
      </c>
      <c r="H419" s="67" t="n">
        <v>9202</v>
      </c>
      <c r="I419" s="69" t="n">
        <v>4</v>
      </c>
      <c r="J419" s="714" t="n">
        <v>1495</v>
      </c>
      <c r="K419" s="715" t="n">
        <v>24.08026755852843</v>
      </c>
      <c r="L419" s="74" t="n">
        <v>0</v>
      </c>
      <c r="M419" s="76" t="n">
        <v>0</v>
      </c>
      <c r="N419" s="67" t="n">
        <v>1955</v>
      </c>
      <c r="O419" s="64" t="n">
        <v>120</v>
      </c>
      <c r="Q419" s="59" t="n">
        <v>13</v>
      </c>
      <c r="R419" s="59" t="n">
        <v>1</v>
      </c>
      <c r="S419" s="59" t="n">
        <v>1</v>
      </c>
      <c r="T419" s="63" t="inlineStr">
        <is>
          <t xml:space="preserve">B8   </t>
        </is>
      </c>
      <c r="U419" s="63" t="n">
        <v>398</v>
      </c>
      <c r="V419" s="714" t="n">
        <v>6290</v>
      </c>
      <c r="W419" s="714" t="n">
        <v>6000</v>
      </c>
      <c r="X419" s="83" t="inlineStr">
        <is>
          <t>4.2:1</t>
        </is>
      </c>
      <c r="Y419" s="714" t="n">
        <v>1000</v>
      </c>
      <c r="Z419" s="63" t="inlineStr">
        <is>
          <t xml:space="preserve">C </t>
        </is>
      </c>
      <c r="AC419" s="67" t="n"/>
      <c r="AD419" s="61" t="inlineStr">
        <is>
          <t xml:space="preserve">S-W IDEAL RADIATOR  </t>
        </is>
      </c>
      <c r="AE419" s="716" t="n"/>
      <c r="AF419" s="716" t="n"/>
      <c r="AG419" s="716" t="n"/>
      <c r="AH419" s="716" t="n"/>
      <c r="AI419" s="716" t="n"/>
      <c r="AJ419" s="716" t="n"/>
      <c r="AK419" s="717" t="inlineStr">
        <is>
          <t xml:space="preserve">AGE OF LEASE UNKNOWN.                                             </t>
        </is>
      </c>
      <c r="AL419">
        <f>IF(AND(ISNUMBER($S419),$S419&gt;0,ISNUMBER($K419),ISNUMBER($J419)),($K419*$J419)/$S419,"")</f>
        <v/>
      </c>
      <c r="AM419" s="59" t="inlineStr"/>
    </row>
    <row r="420" ht="14" customHeight="1" s="518">
      <c r="A420" s="62" t="n">
        <v>7</v>
      </c>
      <c r="B420" s="93" t="n">
        <v>413</v>
      </c>
      <c r="C420" s="68" t="inlineStr">
        <is>
          <t>2011Q</t>
        </is>
      </c>
      <c r="D420" s="59" t="inlineStr">
        <is>
          <t xml:space="preserve">02342-37-017-000 </t>
        </is>
      </c>
      <c r="E420" s="72" t="inlineStr">
        <is>
          <t>Actual</t>
        </is>
      </c>
      <c r="F420" s="73" t="inlineStr">
        <is>
          <t>2040   LAWRENCE            ST</t>
        </is>
      </c>
      <c r="G420" s="708" t="n">
        <v>47.2</v>
      </c>
      <c r="H420" s="67" t="n">
        <v>9202</v>
      </c>
      <c r="I420" s="69" t="n">
        <v>7</v>
      </c>
      <c r="J420" s="714" t="n">
        <v>5000</v>
      </c>
      <c r="K420" s="715" t="n">
        <v>8.880000000000001</v>
      </c>
      <c r="L420" s="74" t="n">
        <v>0</v>
      </c>
      <c r="M420" s="76" t="n">
        <v>0.02702702702702703</v>
      </c>
      <c r="N420" s="67" t="n">
        <v>1957</v>
      </c>
      <c r="O420" s="64" t="n">
        <v>641</v>
      </c>
      <c r="Q420" s="59" t="n">
        <v>13</v>
      </c>
      <c r="R420" s="59" t="n">
        <v>3</v>
      </c>
      <c r="S420" s="59" t="n">
        <v>1</v>
      </c>
      <c r="T420" s="63" t="inlineStr">
        <is>
          <t xml:space="preserve">B8A  </t>
        </is>
      </c>
      <c r="U420" s="63" t="n">
        <v>401</v>
      </c>
      <c r="V420" s="714" t="n">
        <v>6270</v>
      </c>
      <c r="W420" s="714" t="n">
        <v>6000</v>
      </c>
      <c r="X420" s="83" t="inlineStr">
        <is>
          <t>1.3:1</t>
        </is>
      </c>
      <c r="Y420" s="714" t="n">
        <v>5000</v>
      </c>
      <c r="Z420" s="63" t="inlineStr">
        <is>
          <t xml:space="preserve">C </t>
        </is>
      </c>
      <c r="AC420" s="67" t="n"/>
      <c r="AD420" s="61" t="inlineStr">
        <is>
          <t xml:space="preserve">BUDGET BLUEPRINTS   </t>
        </is>
      </c>
      <c r="AE420" s="716" t="n"/>
      <c r="AF420" s="716" t="n"/>
      <c r="AG420" s="716" t="n"/>
      <c r="AH420" s="716" t="n"/>
      <c r="AI420" s="716" t="n"/>
      <c r="AJ420" s="716" t="n"/>
      <c r="AK420" s="717" t="inlineStr">
        <is>
          <t xml:space="preserve">2008 LEASE.                                                       </t>
        </is>
      </c>
      <c r="AL420">
        <f>IF(AND(ISNUMBER($S420),$S420&gt;0,ISNUMBER($K420),ISNUMBER($J420)),($K420*$J420)/$S420,"")</f>
        <v/>
      </c>
      <c r="AM420" s="59" t="inlineStr"/>
    </row>
    <row r="421" ht="14" customHeight="1" s="518">
      <c r="A421" s="62" t="n">
        <v>7</v>
      </c>
      <c r="B421" s="93" t="n">
        <v>414</v>
      </c>
      <c r="C421" s="68" t="inlineStr">
        <is>
          <t>2011Q</t>
        </is>
      </c>
      <c r="D421" s="59" t="inlineStr">
        <is>
          <t xml:space="preserve">02342-38-014-000 </t>
        </is>
      </c>
      <c r="E421" s="72" t="inlineStr">
        <is>
          <t>Actual</t>
        </is>
      </c>
      <c r="F421" s="73" t="inlineStr">
        <is>
          <t>2063   CURTIS              ST</t>
        </is>
      </c>
      <c r="G421" s="67" t="n">
        <v>44.1</v>
      </c>
      <c r="H421" s="67" t="n">
        <v>9202</v>
      </c>
      <c r="I421" s="69" t="n">
        <v>7</v>
      </c>
      <c r="J421" s="714" t="n">
        <v>1300</v>
      </c>
      <c r="K421" s="715" t="n">
        <v>23.07692307692308</v>
      </c>
      <c r="L421" s="74" t="n">
        <v>0</v>
      </c>
      <c r="M421" s="76" t="n">
        <v>0.03</v>
      </c>
      <c r="N421" s="67" t="n">
        <v>1937</v>
      </c>
      <c r="O421" s="64" t="n">
        <v>0</v>
      </c>
      <c r="Q421" s="59" t="n">
        <v>12</v>
      </c>
      <c r="R421" s="59" t="n">
        <v>3</v>
      </c>
      <c r="S421" s="59" t="n">
        <v>1</v>
      </c>
      <c r="T421" s="63" t="inlineStr">
        <is>
          <t xml:space="preserve">B8A  </t>
        </is>
      </c>
      <c r="U421" s="63" t="n">
        <v>398</v>
      </c>
      <c r="V421" s="714" t="n">
        <v>6260</v>
      </c>
      <c r="W421" s="714" t="n">
        <v>6000</v>
      </c>
      <c r="X421" s="83" t="inlineStr">
        <is>
          <t>3.1:1</t>
        </is>
      </c>
      <c r="Y421" s="714" t="n">
        <v>1000</v>
      </c>
      <c r="Z421" s="63" t="inlineStr">
        <is>
          <t xml:space="preserve">C </t>
        </is>
      </c>
      <c r="AC421" s="67" t="n"/>
      <c r="AD421" s="61" t="inlineStr">
        <is>
          <t xml:space="preserve">S-W                 </t>
        </is>
      </c>
      <c r="AE421" s="716" t="n"/>
      <c r="AF421" s="716" t="n"/>
      <c r="AG421" s="716" t="n"/>
      <c r="AH421" s="716" t="n"/>
      <c r="AI421" s="716" t="n"/>
      <c r="AJ421" s="716" t="n"/>
      <c r="AK421" s="717" t="inlineStr">
        <is>
          <t xml:space="preserve">LEASE COMMENCEMENT UNKNOWN.                                       </t>
        </is>
      </c>
      <c r="AL421">
        <f>IF(AND(ISNUMBER($S421),$S421&gt;0,ISNUMBER($K421),ISNUMBER($J421)),($K421*$J421)/$S421,"")</f>
        <v/>
      </c>
      <c r="AM421" s="59" t="inlineStr"/>
    </row>
    <row r="422" ht="28" customHeight="1" s="518">
      <c r="A422" s="62" t="n">
        <v>7</v>
      </c>
      <c r="B422" s="93" t="n">
        <v>415</v>
      </c>
      <c r="C422" s="68" t="inlineStr">
        <is>
          <t>2011Q</t>
        </is>
      </c>
      <c r="D422" s="59" t="inlineStr">
        <is>
          <t xml:space="preserve">05034-15-029-000 </t>
        </is>
      </c>
      <c r="E422" s="72" t="inlineStr">
        <is>
          <t>Actual</t>
        </is>
      </c>
      <c r="F422" s="73" t="inlineStr">
        <is>
          <t>1136 N SPEER               BV</t>
        </is>
      </c>
      <c r="G422" s="708" t="n">
        <v>44.2</v>
      </c>
      <c r="H422" s="67" t="n">
        <v>9503</v>
      </c>
      <c r="I422" s="69" t="n">
        <v>6</v>
      </c>
      <c r="J422" s="714" t="n">
        <v>1500</v>
      </c>
      <c r="K422" s="715" t="n">
        <v>12</v>
      </c>
      <c r="L422" s="74" t="n">
        <v>0</v>
      </c>
      <c r="M422" s="76" t="n">
        <v>0</v>
      </c>
      <c r="N422" s="67" t="n">
        <v>1947</v>
      </c>
      <c r="O422" s="64" t="n">
        <v>0</v>
      </c>
      <c r="Q422" s="59" t="n">
        <v>13</v>
      </c>
      <c r="R422" s="59" t="n">
        <v>3</v>
      </c>
      <c r="S422" s="59" t="n">
        <v>1</v>
      </c>
      <c r="T422" s="63" t="inlineStr">
        <is>
          <t xml:space="preserve">B8G  </t>
        </is>
      </c>
      <c r="U422" s="63" t="n">
        <v>398</v>
      </c>
      <c r="V422" s="714" t="n">
        <v>10315</v>
      </c>
      <c r="W422" s="714" t="n">
        <v>10000</v>
      </c>
      <c r="X422" s="83" t="inlineStr">
        <is>
          <t>1.3:1</t>
        </is>
      </c>
      <c r="Y422" s="714" t="n">
        <v>2000</v>
      </c>
      <c r="Z422" s="63" t="inlineStr">
        <is>
          <t xml:space="preserve">C </t>
        </is>
      </c>
      <c r="AC422" s="67" t="n"/>
      <c r="AD422" s="61" t="inlineStr"/>
      <c r="AE422" s="716" t="n"/>
      <c r="AF422" s="716" t="n"/>
      <c r="AG422" s="716" t="n"/>
      <c r="AH422" s="716" t="n"/>
      <c r="AI422" s="716" t="n"/>
      <c r="AJ422" s="716" t="n"/>
      <c r="AK422" s="717" t="inlineStr">
        <is>
          <t xml:space="preserve">1500 SF LEASED IN 8000 SF BLDG; LEASE COMMENCEMENT UNKNOWN        </t>
        </is>
      </c>
      <c r="AL422">
        <f>IF(AND(ISNUMBER($S422),$S422&gt;0,ISNUMBER($K422),ISNUMBER($J422)),($K422*$J422)/$S422,"")</f>
        <v/>
      </c>
      <c r="AM422" s="59" t="inlineStr"/>
    </row>
    <row r="423" ht="14" customHeight="1" s="518">
      <c r="A423" s="62" t="n">
        <v>7</v>
      </c>
      <c r="B423" s="93" t="n">
        <v>416</v>
      </c>
      <c r="C423" s="68" t="inlineStr">
        <is>
          <t>2011Q</t>
        </is>
      </c>
      <c r="D423" s="59" t="inlineStr">
        <is>
          <t xml:space="preserve">05036-13-027-000 </t>
        </is>
      </c>
      <c r="E423" s="72" t="inlineStr">
        <is>
          <t>Actual</t>
        </is>
      </c>
      <c r="F423" s="73" t="inlineStr">
        <is>
          <t>855   INCA                ST</t>
        </is>
      </c>
      <c r="G423" s="708" t="n">
        <v>44.2</v>
      </c>
      <c r="H423" s="67" t="n">
        <v>9505</v>
      </c>
      <c r="I423" s="69" t="n">
        <v>0</v>
      </c>
      <c r="J423" s="714" t="n">
        <v>8389</v>
      </c>
      <c r="K423" s="715" t="n">
        <v>11.65812373346048</v>
      </c>
      <c r="L423" s="74" t="n">
        <v>0.27</v>
      </c>
      <c r="M423" s="76" t="n">
        <v>0.1482106339468303</v>
      </c>
      <c r="N423" s="67" t="n">
        <v>1957</v>
      </c>
      <c r="O423" s="64" t="n">
        <v>1206</v>
      </c>
      <c r="Q423" s="59" t="n">
        <v>12</v>
      </c>
      <c r="R423" s="59" t="n">
        <v>3</v>
      </c>
      <c r="S423" s="59" t="n">
        <v>1</v>
      </c>
      <c r="T423" s="63" t="inlineStr">
        <is>
          <t xml:space="preserve">B4   </t>
        </is>
      </c>
      <c r="U423" s="63" t="n">
        <v>398</v>
      </c>
      <c r="V423" s="714" t="n">
        <v>10500</v>
      </c>
      <c r="W423" s="714" t="n">
        <v>11000</v>
      </c>
      <c r="X423" s="83" t="inlineStr">
        <is>
          <t>1.3:1</t>
        </is>
      </c>
      <c r="Y423" s="714" t="n">
        <v>8000</v>
      </c>
      <c r="Z423" s="63" t="inlineStr">
        <is>
          <t xml:space="preserve">C </t>
        </is>
      </c>
      <c r="AC423" s="67" t="n"/>
      <c r="AD423" s="61" t="inlineStr">
        <is>
          <t xml:space="preserve">GUARDIAN ANGELS     </t>
        </is>
      </c>
      <c r="AE423" s="716" t="n"/>
      <c r="AF423" s="716" t="n"/>
      <c r="AG423" s="716" t="n"/>
      <c r="AH423" s="716" t="n"/>
      <c r="AI423" s="716" t="n"/>
      <c r="AJ423" s="716" t="n"/>
      <c r="AK423" s="717" t="inlineStr"/>
      <c r="AL423">
        <f>IF(AND(ISNUMBER($S423),$S423&gt;0,ISNUMBER($K423),ISNUMBER($J423)),($K423*$J423)/$S423,"")</f>
        <v/>
      </c>
      <c r="AM423" s="59" t="inlineStr"/>
    </row>
    <row r="424" ht="14" customHeight="1" s="518">
      <c r="A424" s="62" t="n">
        <v>7</v>
      </c>
      <c r="B424" s="93" t="n">
        <v>417</v>
      </c>
      <c r="C424" s="68" t="inlineStr">
        <is>
          <t>2011Q</t>
        </is>
      </c>
      <c r="D424" s="59" t="inlineStr">
        <is>
          <t xml:space="preserve">05039-09-024-000 </t>
        </is>
      </c>
      <c r="E424" s="72" t="inlineStr">
        <is>
          <t>Actual</t>
        </is>
      </c>
      <c r="F424" s="73" t="inlineStr">
        <is>
          <t>390 E 7TH                 AV</t>
        </is>
      </c>
      <c r="G424" s="67" t="n">
        <v>44.1</v>
      </c>
      <c r="H424" s="67" t="n">
        <v>9502</v>
      </c>
      <c r="I424" s="69" t="n">
        <v>0</v>
      </c>
      <c r="J424" s="714" t="n">
        <v>20217</v>
      </c>
      <c r="K424" s="715" t="n">
        <v>9.899985161003116</v>
      </c>
      <c r="L424" s="74" t="n">
        <v>0</v>
      </c>
      <c r="M424" s="76" t="n">
        <v>0</v>
      </c>
      <c r="N424" s="67" t="n">
        <v>1973</v>
      </c>
      <c r="O424" s="64" t="n">
        <v>2325</v>
      </c>
      <c r="Q424" s="59" t="n">
        <v>20</v>
      </c>
      <c r="R424" s="59" t="n">
        <v>1</v>
      </c>
      <c r="S424" s="59" t="n">
        <v>1</v>
      </c>
      <c r="T424" s="63" t="inlineStr">
        <is>
          <t xml:space="preserve">B2   </t>
        </is>
      </c>
      <c r="U424" s="63" t="n">
        <v>398</v>
      </c>
      <c r="V424" s="714" t="n">
        <v>37564</v>
      </c>
      <c r="W424" s="714" t="n">
        <v>38000</v>
      </c>
      <c r="X424" s="83" t="inlineStr">
        <is>
          <t>1.9:1</t>
        </is>
      </c>
      <c r="Y424" s="714" t="n">
        <v>20000</v>
      </c>
      <c r="Z424" s="63" t="inlineStr">
        <is>
          <t xml:space="preserve">C </t>
        </is>
      </c>
      <c r="AC424" s="67" t="n"/>
      <c r="AD424" s="61" t="inlineStr"/>
      <c r="AE424" s="716" t="n"/>
      <c r="AF424" s="716" t="n"/>
      <c r="AG424" s="716" t="n"/>
      <c r="AH424" s="716" t="n"/>
      <c r="AI424" s="716" t="n"/>
      <c r="AJ424" s="716" t="n"/>
      <c r="AK424" s="717" t="inlineStr">
        <is>
          <t xml:space="preserve">2008 LEASE.                                                       </t>
        </is>
      </c>
      <c r="AL424">
        <f>IF(AND(ISNUMBER($S424),$S424&gt;0,ISNUMBER($K424),ISNUMBER($J424)),($K424*$J424)/$S424,"")</f>
        <v/>
      </c>
      <c r="AM424" s="59" t="inlineStr"/>
    </row>
    <row r="425" ht="14" customHeight="1" s="518">
      <c r="A425" s="62" t="n">
        <v>7</v>
      </c>
      <c r="B425" s="93" t="n">
        <v>418</v>
      </c>
      <c r="C425" s="68" t="inlineStr">
        <is>
          <t>2011Q</t>
        </is>
      </c>
      <c r="D425" s="59" t="inlineStr">
        <is>
          <t xml:space="preserve">05041-07-020-000 </t>
        </is>
      </c>
      <c r="E425" s="72" t="inlineStr">
        <is>
          <t>Actual</t>
        </is>
      </c>
      <c r="F425" s="73" t="inlineStr">
        <is>
          <t>1305   OSAGE               ST</t>
        </is>
      </c>
      <c r="G425" s="67" t="n">
        <v>44.1</v>
      </c>
      <c r="H425" s="67" t="n">
        <v>9505</v>
      </c>
      <c r="I425" s="69" t="n">
        <v>0</v>
      </c>
      <c r="J425" s="714" t="n">
        <v>10600</v>
      </c>
      <c r="K425" s="715" t="n">
        <v>8.490566037735849</v>
      </c>
      <c r="L425" s="74" t="n">
        <v>0</v>
      </c>
      <c r="M425" s="76" t="n">
        <v>0</v>
      </c>
      <c r="N425" s="67" t="n">
        <v>1966</v>
      </c>
      <c r="O425" s="64" t="n">
        <v>3480</v>
      </c>
      <c r="Q425" s="59" t="n">
        <v>13</v>
      </c>
      <c r="R425" s="59" t="n">
        <v>8</v>
      </c>
      <c r="S425" s="59" t="n">
        <v>1</v>
      </c>
      <c r="T425" s="63" t="inlineStr">
        <is>
          <t xml:space="preserve">I1   </t>
        </is>
      </c>
      <c r="U425" s="63" t="n">
        <v>397</v>
      </c>
      <c r="V425" s="714" t="n">
        <v>25019</v>
      </c>
      <c r="W425" s="714" t="n">
        <v>25000</v>
      </c>
      <c r="X425" s="83" t="inlineStr">
        <is>
          <t>2.4:1</t>
        </is>
      </c>
      <c r="Y425" s="714" t="n">
        <v>11000</v>
      </c>
      <c r="Z425" s="63" t="inlineStr">
        <is>
          <t xml:space="preserve">C </t>
        </is>
      </c>
      <c r="AC425" s="67" t="n"/>
      <c r="AD425" s="61" t="inlineStr">
        <is>
          <t xml:space="preserve">DIST-J-8 EQUIPMENT  </t>
        </is>
      </c>
      <c r="AE425" s="716" t="n"/>
      <c r="AF425" s="716" t="n"/>
      <c r="AG425" s="716" t="n"/>
      <c r="AH425" s="716" t="n"/>
      <c r="AI425" s="716" t="n"/>
      <c r="AJ425" s="716" t="n"/>
      <c r="AK425" s="717" t="inlineStr"/>
      <c r="AL425">
        <f>IF(AND(ISNUMBER($S425),$S425&gt;0,ISNUMBER($K425),ISNUMBER($J425)),($K425*$J425)/$S425,"")</f>
        <v/>
      </c>
      <c r="AM425" s="59" t="inlineStr"/>
    </row>
    <row r="426" ht="14" customHeight="1" s="518">
      <c r="A426" s="62" t="n">
        <v>7</v>
      </c>
      <c r="B426" s="93" t="n">
        <v>419</v>
      </c>
      <c r="C426" s="68" t="inlineStr">
        <is>
          <t>2011Q</t>
        </is>
      </c>
      <c r="D426" s="59" t="inlineStr">
        <is>
          <t xml:space="preserve">05041-13-038-000 </t>
        </is>
      </c>
      <c r="E426" s="72" t="inlineStr">
        <is>
          <t>Actual</t>
        </is>
      </c>
      <c r="F426" s="73" t="inlineStr">
        <is>
          <t>1247   SANTA FE            DR</t>
        </is>
      </c>
      <c r="G426" s="67" t="n">
        <v>44.1</v>
      </c>
      <c r="H426" s="67" t="n">
        <v>9505</v>
      </c>
      <c r="I426" s="69" t="n">
        <v>3</v>
      </c>
      <c r="J426" s="714" t="n">
        <v>25080</v>
      </c>
      <c r="K426" s="715" t="n">
        <v>4.784688995215311</v>
      </c>
      <c r="L426" s="74" t="n">
        <v>0</v>
      </c>
      <c r="M426" s="76" t="n">
        <v>0</v>
      </c>
      <c r="N426" s="67" t="n">
        <v>1976</v>
      </c>
      <c r="O426" s="64" t="n">
        <v>0</v>
      </c>
      <c r="Q426" s="59" t="n">
        <v>13</v>
      </c>
      <c r="R426" s="59" t="n">
        <v>4</v>
      </c>
      <c r="S426" s="59" t="n">
        <v>1</v>
      </c>
      <c r="T426" s="63" t="inlineStr">
        <is>
          <t xml:space="preserve">B8   </t>
        </is>
      </c>
      <c r="U426" s="63" t="n">
        <v>398</v>
      </c>
      <c r="V426" s="714" t="n">
        <v>32900</v>
      </c>
      <c r="W426" s="714" t="n">
        <v>33000</v>
      </c>
      <c r="X426" s="83" t="inlineStr">
        <is>
          <t>1.3:1</t>
        </is>
      </c>
      <c r="Y426" s="714" t="n">
        <v>25000</v>
      </c>
      <c r="Z426" s="63" t="inlineStr">
        <is>
          <t xml:space="preserve">C </t>
        </is>
      </c>
      <c r="AC426" s="67" t="n"/>
      <c r="AD426" s="61" t="inlineStr">
        <is>
          <t xml:space="preserve">CIES SEXTON PHOTO   </t>
        </is>
      </c>
      <c r="AE426" s="716" t="n"/>
      <c r="AF426" s="716" t="n"/>
      <c r="AG426" s="716" t="n"/>
      <c r="AH426" s="716" t="n"/>
      <c r="AI426" s="716" t="n"/>
      <c r="AJ426" s="716" t="n"/>
      <c r="AK426" s="717" t="inlineStr">
        <is>
          <t xml:space="preserve">MO-TO-MO.                                                         </t>
        </is>
      </c>
      <c r="AL426">
        <f>IF(AND(ISNUMBER($S426),$S426&gt;0,ISNUMBER($K426),ISNUMBER($J426)),($K426*$J426)/$S426,"")</f>
        <v/>
      </c>
      <c r="AM426" s="59" t="inlineStr"/>
    </row>
    <row r="427" ht="14" customHeight="1" s="518">
      <c r="A427" s="62" t="n">
        <v>7</v>
      </c>
      <c r="B427" s="93" t="n">
        <v>420</v>
      </c>
      <c r="C427" s="68" t="inlineStr">
        <is>
          <t>2011Q</t>
        </is>
      </c>
      <c r="D427" s="59" t="inlineStr">
        <is>
          <t xml:space="preserve">05042-01-047-000 </t>
        </is>
      </c>
      <c r="E427" s="72" t="inlineStr">
        <is>
          <t>Actual</t>
        </is>
      </c>
      <c r="F427" s="73" t="inlineStr">
        <is>
          <t>1801 W COLFAX              AV</t>
        </is>
      </c>
      <c r="G427" s="67" t="n">
        <v>44.1</v>
      </c>
      <c r="H427" s="67" t="n">
        <v>9505</v>
      </c>
      <c r="I427" s="69" t="n">
        <v>0</v>
      </c>
      <c r="J427" s="714" t="n">
        <v>3300</v>
      </c>
      <c r="K427" s="715" t="n">
        <v>5.454545454545454</v>
      </c>
      <c r="L427" s="74" t="n">
        <v>0</v>
      </c>
      <c r="M427" s="76" t="n">
        <v>0.1928888888888889</v>
      </c>
      <c r="N427" s="67" t="n">
        <v>1953</v>
      </c>
      <c r="O427" s="64" t="n">
        <v>325</v>
      </c>
      <c r="Q427" s="59" t="n">
        <v>13</v>
      </c>
      <c r="R427" s="59" t="n">
        <v>6</v>
      </c>
      <c r="S427" s="59" t="n">
        <v>1</v>
      </c>
      <c r="T427" s="63" t="inlineStr">
        <is>
          <t xml:space="preserve">I2   </t>
        </is>
      </c>
      <c r="U427" s="63" t="n">
        <v>398</v>
      </c>
      <c r="V427" s="714" t="n">
        <v>25929</v>
      </c>
      <c r="W427" s="714" t="n">
        <v>26000</v>
      </c>
      <c r="X427" s="83" t="inlineStr">
        <is>
          <t>5.1:1</t>
        </is>
      </c>
      <c r="Y427" s="714" t="n">
        <v>3000</v>
      </c>
      <c r="Z427" s="63" t="inlineStr">
        <is>
          <t xml:space="preserve">C </t>
        </is>
      </c>
      <c r="AC427" s="67" t="n"/>
      <c r="AD427" s="61" t="inlineStr"/>
      <c r="AE427" s="716" t="n"/>
      <c r="AF427" s="716" t="n"/>
      <c r="AG427" s="716" t="n"/>
      <c r="AH427" s="716" t="n"/>
      <c r="AI427" s="716" t="n"/>
      <c r="AJ427" s="716" t="n"/>
      <c r="AK427" s="717" t="inlineStr"/>
      <c r="AL427">
        <f>IF(AND(ISNUMBER($S427),$S427&gt;0,ISNUMBER($K427),ISNUMBER($J427)),($K427*$J427)/$S427,"")</f>
        <v/>
      </c>
      <c r="AM427" s="59" t="inlineStr"/>
    </row>
    <row r="428" ht="14" customHeight="1" s="518">
      <c r="A428" s="62" t="n">
        <v>7</v>
      </c>
      <c r="B428" s="93" t="n">
        <v>421</v>
      </c>
      <c r="C428" s="68" t="inlineStr">
        <is>
          <t>2011Q</t>
        </is>
      </c>
      <c r="D428" s="59" t="inlineStr">
        <is>
          <t xml:space="preserve">05042-10-047-000 </t>
        </is>
      </c>
      <c r="E428" s="72" t="inlineStr">
        <is>
          <t>Actual</t>
        </is>
      </c>
      <c r="F428" s="73" t="inlineStr">
        <is>
          <t>1950 W 14TH                AV</t>
        </is>
      </c>
      <c r="G428" s="708" t="n">
        <v>47.1</v>
      </c>
      <c r="H428" s="67" t="n">
        <v>9505</v>
      </c>
      <c r="I428" s="69" t="n">
        <v>0</v>
      </c>
      <c r="J428" s="714" t="n">
        <v>4848</v>
      </c>
      <c r="K428" s="715" t="n">
        <v>9.900990099009901</v>
      </c>
      <c r="L428" s="74" t="n">
        <v>0</v>
      </c>
      <c r="M428" s="76" t="n">
        <v>0</v>
      </c>
      <c r="N428" s="67" t="n">
        <v>1960</v>
      </c>
      <c r="O428" s="64" t="n">
        <v>1596</v>
      </c>
      <c r="Q428" s="59" t="n">
        <v>15</v>
      </c>
      <c r="R428" s="59" t="n">
        <v>3</v>
      </c>
      <c r="S428" s="59" t="n">
        <v>1</v>
      </c>
      <c r="T428" s="63" t="inlineStr">
        <is>
          <t xml:space="preserve">PRV  </t>
        </is>
      </c>
      <c r="U428" s="63" t="n">
        <v>401</v>
      </c>
      <c r="V428" s="714" t="n">
        <v>9940</v>
      </c>
      <c r="W428" s="714" t="n">
        <v>10000</v>
      </c>
      <c r="X428" s="83" t="inlineStr">
        <is>
          <t>2.1:1</t>
        </is>
      </c>
      <c r="Y428" s="714" t="n">
        <v>5000</v>
      </c>
      <c r="Z428" s="63" t="inlineStr">
        <is>
          <t xml:space="preserve">C </t>
        </is>
      </c>
      <c r="AC428" s="67" t="n"/>
      <c r="AD428" s="61" t="inlineStr">
        <is>
          <t xml:space="preserve">SIEGEL OIL          </t>
        </is>
      </c>
      <c r="AE428" s="716" t="n"/>
      <c r="AF428" s="716" t="n"/>
      <c r="AG428" s="716" t="n"/>
      <c r="AH428" s="716" t="n"/>
      <c r="AI428" s="716" t="n"/>
      <c r="AJ428" s="716" t="n"/>
      <c r="AK428" s="717" t="inlineStr">
        <is>
          <t xml:space="preserve">2008 &amp; 2010 LEASES - MAJOR PORTION IN 2008.                       </t>
        </is>
      </c>
      <c r="AL428">
        <f>IF(AND(ISNUMBER($S428),$S428&gt;0,ISNUMBER($K428),ISNUMBER($J428)),($K428*$J428)/$S428,"")</f>
        <v/>
      </c>
      <c r="AM428" s="59" t="inlineStr"/>
    </row>
    <row r="429" ht="14" customHeight="1" s="518">
      <c r="A429" s="62" t="n">
        <v>7</v>
      </c>
      <c r="B429" s="93" t="n">
        <v>422</v>
      </c>
      <c r="C429" s="68" t="inlineStr">
        <is>
          <t>2011Q</t>
        </is>
      </c>
      <c r="D429" s="59" t="inlineStr">
        <is>
          <t xml:space="preserve">05042-14-011-000 </t>
        </is>
      </c>
      <c r="E429" s="72" t="inlineStr">
        <is>
          <t>Actual</t>
        </is>
      </c>
      <c r="F429" s="73" t="inlineStr">
        <is>
          <t>1945 W 13TH                AV</t>
        </is>
      </c>
      <c r="G429" s="708" t="n">
        <v>44.2</v>
      </c>
      <c r="H429" s="67" t="n">
        <v>9505</v>
      </c>
      <c r="I429" s="69" t="n">
        <v>0</v>
      </c>
      <c r="J429" s="714" t="n">
        <v>32231</v>
      </c>
      <c r="K429" s="715" t="n">
        <v>5.45288697216965</v>
      </c>
      <c r="L429" s="74" t="n">
        <v>0</v>
      </c>
      <c r="M429" s="76" t="n">
        <v>0.05248304428968091</v>
      </c>
      <c r="N429" s="67" t="n">
        <v>1972</v>
      </c>
      <c r="O429" s="64" t="n">
        <v>5413</v>
      </c>
      <c r="Q429" s="59" t="n">
        <v>24</v>
      </c>
      <c r="R429" s="59" t="n">
        <v>14</v>
      </c>
      <c r="S429" s="59" t="n">
        <v>3</v>
      </c>
      <c r="T429" s="63" t="inlineStr">
        <is>
          <t xml:space="preserve">I2   </t>
        </is>
      </c>
      <c r="U429" s="63" t="n">
        <v>398</v>
      </c>
      <c r="V429" s="714" t="n">
        <v>53550</v>
      </c>
      <c r="W429" s="714" t="n">
        <v>54000</v>
      </c>
      <c r="X429" s="83" t="inlineStr">
        <is>
          <t>1.7:1</t>
        </is>
      </c>
      <c r="Y429" s="714" t="n">
        <v>32000</v>
      </c>
      <c r="Z429" s="63" t="inlineStr">
        <is>
          <t xml:space="preserve">C </t>
        </is>
      </c>
      <c r="AC429" s="67" t="n"/>
      <c r="AD429" s="61" t="inlineStr"/>
      <c r="AE429" s="716" t="n"/>
      <c r="AF429" s="716" t="n"/>
      <c r="AG429" s="716" t="n"/>
      <c r="AH429" s="716" t="n"/>
      <c r="AI429" s="716" t="n"/>
      <c r="AJ429" s="716" t="n"/>
      <c r="AK429" s="717" t="inlineStr">
        <is>
          <t xml:space="preserve">LEASE COMMENCEMENT UNKNOWN.                                       </t>
        </is>
      </c>
      <c r="AL429">
        <f>IF(AND(ISNUMBER($S429),$S429&gt;0,ISNUMBER($K429),ISNUMBER($J429)),($K429*$J429)/$S429,"")</f>
        <v/>
      </c>
      <c r="AM429" s="59" t="inlineStr"/>
    </row>
    <row r="430" ht="14" customHeight="1" s="518">
      <c r="A430" s="62" t="n">
        <v>7</v>
      </c>
      <c r="B430" s="93" t="n">
        <v>423</v>
      </c>
      <c r="C430" s="68" t="inlineStr">
        <is>
          <t>2011Q</t>
        </is>
      </c>
      <c r="D430" s="59" t="inlineStr">
        <is>
          <t xml:space="preserve">05042-18-014-000 </t>
        </is>
      </c>
      <c r="E430" s="72" t="inlineStr">
        <is>
          <t>Actual</t>
        </is>
      </c>
      <c r="F430" s="73" t="inlineStr">
        <is>
          <t>1201   PECOS               ST</t>
        </is>
      </c>
      <c r="G430" s="708" t="n">
        <v>47.1</v>
      </c>
      <c r="H430" s="67" t="n">
        <v>9505</v>
      </c>
      <c r="I430" s="69" t="n">
        <v>0</v>
      </c>
      <c r="J430" s="714" t="n">
        <v>5328</v>
      </c>
      <c r="K430" s="715" t="n">
        <v>3.378378378378379</v>
      </c>
      <c r="L430" s="74" t="n">
        <v>0</v>
      </c>
      <c r="M430" s="76" t="n">
        <v>0</v>
      </c>
      <c r="N430" s="67" t="n">
        <v>1952</v>
      </c>
      <c r="O430" s="64" t="n">
        <v>0</v>
      </c>
      <c r="Q430" s="59" t="n">
        <v>12</v>
      </c>
      <c r="R430" s="59" t="n">
        <v>1</v>
      </c>
      <c r="S430" s="59" t="n">
        <v>1</v>
      </c>
      <c r="T430" s="63" t="inlineStr">
        <is>
          <t xml:space="preserve">I2   </t>
        </is>
      </c>
      <c r="U430" s="63" t="n">
        <v>401</v>
      </c>
      <c r="V430" s="714" t="n">
        <v>10845</v>
      </c>
      <c r="W430" s="714" t="n">
        <v>11000</v>
      </c>
      <c r="X430" s="83" t="inlineStr">
        <is>
          <t>2.0:1</t>
        </is>
      </c>
      <c r="Y430" s="714" t="n">
        <v>5000</v>
      </c>
      <c r="Z430" s="63" t="inlineStr">
        <is>
          <t xml:space="preserve">C </t>
        </is>
      </c>
      <c r="AC430" s="67" t="n"/>
      <c r="AD430" s="61" t="inlineStr"/>
      <c r="AE430" s="716" t="n"/>
      <c r="AF430" s="716" t="n"/>
      <c r="AG430" s="716" t="n"/>
      <c r="AH430" s="716" t="n"/>
      <c r="AI430" s="716" t="n"/>
      <c r="AJ430" s="716" t="n"/>
      <c r="AK430" s="717" t="inlineStr">
        <is>
          <t xml:space="preserve">MO-TO-MO, COMMENCEMENT DATE UNKNOWN.                              </t>
        </is>
      </c>
      <c r="AL430">
        <f>IF(AND(ISNUMBER($S430),$S430&gt;0,ISNUMBER($K430),ISNUMBER($J430)),($K430*$J430)/$S430,"")</f>
        <v/>
      </c>
      <c r="AM430" s="59" t="inlineStr"/>
    </row>
    <row r="431" ht="14" customHeight="1" s="518">
      <c r="A431" s="62" t="n">
        <v>7</v>
      </c>
      <c r="B431" s="93" t="n">
        <v>424</v>
      </c>
      <c r="C431" s="68" t="inlineStr">
        <is>
          <t>2011Q</t>
        </is>
      </c>
      <c r="D431" s="59" t="inlineStr">
        <is>
          <t xml:space="preserve">05043-31-018-000 </t>
        </is>
      </c>
      <c r="E431" s="72" t="inlineStr">
        <is>
          <t>Actual</t>
        </is>
      </c>
      <c r="F431" s="73" t="inlineStr">
        <is>
          <t>2050 W BARBERRY            PL</t>
        </is>
      </c>
      <c r="G431" s="67" t="n">
        <v>44.1</v>
      </c>
      <c r="H431" s="67" t="n">
        <v>9505</v>
      </c>
      <c r="I431" s="69" t="n">
        <v>0</v>
      </c>
      <c r="J431" s="714" t="n">
        <v>7350</v>
      </c>
      <c r="K431" s="715" t="n">
        <v>11.42857142857143</v>
      </c>
      <c r="L431" s="74" t="n">
        <v>0</v>
      </c>
      <c r="M431" s="76" t="n">
        <v>0</v>
      </c>
      <c r="N431" s="67" t="n">
        <v>1973</v>
      </c>
      <c r="O431" s="64" t="n">
        <v>1898</v>
      </c>
      <c r="Q431" s="59" t="n">
        <v>20</v>
      </c>
      <c r="R431" s="59" t="n">
        <v>3</v>
      </c>
      <c r="S431" s="59" t="n">
        <v>1</v>
      </c>
      <c r="T431" s="63" t="inlineStr">
        <is>
          <t xml:space="preserve">I2   </t>
        </is>
      </c>
      <c r="U431" s="63" t="n">
        <v>398</v>
      </c>
      <c r="V431" s="714" t="n">
        <v>12000</v>
      </c>
      <c r="W431" s="714" t="n">
        <v>12000</v>
      </c>
      <c r="X431" s="83" t="inlineStr">
        <is>
          <t>1.6:1</t>
        </is>
      </c>
      <c r="Y431" s="714" t="n">
        <v>7000</v>
      </c>
      <c r="Z431" s="63" t="inlineStr">
        <is>
          <t xml:space="preserve">C </t>
        </is>
      </c>
      <c r="AC431" s="67" t="n"/>
      <c r="AD431" s="61" t="inlineStr"/>
      <c r="AE431" s="716" t="n"/>
      <c r="AF431" s="716" t="n"/>
      <c r="AG431" s="716" t="n"/>
      <c r="AH431" s="716" t="n"/>
      <c r="AI431" s="716" t="n"/>
      <c r="AJ431" s="716" t="n"/>
      <c r="AK431" s="717" t="inlineStr"/>
      <c r="AL431">
        <f>IF(AND(ISNUMBER($S431),$S431&gt;0,ISNUMBER($K431),ISNUMBER($J431)),($K431*$J431)/$S431,"")</f>
        <v/>
      </c>
      <c r="AM431" s="59" t="inlineStr"/>
    </row>
    <row r="432" ht="14" customHeight="1" s="518">
      <c r="A432" s="62" t="n">
        <v>7</v>
      </c>
      <c r="B432" s="93" t="n">
        <v>425</v>
      </c>
      <c r="C432" s="68" t="inlineStr">
        <is>
          <t>2011Q</t>
        </is>
      </c>
      <c r="D432" s="59" t="inlineStr">
        <is>
          <t xml:space="preserve">05043-38-001-000 </t>
        </is>
      </c>
      <c r="E432" s="72" t="inlineStr">
        <is>
          <t>Actual</t>
        </is>
      </c>
      <c r="F432" s="73" t="inlineStr">
        <is>
          <t>951   VALLEJO             ST</t>
        </is>
      </c>
      <c r="G432" s="67" t="n">
        <v>44.1</v>
      </c>
      <c r="H432" s="67" t="n">
        <v>9505</v>
      </c>
      <c r="I432" s="69" t="n">
        <v>0</v>
      </c>
      <c r="J432" s="714" t="n">
        <v>6035</v>
      </c>
      <c r="K432" s="715" t="n">
        <v>7.953603976801989</v>
      </c>
      <c r="L432" s="74" t="n">
        <v>0</v>
      </c>
      <c r="M432" s="76" t="n">
        <v>0.08358333333333333</v>
      </c>
      <c r="N432" s="67" t="n">
        <v>1963</v>
      </c>
      <c r="O432" s="64" t="n">
        <v>3240</v>
      </c>
      <c r="Q432" s="59" t="n">
        <v>14</v>
      </c>
      <c r="R432" s="59" t="n">
        <v>1</v>
      </c>
      <c r="S432" s="59" t="n">
        <v>2</v>
      </c>
      <c r="T432" s="63" t="inlineStr">
        <is>
          <t xml:space="preserve">I2   </t>
        </is>
      </c>
      <c r="U432" s="63" t="n">
        <v>398</v>
      </c>
      <c r="V432" s="714" t="n">
        <v>13219</v>
      </c>
      <c r="W432" s="714" t="n">
        <v>13000</v>
      </c>
      <c r="X432" s="83" t="inlineStr">
        <is>
          <t>2.2:1</t>
        </is>
      </c>
      <c r="Y432" s="714" t="n">
        <v>6000</v>
      </c>
      <c r="Z432" s="63" t="inlineStr">
        <is>
          <t xml:space="preserve">C </t>
        </is>
      </c>
      <c r="AC432" s="67" t="n"/>
      <c r="AD432" s="61" t="inlineStr"/>
      <c r="AE432" s="716" t="n"/>
      <c r="AF432" s="716" t="n"/>
      <c r="AG432" s="716" t="n"/>
      <c r="AH432" s="716" t="n"/>
      <c r="AI432" s="716" t="n"/>
      <c r="AJ432" s="716" t="n"/>
      <c r="AK432" s="717" t="inlineStr"/>
      <c r="AL432">
        <f>IF(AND(ISNUMBER($S432),$S432&gt;0,ISNUMBER($K432),ISNUMBER($J432)),($K432*$J432)/$S432,"")</f>
        <v/>
      </c>
      <c r="AM432" s="59" t="inlineStr"/>
    </row>
    <row r="433" ht="14" customHeight="1" s="518">
      <c r="A433" s="62" t="n">
        <v>7</v>
      </c>
      <c r="B433" s="93" t="n">
        <v>426</v>
      </c>
      <c r="C433" s="68" t="inlineStr">
        <is>
          <t>2011Q</t>
        </is>
      </c>
      <c r="D433" s="59" t="inlineStr">
        <is>
          <t xml:space="preserve">05043-38-006-000 </t>
        </is>
      </c>
      <c r="E433" s="72" t="inlineStr">
        <is>
          <t>Actual</t>
        </is>
      </c>
      <c r="F433" s="73" t="inlineStr">
        <is>
          <t>2191 W 10TH                AV</t>
        </is>
      </c>
      <c r="G433" s="67" t="n">
        <v>44.1</v>
      </c>
      <c r="H433" s="67" t="n">
        <v>9505</v>
      </c>
      <c r="I433" s="69" t="n">
        <v>0</v>
      </c>
      <c r="J433" s="714" t="n">
        <v>6792</v>
      </c>
      <c r="K433" s="715" t="n">
        <v>5.658421672555948</v>
      </c>
      <c r="L433" s="74" t="n">
        <v>0</v>
      </c>
      <c r="M433" s="76" t="n">
        <v>0.04423397169025812</v>
      </c>
      <c r="N433" s="67" t="n">
        <v>1964</v>
      </c>
      <c r="O433" s="64" t="n">
        <v>2199</v>
      </c>
      <c r="Q433" s="59" t="n">
        <v>14</v>
      </c>
      <c r="R433" s="59" t="n">
        <v>1</v>
      </c>
      <c r="S433" s="59" t="n">
        <v>1</v>
      </c>
      <c r="T433" s="63" t="inlineStr">
        <is>
          <t xml:space="preserve">I2   </t>
        </is>
      </c>
      <c r="U433" s="63" t="n">
        <v>398</v>
      </c>
      <c r="V433" s="714" t="n">
        <v>17819</v>
      </c>
      <c r="W433" s="714" t="n">
        <v>18000</v>
      </c>
      <c r="X433" s="83" t="inlineStr">
        <is>
          <t>2.6:1</t>
        </is>
      </c>
      <c r="Y433" s="714" t="n">
        <v>7000</v>
      </c>
      <c r="Z433" s="63" t="inlineStr">
        <is>
          <t xml:space="preserve">C </t>
        </is>
      </c>
      <c r="AC433" s="67" t="n"/>
      <c r="AD433" s="61" t="inlineStr">
        <is>
          <t xml:space="preserve">ELECTRI-SERVE       </t>
        </is>
      </c>
      <c r="AE433" s="716" t="n"/>
      <c r="AF433" s="716" t="n"/>
      <c r="AG433" s="716" t="n"/>
      <c r="AH433" s="716" t="n"/>
      <c r="AI433" s="716" t="n"/>
      <c r="AJ433" s="716" t="n"/>
      <c r="AK433" s="717" t="inlineStr"/>
      <c r="AL433">
        <f>IF(AND(ISNUMBER($S433),$S433&gt;0,ISNUMBER($K433),ISNUMBER($J433)),($K433*$J433)/$S433,"")</f>
        <v/>
      </c>
      <c r="AM433" s="59" t="inlineStr"/>
    </row>
    <row r="434" ht="14" customHeight="1" s="518">
      <c r="A434" s="62" t="n">
        <v>7</v>
      </c>
      <c r="B434" s="93" t="n">
        <v>427</v>
      </c>
      <c r="C434" s="68" t="inlineStr">
        <is>
          <t>2011Q</t>
        </is>
      </c>
      <c r="D434" s="59" t="inlineStr">
        <is>
          <t xml:space="preserve">05044-17-007-000 </t>
        </is>
      </c>
      <c r="E434" s="72" t="inlineStr">
        <is>
          <t>Actual</t>
        </is>
      </c>
      <c r="F434" s="73" t="inlineStr">
        <is>
          <t>845   NAVAJO              ST</t>
        </is>
      </c>
      <c r="G434" s="67" t="n">
        <v>44.1</v>
      </c>
      <c r="H434" s="67" t="n">
        <v>9505</v>
      </c>
      <c r="I434" s="69" t="n">
        <v>0</v>
      </c>
      <c r="J434" s="714" t="n">
        <v>5580</v>
      </c>
      <c r="K434" s="715" t="n">
        <v>11.82795698924731</v>
      </c>
      <c r="L434" s="74" t="n">
        <v>0</v>
      </c>
      <c r="M434" s="76" t="n">
        <v>0</v>
      </c>
      <c r="N434" s="67" t="n">
        <v>1965</v>
      </c>
      <c r="O434" s="64" t="n">
        <v>2737</v>
      </c>
      <c r="Q434" s="59" t="n">
        <v>15</v>
      </c>
      <c r="R434" s="59" t="n">
        <v>3</v>
      </c>
      <c r="S434" s="59" t="n">
        <v>1</v>
      </c>
      <c r="T434" s="63" t="inlineStr">
        <is>
          <t xml:space="preserve">I1   </t>
        </is>
      </c>
      <c r="U434" s="63" t="n">
        <v>398</v>
      </c>
      <c r="V434" s="714" t="n">
        <v>8800</v>
      </c>
      <c r="W434" s="714" t="n">
        <v>9000</v>
      </c>
      <c r="X434" s="83" t="inlineStr">
        <is>
          <t>1.6:1</t>
        </is>
      </c>
      <c r="Y434" s="714" t="n">
        <v>6000</v>
      </c>
      <c r="Z434" s="63" t="inlineStr">
        <is>
          <t xml:space="preserve">C </t>
        </is>
      </c>
      <c r="AC434" s="67" t="n"/>
      <c r="AD434" s="61" t="inlineStr"/>
      <c r="AE434" s="716" t="n"/>
      <c r="AF434" s="716" t="n"/>
      <c r="AG434" s="716" t="n"/>
      <c r="AH434" s="716" t="n"/>
      <c r="AI434" s="716" t="n"/>
      <c r="AJ434" s="716" t="n"/>
      <c r="AK434" s="717" t="inlineStr"/>
      <c r="AL434">
        <f>IF(AND(ISNUMBER($S434),$S434&gt;0,ISNUMBER($K434),ISNUMBER($J434)),($K434*$J434)/$S434,"")</f>
        <v/>
      </c>
      <c r="AM434" s="59" t="inlineStr"/>
    </row>
    <row r="435" ht="14" customHeight="1" s="518">
      <c r="A435" s="62" t="n">
        <v>7</v>
      </c>
      <c r="B435" s="93" t="n">
        <v>428</v>
      </c>
      <c r="C435" s="68" t="inlineStr">
        <is>
          <t>2011Q</t>
        </is>
      </c>
      <c r="D435" s="59" t="inlineStr">
        <is>
          <t xml:space="preserve">05052-19-002-000 </t>
        </is>
      </c>
      <c r="E435" s="72" t="inlineStr">
        <is>
          <t>Actual</t>
        </is>
      </c>
      <c r="F435" s="73" t="inlineStr">
        <is>
          <t>3101 W 14TH                AV</t>
        </is>
      </c>
      <c r="G435" s="67" t="n">
        <v>44.1</v>
      </c>
      <c r="H435" s="67" t="n">
        <v>9508</v>
      </c>
      <c r="I435" s="69" t="n">
        <v>0</v>
      </c>
      <c r="J435" s="714" t="n">
        <v>5000</v>
      </c>
      <c r="K435" s="715" t="n">
        <v>5.475</v>
      </c>
      <c r="L435" s="74" t="n">
        <v>0</v>
      </c>
      <c r="M435" s="76" t="n">
        <v>0</v>
      </c>
      <c r="N435" s="67" t="n">
        <v>1972</v>
      </c>
      <c r="O435" s="64" t="n">
        <v>1600</v>
      </c>
      <c r="Q435" s="59" t="n">
        <v>11</v>
      </c>
      <c r="R435" s="59" t="n">
        <v>8</v>
      </c>
      <c r="S435" s="59" t="n">
        <v>1</v>
      </c>
      <c r="T435" s="63" t="inlineStr">
        <is>
          <t xml:space="preserve">B4   </t>
        </is>
      </c>
      <c r="U435" s="63" t="n">
        <v>398</v>
      </c>
      <c r="V435" s="714" t="n">
        <v>17464</v>
      </c>
      <c r="W435" s="714" t="n">
        <v>17000</v>
      </c>
      <c r="X435" s="83" t="inlineStr">
        <is>
          <t>3.5:1</t>
        </is>
      </c>
      <c r="Y435" s="714" t="n">
        <v>5000</v>
      </c>
      <c r="Z435" s="63" t="inlineStr">
        <is>
          <t xml:space="preserve">C </t>
        </is>
      </c>
      <c r="AC435" s="67" t="n"/>
      <c r="AD435" s="61" t="inlineStr">
        <is>
          <t xml:space="preserve">MENTAL HEALTH SERV  </t>
        </is>
      </c>
      <c r="AE435" s="716" t="n"/>
      <c r="AF435" s="716" t="n"/>
      <c r="AG435" s="716" t="n"/>
      <c r="AH435" s="716" t="n"/>
      <c r="AI435" s="716" t="n"/>
      <c r="AJ435" s="716" t="n"/>
      <c r="AK435" s="717" t="inlineStr">
        <is>
          <t xml:space="preserve">DATE OF LEASE COMMENCEMENT UNKNOWN.                               </t>
        </is>
      </c>
      <c r="AL435">
        <f>IF(AND(ISNUMBER($S435),$S435&gt;0,ISNUMBER($K435),ISNUMBER($J435)),($K435*$J435)/$S435,"")</f>
        <v/>
      </c>
      <c r="AM435" s="59" t="inlineStr"/>
    </row>
    <row r="436" ht="28" customHeight="1" s="518">
      <c r="A436" s="62" t="n">
        <v>7</v>
      </c>
      <c r="B436" s="93" t="n">
        <v>429</v>
      </c>
      <c r="C436" s="68" t="inlineStr">
        <is>
          <t>2011Q</t>
        </is>
      </c>
      <c r="D436" s="59" t="inlineStr">
        <is>
          <t xml:space="preserve">05053-17-030-000 </t>
        </is>
      </c>
      <c r="E436" s="72" t="inlineStr">
        <is>
          <t>Actual</t>
        </is>
      </c>
      <c r="F436" s="73" t="inlineStr">
        <is>
          <t>947   FEDERAL             BV</t>
        </is>
      </c>
      <c r="G436" s="67" t="n">
        <v>44.1</v>
      </c>
      <c r="H436" s="67" t="n">
        <v>9508</v>
      </c>
      <c r="I436" s="69" t="n">
        <v>6</v>
      </c>
      <c r="J436" s="714" t="n">
        <v>4800</v>
      </c>
      <c r="K436" s="715" t="n">
        <v>7</v>
      </c>
      <c r="L436" s="74" t="n">
        <v>0</v>
      </c>
      <c r="M436" s="76" t="n">
        <v>0.09910714285714285</v>
      </c>
      <c r="N436" s="67" t="n">
        <v>1985</v>
      </c>
      <c r="O436" s="64" t="n">
        <v>2850</v>
      </c>
      <c r="Q436" s="59" t="n">
        <v>13</v>
      </c>
      <c r="R436" s="59" t="n">
        <v>3</v>
      </c>
      <c r="S436" s="59" t="n">
        <v>1</v>
      </c>
      <c r="T436" s="63" t="inlineStr">
        <is>
          <t xml:space="preserve">B4   </t>
        </is>
      </c>
      <c r="U436" s="63" t="n">
        <v>398</v>
      </c>
      <c r="V436" s="714" t="n">
        <v>12500</v>
      </c>
      <c r="W436" s="714" t="n">
        <v>13000</v>
      </c>
      <c r="X436" s="83" t="inlineStr">
        <is>
          <t>2.6:1</t>
        </is>
      </c>
      <c r="Y436" s="714" t="n">
        <v>5000</v>
      </c>
      <c r="Z436" s="63" t="inlineStr">
        <is>
          <t xml:space="preserve">C </t>
        </is>
      </c>
      <c r="AC436" s="67" t="n"/>
      <c r="AD436" s="61" t="inlineStr">
        <is>
          <t xml:space="preserve">S-O TELEVUE TV/VCR  </t>
        </is>
      </c>
      <c r="AE436" s="716" t="n"/>
      <c r="AF436" s="716" t="n"/>
      <c r="AG436" s="716" t="n"/>
      <c r="AH436" s="716" t="n"/>
      <c r="AI436" s="716" t="n"/>
      <c r="AJ436" s="716" t="n"/>
      <c r="AK436" s="717" t="inlineStr">
        <is>
          <t xml:space="preserve">MO-TO-MO LEASE; COMMENCEMENT DATA UNKNOWN.                        </t>
        </is>
      </c>
      <c r="AL436">
        <f>IF(AND(ISNUMBER($S436),$S436&gt;0,ISNUMBER($K436),ISNUMBER($J436)),($K436*$J436)/$S436,"")</f>
        <v/>
      </c>
      <c r="AM436" s="59" t="inlineStr"/>
    </row>
    <row r="437" ht="14" customHeight="1" s="518">
      <c r="A437" s="62" t="n">
        <v>7</v>
      </c>
      <c r="B437" s="93" t="n">
        <v>430</v>
      </c>
      <c r="C437" s="68" t="inlineStr">
        <is>
          <t>2011Q</t>
        </is>
      </c>
      <c r="D437" s="59" t="inlineStr">
        <is>
          <t xml:space="preserve">05054-21-033-000 </t>
        </is>
      </c>
      <c r="E437" s="72" t="inlineStr">
        <is>
          <t>Actual</t>
        </is>
      </c>
      <c r="F437" s="73" t="inlineStr">
        <is>
          <t>2727 W BARBERRY            PL</t>
        </is>
      </c>
      <c r="G437" s="708" t="n">
        <v>44.2</v>
      </c>
      <c r="H437" s="67" t="n">
        <v>9508</v>
      </c>
      <c r="I437" s="69" t="n">
        <v>0</v>
      </c>
      <c r="J437" s="714" t="n">
        <v>17672</v>
      </c>
      <c r="K437" s="715" t="n">
        <v>7.469952467179719</v>
      </c>
      <c r="L437" s="74" t="n">
        <v>0</v>
      </c>
      <c r="M437" s="76" t="n">
        <v>0</v>
      </c>
      <c r="N437" s="67" t="n">
        <v>1968</v>
      </c>
      <c r="O437" s="64" t="n">
        <v>2000</v>
      </c>
      <c r="Q437" s="59" t="n">
        <v>12</v>
      </c>
      <c r="R437" s="59" t="n">
        <v>1</v>
      </c>
      <c r="S437" s="59" t="n">
        <v>1</v>
      </c>
      <c r="T437" s="63" t="inlineStr">
        <is>
          <t xml:space="preserve">I1   </t>
        </is>
      </c>
      <c r="U437" s="63" t="n">
        <v>398</v>
      </c>
      <c r="V437" s="714" t="n">
        <v>30200</v>
      </c>
      <c r="W437" s="714" t="n">
        <v>30000</v>
      </c>
      <c r="X437" s="83" t="inlineStr">
        <is>
          <t>1.7:1</t>
        </is>
      </c>
      <c r="Y437" s="714" t="n">
        <v>18000</v>
      </c>
      <c r="Z437" s="63" t="inlineStr">
        <is>
          <t xml:space="preserve">C </t>
        </is>
      </c>
      <c r="AC437" s="67" t="n"/>
      <c r="AD437" s="61" t="inlineStr">
        <is>
          <t xml:space="preserve">GRANDMA'S PASTA     </t>
        </is>
      </c>
      <c r="AE437" s="716" t="n"/>
      <c r="AF437" s="716" t="n"/>
      <c r="AG437" s="716" t="n"/>
      <c r="AH437" s="716" t="n"/>
      <c r="AI437" s="716" t="n"/>
      <c r="AJ437" s="716" t="n"/>
      <c r="AK437" s="717" t="inlineStr"/>
      <c r="AL437">
        <f>IF(AND(ISNUMBER($S437),$S437&gt;0,ISNUMBER($K437),ISNUMBER($J437)),($K437*$J437)/$S437,"")</f>
        <v/>
      </c>
      <c r="AM437" s="59" t="inlineStr"/>
    </row>
    <row r="438" ht="14" customHeight="1" s="518">
      <c r="A438" s="62" t="n">
        <v>7</v>
      </c>
      <c r="B438" s="93" t="n">
        <v>431</v>
      </c>
      <c r="C438" s="68" t="inlineStr">
        <is>
          <t>2011Q</t>
        </is>
      </c>
      <c r="D438" s="59" t="inlineStr">
        <is>
          <t xml:space="preserve">05054-24-003-000 </t>
        </is>
      </c>
      <c r="E438" s="72" t="inlineStr">
        <is>
          <t>Actual</t>
        </is>
      </c>
      <c r="F438" s="73" t="inlineStr">
        <is>
          <t>2720 W BARBERRY            PL</t>
        </is>
      </c>
      <c r="G438" s="708" t="n">
        <v>47.1</v>
      </c>
      <c r="H438" s="67" t="n">
        <v>9508</v>
      </c>
      <c r="I438" s="69" t="n">
        <v>0</v>
      </c>
      <c r="J438" s="714" t="n">
        <v>4970</v>
      </c>
      <c r="K438" s="715" t="n">
        <v>8.272032193158953</v>
      </c>
      <c r="L438" s="74" t="n">
        <v>0</v>
      </c>
      <c r="M438" s="76" t="n">
        <v>0</v>
      </c>
      <c r="N438" s="67" t="n">
        <v>1962</v>
      </c>
      <c r="O438" s="64" t="n">
        <v>150</v>
      </c>
      <c r="Q438" s="59" t="n">
        <v>12</v>
      </c>
      <c r="R438" s="59" t="n">
        <v>3</v>
      </c>
      <c r="S438" s="59" t="n">
        <v>1</v>
      </c>
      <c r="T438" s="63" t="inlineStr">
        <is>
          <t xml:space="preserve">I1   </t>
        </is>
      </c>
      <c r="U438" s="63" t="n">
        <v>401</v>
      </c>
      <c r="V438" s="714" t="n">
        <v>7000</v>
      </c>
      <c r="W438" s="714" t="n">
        <v>7000</v>
      </c>
      <c r="X438" s="83" t="inlineStr">
        <is>
          <t>1.4:1</t>
        </is>
      </c>
      <c r="Y438" s="714" t="n">
        <v>5000</v>
      </c>
      <c r="Z438" s="63" t="inlineStr">
        <is>
          <t xml:space="preserve">C </t>
        </is>
      </c>
      <c r="AC438" s="67" t="n"/>
      <c r="AD438" s="61" t="inlineStr"/>
      <c r="AE438" s="716" t="n"/>
      <c r="AF438" s="716" t="n"/>
      <c r="AG438" s="716" t="n"/>
      <c r="AH438" s="716" t="n"/>
      <c r="AI438" s="716" t="n"/>
      <c r="AJ438" s="716" t="n"/>
      <c r="AK438" s="717" t="inlineStr"/>
      <c r="AL438">
        <f>IF(AND(ISNUMBER($S438),$S438&gt;0,ISNUMBER($K438),ISNUMBER($J438)),($K438*$J438)/$S438,"")</f>
        <v/>
      </c>
      <c r="AM438" s="59" t="inlineStr"/>
    </row>
    <row r="439" ht="14" customHeight="1" s="518">
      <c r="A439" s="62" t="n">
        <v>7</v>
      </c>
      <c r="B439" s="93" t="n">
        <v>432</v>
      </c>
      <c r="C439" s="68" t="inlineStr">
        <is>
          <t>2011Q</t>
        </is>
      </c>
      <c r="D439" s="59" t="inlineStr">
        <is>
          <t xml:space="preserve">05054-24-012-000 </t>
        </is>
      </c>
      <c r="E439" s="72" t="inlineStr">
        <is>
          <t>Actual</t>
        </is>
      </c>
      <c r="F439" s="73" t="inlineStr">
        <is>
          <t>2701 W 8TH                 AV</t>
        </is>
      </c>
      <c r="G439" s="708" t="n">
        <v>44.2</v>
      </c>
      <c r="H439" s="67" t="n">
        <v>9508</v>
      </c>
      <c r="I439" s="69" t="n">
        <v>0</v>
      </c>
      <c r="J439" s="714" t="n">
        <v>9909</v>
      </c>
      <c r="K439" s="715" t="n">
        <v>5.499949540821476</v>
      </c>
      <c r="L439" s="74" t="n">
        <v>0</v>
      </c>
      <c r="M439" s="76" t="n">
        <v>0</v>
      </c>
      <c r="N439" s="67" t="n">
        <v>1999</v>
      </c>
      <c r="O439" s="64" t="n">
        <v>51</v>
      </c>
      <c r="Q439" s="59" t="n">
        <v>24</v>
      </c>
      <c r="R439" s="59" t="n">
        <v>3</v>
      </c>
      <c r="S439" s="59" t="n">
        <v>1</v>
      </c>
      <c r="T439" s="63" t="inlineStr">
        <is>
          <t xml:space="preserve">I1   </t>
        </is>
      </c>
      <c r="U439" s="63" t="n">
        <v>398</v>
      </c>
      <c r="V439" s="714" t="n">
        <v>17500</v>
      </c>
      <c r="W439" s="714" t="n">
        <v>18000</v>
      </c>
      <c r="X439" s="83" t="inlineStr">
        <is>
          <t>1.8:1</t>
        </is>
      </c>
      <c r="Y439" s="714" t="n">
        <v>10000</v>
      </c>
      <c r="Z439" s="63" t="inlineStr">
        <is>
          <t xml:space="preserve">C </t>
        </is>
      </c>
      <c r="AC439" s="67" t="n"/>
      <c r="AD439" s="61" t="inlineStr">
        <is>
          <t xml:space="preserve">SINGLE TENANT WHSE  </t>
        </is>
      </c>
      <c r="AE439" s="716" t="n"/>
      <c r="AF439" s="716" t="n"/>
      <c r="AG439" s="716" t="n"/>
      <c r="AH439" s="716" t="n"/>
      <c r="AI439" s="716" t="n"/>
      <c r="AJ439" s="716" t="n"/>
      <c r="AK439" s="717" t="inlineStr"/>
      <c r="AL439">
        <f>IF(AND(ISNUMBER($S439),$S439&gt;0,ISNUMBER($K439),ISNUMBER($J439)),($K439*$J439)/$S439,"")</f>
        <v/>
      </c>
      <c r="AM439" s="59" t="inlineStr"/>
    </row>
    <row r="440" ht="14" customHeight="1" s="518">
      <c r="A440" s="62" t="n">
        <v>7</v>
      </c>
      <c r="B440" s="93" t="n">
        <v>433</v>
      </c>
      <c r="C440" s="68" t="inlineStr">
        <is>
          <t>2011Q</t>
        </is>
      </c>
      <c r="D440" s="59" t="inlineStr">
        <is>
          <t xml:space="preserve">05054-24-023-000 </t>
        </is>
      </c>
      <c r="E440" s="72" t="inlineStr">
        <is>
          <t>Actual</t>
        </is>
      </c>
      <c r="F440" s="73" t="inlineStr">
        <is>
          <t>2730 W BARBERRY            PL</t>
        </is>
      </c>
      <c r="G440" s="708" t="n">
        <v>46.1</v>
      </c>
      <c r="H440" s="67" t="n">
        <v>9508</v>
      </c>
      <c r="I440" s="69" t="n">
        <v>0</v>
      </c>
      <c r="J440" s="714" t="n">
        <v>4990</v>
      </c>
      <c r="K440" s="715" t="n">
        <v>5.5</v>
      </c>
      <c r="L440" s="74" t="n">
        <v>0</v>
      </c>
      <c r="M440" s="76" t="n">
        <v>0</v>
      </c>
      <c r="N440" s="67" t="n">
        <v>1962</v>
      </c>
      <c r="O440" s="64" t="n">
        <v>120</v>
      </c>
      <c r="Q440" s="59" t="n">
        <v>13</v>
      </c>
      <c r="R440" s="59" t="n">
        <v>1</v>
      </c>
      <c r="S440" s="59" t="n">
        <v>1</v>
      </c>
      <c r="T440" s="63" t="inlineStr">
        <is>
          <t xml:space="preserve">I1   </t>
        </is>
      </c>
      <c r="U440" s="63" t="n">
        <v>391</v>
      </c>
      <c r="V440" s="714" t="n">
        <v>7000</v>
      </c>
      <c r="W440" s="714" t="n">
        <v>7000</v>
      </c>
      <c r="X440" s="83" t="inlineStr">
        <is>
          <t>1.4:1</t>
        </is>
      </c>
      <c r="Y440" s="714" t="n">
        <v>5000</v>
      </c>
      <c r="Z440" s="63" t="inlineStr">
        <is>
          <t xml:space="preserve">C </t>
        </is>
      </c>
      <c r="AC440" s="67" t="n"/>
      <c r="AD440" s="61" t="inlineStr"/>
      <c r="AE440" s="716" t="n"/>
      <c r="AF440" s="716" t="n"/>
      <c r="AG440" s="716" t="n"/>
      <c r="AH440" s="716" t="n"/>
      <c r="AI440" s="716" t="n"/>
      <c r="AJ440" s="716" t="n"/>
      <c r="AK440" s="717" t="inlineStr"/>
      <c r="AL440">
        <f>IF(AND(ISNUMBER($S440),$S440&gt;0,ISNUMBER($K440),ISNUMBER($J440)),($K440*$J440)/$S440,"")</f>
        <v/>
      </c>
      <c r="AM440" s="59" t="inlineStr"/>
    </row>
    <row r="441" ht="14" customHeight="1" s="518">
      <c r="A441" s="62" t="n">
        <v>7</v>
      </c>
      <c r="B441" s="93" t="n">
        <v>434</v>
      </c>
      <c r="C441" s="68" t="inlineStr">
        <is>
          <t>2011Q</t>
        </is>
      </c>
      <c r="D441" s="59" t="inlineStr">
        <is>
          <t xml:space="preserve">05054-24-025-000 </t>
        </is>
      </c>
      <c r="E441" s="72" t="inlineStr">
        <is>
          <t>Actual</t>
        </is>
      </c>
      <c r="F441" s="73" t="inlineStr">
        <is>
          <t>2700 W BARBERRY            PL</t>
        </is>
      </c>
      <c r="G441" s="708" t="n">
        <v>47.1</v>
      </c>
      <c r="H441" s="67" t="n">
        <v>9508</v>
      </c>
      <c r="I441" s="69" t="n">
        <v>0</v>
      </c>
      <c r="J441" s="714" t="n">
        <v>8252</v>
      </c>
      <c r="K441" s="715" t="n">
        <v>5.5</v>
      </c>
      <c r="L441" s="74" t="n">
        <v>0</v>
      </c>
      <c r="M441" s="76" t="n">
        <v>0</v>
      </c>
      <c r="N441" s="67" t="n">
        <v>1968</v>
      </c>
      <c r="O441" s="64" t="n">
        <v>0</v>
      </c>
      <c r="P441" s="64" t="n">
        <v>2108</v>
      </c>
      <c r="Q441" s="59" t="n">
        <v>14</v>
      </c>
      <c r="R441" s="59" t="n">
        <v>3</v>
      </c>
      <c r="S441" s="59" t="n">
        <v>1</v>
      </c>
      <c r="T441" s="63" t="inlineStr">
        <is>
          <t xml:space="preserve">I1   </t>
        </is>
      </c>
      <c r="U441" s="63" t="n">
        <v>401</v>
      </c>
      <c r="V441" s="714" t="n">
        <v>11486</v>
      </c>
      <c r="W441" s="714" t="n">
        <v>11000</v>
      </c>
      <c r="X441" s="83" t="inlineStr">
        <is>
          <t>1.4:1</t>
        </is>
      </c>
      <c r="Y441" s="714" t="n">
        <v>8000</v>
      </c>
      <c r="Z441" s="63" t="inlineStr">
        <is>
          <t xml:space="preserve">C </t>
        </is>
      </c>
      <c r="AC441" s="67" t="n"/>
      <c r="AD441" s="61" t="inlineStr"/>
      <c r="AE441" s="716" t="n"/>
      <c r="AF441" s="716" t="n"/>
      <c r="AG441" s="716" t="n"/>
      <c r="AH441" s="716" t="n"/>
      <c r="AI441" s="716" t="n"/>
      <c r="AJ441" s="716" t="n"/>
      <c r="AK441" s="717" t="inlineStr"/>
      <c r="AL441">
        <f>IF(AND(ISNUMBER($S441),$S441&gt;0,ISNUMBER($K441),ISNUMBER($J441)),($K441*$J441)/$S441,"")</f>
        <v/>
      </c>
      <c r="AM441" s="59" t="inlineStr"/>
    </row>
    <row r="442" ht="28" customHeight="1" s="518">
      <c r="A442" s="62" t="n">
        <v>7</v>
      </c>
      <c r="B442" s="93" t="n">
        <v>435</v>
      </c>
      <c r="C442" s="68" t="inlineStr">
        <is>
          <t>2011Q</t>
        </is>
      </c>
      <c r="D442" s="59" t="inlineStr">
        <is>
          <t xml:space="preserve">05054-24-026-000 </t>
        </is>
      </c>
      <c r="E442" s="72" t="inlineStr">
        <is>
          <t>Actual</t>
        </is>
      </c>
      <c r="F442" s="73" t="inlineStr">
        <is>
          <t>2605 W 8TH                 AV</t>
        </is>
      </c>
      <c r="G442" s="67" t="n">
        <v>44.1</v>
      </c>
      <c r="H442" s="67" t="n">
        <v>9508</v>
      </c>
      <c r="I442" s="69" t="n">
        <v>0</v>
      </c>
      <c r="J442" s="714" t="n">
        <v>13500</v>
      </c>
      <c r="K442" s="715" t="n">
        <v>17.77777777777778</v>
      </c>
      <c r="L442" s="74" t="n">
        <v>1</v>
      </c>
      <c r="M442" s="76" t="n">
        <v>0</v>
      </c>
      <c r="N442" s="67" t="n">
        <v>1973</v>
      </c>
      <c r="O442" s="64" t="n">
        <v>6657</v>
      </c>
      <c r="Q442" s="59" t="n">
        <v>21</v>
      </c>
      <c r="R442" s="59" t="n">
        <v>14</v>
      </c>
      <c r="S442" s="59" t="n">
        <v>1</v>
      </c>
      <c r="T442" s="63" t="inlineStr">
        <is>
          <t xml:space="preserve">I1   </t>
        </is>
      </c>
      <c r="U442" s="63" t="n">
        <v>398</v>
      </c>
      <c r="V442" s="714" t="n">
        <v>21000</v>
      </c>
      <c r="W442" s="714" t="n">
        <v>21000</v>
      </c>
      <c r="X442" s="83" t="inlineStr">
        <is>
          <t>1.6:1</t>
        </is>
      </c>
      <c r="Y442" s="714" t="n">
        <v>14000</v>
      </c>
      <c r="Z442" s="63" t="inlineStr">
        <is>
          <t xml:space="preserve">C </t>
        </is>
      </c>
      <c r="AC442" s="67" t="n"/>
      <c r="AD442" s="61" t="inlineStr">
        <is>
          <t xml:space="preserve">COMCABLE            </t>
        </is>
      </c>
      <c r="AE442" s="716" t="n"/>
      <c r="AF442" s="716" t="n"/>
      <c r="AG442" s="716" t="n"/>
      <c r="AH442" s="716" t="n"/>
      <c r="AI442" s="716" t="n"/>
      <c r="AJ442" s="716" t="n"/>
      <c r="AK442" s="717" t="inlineStr">
        <is>
          <t xml:space="preserve">LEASE DATE UNKNOWN; INCLUDES PARCEL -24-030.                      </t>
        </is>
      </c>
      <c r="AL442">
        <f>IF(AND(ISNUMBER($S442),$S442&gt;0,ISNUMBER($K442),ISNUMBER($J442)),($K442*$J442)/$S442,"")</f>
        <v/>
      </c>
      <c r="AM442" s="59" t="inlineStr"/>
    </row>
    <row r="443" ht="14" customHeight="1" s="518">
      <c r="A443" s="62" t="n">
        <v>7</v>
      </c>
      <c r="B443" s="93" t="n">
        <v>436</v>
      </c>
      <c r="C443" s="68" t="inlineStr">
        <is>
          <t>2011Q</t>
        </is>
      </c>
      <c r="D443" s="59" t="inlineStr">
        <is>
          <t xml:space="preserve">05081-00-134-000 </t>
        </is>
      </c>
      <c r="E443" s="72" t="inlineStr">
        <is>
          <t>Actual</t>
        </is>
      </c>
      <c r="F443" s="73" t="inlineStr">
        <is>
          <t>2645 W 7TH                 AV</t>
        </is>
      </c>
      <c r="G443" s="708" t="n">
        <v>46.1</v>
      </c>
      <c r="H443" s="67" t="n">
        <v>9508</v>
      </c>
      <c r="I443" s="69" t="n">
        <v>0</v>
      </c>
      <c r="J443" s="714" t="n">
        <v>33042</v>
      </c>
      <c r="K443" s="715" t="n">
        <v>5.690000605290237</v>
      </c>
      <c r="L443" s="74" t="n">
        <v>0</v>
      </c>
      <c r="M443" s="76" t="n">
        <v>0</v>
      </c>
      <c r="N443" s="67" t="n">
        <v>1970</v>
      </c>
      <c r="O443" s="64" t="n">
        <v>6537</v>
      </c>
      <c r="Q443" s="59" t="n">
        <v>16</v>
      </c>
      <c r="R443" s="59" t="n">
        <v>14</v>
      </c>
      <c r="S443" s="59" t="n">
        <v>1</v>
      </c>
      <c r="T443" s="63" t="inlineStr">
        <is>
          <t xml:space="preserve">I1   </t>
        </is>
      </c>
      <c r="U443" s="63" t="n">
        <v>398</v>
      </c>
      <c r="V443" s="714" t="n">
        <v>73039</v>
      </c>
      <c r="W443" s="714" t="n">
        <v>73000</v>
      </c>
      <c r="X443" s="83" t="inlineStr">
        <is>
          <t>2.2:1</t>
        </is>
      </c>
      <c r="Y443" s="714" t="n">
        <v>33000</v>
      </c>
      <c r="Z443" s="63" t="inlineStr">
        <is>
          <t xml:space="preserve">C </t>
        </is>
      </c>
      <c r="AC443" s="67" t="n"/>
      <c r="AD443" s="61" t="inlineStr"/>
      <c r="AE443" s="716" t="n"/>
      <c r="AF443" s="716" t="n"/>
      <c r="AG443" s="716" t="n"/>
      <c r="AH443" s="716" t="n"/>
      <c r="AI443" s="716" t="n"/>
      <c r="AJ443" s="716" t="n"/>
      <c r="AK443" s="717" t="inlineStr"/>
      <c r="AL443">
        <f>IF(AND(ISNUMBER($S443),$S443&gt;0,ISNUMBER($K443),ISNUMBER($J443)),($K443*$J443)/$S443,"")</f>
        <v/>
      </c>
      <c r="AM443" s="59" t="inlineStr"/>
    </row>
    <row r="444" ht="14" customHeight="1" s="518">
      <c r="A444" s="62" t="n">
        <v>7</v>
      </c>
      <c r="B444" s="93" t="n">
        <v>437</v>
      </c>
      <c r="C444" s="68" t="inlineStr">
        <is>
          <t>2011Q</t>
        </is>
      </c>
      <c r="D444" s="59" t="inlineStr">
        <is>
          <t xml:space="preserve">05081-04-016-000 </t>
        </is>
      </c>
      <c r="E444" s="72" t="inlineStr">
        <is>
          <t>Actual</t>
        </is>
      </c>
      <c r="F444" s="73" t="inlineStr">
        <is>
          <t>695   CANOSA              CT</t>
        </is>
      </c>
      <c r="G444" s="708" t="n">
        <v>44.2</v>
      </c>
      <c r="H444" s="67" t="n">
        <v>9508</v>
      </c>
      <c r="I444" s="69" t="n">
        <v>0</v>
      </c>
      <c r="J444" s="714" t="n">
        <v>18000</v>
      </c>
      <c r="K444" s="715" t="n">
        <v>4</v>
      </c>
      <c r="L444" s="74" t="n">
        <v>0</v>
      </c>
      <c r="M444" s="76" t="n">
        <v>0.1741666666666667</v>
      </c>
      <c r="N444" s="67" t="n">
        <v>1954</v>
      </c>
      <c r="O444" s="64" t="n">
        <v>4000</v>
      </c>
      <c r="Q444" s="59" t="n">
        <v>14</v>
      </c>
      <c r="R444" s="59" t="n">
        <v>1</v>
      </c>
      <c r="S444" s="59" t="n">
        <v>2</v>
      </c>
      <c r="T444" s="63" t="inlineStr">
        <is>
          <t xml:space="preserve">I1   </t>
        </is>
      </c>
      <c r="U444" s="63" t="n">
        <v>398</v>
      </c>
      <c r="V444" s="714" t="n">
        <v>34375</v>
      </c>
      <c r="W444" s="714" t="n">
        <v>34000</v>
      </c>
      <c r="X444" s="83" t="inlineStr">
        <is>
          <t>1.9:1</t>
        </is>
      </c>
      <c r="Y444" s="714" t="n">
        <v>18000</v>
      </c>
      <c r="Z444" s="63" t="inlineStr">
        <is>
          <t xml:space="preserve">C </t>
        </is>
      </c>
      <c r="AC444" s="67" t="n"/>
      <c r="AD444" s="61" t="inlineStr">
        <is>
          <t xml:space="preserve">M-W GREAT INDOORS   </t>
        </is>
      </c>
      <c r="AE444" s="716" t="n"/>
      <c r="AF444" s="716" t="n"/>
      <c r="AG444" s="716" t="n"/>
      <c r="AH444" s="716" t="n"/>
      <c r="AI444" s="716" t="n"/>
      <c r="AJ444" s="716" t="n"/>
      <c r="AK444" s="717" t="inlineStr"/>
      <c r="AL444">
        <f>IF(AND(ISNUMBER($S444),$S444&gt;0,ISNUMBER($K444),ISNUMBER($J444)),($K444*$J444)/$S444,"")</f>
        <v/>
      </c>
      <c r="AM444" s="59" t="inlineStr"/>
    </row>
    <row r="445" ht="14" customHeight="1" s="518">
      <c r="A445" s="62" t="n">
        <v>7</v>
      </c>
      <c r="B445" s="93" t="n">
        <v>438</v>
      </c>
      <c r="C445" s="68" t="inlineStr">
        <is>
          <t>2011Q</t>
        </is>
      </c>
      <c r="D445" s="59" t="inlineStr">
        <is>
          <t xml:space="preserve">05081-06-019-000 </t>
        </is>
      </c>
      <c r="E445" s="72" t="inlineStr">
        <is>
          <t>Actual</t>
        </is>
      </c>
      <c r="F445" s="73" t="inlineStr">
        <is>
          <t>670   BRYANT              ST</t>
        </is>
      </c>
      <c r="G445" s="67" t="n">
        <v>44.1</v>
      </c>
      <c r="H445" s="67" t="n">
        <v>9508</v>
      </c>
      <c r="I445" s="69" t="n">
        <v>0</v>
      </c>
      <c r="J445" s="714" t="n">
        <v>3704</v>
      </c>
      <c r="K445" s="715" t="n">
        <v>7.721382289416846</v>
      </c>
      <c r="L445" s="74" t="n">
        <v>0</v>
      </c>
      <c r="M445" s="76" t="n">
        <v>0.1293706293706294</v>
      </c>
      <c r="N445" s="67" t="n">
        <v>1963</v>
      </c>
      <c r="O445" s="64" t="n">
        <v>644</v>
      </c>
      <c r="Q445" s="59" t="n">
        <v>11</v>
      </c>
      <c r="R445" s="59" t="n">
        <v>1</v>
      </c>
      <c r="S445" s="59" t="n">
        <v>1</v>
      </c>
      <c r="T445" s="63" t="inlineStr">
        <is>
          <t xml:space="preserve">I1   </t>
        </is>
      </c>
      <c r="U445" s="63" t="n">
        <v>398</v>
      </c>
      <c r="V445" s="714" t="n">
        <v>6000</v>
      </c>
      <c r="W445" s="714" t="n">
        <v>6000</v>
      </c>
      <c r="X445" s="83" t="inlineStr">
        <is>
          <t>1.6:1</t>
        </is>
      </c>
      <c r="Y445" s="714" t="n">
        <v>4000</v>
      </c>
      <c r="Z445" s="63" t="inlineStr">
        <is>
          <t xml:space="preserve">C </t>
        </is>
      </c>
      <c r="AC445" s="67" t="n"/>
      <c r="AD445" s="61" t="inlineStr">
        <is>
          <t xml:space="preserve">S-W LIQUID COFFEE   </t>
        </is>
      </c>
      <c r="AE445" s="716" t="n"/>
      <c r="AF445" s="716" t="n"/>
      <c r="AG445" s="716" t="n"/>
      <c r="AH445" s="716" t="n"/>
      <c r="AI445" s="716" t="n"/>
      <c r="AJ445" s="716" t="n"/>
      <c r="AK445" s="717" t="inlineStr">
        <is>
          <t xml:space="preserve">2010 LEASE; 2009 EXPENSES.                                        </t>
        </is>
      </c>
      <c r="AL445">
        <f>IF(AND(ISNUMBER($S445),$S445&gt;0,ISNUMBER($K445),ISNUMBER($J445)),($K445*$J445)/$S445,"")</f>
        <v/>
      </c>
      <c r="AM445" s="59" t="inlineStr"/>
    </row>
    <row r="446" ht="14" customHeight="1" s="518">
      <c r="A446" s="62" t="n">
        <v>7</v>
      </c>
      <c r="B446" s="93" t="n">
        <v>439</v>
      </c>
      <c r="C446" s="68" t="inlineStr">
        <is>
          <t>2011Q</t>
        </is>
      </c>
      <c r="D446" s="59" t="inlineStr">
        <is>
          <t xml:space="preserve">05081-18-011-000 </t>
        </is>
      </c>
      <c r="E446" s="72" t="inlineStr">
        <is>
          <t>Actual</t>
        </is>
      </c>
      <c r="F446" s="73" t="inlineStr">
        <is>
          <t>2750 W 5TH                 AV</t>
        </is>
      </c>
      <c r="G446" s="67" t="n">
        <v>44.1</v>
      </c>
      <c r="H446" s="67" t="n">
        <v>9508</v>
      </c>
      <c r="I446" s="69" t="n">
        <v>0</v>
      </c>
      <c r="J446" s="714" t="n">
        <v>14000</v>
      </c>
      <c r="K446" s="715" t="n">
        <v>8.571428571428571</v>
      </c>
      <c r="L446" s="74" t="n">
        <v>0</v>
      </c>
      <c r="M446" s="76" t="n">
        <v>0.004633333333333333</v>
      </c>
      <c r="N446" s="67" t="n">
        <v>1972</v>
      </c>
      <c r="O446" s="64" t="n">
        <v>6213</v>
      </c>
      <c r="P446" s="64" t="n">
        <v>2500</v>
      </c>
      <c r="Q446" s="59" t="n">
        <v>18</v>
      </c>
      <c r="R446" s="59" t="n">
        <v>3</v>
      </c>
      <c r="S446" s="59" t="n">
        <v>1</v>
      </c>
      <c r="T446" s="63" t="inlineStr">
        <is>
          <t xml:space="preserve">I0   </t>
        </is>
      </c>
      <c r="U446" s="63" t="n">
        <v>398</v>
      </c>
      <c r="V446" s="714" t="n">
        <v>27787</v>
      </c>
      <c r="W446" s="714" t="n">
        <v>28000</v>
      </c>
      <c r="X446" s="83" t="inlineStr">
        <is>
          <t>2.0:1</t>
        </is>
      </c>
      <c r="Y446" s="714" t="n">
        <v>14000</v>
      </c>
      <c r="Z446" s="63" t="inlineStr">
        <is>
          <t xml:space="preserve">C </t>
        </is>
      </c>
      <c r="AC446" s="67" t="n"/>
      <c r="AD446" s="61" t="inlineStr">
        <is>
          <t xml:space="preserve">PEAK RESOURCES      </t>
        </is>
      </c>
      <c r="AE446" s="716" t="n"/>
      <c r="AF446" s="716" t="n"/>
      <c r="AG446" s="716" t="n"/>
      <c r="AH446" s="716" t="n"/>
      <c r="AI446" s="716" t="n"/>
      <c r="AJ446" s="716" t="n"/>
      <c r="AK446" s="717" t="inlineStr"/>
      <c r="AL446">
        <f>IF(AND(ISNUMBER($S446),$S446&gt;0,ISNUMBER($K446),ISNUMBER($J446)),($K446*$J446)/$S446,"")</f>
        <v/>
      </c>
      <c r="AM446" s="59" t="inlineStr"/>
    </row>
    <row r="447">
      <c r="A447" s="62" t="n">
        <v>7</v>
      </c>
      <c r="B447" s="93" t="n">
        <v>439.3</v>
      </c>
      <c r="C447" s="104" t="inlineStr">
        <is>
          <t>2011W</t>
        </is>
      </c>
      <c r="D447" s="93" t="inlineStr">
        <is>
          <t>05081-23-004-000</t>
        </is>
      </c>
      <c r="E447" s="92" t="inlineStr">
        <is>
          <t>Actual</t>
        </is>
      </c>
      <c r="F447" s="93" t="inlineStr">
        <is>
          <t>2400 W 5th Ave</t>
        </is>
      </c>
      <c r="G447" s="94" t="inlineStr">
        <is>
          <t>44.4</t>
        </is>
      </c>
      <c r="H447" s="93" t="n">
        <v>9508</v>
      </c>
      <c r="I447" s="92" t="n">
        <v>0</v>
      </c>
      <c r="J447" s="95" t="n">
        <v>325858</v>
      </c>
      <c r="K447" s="718" t="n">
        <v>2.38</v>
      </c>
      <c r="L447" s="97">
        <f>40350/J447</f>
        <v/>
      </c>
      <c r="M447" s="97">
        <f>(465642-304940-136035-25638)/(0.9*(K447*J447))</f>
        <v/>
      </c>
      <c r="N447" s="93" t="n">
        <v>1964</v>
      </c>
      <c r="O447" s="59" t="n">
        <v>32410</v>
      </c>
      <c r="P447" s="59" t="n">
        <v>10000</v>
      </c>
      <c r="Q447" s="59" t="n">
        <v>26</v>
      </c>
      <c r="R447" s="59" t="n">
        <v>3</v>
      </c>
      <c r="S447" s="59" t="n">
        <v>11</v>
      </c>
      <c r="T447" s="92" t="inlineStr">
        <is>
          <t>I1</t>
        </is>
      </c>
      <c r="U447" s="93" t="n">
        <v>398</v>
      </c>
      <c r="V447" s="95" t="n">
        <v>487038</v>
      </c>
      <c r="W447" s="95" t="n">
        <v>500000</v>
      </c>
      <c r="X447" s="98" t="inlineStr">
        <is>
          <t>1.49:1</t>
        </is>
      </c>
      <c r="Y447" s="95" t="n">
        <v>300000</v>
      </c>
      <c r="Z447" s="92" t="inlineStr">
        <is>
          <t>B</t>
        </is>
      </c>
      <c r="AA447" s="93" t="n">
        <v>3</v>
      </c>
      <c r="AB447" s="93" t="n">
        <v>3</v>
      </c>
      <c r="AC447" s="93" t="n">
        <v>33</v>
      </c>
      <c r="AD447" s="93" t="inlineStr">
        <is>
          <t>WW Grainger</t>
        </is>
      </c>
      <c r="AE447" s="719" t="n"/>
      <c r="AF447" s="716" t="n"/>
      <c r="AG447" s="716" t="n"/>
      <c r="AH447" s="716" t="n"/>
      <c r="AI447" s="716" t="n"/>
      <c r="AJ447" s="716" t="n"/>
      <c r="AK447" s="716" t="n"/>
      <c r="AL447">
        <f>IF(AND(ISNUMBER($S447),$S447&gt;0,ISNUMBER($K447),ISNUMBER($J447)),($K447*$J447)/$S447,"")</f>
        <v/>
      </c>
    </row>
    <row r="448" ht="14" customHeight="1" s="518">
      <c r="A448" s="62" t="n">
        <v>7</v>
      </c>
      <c r="B448" s="93" t="n">
        <v>440</v>
      </c>
      <c r="C448" s="68" t="inlineStr">
        <is>
          <t>2011Q</t>
        </is>
      </c>
      <c r="D448" s="59" t="inlineStr">
        <is>
          <t xml:space="preserve">05084-00-046-000 </t>
        </is>
      </c>
      <c r="E448" s="72" t="inlineStr">
        <is>
          <t>Actual</t>
        </is>
      </c>
      <c r="F448" s="73" t="inlineStr">
        <is>
          <t>2650 W 3RD                 AV</t>
        </is>
      </c>
      <c r="G448" s="708" t="n">
        <v>44.2</v>
      </c>
      <c r="H448" s="67" t="n">
        <v>9508</v>
      </c>
      <c r="I448" s="69" t="n">
        <v>0</v>
      </c>
      <c r="J448" s="714" t="n">
        <v>27700</v>
      </c>
      <c r="K448" s="715" t="n">
        <v>4.01956678700361</v>
      </c>
      <c r="L448" s="74" t="n">
        <v>0</v>
      </c>
      <c r="M448" s="76" t="n">
        <v>0.04122433583014496</v>
      </c>
      <c r="N448" s="67" t="n">
        <v>1963</v>
      </c>
      <c r="O448" s="64" t="n">
        <v>9365</v>
      </c>
      <c r="Q448" s="59" t="n">
        <v>20</v>
      </c>
      <c r="R448" s="59" t="n">
        <v>14</v>
      </c>
      <c r="S448" s="59" t="n">
        <v>2</v>
      </c>
      <c r="T448" s="63" t="inlineStr">
        <is>
          <t xml:space="preserve">I0   </t>
        </is>
      </c>
      <c r="U448" s="63" t="n">
        <v>398</v>
      </c>
      <c r="V448" s="714" t="n">
        <v>81431</v>
      </c>
      <c r="W448" s="714" t="n">
        <v>81000</v>
      </c>
      <c r="X448" s="83" t="inlineStr">
        <is>
          <t>1.5:1</t>
        </is>
      </c>
      <c r="Y448" s="714" t="n">
        <v>28000</v>
      </c>
      <c r="Z448" s="63" t="inlineStr">
        <is>
          <t xml:space="preserve">C </t>
        </is>
      </c>
      <c r="AC448" s="67" t="n"/>
      <c r="AD448" s="61" t="inlineStr">
        <is>
          <t xml:space="preserve">HEALTH CENTER       </t>
        </is>
      </c>
      <c r="AE448" s="716" t="n"/>
      <c r="AF448" s="716" t="n"/>
      <c r="AG448" s="716" t="n"/>
      <c r="AH448" s="716" t="n"/>
      <c r="AI448" s="716" t="n"/>
      <c r="AJ448" s="716" t="n"/>
      <c r="AK448" s="717" t="inlineStr"/>
      <c r="AL448">
        <f>IF(AND(ISNUMBER($S448),$S448&gt;0,ISNUMBER($K448),ISNUMBER($J448)),($K448*$J448)/$S448,"")</f>
        <v/>
      </c>
      <c r="AM448" s="59" t="inlineStr"/>
    </row>
    <row r="449" ht="28" customHeight="1" s="518">
      <c r="A449" s="62" t="n">
        <v>7</v>
      </c>
      <c r="B449" s="93" t="n">
        <v>441</v>
      </c>
      <c r="C449" s="68" t="inlineStr">
        <is>
          <t>2011Q</t>
        </is>
      </c>
      <c r="D449" s="59" t="inlineStr">
        <is>
          <t xml:space="preserve">05084-08-022-000 </t>
        </is>
      </c>
      <c r="E449" s="72" t="inlineStr">
        <is>
          <t>Actual</t>
        </is>
      </c>
      <c r="F449" s="73" t="inlineStr">
        <is>
          <t>2600 W 2ND                 AV</t>
        </is>
      </c>
      <c r="G449" s="708" t="n">
        <v>44.2</v>
      </c>
      <c r="H449" s="67" t="n">
        <v>9508</v>
      </c>
      <c r="I449" s="69" t="n">
        <v>0</v>
      </c>
      <c r="J449" s="714" t="n">
        <v>5000</v>
      </c>
      <c r="K449" s="715" t="n">
        <v>5.28</v>
      </c>
      <c r="L449" s="74" t="n">
        <v>0.29</v>
      </c>
      <c r="M449" s="76" t="n">
        <v>0.454469696969697</v>
      </c>
      <c r="N449" s="67" t="n">
        <v>1967</v>
      </c>
      <c r="O449" s="64" t="n">
        <v>9801</v>
      </c>
      <c r="Q449" s="59" t="n">
        <v>18</v>
      </c>
      <c r="R449" s="59" t="n">
        <v>10</v>
      </c>
      <c r="S449" s="59" t="n">
        <v>1</v>
      </c>
      <c r="T449" s="63" t="inlineStr">
        <is>
          <t xml:space="preserve">I0   </t>
        </is>
      </c>
      <c r="U449" s="63" t="n">
        <v>398</v>
      </c>
      <c r="V449" s="714" t="n">
        <v>50661</v>
      </c>
      <c r="W449" s="714" t="n">
        <v>51000</v>
      </c>
      <c r="X449" s="83" t="inlineStr">
        <is>
          <t>2.4:1</t>
        </is>
      </c>
      <c r="Y449" s="714" t="n">
        <v>5000</v>
      </c>
      <c r="Z449" s="63" t="inlineStr">
        <is>
          <t xml:space="preserve">C </t>
        </is>
      </c>
      <c r="AC449" s="67" t="n"/>
      <c r="AD449" s="61" t="inlineStr">
        <is>
          <t xml:space="preserve">M-W                 </t>
        </is>
      </c>
      <c r="AE449" s="716" t="n"/>
      <c r="AF449" s="716" t="n"/>
      <c r="AG449" s="716" t="n"/>
      <c r="AH449" s="716" t="n"/>
      <c r="AI449" s="716" t="n"/>
      <c r="AJ449" s="716" t="n"/>
      <c r="AK449" s="717" t="inlineStr">
        <is>
          <t xml:space="preserve">ONE BASE PERIOD LEASE IN 21263 SF BLDG REPRESENTED HERE.          </t>
        </is>
      </c>
      <c r="AL449">
        <f>IF(AND(ISNUMBER($S449),$S449&gt;0,ISNUMBER($K449),ISNUMBER($J449)),($K449*$J449)/$S449,"")</f>
        <v/>
      </c>
      <c r="AM449" s="59" t="inlineStr"/>
    </row>
    <row r="450" ht="14" customHeight="1" s="518">
      <c r="A450" s="62" t="n">
        <v>7</v>
      </c>
      <c r="B450" s="93" t="n">
        <v>442</v>
      </c>
      <c r="C450" s="68" t="inlineStr">
        <is>
          <t>2011Q</t>
        </is>
      </c>
      <c r="D450" s="59" t="inlineStr">
        <is>
          <t xml:space="preserve">05091-00-049-000 </t>
        </is>
      </c>
      <c r="E450" s="72" t="inlineStr">
        <is>
          <t>Actual</t>
        </is>
      </c>
      <c r="F450" s="73" t="inlineStr">
        <is>
          <t>123   RIO GRANDE          BV</t>
        </is>
      </c>
      <c r="G450" s="708" t="n">
        <v>44.2</v>
      </c>
      <c r="H450" s="67" t="n">
        <v>9505</v>
      </c>
      <c r="I450" s="69" t="n">
        <v>0</v>
      </c>
      <c r="J450" s="714" t="n">
        <v>12994</v>
      </c>
      <c r="K450" s="715" t="n">
        <v>4.617515776512237</v>
      </c>
      <c r="L450" s="74" t="n">
        <v>0</v>
      </c>
      <c r="M450" s="76" t="n">
        <v>0.1196666666666667</v>
      </c>
      <c r="N450" s="67" t="n">
        <v>1959</v>
      </c>
      <c r="O450" s="64" t="n">
        <v>2548</v>
      </c>
      <c r="Q450" s="59" t="n">
        <v>16</v>
      </c>
      <c r="R450" s="59" t="n">
        <v>1</v>
      </c>
      <c r="S450" s="59" t="n">
        <v>1</v>
      </c>
      <c r="T450" s="63" t="inlineStr">
        <is>
          <t xml:space="preserve">I1   </t>
        </is>
      </c>
      <c r="U450" s="63" t="n">
        <v>398</v>
      </c>
      <c r="V450" s="714" t="n">
        <v>20500</v>
      </c>
      <c r="W450" s="714" t="n">
        <v>21000</v>
      </c>
      <c r="X450" s="83" t="inlineStr">
        <is>
          <t>1.6:1</t>
        </is>
      </c>
      <c r="Y450" s="714" t="n">
        <v>13000</v>
      </c>
      <c r="Z450" s="63" t="inlineStr">
        <is>
          <t xml:space="preserve">C </t>
        </is>
      </c>
      <c r="AC450" s="67" t="n"/>
      <c r="AD450" s="61" t="inlineStr">
        <is>
          <t xml:space="preserve">DIST                </t>
        </is>
      </c>
      <c r="AE450" s="716" t="n"/>
      <c r="AF450" s="716" t="n"/>
      <c r="AG450" s="716" t="n"/>
      <c r="AH450" s="716" t="n"/>
      <c r="AI450" s="716" t="n"/>
      <c r="AJ450" s="716" t="n"/>
      <c r="AK450" s="717" t="inlineStr"/>
      <c r="AL450">
        <f>IF(AND(ISNUMBER($S450),$S450&gt;0,ISNUMBER($K450),ISNUMBER($J450)),($K450*$J450)/$S450,"")</f>
        <v/>
      </c>
      <c r="AM450" s="59" t="inlineStr"/>
    </row>
    <row r="451" ht="14" customHeight="1" s="518">
      <c r="A451" s="62" t="n">
        <v>7</v>
      </c>
      <c r="B451" s="93" t="n">
        <v>443</v>
      </c>
      <c r="C451" s="68" t="inlineStr">
        <is>
          <t>2011Q</t>
        </is>
      </c>
      <c r="D451" s="59" t="inlineStr">
        <is>
          <t xml:space="preserve">05091-00-050-000 </t>
        </is>
      </c>
      <c r="E451" s="72" t="inlineStr">
        <is>
          <t>Actual</t>
        </is>
      </c>
      <c r="F451" s="73" t="inlineStr">
        <is>
          <t>1490 W 3RD                 AV</t>
        </is>
      </c>
      <c r="G451" s="708" t="n">
        <v>44.2</v>
      </c>
      <c r="H451" s="67" t="n">
        <v>9505</v>
      </c>
      <c r="I451" s="69" t="n">
        <v>0</v>
      </c>
      <c r="J451" s="714" t="n">
        <v>8502</v>
      </c>
      <c r="K451" s="715" t="n">
        <v>7.057163020465773</v>
      </c>
      <c r="L451" s="74" t="n">
        <v>0</v>
      </c>
      <c r="M451" s="76" t="n">
        <v>0</v>
      </c>
      <c r="N451" s="67" t="n">
        <v>1968</v>
      </c>
      <c r="O451" s="64" t="n">
        <v>9109</v>
      </c>
      <c r="Q451" s="59" t="n">
        <v>16</v>
      </c>
      <c r="R451" s="59" t="n">
        <v>1</v>
      </c>
      <c r="S451" s="59" t="n">
        <v>1</v>
      </c>
      <c r="T451" s="63" t="inlineStr">
        <is>
          <t xml:space="preserve">I1   </t>
        </is>
      </c>
      <c r="U451" s="63" t="n">
        <v>398</v>
      </c>
      <c r="V451" s="714" t="n">
        <v>12400</v>
      </c>
      <c r="W451" s="714" t="n">
        <v>12000</v>
      </c>
      <c r="X451" s="83" t="inlineStr">
        <is>
          <t>1.5:1</t>
        </is>
      </c>
      <c r="Y451" s="714" t="n">
        <v>9000</v>
      </c>
      <c r="Z451" s="63" t="inlineStr">
        <is>
          <t xml:space="preserve">C </t>
        </is>
      </c>
      <c r="AC451" s="67" t="n"/>
      <c r="AD451" s="61" t="inlineStr"/>
      <c r="AE451" s="716" t="n"/>
      <c r="AF451" s="716" t="n"/>
      <c r="AG451" s="716" t="n"/>
      <c r="AH451" s="716" t="n"/>
      <c r="AI451" s="716" t="n"/>
      <c r="AJ451" s="716" t="n"/>
      <c r="AK451" s="717" t="inlineStr"/>
      <c r="AL451">
        <f>IF(AND(ISNUMBER($S451),$S451&gt;0,ISNUMBER($K451),ISNUMBER($J451)),($K451*$J451)/$S451,"")</f>
        <v/>
      </c>
      <c r="AM451" s="59" t="inlineStr"/>
    </row>
    <row r="452" ht="14" customHeight="1" s="518">
      <c r="A452" s="62" t="n">
        <v>7</v>
      </c>
      <c r="B452" s="93" t="n">
        <v>444</v>
      </c>
      <c r="C452" s="68" t="inlineStr">
        <is>
          <t>2011Q</t>
        </is>
      </c>
      <c r="D452" s="59" t="inlineStr">
        <is>
          <t xml:space="preserve">05091-00-067-000 </t>
        </is>
      </c>
      <c r="E452" s="72" t="inlineStr">
        <is>
          <t>Actual</t>
        </is>
      </c>
      <c r="F452" s="73" t="inlineStr">
        <is>
          <t>1480 W 3RD                 AV</t>
        </is>
      </c>
      <c r="G452" s="67" t="n">
        <v>44.1</v>
      </c>
      <c r="H452" s="67" t="n">
        <v>9505</v>
      </c>
      <c r="I452" s="69" t="n">
        <v>0</v>
      </c>
      <c r="J452" s="714" t="n">
        <v>7200</v>
      </c>
      <c r="K452" s="715" t="n">
        <v>6.666666666666667</v>
      </c>
      <c r="L452" s="74" t="n">
        <v>0</v>
      </c>
      <c r="M452" s="76" t="n">
        <v>0</v>
      </c>
      <c r="N452" s="67" t="n">
        <v>1966</v>
      </c>
      <c r="O452" s="64" t="n">
        <v>4200</v>
      </c>
      <c r="Q452" s="59" t="n">
        <v>14</v>
      </c>
      <c r="R452" s="59" t="n">
        <v>3</v>
      </c>
      <c r="S452" s="59" t="n">
        <v>1</v>
      </c>
      <c r="T452" s="63" t="inlineStr">
        <is>
          <t xml:space="preserve">I1   </t>
        </is>
      </c>
      <c r="U452" s="63" t="n">
        <v>398</v>
      </c>
      <c r="V452" s="714" t="n">
        <v>11917</v>
      </c>
      <c r="W452" s="714" t="n">
        <v>12000</v>
      </c>
      <c r="X452" s="83" t="inlineStr">
        <is>
          <t>1.7:1</t>
        </is>
      </c>
      <c r="Y452" s="714" t="n">
        <v>7000</v>
      </c>
      <c r="Z452" s="63" t="inlineStr">
        <is>
          <t xml:space="preserve">C </t>
        </is>
      </c>
      <c r="AC452" s="67" t="n"/>
      <c r="AD452" s="61" t="inlineStr"/>
      <c r="AE452" s="716" t="n"/>
      <c r="AF452" s="716" t="n"/>
      <c r="AG452" s="716" t="n"/>
      <c r="AH452" s="716" t="n"/>
      <c r="AI452" s="716" t="n"/>
      <c r="AJ452" s="716" t="n"/>
      <c r="AK452" s="717" t="inlineStr"/>
      <c r="AL452">
        <f>IF(AND(ISNUMBER($S452),$S452&gt;0,ISNUMBER($K452),ISNUMBER($J452)),($K452*$J452)/$S452,"")</f>
        <v/>
      </c>
      <c r="AM452" s="59" t="inlineStr"/>
    </row>
    <row r="453" ht="28" customHeight="1" s="518">
      <c r="A453" s="62" t="n">
        <v>7</v>
      </c>
      <c r="B453" s="93" t="n">
        <v>445</v>
      </c>
      <c r="C453" s="68" t="inlineStr">
        <is>
          <t>2011Q</t>
        </is>
      </c>
      <c r="D453" s="59" t="inlineStr">
        <is>
          <t xml:space="preserve">05091-03-046-000 </t>
        </is>
      </c>
      <c r="E453" s="72" t="inlineStr">
        <is>
          <t>Actual</t>
        </is>
      </c>
      <c r="F453" s="73" t="inlineStr">
        <is>
          <t>525   SANTA FE            DR</t>
        </is>
      </c>
      <c r="G453" s="67" t="n">
        <v>44.1</v>
      </c>
      <c r="H453" s="67" t="n">
        <v>9505</v>
      </c>
      <c r="I453" s="69" t="n">
        <v>3</v>
      </c>
      <c r="J453" s="714" t="n">
        <v>21594</v>
      </c>
      <c r="K453" s="715" t="n">
        <v>7.850004630915995</v>
      </c>
      <c r="L453" s="74" t="n">
        <v>0</v>
      </c>
      <c r="M453" s="76" t="n">
        <v>0.005922849574958853</v>
      </c>
      <c r="N453" s="67" t="n">
        <v>1975</v>
      </c>
      <c r="O453" s="64" t="n">
        <v>5148</v>
      </c>
      <c r="P453" s="64" t="n">
        <v>8100</v>
      </c>
      <c r="Q453" s="59" t="n">
        <v>17</v>
      </c>
      <c r="R453" s="59" t="n">
        <v>3</v>
      </c>
      <c r="S453" s="59" t="n">
        <v>3</v>
      </c>
      <c r="T453" s="63" t="inlineStr">
        <is>
          <t xml:space="preserve">B4   </t>
        </is>
      </c>
      <c r="U453" s="63" t="n">
        <v>398</v>
      </c>
      <c r="V453" s="714" t="n">
        <v>26775</v>
      </c>
      <c r="W453" s="714" t="n">
        <v>27000</v>
      </c>
      <c r="X453" s="83" t="inlineStr">
        <is>
          <t>1.2:1</t>
        </is>
      </c>
      <c r="Y453" s="714" t="n">
        <v>22000</v>
      </c>
      <c r="Z453" s="63" t="inlineStr">
        <is>
          <t xml:space="preserve">C </t>
        </is>
      </c>
      <c r="AC453" s="67" t="n"/>
      <c r="AD453" s="61" t="inlineStr">
        <is>
          <t>MULTI/DISTRIB/OFFICE</t>
        </is>
      </c>
      <c r="AE453" s="716" t="n"/>
      <c r="AF453" s="716" t="n"/>
      <c r="AG453" s="716" t="n"/>
      <c r="AH453" s="716" t="n"/>
      <c r="AI453" s="716" t="n"/>
      <c r="AJ453" s="716" t="n"/>
      <c r="AK453" s="717" t="inlineStr">
        <is>
          <t xml:space="preserve">INPUT BASED ON RENT RATE FROM 11/08 LEASE.                        </t>
        </is>
      </c>
      <c r="AL453">
        <f>IF(AND(ISNUMBER($S453),$S453&gt;0,ISNUMBER($K453),ISNUMBER($J453)),($K453*$J453)/$S453,"")</f>
        <v/>
      </c>
      <c r="AM453" s="59" t="inlineStr"/>
    </row>
    <row r="454" ht="14" customHeight="1" s="518">
      <c r="A454" s="62" t="n">
        <v>7</v>
      </c>
      <c r="B454" s="93" t="n">
        <v>446</v>
      </c>
      <c r="C454" s="68" t="inlineStr">
        <is>
          <t>2011Q</t>
        </is>
      </c>
      <c r="D454" s="59" t="inlineStr">
        <is>
          <t>05091-03-047-000</t>
        </is>
      </c>
      <c r="E454" s="72" t="inlineStr">
        <is>
          <t>Actual</t>
        </is>
      </c>
      <c r="F454" s="73" t="inlineStr">
        <is>
          <t>525  SANTA FE            DR</t>
        </is>
      </c>
      <c r="G454" s="67" t="n">
        <v>44.1</v>
      </c>
      <c r="H454" s="67" t="n">
        <v>9505</v>
      </c>
      <c r="I454" s="69" t="n">
        <v>3</v>
      </c>
      <c r="J454" s="714" t="n">
        <v>1995</v>
      </c>
      <c r="K454" s="715" t="n">
        <v>3.007518796992481</v>
      </c>
      <c r="L454" s="74" t="n">
        <v>0</v>
      </c>
      <c r="M454" s="76" t="n">
        <v>0</v>
      </c>
      <c r="N454" s="67" t="n">
        <v>1929</v>
      </c>
      <c r="O454" s="64" t="n">
        <v>0</v>
      </c>
      <c r="Q454" s="59" t="n">
        <v>14</v>
      </c>
      <c r="R454" s="59" t="n">
        <v>1</v>
      </c>
      <c r="S454" s="59" t="n">
        <v>2</v>
      </c>
      <c r="T454" s="63" t="inlineStr">
        <is>
          <t xml:space="preserve">B4   </t>
        </is>
      </c>
      <c r="U454" s="63" t="n">
        <v>395</v>
      </c>
      <c r="V454" s="714" t="n">
        <v>17850</v>
      </c>
      <c r="W454" s="714" t="n">
        <v>18000</v>
      </c>
      <c r="X454" s="83" t="inlineStr">
        <is>
          <t>8.9:1</t>
        </is>
      </c>
      <c r="Y454" s="714" t="n">
        <v>2000</v>
      </c>
      <c r="Z454" s="63" t="inlineStr">
        <is>
          <t>C</t>
        </is>
      </c>
      <c r="AC454" s="67" t="n"/>
      <c r="AD454" s="61" t="inlineStr">
        <is>
          <t xml:space="preserve">WAREHOUSE           </t>
        </is>
      </c>
      <c r="AE454" s="716" t="n"/>
      <c r="AF454" s="716" t="n"/>
      <c r="AG454" s="716" t="n"/>
      <c r="AH454" s="716" t="n"/>
      <c r="AI454" s="716" t="n"/>
      <c r="AJ454" s="716" t="n"/>
      <c r="AK454" s="717" t="inlineStr">
        <is>
          <t>MONTH TO MONTH ON LAPSED 2000 LEASE</t>
        </is>
      </c>
      <c r="AL454">
        <f>IF(AND(ISNUMBER($S454),$S454&gt;0,ISNUMBER($K454),ISNUMBER($J454)),($K454*$J454)/$S454,"")</f>
        <v/>
      </c>
    </row>
    <row r="455" ht="28" customHeight="1" s="518">
      <c r="A455" s="62" t="n">
        <v>7</v>
      </c>
      <c r="B455" s="93" t="n">
        <v>447</v>
      </c>
      <c r="C455" s="68" t="inlineStr">
        <is>
          <t>2011Q</t>
        </is>
      </c>
      <c r="D455" s="59" t="inlineStr">
        <is>
          <t xml:space="preserve">05091-03-048-000 </t>
        </is>
      </c>
      <c r="E455" s="72" t="inlineStr">
        <is>
          <t>Actual</t>
        </is>
      </c>
      <c r="F455" s="73" t="inlineStr">
        <is>
          <t>525  SANTA FE            Dr</t>
        </is>
      </c>
      <c r="G455" s="67" t="n">
        <v>44.1</v>
      </c>
      <c r="H455" s="67" t="n">
        <v>9505</v>
      </c>
      <c r="I455" s="69" t="n">
        <v>3</v>
      </c>
      <c r="J455" s="714" t="n">
        <v>7555</v>
      </c>
      <c r="K455" s="715" t="n">
        <v>12.57445400397088</v>
      </c>
      <c r="L455" s="74" t="n">
        <v>0</v>
      </c>
      <c r="M455" s="76" t="n">
        <v>0.003157894736842105</v>
      </c>
      <c r="N455" s="67" t="n">
        <v>1975</v>
      </c>
      <c r="O455" s="64" t="n">
        <v>287</v>
      </c>
      <c r="Q455" s="59" t="n">
        <v>17</v>
      </c>
      <c r="R455" s="59" t="n">
        <v>3</v>
      </c>
      <c r="S455" s="59" t="n">
        <v>1</v>
      </c>
      <c r="T455" s="63" t="inlineStr">
        <is>
          <t xml:space="preserve">B4   </t>
        </is>
      </c>
      <c r="U455" s="63" t="n">
        <v>398</v>
      </c>
      <c r="V455" s="714" t="n">
        <v>8925</v>
      </c>
      <c r="W455" s="714" t="n">
        <v>9000</v>
      </c>
      <c r="X455" s="83" t="inlineStr">
        <is>
          <t>1.2:1</t>
        </is>
      </c>
      <c r="Y455" s="714" t="n">
        <v>8000</v>
      </c>
      <c r="Z455" s="63" t="inlineStr">
        <is>
          <t xml:space="preserve">C </t>
        </is>
      </c>
      <c r="AC455" s="67" t="n"/>
      <c r="AD455" s="61" t="inlineStr">
        <is>
          <t xml:space="preserve">WAREHOUSE           </t>
        </is>
      </c>
      <c r="AE455" s="716" t="n"/>
      <c r="AF455" s="716" t="n"/>
      <c r="AG455" s="716" t="n"/>
      <c r="AH455" s="716" t="n"/>
      <c r="AI455" s="716" t="n"/>
      <c r="AJ455" s="716" t="n"/>
      <c r="AK455" s="717" t="inlineStr">
        <is>
          <t>RECORD LEASE FOR 7,060 SF; GBA = 7555. USE GBA -CORRECTED PARCEL# ON RETURN</t>
        </is>
      </c>
      <c r="AL455">
        <f>IF(AND(ISNUMBER($S455),$S455&gt;0,ISNUMBER($K455),ISNUMBER($J455)),($K455*$J455)/$S455,"")</f>
        <v/>
      </c>
      <c r="AM455" s="59" t="inlineStr"/>
    </row>
    <row r="456" ht="14" customHeight="1" s="518">
      <c r="A456" s="62" t="n">
        <v>7</v>
      </c>
      <c r="B456" s="93" t="n">
        <v>448</v>
      </c>
      <c r="C456" s="68" t="inlineStr">
        <is>
          <t>2011Q</t>
        </is>
      </c>
      <c r="D456" s="59" t="inlineStr">
        <is>
          <t xml:space="preserve">05091-08-001-000 </t>
        </is>
      </c>
      <c r="E456" s="72" t="inlineStr">
        <is>
          <t>Actual</t>
        </is>
      </c>
      <c r="F456" s="73" t="inlineStr">
        <is>
          <t>490   SANTA FE            DR</t>
        </is>
      </c>
      <c r="G456" s="708" t="n">
        <v>42.1</v>
      </c>
      <c r="H456" s="67" t="n">
        <v>9505</v>
      </c>
      <c r="I456" s="69" t="n">
        <v>3</v>
      </c>
      <c r="J456" s="714" t="n">
        <v>4020</v>
      </c>
      <c r="K456" s="715" t="n">
        <v>7.992537313432836</v>
      </c>
      <c r="L456" s="74" t="n">
        <v>0</v>
      </c>
      <c r="M456" s="76" t="n">
        <v>0.06825396825396825</v>
      </c>
      <c r="N456" s="67" t="n">
        <v>1975</v>
      </c>
      <c r="O456" s="64" t="n">
        <v>705</v>
      </c>
      <c r="Q456" s="59" t="n">
        <v>17</v>
      </c>
      <c r="R456" s="59" t="n">
        <v>1</v>
      </c>
      <c r="S456" s="59" t="n">
        <v>1</v>
      </c>
      <c r="T456" s="63" t="inlineStr">
        <is>
          <t xml:space="preserve">B4   </t>
        </is>
      </c>
      <c r="U456" s="63" t="n">
        <v>401</v>
      </c>
      <c r="V456" s="714" t="n">
        <v>5247</v>
      </c>
      <c r="W456" s="714" t="n">
        <v>5000</v>
      </c>
      <c r="X456" s="83" t="inlineStr">
        <is>
          <t>1.3:1</t>
        </is>
      </c>
      <c r="Y456" s="714" t="n">
        <v>4000</v>
      </c>
      <c r="Z456" s="63" t="inlineStr">
        <is>
          <t xml:space="preserve">C </t>
        </is>
      </c>
      <c r="AC456" s="67" t="n"/>
      <c r="AD456" s="61" t="inlineStr">
        <is>
          <t xml:space="preserve">S-W                 </t>
        </is>
      </c>
      <c r="AE456" s="716" t="n"/>
      <c r="AF456" s="716" t="n"/>
      <c r="AG456" s="716" t="n"/>
      <c r="AH456" s="716" t="n"/>
      <c r="AI456" s="716" t="n"/>
      <c r="AJ456" s="716" t="n"/>
      <c r="AK456" s="717" t="inlineStr"/>
      <c r="AL456">
        <f>IF(AND(ISNUMBER($S456),$S456&gt;0,ISNUMBER($K456),ISNUMBER($J456)),($K456*$J456)/$S456,"")</f>
        <v/>
      </c>
      <c r="AM456" s="59" t="inlineStr"/>
    </row>
    <row r="457" ht="14" customHeight="1" s="518">
      <c r="A457" s="62" t="n">
        <v>7</v>
      </c>
      <c r="B457" s="93" t="n">
        <v>449</v>
      </c>
      <c r="C457" s="68" t="inlineStr">
        <is>
          <t>2011Q</t>
        </is>
      </c>
      <c r="D457" s="59" t="inlineStr">
        <is>
          <t xml:space="preserve">05091-20-016-000 </t>
        </is>
      </c>
      <c r="E457" s="72" t="inlineStr">
        <is>
          <t>Actual</t>
        </is>
      </c>
      <c r="F457" s="73" t="inlineStr">
        <is>
          <t>275   KALAMATH            ST</t>
        </is>
      </c>
      <c r="G457" s="708" t="n">
        <v>44.2</v>
      </c>
      <c r="H457" s="67" t="n">
        <v>9505</v>
      </c>
      <c r="I457" s="69" t="n">
        <v>0</v>
      </c>
      <c r="J457" s="714" t="n">
        <v>17286</v>
      </c>
      <c r="K457" s="715" t="n">
        <v>5.323672335994447</v>
      </c>
      <c r="L457" s="74" t="n">
        <v>0</v>
      </c>
      <c r="M457" s="76" t="n">
        <v>0.03140450964411844</v>
      </c>
      <c r="N457" s="67" t="n">
        <v>1959</v>
      </c>
      <c r="O457" s="64" t="n">
        <v>2902</v>
      </c>
      <c r="Q457" s="59" t="n">
        <v>15</v>
      </c>
      <c r="R457" s="59" t="n">
        <v>3</v>
      </c>
      <c r="S457" s="59" t="n">
        <v>1</v>
      </c>
      <c r="T457" s="63" t="inlineStr">
        <is>
          <t xml:space="preserve">I1   </t>
        </is>
      </c>
      <c r="U457" s="63" t="n">
        <v>398</v>
      </c>
      <c r="V457" s="714" t="n">
        <v>36500</v>
      </c>
      <c r="W457" s="714" t="n">
        <v>37000</v>
      </c>
      <c r="X457" s="83" t="inlineStr">
        <is>
          <t>2.1:1</t>
        </is>
      </c>
      <c r="Y457" s="714" t="n">
        <v>17000</v>
      </c>
      <c r="Z457" s="63" t="inlineStr">
        <is>
          <t xml:space="preserve">C </t>
        </is>
      </c>
      <c r="AC457" s="67" t="n"/>
      <c r="AD457" s="61" t="inlineStr">
        <is>
          <t xml:space="preserve">WHSE DIST.          </t>
        </is>
      </c>
      <c r="AE457" s="716" t="n"/>
      <c r="AF457" s="716" t="n"/>
      <c r="AG457" s="716" t="n"/>
      <c r="AH457" s="716" t="n"/>
      <c r="AI457" s="716" t="n"/>
      <c r="AJ457" s="716" t="n"/>
      <c r="AK457" s="717" t="inlineStr">
        <is>
          <t xml:space="preserve">2008 LEASE.                                                       </t>
        </is>
      </c>
      <c r="AL457">
        <f>IF(AND(ISNUMBER($S457),$S457&gt;0,ISNUMBER($K457),ISNUMBER($J457)),($K457*$J457)/$S457,"")</f>
        <v/>
      </c>
      <c r="AM457" s="59" t="inlineStr"/>
    </row>
    <row r="458" ht="14" customHeight="1" s="518">
      <c r="A458" s="62" t="n">
        <v>7</v>
      </c>
      <c r="B458" s="93" t="n">
        <v>450</v>
      </c>
      <c r="C458" s="68" t="inlineStr">
        <is>
          <t>2011Q</t>
        </is>
      </c>
      <c r="D458" s="59" t="inlineStr">
        <is>
          <t xml:space="preserve">05091-21-002-000 </t>
        </is>
      </c>
      <c r="E458" s="72" t="inlineStr">
        <is>
          <t>Actual</t>
        </is>
      </c>
      <c r="F458" s="73" t="inlineStr">
        <is>
          <t>200   KALAMATH            ST</t>
        </is>
      </c>
      <c r="G458" s="708" t="n">
        <v>44.2</v>
      </c>
      <c r="H458" s="67" t="n">
        <v>9505</v>
      </c>
      <c r="I458" s="69" t="n">
        <v>0</v>
      </c>
      <c r="J458" s="714" t="n">
        <v>7883</v>
      </c>
      <c r="K458" s="715" t="n">
        <v>3.196752505391348</v>
      </c>
      <c r="L458" s="74" t="n">
        <v>0</v>
      </c>
      <c r="M458" s="76" t="n">
        <v>0.06797619047619048</v>
      </c>
      <c r="N458" s="67" t="n">
        <v>1955</v>
      </c>
      <c r="O458" s="64" t="n">
        <v>3048</v>
      </c>
      <c r="Q458" s="59" t="n">
        <v>12</v>
      </c>
      <c r="R458" s="59" t="n">
        <v>3</v>
      </c>
      <c r="S458" s="59" t="n">
        <v>1</v>
      </c>
      <c r="T458" s="63" t="inlineStr">
        <is>
          <t xml:space="preserve">I1   </t>
        </is>
      </c>
      <c r="U458" s="63" t="n">
        <v>398</v>
      </c>
      <c r="V458" s="714" t="n">
        <v>14243</v>
      </c>
      <c r="W458" s="714" t="n">
        <v>14000</v>
      </c>
      <c r="X458" s="83" t="inlineStr">
        <is>
          <t>1.8:1</t>
        </is>
      </c>
      <c r="Y458" s="714" t="n">
        <v>8000</v>
      </c>
      <c r="Z458" s="63" t="inlineStr">
        <is>
          <t xml:space="preserve">C </t>
        </is>
      </c>
      <c r="AC458" s="67" t="n"/>
      <c r="AD458" s="61" t="inlineStr"/>
      <c r="AE458" s="716" t="n"/>
      <c r="AF458" s="716" t="n"/>
      <c r="AG458" s="716" t="n"/>
      <c r="AH458" s="716" t="n"/>
      <c r="AI458" s="716" t="n"/>
      <c r="AJ458" s="716" t="n"/>
      <c r="AK458" s="717" t="inlineStr"/>
      <c r="AL458">
        <f>IF(AND(ISNUMBER($S458),$S458&gt;0,ISNUMBER($K458),ISNUMBER($J458)),($K458*$J458)/$S458,"")</f>
        <v/>
      </c>
      <c r="AM458" s="59" t="inlineStr"/>
    </row>
    <row r="459" ht="14" customHeight="1" s="518">
      <c r="A459" s="62" t="n">
        <v>7</v>
      </c>
      <c r="B459" s="93" t="n">
        <v>451</v>
      </c>
      <c r="C459" s="68" t="inlineStr">
        <is>
          <t>2011Q</t>
        </is>
      </c>
      <c r="D459" s="59" t="inlineStr">
        <is>
          <t xml:space="preserve">05092-00-076-000 </t>
        </is>
      </c>
      <c r="E459" s="72" t="inlineStr">
        <is>
          <t>Actual</t>
        </is>
      </c>
      <c r="F459" s="73" t="inlineStr">
        <is>
          <t>657   OSAGE               ST</t>
        </is>
      </c>
      <c r="G459" s="67" t="n">
        <v>44.1</v>
      </c>
      <c r="H459" s="67" t="n">
        <v>9505</v>
      </c>
      <c r="I459" s="69" t="n">
        <v>0</v>
      </c>
      <c r="J459" s="714" t="n">
        <v>9361</v>
      </c>
      <c r="K459" s="715" t="n">
        <v>4.422604422604422</v>
      </c>
      <c r="L459" s="74" t="n">
        <v>0</v>
      </c>
      <c r="M459" s="76" t="n">
        <v>0.01509661835748792</v>
      </c>
      <c r="N459" s="67" t="n">
        <v>1965</v>
      </c>
      <c r="O459" s="64" t="n">
        <v>1260</v>
      </c>
      <c r="Q459" s="59" t="n">
        <v>14</v>
      </c>
      <c r="R459" s="59" t="n">
        <v>1</v>
      </c>
      <c r="S459" s="59" t="n">
        <v>1</v>
      </c>
      <c r="T459" s="63" t="inlineStr">
        <is>
          <t xml:space="preserve">I1   </t>
        </is>
      </c>
      <c r="U459" s="63" t="n">
        <v>398</v>
      </c>
      <c r="V459" s="714" t="n">
        <v>17908</v>
      </c>
      <c r="W459" s="714" t="n">
        <v>18000</v>
      </c>
      <c r="X459" s="83" t="inlineStr">
        <is>
          <t>1.9:1</t>
        </is>
      </c>
      <c r="Y459" s="714" t="n">
        <v>9000</v>
      </c>
      <c r="Z459" s="63" t="inlineStr">
        <is>
          <t xml:space="preserve">C </t>
        </is>
      </c>
      <c r="AC459" s="67" t="n"/>
      <c r="AD459" s="61" t="inlineStr"/>
      <c r="AE459" s="716" t="n"/>
      <c r="AF459" s="716" t="n"/>
      <c r="AG459" s="716" t="n"/>
      <c r="AH459" s="716" t="n"/>
      <c r="AI459" s="716" t="n"/>
      <c r="AJ459" s="716" t="n"/>
      <c r="AK459" s="717" t="inlineStr">
        <is>
          <t xml:space="preserve">DATA FOR 2010 LEASE ENTERED.                                      </t>
        </is>
      </c>
      <c r="AL459">
        <f>IF(AND(ISNUMBER($S459),$S459&gt;0,ISNUMBER($K459),ISNUMBER($J459)),($K459*$J459)/$S459,"")</f>
        <v/>
      </c>
      <c r="AM459" s="59" t="inlineStr"/>
    </row>
    <row r="460" ht="14" customHeight="1" s="518">
      <c r="A460" s="62" t="n">
        <v>7</v>
      </c>
      <c r="B460" s="93" t="n">
        <v>452</v>
      </c>
      <c r="C460" s="68" t="inlineStr">
        <is>
          <t>2011Q</t>
        </is>
      </c>
      <c r="D460" s="59" t="inlineStr">
        <is>
          <t xml:space="preserve">05092-06-015-000 </t>
        </is>
      </c>
      <c r="E460" s="72" t="inlineStr">
        <is>
          <t>Actual</t>
        </is>
      </c>
      <c r="F460" s="73" t="inlineStr">
        <is>
          <t>707   UMATILLA            ST</t>
        </is>
      </c>
      <c r="G460" s="67" t="n">
        <v>44.1</v>
      </c>
      <c r="H460" s="67" t="n">
        <v>9505</v>
      </c>
      <c r="I460" s="69" t="n">
        <v>0</v>
      </c>
      <c r="J460" s="714" t="n">
        <v>18270</v>
      </c>
      <c r="K460" s="715" t="n">
        <v>6.371811713191024</v>
      </c>
      <c r="L460" s="74" t="n">
        <v>0</v>
      </c>
      <c r="M460" s="76" t="n">
        <v>0.004380954017163032</v>
      </c>
      <c r="N460" s="67" t="n">
        <v>1982</v>
      </c>
      <c r="O460" s="64" t="n">
        <v>1128</v>
      </c>
      <c r="P460" s="64" t="n">
        <v>1293</v>
      </c>
      <c r="Q460" s="59" t="n">
        <v>17</v>
      </c>
      <c r="R460" s="59" t="n">
        <v>7</v>
      </c>
      <c r="S460" s="59" t="n">
        <v>1</v>
      </c>
      <c r="T460" s="63" t="inlineStr">
        <is>
          <t xml:space="preserve">I1   </t>
        </is>
      </c>
      <c r="U460" s="63" t="n">
        <v>398</v>
      </c>
      <c r="V460" s="714" t="n">
        <v>29950</v>
      </c>
      <c r="W460" s="714" t="n">
        <v>30000</v>
      </c>
      <c r="X460" s="83" t="inlineStr">
        <is>
          <t>1.6:1</t>
        </is>
      </c>
      <c r="Y460" s="714" t="n">
        <v>18000</v>
      </c>
      <c r="Z460" s="63" t="inlineStr">
        <is>
          <t xml:space="preserve">C </t>
        </is>
      </c>
      <c r="AC460" s="67" t="n"/>
      <c r="AD460" s="61" t="inlineStr"/>
      <c r="AE460" s="716" t="n"/>
      <c r="AF460" s="716" t="n"/>
      <c r="AG460" s="716" t="n"/>
      <c r="AH460" s="716" t="n"/>
      <c r="AI460" s="716" t="n"/>
      <c r="AJ460" s="716" t="n"/>
      <c r="AK460" s="717" t="inlineStr"/>
      <c r="AL460">
        <f>IF(AND(ISNUMBER($S460),$S460&gt;0,ISNUMBER($K460),ISNUMBER($J460)),($K460*$J460)/$S460,"")</f>
        <v/>
      </c>
      <c r="AM460" s="59" t="inlineStr"/>
    </row>
    <row r="461" ht="14" customHeight="1" s="518">
      <c r="A461" s="62" t="n">
        <v>7</v>
      </c>
      <c r="B461" s="93" t="n">
        <v>453</v>
      </c>
      <c r="C461" s="68" t="inlineStr">
        <is>
          <t>2011Q</t>
        </is>
      </c>
      <c r="D461" s="59" t="inlineStr">
        <is>
          <t xml:space="preserve">05092-06-023-000 </t>
        </is>
      </c>
      <c r="E461" s="72" t="inlineStr">
        <is>
          <t>Actual</t>
        </is>
      </c>
      <c r="F461" s="73" t="inlineStr">
        <is>
          <t>777   UMATILLA            ST</t>
        </is>
      </c>
      <c r="G461" s="708" t="n">
        <v>47.1</v>
      </c>
      <c r="H461" s="67" t="n">
        <v>9505</v>
      </c>
      <c r="I461" s="69" t="n">
        <v>0</v>
      </c>
      <c r="J461" s="714" t="n">
        <v>15531</v>
      </c>
      <c r="K461" s="715" t="n">
        <v>5.134891507307965</v>
      </c>
      <c r="L461" s="74" t="n">
        <v>0.75</v>
      </c>
      <c r="M461" s="76" t="n">
        <v>0</v>
      </c>
      <c r="N461" s="67" t="n">
        <v>1962</v>
      </c>
      <c r="O461" s="64" t="n">
        <v>978</v>
      </c>
      <c r="Q461" s="59" t="n">
        <v>16</v>
      </c>
      <c r="R461" s="59" t="n">
        <v>1</v>
      </c>
      <c r="S461" s="59" t="n">
        <v>1</v>
      </c>
      <c r="T461" s="63" t="inlineStr">
        <is>
          <t xml:space="preserve">I1   </t>
        </is>
      </c>
      <c r="U461" s="63" t="n">
        <v>401</v>
      </c>
      <c r="V461" s="714" t="n">
        <v>27000</v>
      </c>
      <c r="W461" s="714" t="n">
        <v>27000</v>
      </c>
      <c r="X461" s="83" t="inlineStr">
        <is>
          <t>1.7:1</t>
        </is>
      </c>
      <c r="Y461" s="714" t="n">
        <v>16000</v>
      </c>
      <c r="Z461" s="63" t="inlineStr">
        <is>
          <t xml:space="preserve">C </t>
        </is>
      </c>
      <c r="AC461" s="67" t="n"/>
      <c r="AD461" s="61" t="inlineStr">
        <is>
          <t xml:space="preserve">VACANT              </t>
        </is>
      </c>
      <c r="AE461" s="716" t="n"/>
      <c r="AF461" s="716" t="n"/>
      <c r="AG461" s="716" t="n"/>
      <c r="AH461" s="716" t="n"/>
      <c r="AI461" s="716" t="n"/>
      <c r="AJ461" s="716" t="n"/>
      <c r="AK461" s="717" t="inlineStr"/>
      <c r="AL461">
        <f>IF(AND(ISNUMBER($S461),$S461&gt;0,ISNUMBER($K461),ISNUMBER($J461)),($K461*$J461)/$S461,"")</f>
        <v/>
      </c>
      <c r="AM461" s="59" t="inlineStr"/>
    </row>
    <row r="462" ht="14" customHeight="1" s="518">
      <c r="A462" s="62" t="n">
        <v>7</v>
      </c>
      <c r="B462" s="93" t="n">
        <v>454</v>
      </c>
      <c r="C462" s="68" t="inlineStr">
        <is>
          <t>2011Q</t>
        </is>
      </c>
      <c r="D462" s="59" t="inlineStr">
        <is>
          <t xml:space="preserve">05092-07-013-000 </t>
        </is>
      </c>
      <c r="E462" s="72" t="inlineStr">
        <is>
          <t>Actual</t>
        </is>
      </c>
      <c r="F462" s="73" t="inlineStr">
        <is>
          <t>745   VALLEJO             ST</t>
        </is>
      </c>
      <c r="G462" s="67" t="n">
        <v>44.1</v>
      </c>
      <c r="H462" s="67" t="n">
        <v>9505</v>
      </c>
      <c r="I462" s="69" t="n">
        <v>0</v>
      </c>
      <c r="J462" s="714" t="n">
        <v>2800</v>
      </c>
      <c r="K462" s="715" t="n">
        <v>9.945</v>
      </c>
      <c r="L462" s="74" t="n">
        <v>0</v>
      </c>
      <c r="M462" s="76" t="n">
        <v>0.0706385118149824</v>
      </c>
      <c r="N462" s="67" t="n">
        <v>1964</v>
      </c>
      <c r="O462" s="64" t="n">
        <v>198</v>
      </c>
      <c r="Q462" s="59" t="n">
        <v>14</v>
      </c>
      <c r="R462" s="59" t="n">
        <v>3</v>
      </c>
      <c r="S462" s="59" t="n">
        <v>1</v>
      </c>
      <c r="T462" s="63" t="inlineStr">
        <is>
          <t xml:space="preserve">I1   </t>
        </is>
      </c>
      <c r="U462" s="63" t="n">
        <v>398</v>
      </c>
      <c r="V462" s="714" t="n">
        <v>6000</v>
      </c>
      <c r="W462" s="714" t="n">
        <v>6000</v>
      </c>
      <c r="X462" s="83" t="inlineStr">
        <is>
          <t>2.1:1</t>
        </is>
      </c>
      <c r="Y462" s="714" t="n">
        <v>3000</v>
      </c>
      <c r="Z462" s="63" t="inlineStr">
        <is>
          <t xml:space="preserve">C </t>
        </is>
      </c>
      <c r="AC462" s="67" t="n"/>
      <c r="AD462" s="61" t="inlineStr">
        <is>
          <t>S-W DENVER WIRE WORK</t>
        </is>
      </c>
      <c r="AE462" s="716" t="n"/>
      <c r="AF462" s="716" t="n"/>
      <c r="AG462" s="716" t="n"/>
      <c r="AH462" s="716" t="n"/>
      <c r="AI462" s="716" t="n"/>
      <c r="AJ462" s="716" t="n"/>
      <c r="AK462" s="717" t="inlineStr">
        <is>
          <t xml:space="preserve">2008 LEASE.                                                       </t>
        </is>
      </c>
      <c r="AL462">
        <f>IF(AND(ISNUMBER($S462),$S462&gt;0,ISNUMBER($K462),ISNUMBER($J462)),($K462*$J462)/$S462,"")</f>
        <v/>
      </c>
      <c r="AM462" s="59" t="inlineStr"/>
    </row>
    <row r="463" ht="28" customHeight="1" s="518">
      <c r="A463" s="62" t="n">
        <v>7</v>
      </c>
      <c r="B463" s="93" t="n">
        <v>455</v>
      </c>
      <c r="C463" s="68" t="inlineStr">
        <is>
          <t>2011Q</t>
        </is>
      </c>
      <c r="D463" s="59" t="inlineStr">
        <is>
          <t xml:space="preserve">05092-07-032-000 </t>
        </is>
      </c>
      <c r="E463" s="72" t="inlineStr">
        <is>
          <t>Actual</t>
        </is>
      </c>
      <c r="F463" s="73" t="inlineStr">
        <is>
          <t>755   VALLEJO             ST</t>
        </is>
      </c>
      <c r="G463" s="708" t="n">
        <v>44.2</v>
      </c>
      <c r="H463" s="67" t="n">
        <v>9505</v>
      </c>
      <c r="I463" s="69" t="n">
        <v>0</v>
      </c>
      <c r="J463" s="714" t="n">
        <v>4928</v>
      </c>
      <c r="K463" s="715" t="n">
        <v>6.25</v>
      </c>
      <c r="L463" s="74" t="n">
        <v>0.59</v>
      </c>
      <c r="M463" s="76" t="n">
        <v>0.391038961038961</v>
      </c>
      <c r="N463" s="67" t="n">
        <v>1970</v>
      </c>
      <c r="O463" s="64" t="n">
        <v>5575</v>
      </c>
      <c r="Q463" s="59" t="n">
        <v>18</v>
      </c>
      <c r="R463" s="59" t="n">
        <v>1</v>
      </c>
      <c r="S463" s="59" t="n">
        <v>1</v>
      </c>
      <c r="T463" s="63" t="inlineStr">
        <is>
          <t xml:space="preserve">I1   </t>
        </is>
      </c>
      <c r="U463" s="63" t="n">
        <v>398</v>
      </c>
      <c r="V463" s="714" t="n">
        <v>18000</v>
      </c>
      <c r="W463" s="714" t="n">
        <v>18000</v>
      </c>
      <c r="X463" s="83" t="inlineStr">
        <is>
          <t>1.5:1</t>
        </is>
      </c>
      <c r="Y463" s="714" t="n">
        <v>5000</v>
      </c>
      <c r="Z463" s="63" t="inlineStr">
        <is>
          <t xml:space="preserve">C </t>
        </is>
      </c>
      <c r="AC463" s="67" t="n"/>
      <c r="AD463" s="61" t="inlineStr">
        <is>
          <t xml:space="preserve">M-W                 </t>
        </is>
      </c>
      <c r="AE463" s="716" t="n"/>
      <c r="AF463" s="716" t="n"/>
      <c r="AG463" s="716" t="n"/>
      <c r="AH463" s="716" t="n"/>
      <c r="AI463" s="716" t="n"/>
      <c r="AJ463" s="716" t="n"/>
      <c r="AK463" s="717" t="inlineStr">
        <is>
          <t xml:space="preserve">APPLY DATA FOR 4928 SF LEASED IN 2009; TOTAL 11867 SF BUILDING.   </t>
        </is>
      </c>
      <c r="AL463">
        <f>IF(AND(ISNUMBER($S463),$S463&gt;0,ISNUMBER($K463),ISNUMBER($J463)),($K463*$J463)/$S463,"")</f>
        <v/>
      </c>
      <c r="AM463" s="59" t="inlineStr"/>
    </row>
    <row r="464" ht="14" customHeight="1" s="518">
      <c r="A464" s="62" t="n">
        <v>7</v>
      </c>
      <c r="B464" s="93" t="n">
        <v>456</v>
      </c>
      <c r="C464" s="68" t="inlineStr">
        <is>
          <t>2011Q</t>
        </is>
      </c>
      <c r="D464" s="59" t="inlineStr">
        <is>
          <t xml:space="preserve">05092-13-013-000 </t>
        </is>
      </c>
      <c r="E464" s="72" t="inlineStr">
        <is>
          <t>Actual</t>
        </is>
      </c>
      <c r="F464" s="73" t="inlineStr">
        <is>
          <t>2038 W 7TH                 AV</t>
        </is>
      </c>
      <c r="G464" s="67" t="n">
        <v>44.1</v>
      </c>
      <c r="H464" s="67" t="n">
        <v>9505</v>
      </c>
      <c r="I464" s="69" t="n">
        <v>0</v>
      </c>
      <c r="J464" s="714" t="n">
        <v>28364</v>
      </c>
      <c r="K464" s="715" t="n">
        <v>5.906078127203497</v>
      </c>
      <c r="L464" s="74" t="n">
        <v>0</v>
      </c>
      <c r="M464" s="76" t="n">
        <v>0.006536532951289398</v>
      </c>
      <c r="N464" s="67" t="n">
        <v>1961</v>
      </c>
      <c r="O464" s="64" t="n">
        <v>1967</v>
      </c>
      <c r="Q464" s="59" t="n">
        <v>13</v>
      </c>
      <c r="R464" s="59" t="n">
        <v>3</v>
      </c>
      <c r="S464" s="59" t="n">
        <v>1</v>
      </c>
      <c r="T464" s="63" t="inlineStr">
        <is>
          <t xml:space="preserve">I1   </t>
        </is>
      </c>
      <c r="U464" s="63" t="n">
        <v>398</v>
      </c>
      <c r="V464" s="714" t="n">
        <v>47476</v>
      </c>
      <c r="W464" s="714" t="n">
        <v>47000</v>
      </c>
      <c r="X464" s="83" t="inlineStr">
        <is>
          <t>1.7:1</t>
        </is>
      </c>
      <c r="Y464" s="714" t="n">
        <v>28000</v>
      </c>
      <c r="Z464" s="63" t="inlineStr">
        <is>
          <t xml:space="preserve">C </t>
        </is>
      </c>
      <c r="AC464" s="67" t="n"/>
      <c r="AD464" s="61" t="inlineStr"/>
      <c r="AE464" s="716" t="n"/>
      <c r="AF464" s="716" t="n"/>
      <c r="AG464" s="716" t="n"/>
      <c r="AH464" s="716" t="n"/>
      <c r="AI464" s="716" t="n"/>
      <c r="AJ464" s="716" t="n"/>
      <c r="AK464" s="717" t="inlineStr"/>
      <c r="AL464">
        <f>IF(AND(ISNUMBER($S464),$S464&gt;0,ISNUMBER($K464),ISNUMBER($J464)),($K464*$J464)/$S464,"")</f>
        <v/>
      </c>
      <c r="AM464" s="59" t="inlineStr"/>
    </row>
    <row r="465" ht="14" customHeight="1" s="518">
      <c r="A465" s="62" t="n">
        <v>7</v>
      </c>
      <c r="B465" s="93" t="n">
        <v>457</v>
      </c>
      <c r="C465" s="68" t="inlineStr">
        <is>
          <t>2011Q</t>
        </is>
      </c>
      <c r="D465" s="59" t="inlineStr">
        <is>
          <t xml:space="preserve">05093-00-052-000 </t>
        </is>
      </c>
      <c r="E465" s="72" t="inlineStr">
        <is>
          <t>Actual</t>
        </is>
      </c>
      <c r="F465" s="73" t="inlineStr">
        <is>
          <t>163   VALLEJO             ST</t>
        </is>
      </c>
      <c r="G465" s="67" t="n">
        <v>44.1</v>
      </c>
      <c r="H465" s="67" t="n">
        <v>9508</v>
      </c>
      <c r="I465" s="69" t="n">
        <v>0</v>
      </c>
      <c r="J465" s="714" t="n">
        <v>4681</v>
      </c>
      <c r="K465" s="715" t="n">
        <v>11.02328562273019</v>
      </c>
      <c r="L465" s="74" t="n">
        <v>0</v>
      </c>
      <c r="M465" s="76" t="n">
        <v>0.02426356589147287</v>
      </c>
      <c r="N465" s="67" t="n">
        <v>1937</v>
      </c>
      <c r="O465" s="64" t="n">
        <v>700</v>
      </c>
      <c r="P465" s="64" t="n">
        <v>1922</v>
      </c>
      <c r="Q465" s="59" t="n">
        <v>18</v>
      </c>
      <c r="R465" s="59" t="n">
        <v>3</v>
      </c>
      <c r="S465" s="59" t="n">
        <v>1</v>
      </c>
      <c r="T465" s="63" t="inlineStr">
        <is>
          <t xml:space="preserve">I1   </t>
        </is>
      </c>
      <c r="U465" s="63" t="n">
        <v>398</v>
      </c>
      <c r="V465" s="714" t="n">
        <v>14136</v>
      </c>
      <c r="W465" s="714" t="n">
        <v>14000</v>
      </c>
      <c r="X465" s="83" t="inlineStr">
        <is>
          <t>3.0:1</t>
        </is>
      </c>
      <c r="Y465" s="714" t="n">
        <v>5000</v>
      </c>
      <c r="Z465" s="63" t="inlineStr">
        <is>
          <t xml:space="preserve">C </t>
        </is>
      </c>
      <c r="AC465" s="67" t="n"/>
      <c r="AD465" s="61" t="inlineStr">
        <is>
          <t>IAI CONSTRUCTION CO.</t>
        </is>
      </c>
      <c r="AE465" s="716" t="n"/>
      <c r="AF465" s="716" t="n"/>
      <c r="AG465" s="716" t="n"/>
      <c r="AH465" s="716" t="n"/>
      <c r="AI465" s="716" t="n"/>
      <c r="AJ465" s="716" t="n"/>
      <c r="AK465" s="717" t="inlineStr"/>
      <c r="AL465">
        <f>IF(AND(ISNUMBER($S465),$S465&gt;0,ISNUMBER($K465),ISNUMBER($J465)),($K465*$J465)/$S465,"")</f>
        <v/>
      </c>
      <c r="AM465" s="59" t="inlineStr"/>
    </row>
    <row r="466" ht="28" customHeight="1" s="518">
      <c r="A466" s="62" t="n">
        <v>7</v>
      </c>
      <c r="B466" s="93" t="n">
        <v>458</v>
      </c>
      <c r="C466" s="68" t="inlineStr">
        <is>
          <t>2011Q</t>
        </is>
      </c>
      <c r="D466" s="59" t="inlineStr">
        <is>
          <t xml:space="preserve">05093-11-008-000 </t>
        </is>
      </c>
      <c r="E466" s="72" t="inlineStr">
        <is>
          <t>Actual</t>
        </is>
      </c>
      <c r="F466" s="73" t="inlineStr">
        <is>
          <t>145   YUMA                ST</t>
        </is>
      </c>
      <c r="G466" s="67" t="n">
        <v>44.1</v>
      </c>
      <c r="H466" s="67" t="n">
        <v>9508</v>
      </c>
      <c r="I466" s="69" t="n">
        <v>0</v>
      </c>
      <c r="J466" s="714" t="n">
        <v>6930</v>
      </c>
      <c r="K466" s="715" t="n">
        <v>6.149639249639249</v>
      </c>
      <c r="L466" s="74" t="n">
        <v>0</v>
      </c>
      <c r="M466" s="76" t="n">
        <v>0.30699016824272</v>
      </c>
      <c r="N466" s="67" t="n">
        <v>1965</v>
      </c>
      <c r="O466" s="64" t="n">
        <v>1260</v>
      </c>
      <c r="Q466" s="59" t="n">
        <v>13</v>
      </c>
      <c r="R466" s="59" t="n">
        <v>1</v>
      </c>
      <c r="S466" s="59" t="n">
        <v>1</v>
      </c>
      <c r="T466" s="63" t="inlineStr">
        <is>
          <t xml:space="preserve">I1   </t>
        </is>
      </c>
      <c r="U466" s="63" t="n">
        <v>398</v>
      </c>
      <c r="V466" s="714" t="n">
        <v>18900</v>
      </c>
      <c r="W466" s="714" t="n">
        <v>19000</v>
      </c>
      <c r="X466" s="83" t="inlineStr">
        <is>
          <t>2.7:1</t>
        </is>
      </c>
      <c r="Y466" s="714" t="n">
        <v>7000</v>
      </c>
      <c r="Z466" s="63" t="inlineStr">
        <is>
          <t xml:space="preserve">C </t>
        </is>
      </c>
      <c r="AC466" s="67" t="n"/>
      <c r="AD466" s="61" t="inlineStr"/>
      <c r="AE466" s="716" t="n"/>
      <c r="AF466" s="716" t="n"/>
      <c r="AG466" s="716" t="n"/>
      <c r="AH466" s="716" t="n"/>
      <c r="AI466" s="716" t="n"/>
      <c r="AJ466" s="716" t="n"/>
      <c r="AK466" s="717" t="inlineStr">
        <is>
          <t xml:space="preserve">OWNER PAYING TOO MUCH OF THE EXPENSE HERE.                        </t>
        </is>
      </c>
      <c r="AL466">
        <f>IF(AND(ISNUMBER($S466),$S466&gt;0,ISNUMBER($K466),ISNUMBER($J466)),($K466*$J466)/$S466,"")</f>
        <v/>
      </c>
      <c r="AM466" s="59" t="inlineStr"/>
    </row>
    <row r="467" ht="14" customHeight="1" s="518">
      <c r="A467" s="62" t="n">
        <v>7</v>
      </c>
      <c r="B467" s="93" t="n">
        <v>459</v>
      </c>
      <c r="C467" s="68" t="inlineStr">
        <is>
          <t>2011Q</t>
        </is>
      </c>
      <c r="D467" s="59" t="inlineStr">
        <is>
          <t xml:space="preserve">05094-05-032-000 </t>
        </is>
      </c>
      <c r="E467" s="72" t="inlineStr">
        <is>
          <t>Actual</t>
        </is>
      </c>
      <c r="F467" s="73" t="inlineStr">
        <is>
          <t>1448 W CEDAR               AV</t>
        </is>
      </c>
      <c r="G467" s="67" t="n">
        <v>44.1</v>
      </c>
      <c r="H467" s="67" t="n">
        <v>9508</v>
      </c>
      <c r="I467" s="69" t="n">
        <v>0</v>
      </c>
      <c r="J467" s="714" t="n">
        <v>6300</v>
      </c>
      <c r="K467" s="715" t="n">
        <v>5.714285714285714</v>
      </c>
      <c r="L467" s="74" t="n">
        <v>0</v>
      </c>
      <c r="M467" s="76" t="n">
        <v>0.1518611111111111</v>
      </c>
      <c r="N467" s="67" t="n">
        <v>1982</v>
      </c>
      <c r="O467" s="64" t="n">
        <v>929</v>
      </c>
      <c r="Q467" s="59" t="n">
        <v>15</v>
      </c>
      <c r="R467" s="59" t="n">
        <v>3</v>
      </c>
      <c r="S467" s="59" t="n">
        <v>1</v>
      </c>
      <c r="T467" s="63" t="inlineStr">
        <is>
          <t xml:space="preserve">I0   </t>
        </is>
      </c>
      <c r="U467" s="63" t="n">
        <v>398</v>
      </c>
      <c r="V467" s="714" t="n">
        <v>12500</v>
      </c>
      <c r="W467" s="714" t="n">
        <v>13000</v>
      </c>
      <c r="X467" s="83" t="inlineStr">
        <is>
          <t>2.0:1</t>
        </is>
      </c>
      <c r="Y467" s="714" t="n">
        <v>6000</v>
      </c>
      <c r="Z467" s="63" t="inlineStr">
        <is>
          <t xml:space="preserve">C </t>
        </is>
      </c>
      <c r="AC467" s="67" t="n"/>
      <c r="AD467" s="61" t="inlineStr"/>
      <c r="AE467" s="716" t="n"/>
      <c r="AF467" s="716" t="n"/>
      <c r="AG467" s="716" t="n"/>
      <c r="AH467" s="716" t="n"/>
      <c r="AI467" s="716" t="n"/>
      <c r="AJ467" s="716" t="n"/>
      <c r="AK467" s="717" t="inlineStr"/>
      <c r="AL467">
        <f>IF(AND(ISNUMBER($S467),$S467&gt;0,ISNUMBER($K467),ISNUMBER($J467)),($K467*$J467)/$S467,"")</f>
        <v/>
      </c>
      <c r="AM467" s="59" t="inlineStr"/>
    </row>
    <row r="468" ht="14" customHeight="1" s="518">
      <c r="A468" s="62" t="n">
        <v>7</v>
      </c>
      <c r="B468" s="93" t="n">
        <v>460</v>
      </c>
      <c r="C468" s="68" t="inlineStr">
        <is>
          <t>2011Q</t>
        </is>
      </c>
      <c r="D468" s="59" t="inlineStr">
        <is>
          <t xml:space="preserve">05095-05-005-000 </t>
        </is>
      </c>
      <c r="E468" s="72" t="inlineStr">
        <is>
          <t>Actual</t>
        </is>
      </c>
      <c r="F468" s="73" t="inlineStr">
        <is>
          <t>1345 W BAYAUD              AV</t>
        </is>
      </c>
      <c r="G468" s="67" t="n">
        <v>44.1</v>
      </c>
      <c r="H468" s="67" t="n">
        <v>9508</v>
      </c>
      <c r="I468" s="69" t="n">
        <v>0</v>
      </c>
      <c r="J468" s="714" t="n">
        <v>3424</v>
      </c>
      <c r="K468" s="715" t="n">
        <v>7.009345794392523</v>
      </c>
      <c r="L468" s="74" t="n">
        <v>0</v>
      </c>
      <c r="M468" s="76" t="n">
        <v>0.285625</v>
      </c>
      <c r="N468" s="67" t="n">
        <v>1966</v>
      </c>
      <c r="O468" s="64" t="n">
        <v>1024</v>
      </c>
      <c r="Q468" s="59" t="n">
        <v>12</v>
      </c>
      <c r="R468" s="59" t="n">
        <v>7</v>
      </c>
      <c r="S468" s="59" t="n">
        <v>1</v>
      </c>
      <c r="T468" s="63" t="inlineStr">
        <is>
          <t xml:space="preserve">I2   </t>
        </is>
      </c>
      <c r="U468" s="63" t="n">
        <v>398</v>
      </c>
      <c r="V468" s="714" t="n">
        <v>21106</v>
      </c>
      <c r="W468" s="714" t="n">
        <v>21000</v>
      </c>
      <c r="X468" s="83" t="inlineStr">
        <is>
          <t>6.2:1</t>
        </is>
      </c>
      <c r="Y468" s="714" t="n">
        <v>3000</v>
      </c>
      <c r="Z468" s="63" t="inlineStr">
        <is>
          <t xml:space="preserve">C </t>
        </is>
      </c>
      <c r="AC468" s="67" t="n"/>
      <c r="AD468" s="61" t="inlineStr">
        <is>
          <t>S-W LINCOLN LANDSCPE</t>
        </is>
      </c>
      <c r="AE468" s="716" t="n"/>
      <c r="AF468" s="716" t="n"/>
      <c r="AG468" s="716" t="n"/>
      <c r="AH468" s="716" t="n"/>
      <c r="AI468" s="716" t="n"/>
      <c r="AJ468" s="716" t="n"/>
      <c r="AK468" s="717" t="inlineStr">
        <is>
          <t xml:space="preserve">2008 LEASE.                                                       </t>
        </is>
      </c>
      <c r="AL468">
        <f>IF(AND(ISNUMBER($S468),$S468&gt;0,ISNUMBER($K468),ISNUMBER($J468)),($K468*$J468)/$S468,"")</f>
        <v/>
      </c>
      <c r="AM468" s="59" t="inlineStr"/>
    </row>
    <row r="469" ht="28" customHeight="1" s="518">
      <c r="A469" s="62" t="n">
        <v>7</v>
      </c>
      <c r="B469" s="93" t="n">
        <v>461</v>
      </c>
      <c r="C469" s="68" t="inlineStr">
        <is>
          <t>2011Q</t>
        </is>
      </c>
      <c r="D469" s="59" t="inlineStr">
        <is>
          <t xml:space="preserve">05095-08-006-000 </t>
        </is>
      </c>
      <c r="E469" s="72" t="inlineStr">
        <is>
          <t>Actual</t>
        </is>
      </c>
      <c r="F469" s="73" t="inlineStr">
        <is>
          <t>1340 W BAYAUD              AV</t>
        </is>
      </c>
      <c r="G469" s="67" t="n">
        <v>44.1</v>
      </c>
      <c r="H469" s="67" t="n">
        <v>9508</v>
      </c>
      <c r="I469" s="69" t="n">
        <v>0</v>
      </c>
      <c r="J469" s="714" t="n">
        <v>5350</v>
      </c>
      <c r="K469" s="715" t="n">
        <v>6.281308411214953</v>
      </c>
      <c r="L469" s="74" t="n">
        <v>0</v>
      </c>
      <c r="M469" s="76" t="n">
        <v>0.2579378068739771</v>
      </c>
      <c r="N469" s="67" t="n">
        <v>1977</v>
      </c>
      <c r="O469" s="64" t="n">
        <v>699</v>
      </c>
      <c r="Q469" s="59" t="n">
        <v>21</v>
      </c>
      <c r="R469" s="59" t="n">
        <v>14</v>
      </c>
      <c r="S469" s="59" t="n">
        <v>1</v>
      </c>
      <c r="T469" s="63" t="inlineStr">
        <is>
          <t xml:space="preserve">I2   </t>
        </is>
      </c>
      <c r="U469" s="63" t="n">
        <v>398</v>
      </c>
      <c r="V469" s="714" t="n">
        <v>33457</v>
      </c>
      <c r="W469" s="714" t="n">
        <v>33000</v>
      </c>
      <c r="X469" s="83" t="inlineStr">
        <is>
          <t>1.5:1</t>
        </is>
      </c>
      <c r="Y469" s="714" t="n">
        <v>5000</v>
      </c>
      <c r="Z469" s="63" t="inlineStr">
        <is>
          <t xml:space="preserve">C </t>
        </is>
      </c>
      <c r="AC469" s="67" t="n"/>
      <c r="AD469" s="61" t="inlineStr">
        <is>
          <t xml:space="preserve">M-W                 </t>
        </is>
      </c>
      <c r="AE469" s="716" t="n"/>
      <c r="AF469" s="716" t="n"/>
      <c r="AG469" s="716" t="n"/>
      <c r="AH469" s="716" t="n"/>
      <c r="AI469" s="716" t="n"/>
      <c r="AJ469" s="716" t="n"/>
      <c r="AK469" s="717" t="inlineStr">
        <is>
          <t xml:space="preserve">5350 SF 2010 LEASE USED FOR ENTRY; TOTAL BLDG AREA 21450 SF.      </t>
        </is>
      </c>
      <c r="AL469">
        <f>IF(AND(ISNUMBER($S469),$S469&gt;0,ISNUMBER($K469),ISNUMBER($J469)),($K469*$J469)/$S469,"")</f>
        <v/>
      </c>
      <c r="AM469" s="59" t="inlineStr"/>
    </row>
    <row r="470" ht="14" customHeight="1" s="518">
      <c r="A470" s="62" t="n">
        <v>7</v>
      </c>
      <c r="B470" s="93" t="n">
        <v>462</v>
      </c>
      <c r="C470" s="68" t="inlineStr">
        <is>
          <t>2011Q</t>
        </is>
      </c>
      <c r="D470" s="59" t="inlineStr">
        <is>
          <t xml:space="preserve">05095-11-008-000 </t>
        </is>
      </c>
      <c r="E470" s="72" t="inlineStr">
        <is>
          <t>Actual</t>
        </is>
      </c>
      <c r="F470" s="73" t="inlineStr">
        <is>
          <t>1339 W CEDAR               AV</t>
        </is>
      </c>
      <c r="G470" s="67" t="n">
        <v>44.1</v>
      </c>
      <c r="H470" s="67" t="n">
        <v>9508</v>
      </c>
      <c r="I470" s="69" t="n">
        <v>0</v>
      </c>
      <c r="J470" s="714" t="n">
        <v>17155</v>
      </c>
      <c r="K470" s="715" t="n">
        <v>12.59108131740017</v>
      </c>
      <c r="L470" s="74" t="n">
        <v>0</v>
      </c>
      <c r="M470" s="76" t="n">
        <v>0</v>
      </c>
      <c r="N470" s="67" t="n">
        <v>1987</v>
      </c>
      <c r="O470" s="64" t="n">
        <v>1227</v>
      </c>
      <c r="Q470" s="59" t="n">
        <v>22</v>
      </c>
      <c r="R470" s="59" t="n">
        <v>3</v>
      </c>
      <c r="S470" s="59" t="n">
        <v>1</v>
      </c>
      <c r="T470" s="63" t="inlineStr">
        <is>
          <t xml:space="preserve">I2   </t>
        </is>
      </c>
      <c r="U470" s="63" t="n">
        <v>398</v>
      </c>
      <c r="V470" s="714" t="n">
        <v>29750</v>
      </c>
      <c r="W470" s="714" t="n">
        <v>30000</v>
      </c>
      <c r="X470" s="83" t="inlineStr">
        <is>
          <t>1.7:1</t>
        </is>
      </c>
      <c r="Y470" s="714" t="n">
        <v>17000</v>
      </c>
      <c r="Z470" s="63" t="inlineStr">
        <is>
          <t xml:space="preserve">C </t>
        </is>
      </c>
      <c r="AC470" s="67" t="n"/>
      <c r="AD470" s="61" t="inlineStr">
        <is>
          <t xml:space="preserve">S-W                 </t>
        </is>
      </c>
      <c r="AE470" s="716" t="n"/>
      <c r="AF470" s="716" t="n"/>
      <c r="AG470" s="716" t="n"/>
      <c r="AH470" s="716" t="n"/>
      <c r="AI470" s="716" t="n"/>
      <c r="AJ470" s="716" t="n"/>
      <c r="AK470" s="717" t="inlineStr">
        <is>
          <t xml:space="preserve">2008 LEASES.                                                      </t>
        </is>
      </c>
      <c r="AL470">
        <f>IF(AND(ISNUMBER($S470),$S470&gt;0,ISNUMBER($K470),ISNUMBER($J470)),($K470*$J470)/$S470,"")</f>
        <v/>
      </c>
      <c r="AM470" s="59" t="inlineStr"/>
    </row>
    <row r="471" ht="14" customHeight="1" s="518">
      <c r="A471" s="62" t="n">
        <v>7</v>
      </c>
      <c r="B471" s="93" t="n">
        <v>463</v>
      </c>
      <c r="C471" s="68" t="inlineStr">
        <is>
          <t>2011Q</t>
        </is>
      </c>
      <c r="D471" s="59" t="inlineStr">
        <is>
          <t xml:space="preserve">05095-12-015-000 </t>
        </is>
      </c>
      <c r="E471" s="72" t="inlineStr">
        <is>
          <t>Actual</t>
        </is>
      </c>
      <c r="F471" s="73" t="inlineStr">
        <is>
          <t>240 S PECOS               ST</t>
        </is>
      </c>
      <c r="G471" s="67" t="n">
        <v>44.1</v>
      </c>
      <c r="H471" s="67" t="n">
        <v>9508</v>
      </c>
      <c r="I471" s="69" t="n">
        <v>0</v>
      </c>
      <c r="J471" s="714" t="n">
        <v>2905</v>
      </c>
      <c r="K471" s="715" t="n">
        <v>6.196213425129088</v>
      </c>
      <c r="L471" s="74" t="n">
        <v>0</v>
      </c>
      <c r="M471" s="76" t="n">
        <v>0</v>
      </c>
      <c r="N471" s="67" t="n">
        <v>1978</v>
      </c>
      <c r="O471" s="64" t="n">
        <v>350</v>
      </c>
      <c r="Q471" s="59" t="n">
        <v>14</v>
      </c>
      <c r="R471" s="59" t="n">
        <v>3</v>
      </c>
      <c r="S471" s="59" t="n">
        <v>1</v>
      </c>
      <c r="T471" s="63" t="inlineStr">
        <is>
          <t xml:space="preserve">I0   </t>
        </is>
      </c>
      <c r="U471" s="63" t="n">
        <v>398</v>
      </c>
      <c r="V471" s="714" t="n">
        <v>6875</v>
      </c>
      <c r="W471" s="714" t="n">
        <v>7000</v>
      </c>
      <c r="X471" s="83" t="inlineStr">
        <is>
          <t>2.4:1</t>
        </is>
      </c>
      <c r="Y471" s="714" t="n">
        <v>3000</v>
      </c>
      <c r="Z471" s="63" t="inlineStr">
        <is>
          <t xml:space="preserve">C </t>
        </is>
      </c>
      <c r="AC471" s="67" t="n"/>
      <c r="AD471" s="61" t="inlineStr">
        <is>
          <t>S-W UNTD MECH SYSTEM</t>
        </is>
      </c>
      <c r="AE471" s="716" t="n"/>
      <c r="AF471" s="716" t="n"/>
      <c r="AG471" s="716" t="n"/>
      <c r="AH471" s="716" t="n"/>
      <c r="AI471" s="716" t="n"/>
      <c r="AJ471" s="716" t="n"/>
      <c r="AK471" s="717" t="inlineStr"/>
      <c r="AL471">
        <f>IF(AND(ISNUMBER($S471),$S471&gt;0,ISNUMBER($K471),ISNUMBER($J471)),($K471*$J471)/$S471,"")</f>
        <v/>
      </c>
      <c r="AM471" s="59" t="inlineStr"/>
    </row>
    <row r="472" ht="14" customHeight="1" s="518">
      <c r="A472" s="62" t="n">
        <v>7</v>
      </c>
      <c r="B472" s="93" t="n">
        <v>464</v>
      </c>
      <c r="C472" s="68" t="inlineStr">
        <is>
          <t>2011Q</t>
        </is>
      </c>
      <c r="D472" s="59" t="inlineStr">
        <is>
          <t xml:space="preserve">05095-13-008-000 </t>
        </is>
      </c>
      <c r="E472" s="72" t="inlineStr">
        <is>
          <t>Actual</t>
        </is>
      </c>
      <c r="F472" s="73" t="inlineStr">
        <is>
          <t>1254 W CEDAR               AV</t>
        </is>
      </c>
      <c r="G472" s="708" t="n">
        <v>44.2</v>
      </c>
      <c r="H472" s="67" t="n">
        <v>9508</v>
      </c>
      <c r="I472" s="69" t="n">
        <v>0</v>
      </c>
      <c r="J472" s="714" t="n">
        <v>4000</v>
      </c>
      <c r="K472" s="715" t="n">
        <v>6</v>
      </c>
      <c r="L472" s="74" t="n">
        <v>0</v>
      </c>
      <c r="M472" s="76" t="n">
        <v>0.4839166666666667</v>
      </c>
      <c r="N472" s="67" t="n">
        <v>1979</v>
      </c>
      <c r="O472" s="64" t="n">
        <v>2242</v>
      </c>
      <c r="P472" s="64" t="n">
        <v>521</v>
      </c>
      <c r="Q472" s="59" t="n">
        <v>16</v>
      </c>
      <c r="R472" s="59" t="n">
        <v>3</v>
      </c>
      <c r="S472" s="59" t="n">
        <v>1</v>
      </c>
      <c r="T472" s="63" t="inlineStr">
        <is>
          <t xml:space="preserve">I0   </t>
        </is>
      </c>
      <c r="U472" s="63" t="n">
        <v>398</v>
      </c>
      <c r="V472" s="714" t="n">
        <v>10000</v>
      </c>
      <c r="W472" s="714" t="n">
        <v>10000</v>
      </c>
      <c r="X472" s="83" t="inlineStr">
        <is>
          <t>2.1:1</t>
        </is>
      </c>
      <c r="Y472" s="714" t="n">
        <v>4000</v>
      </c>
      <c r="Z472" s="63" t="inlineStr">
        <is>
          <t xml:space="preserve">C </t>
        </is>
      </c>
      <c r="AC472" s="67" t="n"/>
      <c r="AD472" s="61" t="inlineStr">
        <is>
          <t xml:space="preserve">PREMIER  PRINTING   </t>
        </is>
      </c>
      <c r="AE472" s="716" t="n"/>
      <c r="AF472" s="716" t="n"/>
      <c r="AG472" s="716" t="n"/>
      <c r="AH472" s="716" t="n"/>
      <c r="AI472" s="716" t="n"/>
      <c r="AJ472" s="716" t="n"/>
      <c r="AK472" s="717" t="inlineStr">
        <is>
          <t xml:space="preserve">MO-TO-MO LEASE.                                                   </t>
        </is>
      </c>
      <c r="AL472">
        <f>IF(AND(ISNUMBER($S472),$S472&gt;0,ISNUMBER($K472),ISNUMBER($J472)),($K472*$J472)/$S472,"")</f>
        <v/>
      </c>
      <c r="AM472" s="59" t="inlineStr"/>
    </row>
    <row r="473" ht="14" customHeight="1" s="518">
      <c r="A473" s="62" t="n">
        <v>7</v>
      </c>
      <c r="B473" s="93" t="n">
        <v>465</v>
      </c>
      <c r="C473" s="68" t="inlineStr">
        <is>
          <t>2011Q</t>
        </is>
      </c>
      <c r="D473" s="59" t="inlineStr">
        <is>
          <t xml:space="preserve">05095-13-033-000 </t>
        </is>
      </c>
      <c r="E473" s="72" t="inlineStr">
        <is>
          <t>Actual</t>
        </is>
      </c>
      <c r="F473" s="73" t="inlineStr">
        <is>
          <t>1234 W CEDAR               AV</t>
        </is>
      </c>
      <c r="G473" s="708" t="n">
        <v>44.2</v>
      </c>
      <c r="H473" s="67" t="n">
        <v>9508</v>
      </c>
      <c r="I473" s="69" t="n">
        <v>0</v>
      </c>
      <c r="J473" s="714" t="n">
        <v>6558</v>
      </c>
      <c r="K473" s="715" t="n">
        <v>5.413235742604453</v>
      </c>
      <c r="L473" s="74" t="n">
        <v>0</v>
      </c>
      <c r="M473" s="76" t="n">
        <v>0</v>
      </c>
      <c r="N473" s="67" t="n">
        <v>1980</v>
      </c>
      <c r="O473" s="64" t="n">
        <v>2350</v>
      </c>
      <c r="Q473" s="59" t="n">
        <v>14</v>
      </c>
      <c r="R473" s="59" t="n">
        <v>3</v>
      </c>
      <c r="S473" s="59" t="n">
        <v>1</v>
      </c>
      <c r="T473" s="63" t="inlineStr">
        <is>
          <t xml:space="preserve">I0   </t>
        </is>
      </c>
      <c r="U473" s="63" t="n">
        <v>398</v>
      </c>
      <c r="V473" s="714" t="n">
        <v>12875</v>
      </c>
      <c r="W473" s="714" t="n">
        <v>13000</v>
      </c>
      <c r="X473" s="83" t="inlineStr">
        <is>
          <t>2.0:1</t>
        </is>
      </c>
      <c r="Y473" s="714" t="n">
        <v>7000</v>
      </c>
      <c r="Z473" s="63" t="inlineStr">
        <is>
          <t xml:space="preserve">C </t>
        </is>
      </c>
      <c r="AC473" s="67" t="n"/>
      <c r="AD473" s="61" t="inlineStr"/>
      <c r="AE473" s="716" t="n"/>
      <c r="AF473" s="716" t="n"/>
      <c r="AG473" s="716" t="n"/>
      <c r="AH473" s="716" t="n"/>
      <c r="AI473" s="716" t="n"/>
      <c r="AJ473" s="716" t="n"/>
      <c r="AK473" s="717" t="inlineStr">
        <is>
          <t xml:space="preserve">MO-TO-MO.  NO LEASE AGREEMENT.                                    </t>
        </is>
      </c>
      <c r="AL473">
        <f>IF(AND(ISNUMBER($S473),$S473&gt;0,ISNUMBER($K473),ISNUMBER($J473)),($K473*$J473)/$S473,"")</f>
        <v/>
      </c>
      <c r="AM473" s="59" t="inlineStr"/>
    </row>
    <row r="474" ht="14" customHeight="1" s="518">
      <c r="A474" s="62" t="n">
        <v>7</v>
      </c>
      <c r="B474" s="93" t="n">
        <v>466</v>
      </c>
      <c r="C474" s="68" t="inlineStr">
        <is>
          <t>2011Q</t>
        </is>
      </c>
      <c r="D474" s="59" t="inlineStr">
        <is>
          <t xml:space="preserve">05095-15-045-000 </t>
        </is>
      </c>
      <c r="E474" s="72" t="inlineStr">
        <is>
          <t>Actual</t>
        </is>
      </c>
      <c r="F474" s="73" t="inlineStr">
        <is>
          <t>1340 W BYERS               PL</t>
        </is>
      </c>
      <c r="G474" s="708" t="n">
        <v>44.2</v>
      </c>
      <c r="H474" s="67" t="n">
        <v>9508</v>
      </c>
      <c r="I474" s="69" t="n">
        <v>0</v>
      </c>
      <c r="J474" s="714" t="n">
        <v>2000</v>
      </c>
      <c r="K474" s="715" t="n">
        <v>7.2</v>
      </c>
      <c r="L474" s="74" t="n">
        <v>0</v>
      </c>
      <c r="M474" s="76" t="n">
        <v>0.1531944444444444</v>
      </c>
      <c r="N474" s="67" t="n">
        <v>1984</v>
      </c>
      <c r="O474" s="64" t="n">
        <v>2738</v>
      </c>
      <c r="Q474" s="59" t="n">
        <v>14</v>
      </c>
      <c r="R474" s="59" t="n">
        <v>3</v>
      </c>
      <c r="S474" s="59" t="n">
        <v>2</v>
      </c>
      <c r="T474" s="63" t="inlineStr">
        <is>
          <t xml:space="preserve">I0   </t>
        </is>
      </c>
      <c r="U474" s="63" t="n">
        <v>398</v>
      </c>
      <c r="V474" s="714" t="n">
        <v>12500</v>
      </c>
      <c r="W474" s="714" t="n">
        <v>13000</v>
      </c>
      <c r="X474" s="83" t="inlineStr">
        <is>
          <t>1.5:1</t>
        </is>
      </c>
      <c r="Y474" s="714" t="n">
        <v>2000</v>
      </c>
      <c r="Z474" s="63" t="inlineStr">
        <is>
          <t xml:space="preserve">C </t>
        </is>
      </c>
      <c r="AC474" s="67" t="n"/>
      <c r="AD474" s="61" t="inlineStr"/>
      <c r="AE474" s="716" t="n"/>
      <c r="AF474" s="716" t="n"/>
      <c r="AG474" s="716" t="n"/>
      <c r="AH474" s="716" t="n"/>
      <c r="AI474" s="716" t="n"/>
      <c r="AJ474" s="716" t="n"/>
      <c r="AK474" s="717" t="inlineStr">
        <is>
          <t xml:space="preserve">2000 SQ OF8142 SF BLDG IS LEASED.                                 </t>
        </is>
      </c>
      <c r="AL474">
        <f>IF(AND(ISNUMBER($S474),$S474&gt;0,ISNUMBER($K474),ISNUMBER($J474)),($K474*$J474)/$S474,"")</f>
        <v/>
      </c>
      <c r="AM474" s="59" t="inlineStr"/>
    </row>
    <row r="475" ht="14" customHeight="1" s="518">
      <c r="A475" s="62" t="n">
        <v>7</v>
      </c>
      <c r="B475" s="93" t="n">
        <v>467</v>
      </c>
      <c r="C475" s="68" t="inlineStr">
        <is>
          <t>2011Q</t>
        </is>
      </c>
      <c r="D475" s="59" t="inlineStr">
        <is>
          <t xml:space="preserve">05096-04-038-000 </t>
        </is>
      </c>
      <c r="E475" s="72" t="inlineStr">
        <is>
          <t>Actual</t>
        </is>
      </c>
      <c r="F475" s="73" t="inlineStr">
        <is>
          <t>60   LIPAN               ST</t>
        </is>
      </c>
      <c r="G475" s="708" t="n">
        <v>44.2</v>
      </c>
      <c r="H475" s="67" t="n">
        <v>9505</v>
      </c>
      <c r="I475" s="69" t="n">
        <v>0</v>
      </c>
      <c r="J475" s="714" t="n">
        <v>4950</v>
      </c>
      <c r="K475" s="715" t="n">
        <v>6.477979797979798</v>
      </c>
      <c r="L475" s="74" t="n">
        <v>0</v>
      </c>
      <c r="M475" s="76" t="n">
        <v>0.06103037485186802</v>
      </c>
      <c r="N475" s="67" t="n">
        <v>1966</v>
      </c>
      <c r="O475" s="64" t="n">
        <v>517</v>
      </c>
      <c r="Q475" s="59" t="n">
        <v>14</v>
      </c>
      <c r="R475" s="59" t="n">
        <v>3</v>
      </c>
      <c r="S475" s="59" t="n">
        <v>1</v>
      </c>
      <c r="T475" s="63" t="inlineStr">
        <is>
          <t xml:space="preserve">I1   </t>
        </is>
      </c>
      <c r="U475" s="63" t="n">
        <v>397</v>
      </c>
      <c r="V475" s="714" t="n">
        <v>7582</v>
      </c>
      <c r="W475" s="714" t="n">
        <v>8000</v>
      </c>
      <c r="X475" s="83" t="inlineStr">
        <is>
          <t>1.5:1</t>
        </is>
      </c>
      <c r="Y475" s="714" t="n">
        <v>5000</v>
      </c>
      <c r="Z475" s="63" t="inlineStr">
        <is>
          <t xml:space="preserve">C </t>
        </is>
      </c>
      <c r="AC475" s="67" t="n"/>
      <c r="AD475" s="61" t="inlineStr">
        <is>
          <t>S-W AAA METRIC SUPPL</t>
        </is>
      </c>
      <c r="AE475" s="716" t="n"/>
      <c r="AF475" s="716" t="n"/>
      <c r="AG475" s="716" t="n"/>
      <c r="AH475" s="716" t="n"/>
      <c r="AI475" s="716" t="n"/>
      <c r="AJ475" s="716" t="n"/>
      <c r="AK475" s="717" t="inlineStr">
        <is>
          <t xml:space="preserve">MO-TO-MO LEASE.                                                   </t>
        </is>
      </c>
      <c r="AL475">
        <f>IF(AND(ISNUMBER($S475),$S475&gt;0,ISNUMBER($K475),ISNUMBER($J475)),($K475*$J475)/$S475,"")</f>
        <v/>
      </c>
      <c r="AM475" s="59" t="inlineStr"/>
    </row>
    <row r="476" ht="14" customHeight="1" s="518">
      <c r="A476" s="62" t="n">
        <v>7</v>
      </c>
      <c r="B476" s="93" t="n">
        <v>468</v>
      </c>
      <c r="C476" s="68" t="inlineStr">
        <is>
          <t>2011Q</t>
        </is>
      </c>
      <c r="D476" s="59" t="inlineStr">
        <is>
          <t xml:space="preserve">05096-04-057-000 </t>
        </is>
      </c>
      <c r="E476" s="72" t="inlineStr">
        <is>
          <t>Actual</t>
        </is>
      </c>
      <c r="F476" s="73" t="inlineStr">
        <is>
          <t>22   LIPAN               ST</t>
        </is>
      </c>
      <c r="G476" s="708" t="n">
        <v>47.2</v>
      </c>
      <c r="H476" s="67" t="n">
        <v>9505</v>
      </c>
      <c r="I476" s="69" t="n">
        <v>0</v>
      </c>
      <c r="J476" s="714" t="n">
        <v>7585</v>
      </c>
      <c r="K476" s="715" t="n">
        <v>7.119314436387607</v>
      </c>
      <c r="L476" s="74" t="n">
        <v>0</v>
      </c>
      <c r="M476" s="76" t="n">
        <v>0</v>
      </c>
      <c r="N476" s="67" t="n">
        <v>1957</v>
      </c>
      <c r="O476" s="64" t="n">
        <v>0</v>
      </c>
      <c r="Q476" s="59" t="n">
        <v>12</v>
      </c>
      <c r="R476" s="59" t="n">
        <v>3</v>
      </c>
      <c r="S476" s="59" t="n">
        <v>1</v>
      </c>
      <c r="T476" s="63" t="inlineStr">
        <is>
          <t xml:space="preserve">I1   </t>
        </is>
      </c>
      <c r="U476" s="63" t="n">
        <v>401</v>
      </c>
      <c r="V476" s="714" t="n">
        <v>19000</v>
      </c>
      <c r="W476" s="714" t="n">
        <v>19000</v>
      </c>
      <c r="X476" s="83" t="inlineStr">
        <is>
          <t>2.5:1</t>
        </is>
      </c>
      <c r="Y476" s="714" t="n">
        <v>8000</v>
      </c>
      <c r="Z476" s="63" t="inlineStr">
        <is>
          <t xml:space="preserve">C </t>
        </is>
      </c>
      <c r="AC476" s="67" t="n"/>
      <c r="AD476" s="61" t="inlineStr"/>
      <c r="AE476" s="716" t="n"/>
      <c r="AF476" s="716" t="n"/>
      <c r="AG476" s="716" t="n"/>
      <c r="AH476" s="716" t="n"/>
      <c r="AI476" s="716" t="n"/>
      <c r="AJ476" s="716" t="n"/>
      <c r="AK476" s="717" t="inlineStr">
        <is>
          <t xml:space="preserve">2008 LEASE.                                                       </t>
        </is>
      </c>
      <c r="AL476">
        <f>IF(AND(ISNUMBER($S476),$S476&gt;0,ISNUMBER($K476),ISNUMBER($J476)),($K476*$J476)/$S476,"")</f>
        <v/>
      </c>
      <c r="AM476" s="59" t="inlineStr"/>
    </row>
    <row r="477" ht="14" customHeight="1" s="518">
      <c r="A477" s="62" t="n">
        <v>7</v>
      </c>
      <c r="B477" s="93" t="n">
        <v>469</v>
      </c>
      <c r="C477" s="68" t="inlineStr">
        <is>
          <t>2011Q</t>
        </is>
      </c>
      <c r="D477" s="59" t="inlineStr">
        <is>
          <t xml:space="preserve">05096-04-065-000 </t>
        </is>
      </c>
      <c r="E477" s="72" t="inlineStr">
        <is>
          <t>Actual</t>
        </is>
      </c>
      <c r="F477" s="73" t="inlineStr">
        <is>
          <t>5   KALAMATH            ST</t>
        </is>
      </c>
      <c r="G477" s="67" t="n">
        <v>44.1</v>
      </c>
      <c r="H477" s="67" t="n">
        <v>9505</v>
      </c>
      <c r="I477" s="69" t="n">
        <v>0</v>
      </c>
      <c r="J477" s="714" t="n">
        <v>5467</v>
      </c>
      <c r="K477" s="715" t="n">
        <v>9.438448875068593</v>
      </c>
      <c r="L477" s="74" t="n">
        <v>0</v>
      </c>
      <c r="M477" s="76" t="n">
        <v>0.0324031007751938</v>
      </c>
      <c r="N477" s="67" t="n">
        <v>1968</v>
      </c>
      <c r="O477" s="64" t="n">
        <v>1510</v>
      </c>
      <c r="Q477" s="59" t="n">
        <v>18</v>
      </c>
      <c r="R477" s="59" t="n">
        <v>3</v>
      </c>
      <c r="S477" s="59" t="n">
        <v>1</v>
      </c>
      <c r="T477" s="63" t="inlineStr">
        <is>
          <t xml:space="preserve">I1   </t>
        </is>
      </c>
      <c r="U477" s="63" t="n">
        <v>398</v>
      </c>
      <c r="V477" s="714" t="n">
        <v>11400</v>
      </c>
      <c r="W477" s="714" t="n">
        <v>11000</v>
      </c>
      <c r="X477" s="83" t="inlineStr">
        <is>
          <t>2.1:1</t>
        </is>
      </c>
      <c r="Y477" s="714" t="n">
        <v>5000</v>
      </c>
      <c r="Z477" s="63" t="inlineStr">
        <is>
          <t xml:space="preserve">C </t>
        </is>
      </c>
      <c r="AC477" s="67" t="n"/>
      <c r="AD477" s="61" t="inlineStr">
        <is>
          <t xml:space="preserve">DIST/S/T CO HOT TUB </t>
        </is>
      </c>
      <c r="AE477" s="716" t="n"/>
      <c r="AF477" s="716" t="n"/>
      <c r="AG477" s="716" t="n"/>
      <c r="AH477" s="716" t="n"/>
      <c r="AI477" s="716" t="n"/>
      <c r="AJ477" s="716" t="n"/>
      <c r="AK477" s="717" t="inlineStr"/>
      <c r="AL477">
        <f>IF(AND(ISNUMBER($S477),$S477&gt;0,ISNUMBER($K477),ISNUMBER($J477)),($K477*$J477)/$S477,"")</f>
        <v/>
      </c>
      <c r="AM477" s="59" t="inlineStr"/>
    </row>
    <row r="478" ht="14" customHeight="1" s="518">
      <c r="A478" s="62" t="n">
        <v>7</v>
      </c>
      <c r="B478" s="93" t="n">
        <v>470</v>
      </c>
      <c r="C478" s="68" t="inlineStr">
        <is>
          <t>2011Q</t>
        </is>
      </c>
      <c r="D478" s="59" t="inlineStr">
        <is>
          <t xml:space="preserve">05096-18-016-000 </t>
        </is>
      </c>
      <c r="E478" s="72" t="inlineStr">
        <is>
          <t>Actual</t>
        </is>
      </c>
      <c r="F478" s="73" t="inlineStr">
        <is>
          <t>285 S SANTA FE            DR</t>
        </is>
      </c>
      <c r="G478" s="67" t="n">
        <v>44.1</v>
      </c>
      <c r="H478" s="67" t="n">
        <v>9505</v>
      </c>
      <c r="I478" s="69" t="n">
        <v>3</v>
      </c>
      <c r="J478" s="714" t="n">
        <v>6802</v>
      </c>
      <c r="K478" s="715" t="n">
        <v>7.705968832696266</v>
      </c>
      <c r="L478" s="74" t="n">
        <v>0</v>
      </c>
      <c r="M478" s="76" t="n">
        <v>0</v>
      </c>
      <c r="N478" s="67" t="n">
        <v>1971</v>
      </c>
      <c r="O478" s="64" t="n">
        <v>1338</v>
      </c>
      <c r="Q478" s="59" t="n">
        <v>20</v>
      </c>
      <c r="R478" s="59" t="n">
        <v>7</v>
      </c>
      <c r="S478" s="59" t="n">
        <v>1</v>
      </c>
      <c r="T478" s="63" t="inlineStr">
        <is>
          <t xml:space="preserve">I1   </t>
        </is>
      </c>
      <c r="U478" s="63" t="n">
        <v>398</v>
      </c>
      <c r="V478" s="714" t="n">
        <v>13864</v>
      </c>
      <c r="W478" s="714" t="n">
        <v>14000</v>
      </c>
      <c r="X478" s="83" t="inlineStr">
        <is>
          <t>2.0:1</t>
        </is>
      </c>
      <c r="Y478" s="714" t="n">
        <v>7000</v>
      </c>
      <c r="Z478" s="63" t="inlineStr">
        <is>
          <t xml:space="preserve">C </t>
        </is>
      </c>
      <c r="AC478" s="67" t="n"/>
      <c r="AD478" s="61" t="inlineStr">
        <is>
          <t xml:space="preserve">WHSE/DIST PLUMBING  </t>
        </is>
      </c>
      <c r="AE478" s="716" t="n"/>
      <c r="AF478" s="716" t="n"/>
      <c r="AG478" s="716" t="n"/>
      <c r="AH478" s="716" t="n"/>
      <c r="AI478" s="716" t="n"/>
      <c r="AJ478" s="716" t="n"/>
      <c r="AK478" s="717" t="inlineStr"/>
      <c r="AL478">
        <f>IF(AND(ISNUMBER($S478),$S478&gt;0,ISNUMBER($K478),ISNUMBER($J478)),($K478*$J478)/$S478,"")</f>
        <v/>
      </c>
      <c r="AM478" s="59" t="inlineStr"/>
    </row>
    <row r="479" ht="28" customHeight="1" s="518">
      <c r="A479" s="62" t="n">
        <v>7</v>
      </c>
      <c r="B479" s="93" t="n">
        <v>471</v>
      </c>
      <c r="C479" s="68" t="inlineStr">
        <is>
          <t>2011Q</t>
        </is>
      </c>
      <c r="D479" s="59" t="inlineStr">
        <is>
          <t xml:space="preserve">05103-19-037-000 </t>
        </is>
      </c>
      <c r="E479" s="72" t="inlineStr">
        <is>
          <t>Actual</t>
        </is>
      </c>
      <c r="F479" s="73" t="inlineStr">
        <is>
          <t>185 W BAYAUD              AV</t>
        </is>
      </c>
      <c r="G479" s="67" t="n">
        <v>44.1</v>
      </c>
      <c r="H479" s="67" t="n">
        <v>9505</v>
      </c>
      <c r="I479" s="69" t="n">
        <v>0</v>
      </c>
      <c r="J479" s="714" t="n">
        <v>1305</v>
      </c>
      <c r="K479" s="715" t="n">
        <v>9.931034482758621</v>
      </c>
      <c r="L479" s="74" t="n">
        <v>0</v>
      </c>
      <c r="M479" s="76" t="n">
        <v>0</v>
      </c>
      <c r="N479" s="67" t="n">
        <v>1948</v>
      </c>
      <c r="O479" s="714" t="n">
        <v>100</v>
      </c>
      <c r="P479" s="714" t="n"/>
      <c r="Q479" s="59" t="n">
        <v>10</v>
      </c>
      <c r="R479" s="59" t="n">
        <v>7</v>
      </c>
      <c r="S479" s="59" t="n">
        <v>1</v>
      </c>
      <c r="T479" s="63" t="inlineStr">
        <is>
          <t xml:space="preserve">PUD  </t>
        </is>
      </c>
      <c r="U479" s="63" t="n">
        <v>398</v>
      </c>
      <c r="V479" s="714" t="n">
        <v>5900</v>
      </c>
      <c r="W479" s="714" t="n">
        <v>6000</v>
      </c>
      <c r="X479" s="83" t="inlineStr">
        <is>
          <t>4.5:1</t>
        </is>
      </c>
      <c r="Y479" s="714" t="n">
        <v>1000</v>
      </c>
      <c r="Z479" s="63" t="inlineStr">
        <is>
          <t xml:space="preserve">C </t>
        </is>
      </c>
      <c r="AC479" s="67" t="n"/>
      <c r="AD479" s="61" t="inlineStr"/>
      <c r="AE479" s="716" t="n"/>
      <c r="AF479" s="716" t="n"/>
      <c r="AG479" s="716" t="n"/>
      <c r="AH479" s="716" t="n"/>
      <c r="AI479" s="716" t="n"/>
      <c r="AJ479" s="716" t="n"/>
      <c r="AK479" s="717" t="inlineStr">
        <is>
          <t xml:space="preserve">TRIPLE NET LEASE, ONE TENANT (18-013 76%, 19-037 24%)             </t>
        </is>
      </c>
      <c r="AL479">
        <f>IF(AND(ISNUMBER($S479),$S479&gt;0,ISNUMBER($K479),ISNUMBER($J479)),($K479*$J479)/$S479,"")</f>
        <v/>
      </c>
    </row>
    <row r="480" ht="14" customHeight="1" s="518">
      <c r="A480" s="62" t="n">
        <v>7</v>
      </c>
      <c r="B480" s="93" t="n">
        <v>472</v>
      </c>
      <c r="C480" s="68" t="inlineStr">
        <is>
          <t>2011Q</t>
        </is>
      </c>
      <c r="D480" s="59" t="inlineStr">
        <is>
          <t xml:space="preserve">05113-05-001-000 </t>
        </is>
      </c>
      <c r="E480" s="72" t="inlineStr">
        <is>
          <t>Actual</t>
        </is>
      </c>
      <c r="F480" s="73" t="inlineStr">
        <is>
          <t>560   PEARL               ST</t>
        </is>
      </c>
      <c r="G480" s="708" t="n">
        <v>42.1</v>
      </c>
      <c r="H480" s="67" t="n">
        <v>9502</v>
      </c>
      <c r="I480" s="69" t="n">
        <v>0</v>
      </c>
      <c r="J480" s="714" t="n">
        <v>9147</v>
      </c>
      <c r="K480" s="715" t="n">
        <v>10.88673882147152</v>
      </c>
      <c r="L480" s="74" t="n">
        <v>0</v>
      </c>
      <c r="M480" s="76" t="n">
        <v>0.05476948413854048</v>
      </c>
      <c r="N480" s="67" t="n">
        <v>1935</v>
      </c>
      <c r="O480" s="64" t="n">
        <v>0</v>
      </c>
      <c r="Q480" s="59" t="n">
        <v>13</v>
      </c>
      <c r="R480" s="59" t="n">
        <v>1</v>
      </c>
      <c r="S480" s="59" t="n">
        <v>2</v>
      </c>
      <c r="T480" s="63" t="inlineStr">
        <is>
          <t xml:space="preserve">B2   </t>
        </is>
      </c>
      <c r="U480" s="63" t="n">
        <v>401</v>
      </c>
      <c r="V480" s="714" t="n">
        <v>12500</v>
      </c>
      <c r="W480" s="714" t="n">
        <v>13000</v>
      </c>
      <c r="X480" s="83" t="inlineStr">
        <is>
          <t>1.4:1</t>
        </is>
      </c>
      <c r="Y480" s="714" t="n">
        <v>9000</v>
      </c>
      <c r="Z480" s="63" t="inlineStr">
        <is>
          <t xml:space="preserve">C </t>
        </is>
      </c>
      <c r="AC480" s="67" t="n"/>
      <c r="AD480" s="61" t="inlineStr">
        <is>
          <t>HANNECK DRY CLEANERS</t>
        </is>
      </c>
      <c r="AE480" s="716" t="n"/>
      <c r="AF480" s="716" t="n"/>
      <c r="AG480" s="716" t="n"/>
      <c r="AH480" s="716" t="n"/>
      <c r="AI480" s="716" t="n"/>
      <c r="AJ480" s="716" t="n"/>
      <c r="AK480" s="717" t="inlineStr"/>
      <c r="AL480">
        <f>IF(AND(ISNUMBER($S480),$S480&gt;0,ISNUMBER($K480),ISNUMBER($J480)),($K480*$J480)/$S480,"")</f>
        <v/>
      </c>
      <c r="AM480" s="59" t="inlineStr"/>
    </row>
    <row r="481" ht="14" customHeight="1" s="518">
      <c r="A481" s="62" t="n">
        <v>7</v>
      </c>
      <c r="B481" s="93" t="n">
        <v>473</v>
      </c>
      <c r="C481" s="68" t="inlineStr">
        <is>
          <t>2011Q</t>
        </is>
      </c>
      <c r="D481" s="59" t="inlineStr">
        <is>
          <t xml:space="preserve">05154-03-017-000 </t>
        </is>
      </c>
      <c r="E481" s="72" t="inlineStr">
        <is>
          <t>Actual</t>
        </is>
      </c>
      <c r="F481" s="73" t="inlineStr">
        <is>
          <t>1070 S GALAPAGO            ST</t>
        </is>
      </c>
      <c r="G481" s="708" t="n">
        <v>44.2</v>
      </c>
      <c r="H481" s="67" t="n">
        <v>9506</v>
      </c>
      <c r="I481" s="69" t="n">
        <v>0</v>
      </c>
      <c r="J481" s="714" t="n">
        <v>13570</v>
      </c>
      <c r="K481" s="715" t="n">
        <v>10.61164333087693</v>
      </c>
      <c r="L481" s="74" t="n">
        <v>0</v>
      </c>
      <c r="M481" s="76" t="n">
        <v>0</v>
      </c>
      <c r="N481" s="67" t="n">
        <v>1974</v>
      </c>
      <c r="O481" s="64" t="n">
        <v>3360</v>
      </c>
      <c r="Q481" s="59" t="n">
        <v>13</v>
      </c>
      <c r="R481" s="59" t="n">
        <v>3</v>
      </c>
      <c r="S481" s="59" t="n">
        <v>1</v>
      </c>
      <c r="T481" s="63" t="inlineStr">
        <is>
          <t xml:space="preserve">I1   </t>
        </is>
      </c>
      <c r="U481" s="63" t="n">
        <v>398</v>
      </c>
      <c r="V481" s="714" t="n">
        <v>53150</v>
      </c>
      <c r="W481" s="714" t="n">
        <v>53000</v>
      </c>
      <c r="X481" s="83" t="inlineStr">
        <is>
          <t>3.9:1</t>
        </is>
      </c>
      <c r="Y481" s="714" t="n">
        <v>14000</v>
      </c>
      <c r="Z481" s="63" t="inlineStr">
        <is>
          <t xml:space="preserve">C </t>
        </is>
      </c>
      <c r="AC481" s="67" t="n"/>
      <c r="AD481" s="61" t="inlineStr"/>
      <c r="AE481" s="716" t="n"/>
      <c r="AF481" s="716" t="n"/>
      <c r="AG481" s="716" t="n"/>
      <c r="AH481" s="716" t="n"/>
      <c r="AI481" s="716" t="n"/>
      <c r="AJ481" s="716" t="n"/>
      <c r="AK481" s="717" t="inlineStr">
        <is>
          <t xml:space="preserve">2008 LEASE.                                                       </t>
        </is>
      </c>
      <c r="AL481">
        <f>IF(AND(ISNUMBER($S481),$S481&gt;0,ISNUMBER($K481),ISNUMBER($J481)),($K481*$J481)/$S481,"")</f>
        <v/>
      </c>
      <c r="AM481" s="59" t="inlineStr"/>
    </row>
    <row r="482" ht="28" customHeight="1" s="518">
      <c r="A482" s="62" t="n">
        <v>7</v>
      </c>
      <c r="B482" s="93" t="n">
        <v>474</v>
      </c>
      <c r="C482" s="68" t="inlineStr">
        <is>
          <t>2011Q</t>
        </is>
      </c>
      <c r="D482" s="59" t="inlineStr">
        <is>
          <t xml:space="preserve">05161-04-012-000 </t>
        </is>
      </c>
      <c r="E482" s="72" t="inlineStr">
        <is>
          <t>Actual</t>
        </is>
      </c>
      <c r="F482" s="73" t="inlineStr">
        <is>
          <t>360 S NAVAJO              ST</t>
        </is>
      </c>
      <c r="G482" s="708" t="n">
        <v>47.2</v>
      </c>
      <c r="H482" s="67" t="n">
        <v>9506</v>
      </c>
      <c r="I482" s="69" t="n">
        <v>0</v>
      </c>
      <c r="J482" s="714" t="n">
        <v>1626</v>
      </c>
      <c r="K482" s="715" t="n">
        <v>8.85608856088561</v>
      </c>
      <c r="L482" s="74" t="n">
        <v>0</v>
      </c>
      <c r="M482" s="76" t="n">
        <v>0.1365972222222222</v>
      </c>
      <c r="N482" s="67" t="n">
        <v>1952</v>
      </c>
      <c r="O482" s="64" t="n">
        <v>126</v>
      </c>
      <c r="Q482" s="59" t="n">
        <v>12</v>
      </c>
      <c r="R482" s="59" t="n">
        <v>1</v>
      </c>
      <c r="S482" s="59" t="n">
        <v>1</v>
      </c>
      <c r="T482" s="63" t="inlineStr">
        <is>
          <t xml:space="preserve">I0   </t>
        </is>
      </c>
      <c r="U482" s="63" t="n">
        <v>401</v>
      </c>
      <c r="V482" s="714" t="n">
        <v>19817</v>
      </c>
      <c r="W482" s="714" t="n">
        <v>20000</v>
      </c>
      <c r="X482" s="83" t="inlineStr">
        <is>
          <t>3.0:1</t>
        </is>
      </c>
      <c r="Y482" s="714" t="n">
        <v>2000</v>
      </c>
      <c r="Z482" s="63" t="inlineStr">
        <is>
          <t xml:space="preserve">C </t>
        </is>
      </c>
      <c r="AC482" s="67" t="n"/>
      <c r="AD482" s="61" t="inlineStr">
        <is>
          <t xml:space="preserve">BLG GLASS COMPANY   </t>
        </is>
      </c>
      <c r="AE482" s="716" t="n"/>
      <c r="AF482" s="716" t="n"/>
      <c r="AG482" s="716" t="n"/>
      <c r="AH482" s="716" t="n"/>
      <c r="AI482" s="716" t="n"/>
      <c r="AJ482" s="716" t="n"/>
      <c r="AK482" s="717" t="inlineStr">
        <is>
          <t xml:space="preserve">ONLY RENTAL PORTION ENTERED; OWNER-OCC PORTION NOT ENTERED.       </t>
        </is>
      </c>
      <c r="AL482">
        <f>IF(AND(ISNUMBER($S482),$S482&gt;0,ISNUMBER($K482),ISNUMBER($J482)),($K482*$J482)/$S482,"")</f>
        <v/>
      </c>
      <c r="AM482" s="59" t="inlineStr"/>
    </row>
    <row r="483" ht="14" customHeight="1" s="518">
      <c r="A483" s="62" t="n">
        <v>7</v>
      </c>
      <c r="B483" s="93" t="n">
        <v>475</v>
      </c>
      <c r="C483" s="68" t="inlineStr">
        <is>
          <t>2011Q</t>
        </is>
      </c>
      <c r="D483" s="59" t="inlineStr">
        <is>
          <t xml:space="preserve">05161-10-002-000 </t>
        </is>
      </c>
      <c r="E483" s="72" t="inlineStr">
        <is>
          <t>Actual</t>
        </is>
      </c>
      <c r="F483" s="73" t="inlineStr">
        <is>
          <t>1216 W VIRGINIA            AV</t>
        </is>
      </c>
      <c r="G483" s="708" t="n">
        <v>44.5</v>
      </c>
      <c r="H483" s="67" t="n">
        <v>9506</v>
      </c>
      <c r="I483" s="69" t="n">
        <v>0</v>
      </c>
      <c r="J483" s="714" t="n">
        <v>3485</v>
      </c>
      <c r="K483" s="715" t="n">
        <v>4.654232424677188</v>
      </c>
      <c r="L483" s="74" t="n">
        <v>0</v>
      </c>
      <c r="M483" s="76" t="n">
        <v>0.2001849568434032</v>
      </c>
      <c r="N483" s="67" t="n">
        <v>1973</v>
      </c>
      <c r="O483" s="64" t="n">
        <v>0</v>
      </c>
      <c r="Q483" s="59" t="n">
        <v>12</v>
      </c>
      <c r="R483" s="59" t="n">
        <v>7</v>
      </c>
      <c r="S483" s="59" t="n">
        <v>20</v>
      </c>
      <c r="T483" s="63" t="inlineStr">
        <is>
          <t xml:space="preserve">I0   </t>
        </is>
      </c>
      <c r="U483" s="63" t="n">
        <v>396</v>
      </c>
      <c r="V483" s="714" t="n">
        <v>9375</v>
      </c>
      <c r="W483" s="714" t="n">
        <v>9000</v>
      </c>
      <c r="X483" s="83" t="inlineStr">
        <is>
          <t>2.7:1</t>
        </is>
      </c>
      <c r="Y483" s="714" t="n">
        <v>3000</v>
      </c>
      <c r="Z483" s="63" t="inlineStr">
        <is>
          <t xml:space="preserve">C </t>
        </is>
      </c>
      <c r="AC483" s="67" t="n"/>
      <c r="AD483" s="61" t="inlineStr">
        <is>
          <t xml:space="preserve">MINI STORAGE        </t>
        </is>
      </c>
      <c r="AE483" s="716" t="n"/>
      <c r="AF483" s="716" t="n"/>
      <c r="AG483" s="716" t="n"/>
      <c r="AH483" s="716" t="n"/>
      <c r="AI483" s="716" t="n"/>
      <c r="AJ483" s="716" t="n"/>
      <c r="AK483" s="717" t="inlineStr"/>
      <c r="AL483">
        <f>IF(AND(ISNUMBER($S483),$S483&gt;0,ISNUMBER($K483),ISNUMBER($J483)),($K483*$J483)/$S483,"")</f>
        <v/>
      </c>
      <c r="AM483" s="59" t="inlineStr"/>
    </row>
    <row r="484" ht="14" customHeight="1" s="518">
      <c r="A484" s="62" t="n">
        <v>7</v>
      </c>
      <c r="B484" s="93" t="n">
        <v>476</v>
      </c>
      <c r="C484" s="68" t="inlineStr">
        <is>
          <t>2011Q</t>
        </is>
      </c>
      <c r="D484" s="59" t="inlineStr">
        <is>
          <t xml:space="preserve">05161-13-026-000 </t>
        </is>
      </c>
      <c r="E484" s="72" t="inlineStr">
        <is>
          <t>Actual</t>
        </is>
      </c>
      <c r="F484" s="73" t="inlineStr">
        <is>
          <t>1210 W CUSTER              PL</t>
        </is>
      </c>
      <c r="G484" s="708" t="n">
        <v>44.2</v>
      </c>
      <c r="H484" s="67" t="n">
        <v>9506</v>
      </c>
      <c r="I484" s="69" t="n">
        <v>0</v>
      </c>
      <c r="J484" s="714" t="n">
        <v>6000</v>
      </c>
      <c r="K484" s="715" t="n">
        <v>6.4</v>
      </c>
      <c r="L484" s="74" t="n">
        <v>0</v>
      </c>
      <c r="M484" s="76" t="n">
        <v>0.2625520833333334</v>
      </c>
      <c r="N484" s="67" t="n">
        <v>1971</v>
      </c>
      <c r="O484" s="64" t="n">
        <v>630</v>
      </c>
      <c r="Q484" s="59" t="n">
        <v>13</v>
      </c>
      <c r="R484" s="59" t="n">
        <v>3</v>
      </c>
      <c r="S484" s="59" t="n">
        <v>1</v>
      </c>
      <c r="T484" s="63" t="inlineStr">
        <is>
          <t xml:space="preserve">I0   </t>
        </is>
      </c>
      <c r="U484" s="63" t="n">
        <v>398</v>
      </c>
      <c r="V484" s="714" t="n">
        <v>12500</v>
      </c>
      <c r="W484" s="714" t="n">
        <v>13000</v>
      </c>
      <c r="X484" s="83" t="inlineStr">
        <is>
          <t>2.1:1</t>
        </is>
      </c>
      <c r="Y484" s="714" t="n">
        <v>6000</v>
      </c>
      <c r="Z484" s="63" t="inlineStr">
        <is>
          <t xml:space="preserve">C </t>
        </is>
      </c>
      <c r="AC484" s="67" t="n"/>
      <c r="AD484" s="61" t="inlineStr"/>
      <c r="AE484" s="716" t="n"/>
      <c r="AF484" s="716" t="n"/>
      <c r="AG484" s="716" t="n"/>
      <c r="AH484" s="716" t="n"/>
      <c r="AI484" s="716" t="n"/>
      <c r="AJ484" s="716" t="n"/>
      <c r="AK484" s="717" t="inlineStr"/>
      <c r="AL484">
        <f>IF(AND(ISNUMBER($S484),$S484&gt;0,ISNUMBER($K484),ISNUMBER($J484)),($K484*$J484)/$S484,"")</f>
        <v/>
      </c>
      <c r="AM484" s="59" t="inlineStr"/>
    </row>
    <row r="485" ht="14" customHeight="1" s="518">
      <c r="A485" s="62" t="n">
        <v>7</v>
      </c>
      <c r="B485" s="93" t="n">
        <v>477</v>
      </c>
      <c r="C485" s="68" t="inlineStr">
        <is>
          <t>2011Q</t>
        </is>
      </c>
      <c r="D485" s="59" t="inlineStr">
        <is>
          <t xml:space="preserve">05161-15-011-000 </t>
        </is>
      </c>
      <c r="E485" s="72" t="inlineStr">
        <is>
          <t>Actual</t>
        </is>
      </c>
      <c r="F485" s="73" t="inlineStr">
        <is>
          <t>621 S JASON               ST</t>
        </is>
      </c>
      <c r="G485" s="708" t="n">
        <v>44.2</v>
      </c>
      <c r="H485" s="67" t="n">
        <v>9506</v>
      </c>
      <c r="I485" s="69" t="n">
        <v>0</v>
      </c>
      <c r="J485" s="714" t="n">
        <v>18695</v>
      </c>
      <c r="K485" s="715" t="n">
        <v>3.209414281893554</v>
      </c>
      <c r="L485" s="74" t="n">
        <v>0</v>
      </c>
      <c r="M485" s="76" t="n">
        <v>0.06666666666666667</v>
      </c>
      <c r="N485" s="67" t="n">
        <v>1959</v>
      </c>
      <c r="O485" s="64" t="n">
        <v>1197</v>
      </c>
      <c r="Q485" s="59" t="n">
        <v>13</v>
      </c>
      <c r="R485" s="59" t="n">
        <v>1</v>
      </c>
      <c r="S485" s="59" t="n">
        <v>1</v>
      </c>
      <c r="T485" s="63" t="inlineStr">
        <is>
          <t xml:space="preserve">I1   </t>
        </is>
      </c>
      <c r="U485" s="63" t="n">
        <v>398</v>
      </c>
      <c r="V485" s="714" t="n">
        <v>38285</v>
      </c>
      <c r="W485" s="714" t="n">
        <v>38000</v>
      </c>
      <c r="X485" s="83" t="inlineStr">
        <is>
          <t>2.0:1</t>
        </is>
      </c>
      <c r="Y485" s="714" t="n">
        <v>19000</v>
      </c>
      <c r="Z485" s="63" t="inlineStr">
        <is>
          <t xml:space="preserve">C </t>
        </is>
      </c>
      <c r="AC485" s="67" t="n"/>
      <c r="AD485" s="61" t="inlineStr"/>
      <c r="AE485" s="716" t="n"/>
      <c r="AF485" s="716" t="n"/>
      <c r="AG485" s="716" t="n"/>
      <c r="AH485" s="716" t="n"/>
      <c r="AI485" s="716" t="n"/>
      <c r="AJ485" s="716" t="n"/>
      <c r="AK485" s="717" t="inlineStr">
        <is>
          <t xml:space="preserve">2008 LEASE.                                                       </t>
        </is>
      </c>
      <c r="AL485">
        <f>IF(AND(ISNUMBER($S485),$S485&gt;0,ISNUMBER($K485),ISNUMBER($J485)),($K485*$J485)/$S485,"")</f>
        <v/>
      </c>
      <c r="AM485" s="59" t="inlineStr"/>
    </row>
    <row r="486" ht="14" customHeight="1" s="518">
      <c r="A486" s="62" t="n">
        <v>7</v>
      </c>
      <c r="B486" s="93" t="n">
        <v>478</v>
      </c>
      <c r="C486" s="68" t="inlineStr">
        <is>
          <t>2011Q</t>
        </is>
      </c>
      <c r="D486" s="59" t="inlineStr">
        <is>
          <t xml:space="preserve">05161-16-027-000 </t>
        </is>
      </c>
      <c r="E486" s="72" t="inlineStr">
        <is>
          <t>Actual</t>
        </is>
      </c>
      <c r="F486" s="73" t="inlineStr">
        <is>
          <t>1212 W CENTER              AV</t>
        </is>
      </c>
      <c r="G486" s="67" t="n">
        <v>44.1</v>
      </c>
      <c r="H486" s="67" t="n">
        <v>9506</v>
      </c>
      <c r="I486" s="69" t="n">
        <v>0</v>
      </c>
      <c r="J486" s="714" t="n">
        <v>2432</v>
      </c>
      <c r="K486" s="715" t="n">
        <v>8.634868421052632</v>
      </c>
      <c r="L486" s="74" t="n">
        <v>0</v>
      </c>
      <c r="M486" s="76" t="n">
        <v>0</v>
      </c>
      <c r="N486" s="67" t="n">
        <v>1997</v>
      </c>
      <c r="O486" s="64" t="n">
        <v>0</v>
      </c>
      <c r="Q486" s="59" t="n">
        <v>21</v>
      </c>
      <c r="R486" s="59" t="n">
        <v>3</v>
      </c>
      <c r="S486" s="59" t="n">
        <v>1</v>
      </c>
      <c r="T486" s="63" t="inlineStr">
        <is>
          <t xml:space="preserve">I0   </t>
        </is>
      </c>
      <c r="U486" s="63" t="n">
        <v>398</v>
      </c>
      <c r="V486" s="714" t="n">
        <v>37500</v>
      </c>
      <c r="W486" s="714" t="n">
        <v>38000</v>
      </c>
      <c r="X486" s="83" t="inlineStr">
        <is>
          <t>15.4:1</t>
        </is>
      </c>
      <c r="Y486" s="714" t="n">
        <v>2000</v>
      </c>
      <c r="Z486" s="63" t="inlineStr">
        <is>
          <t xml:space="preserve">C </t>
        </is>
      </c>
      <c r="AC486" s="67" t="n"/>
      <c r="AD486" s="61" t="inlineStr">
        <is>
          <t>S-W INTRMTN ELECTRIC</t>
        </is>
      </c>
      <c r="AE486" s="716" t="n"/>
      <c r="AF486" s="716" t="n"/>
      <c r="AG486" s="716" t="n"/>
      <c r="AH486" s="716" t="n"/>
      <c r="AI486" s="716" t="n"/>
      <c r="AJ486" s="716" t="n"/>
      <c r="AK486" s="717" t="inlineStr"/>
      <c r="AL486">
        <f>IF(AND(ISNUMBER($S486),$S486&gt;0,ISNUMBER($K486),ISNUMBER($J486)),($K486*$J486)/$S486,"")</f>
        <v/>
      </c>
      <c r="AM486" s="59" t="inlineStr"/>
    </row>
    <row r="487" ht="28" customHeight="1" s="518">
      <c r="A487" s="62" t="n">
        <v>7</v>
      </c>
      <c r="B487" s="93" t="n">
        <v>479</v>
      </c>
      <c r="C487" s="68" t="inlineStr">
        <is>
          <t>2011Q</t>
        </is>
      </c>
      <c r="D487" s="59" t="inlineStr">
        <is>
          <t xml:space="preserve">05161-20-022-000 </t>
        </is>
      </c>
      <c r="E487" s="72" t="inlineStr">
        <is>
          <t>Actual</t>
        </is>
      </c>
      <c r="F487" s="73" t="inlineStr">
        <is>
          <t>687 S JASON               ST</t>
        </is>
      </c>
      <c r="G487" s="67" t="n">
        <v>44.1</v>
      </c>
      <c r="H487" s="67" t="n">
        <v>9506</v>
      </c>
      <c r="I487" s="69" t="n">
        <v>0</v>
      </c>
      <c r="J487" s="714" t="n">
        <v>2100</v>
      </c>
      <c r="K487" s="715" t="n">
        <v>6.857142857142857</v>
      </c>
      <c r="L487" s="74" t="n">
        <v>0</v>
      </c>
      <c r="M487" s="76" t="n">
        <v>0.3850694444444445</v>
      </c>
      <c r="N487" s="67" t="n">
        <v>1963</v>
      </c>
      <c r="O487" s="64" t="n">
        <v>1057</v>
      </c>
      <c r="Q487" s="59" t="n">
        <v>13</v>
      </c>
      <c r="R487" s="59" t="n">
        <v>1</v>
      </c>
      <c r="S487" s="59" t="n">
        <v>2</v>
      </c>
      <c r="T487" s="63" t="inlineStr">
        <is>
          <t xml:space="preserve">I1   </t>
        </is>
      </c>
      <c r="U487" s="63" t="n">
        <v>398</v>
      </c>
      <c r="V487" s="714" t="n">
        <v>10027</v>
      </c>
      <c r="W487" s="714" t="n">
        <v>10000</v>
      </c>
      <c r="X487" s="83" t="inlineStr">
        <is>
          <t>1.5:1</t>
        </is>
      </c>
      <c r="Y487" s="714" t="n">
        <v>2000</v>
      </c>
      <c r="Z487" s="63" t="inlineStr">
        <is>
          <t xml:space="preserve">C </t>
        </is>
      </c>
      <c r="AC487" s="67" t="n"/>
      <c r="AD487" s="61" t="inlineStr">
        <is>
          <t xml:space="preserve">MOTHER TRUCKERS     </t>
        </is>
      </c>
      <c r="AE487" s="716" t="n"/>
      <c r="AF487" s="716" t="n"/>
      <c r="AG487" s="716" t="n"/>
      <c r="AH487" s="716" t="n"/>
      <c r="AI487" s="716" t="n"/>
      <c r="AJ487" s="716" t="n"/>
      <c r="AK487" s="717" t="inlineStr">
        <is>
          <t xml:space="preserve">DATA FOR 2100 SF BASE PERIOD LEASE ENTERED; BLDG 6585 SF          </t>
        </is>
      </c>
      <c r="AL487">
        <f>IF(AND(ISNUMBER($S487),$S487&gt;0,ISNUMBER($K487),ISNUMBER($J487)),($K487*$J487)/$S487,"")</f>
        <v/>
      </c>
      <c r="AM487" s="59" t="inlineStr"/>
    </row>
    <row r="488" ht="14" customHeight="1" s="518">
      <c r="A488" s="62" t="n">
        <v>7</v>
      </c>
      <c r="B488" s="93" t="n">
        <v>480</v>
      </c>
      <c r="C488" s="68" t="inlineStr">
        <is>
          <t>2011Q</t>
        </is>
      </c>
      <c r="D488" s="59" t="inlineStr">
        <is>
          <t xml:space="preserve">05164-00-029-000 </t>
        </is>
      </c>
      <c r="E488" s="72" t="inlineStr">
        <is>
          <t>Actual</t>
        </is>
      </c>
      <c r="F488" s="73" t="inlineStr">
        <is>
          <t>1055 S JASON               ST</t>
        </is>
      </c>
      <c r="G488" s="708" t="n">
        <v>47.1</v>
      </c>
      <c r="H488" s="67" t="n">
        <v>9506</v>
      </c>
      <c r="I488" s="69" t="n">
        <v>0</v>
      </c>
      <c r="J488" s="714" t="n">
        <v>47216</v>
      </c>
      <c r="K488" s="715" t="n">
        <v>3.049813622500847</v>
      </c>
      <c r="L488" s="74" t="n">
        <v>0</v>
      </c>
      <c r="M488" s="76" t="n">
        <v>0.06944444444444445</v>
      </c>
      <c r="N488" s="67" t="n">
        <v>1956</v>
      </c>
      <c r="O488" s="64" t="n">
        <v>4642</v>
      </c>
      <c r="Q488" s="59" t="n">
        <v>14</v>
      </c>
      <c r="R488" s="59" t="n">
        <v>10</v>
      </c>
      <c r="S488" s="59" t="n">
        <v>1</v>
      </c>
      <c r="T488" s="63" t="inlineStr">
        <is>
          <t xml:space="preserve">I1   </t>
        </is>
      </c>
      <c r="U488" s="63" t="n">
        <v>401</v>
      </c>
      <c r="V488" s="714" t="n">
        <v>89364</v>
      </c>
      <c r="W488" s="714" t="n">
        <v>89000</v>
      </c>
      <c r="X488" s="83" t="inlineStr">
        <is>
          <t>1.9:1</t>
        </is>
      </c>
      <c r="Y488" s="714" t="n">
        <v>47000</v>
      </c>
      <c r="Z488" s="63" t="inlineStr">
        <is>
          <t xml:space="preserve">C </t>
        </is>
      </c>
      <c r="AC488" s="67" t="n"/>
      <c r="AD488" s="61" t="inlineStr">
        <is>
          <t xml:space="preserve">SPRING AIR MATTRESS </t>
        </is>
      </c>
      <c r="AE488" s="716" t="n"/>
      <c r="AF488" s="716" t="n"/>
      <c r="AG488" s="716" t="n"/>
      <c r="AH488" s="716" t="n"/>
      <c r="AI488" s="716" t="n"/>
      <c r="AJ488" s="716" t="n"/>
      <c r="AK488" s="717" t="inlineStr"/>
      <c r="AL488">
        <f>IF(AND(ISNUMBER($S488),$S488&gt;0,ISNUMBER($K488),ISNUMBER($J488)),($K488*$J488)/$S488,"")</f>
        <v/>
      </c>
      <c r="AM488" s="59" t="inlineStr"/>
    </row>
    <row r="489" ht="28" customHeight="1" s="518">
      <c r="A489" s="62" t="n">
        <v>7</v>
      </c>
      <c r="B489" s="93" t="n">
        <v>481</v>
      </c>
      <c r="C489" s="68" t="inlineStr">
        <is>
          <t>2011Q</t>
        </is>
      </c>
      <c r="D489" s="59" t="inlineStr">
        <is>
          <t xml:space="preserve">05164-00-030-000 </t>
        </is>
      </c>
      <c r="E489" s="72" t="inlineStr">
        <is>
          <t>Actual</t>
        </is>
      </c>
      <c r="F489" s="73" t="inlineStr">
        <is>
          <t>1002 S JASON               ST</t>
        </is>
      </c>
      <c r="G489" s="708" t="n">
        <v>44.2</v>
      </c>
      <c r="H489" s="67" t="n">
        <v>9506</v>
      </c>
      <c r="I489" s="69" t="n">
        <v>0</v>
      </c>
      <c r="J489" s="714" t="n">
        <v>3000</v>
      </c>
      <c r="K489" s="715" t="n">
        <v>5.6</v>
      </c>
      <c r="L489" s="74" t="n">
        <v>0.2</v>
      </c>
      <c r="M489" s="76" t="n">
        <v>0.09410714285714286</v>
      </c>
      <c r="N489" s="67" t="n">
        <v>1954</v>
      </c>
      <c r="O489" s="64" t="n">
        <v>6211</v>
      </c>
      <c r="P489" s="64" t="n">
        <v>651</v>
      </c>
      <c r="Q489" s="59" t="n">
        <v>9</v>
      </c>
      <c r="R489" s="59" t="n">
        <v>3</v>
      </c>
      <c r="S489" s="59" t="n">
        <v>4</v>
      </c>
      <c r="T489" s="63" t="inlineStr">
        <is>
          <t xml:space="preserve">I1   </t>
        </is>
      </c>
      <c r="U489" s="63" t="n">
        <v>398</v>
      </c>
      <c r="V489" s="714" t="n">
        <v>52850</v>
      </c>
      <c r="W489" s="714" t="n">
        <v>53000</v>
      </c>
      <c r="X489" s="83" t="inlineStr">
        <is>
          <t>2.0:1</t>
        </is>
      </c>
      <c r="Y489" s="714" t="n">
        <v>3000</v>
      </c>
      <c r="Z489" s="63" t="inlineStr">
        <is>
          <t xml:space="preserve">C </t>
        </is>
      </c>
      <c r="AC489" s="67" t="n"/>
      <c r="AD489" s="61" t="inlineStr">
        <is>
          <t xml:space="preserve">DENVER STONE &amp; TILE </t>
        </is>
      </c>
      <c r="AE489" s="716" t="n"/>
      <c r="AF489" s="716" t="n"/>
      <c r="AG489" s="716" t="n"/>
      <c r="AH489" s="716" t="n"/>
      <c r="AI489" s="716" t="n"/>
      <c r="AJ489" s="716" t="n"/>
      <c r="AK489" s="717" t="inlineStr">
        <is>
          <t xml:space="preserve">DATA FOR 3000 SF UNIT WITH 2009 LEASE; FULL BLDG =26251 SF.       </t>
        </is>
      </c>
      <c r="AL489">
        <f>IF(AND(ISNUMBER($S489),$S489&gt;0,ISNUMBER($K489),ISNUMBER($J489)),($K489*$J489)/$S489,"")</f>
        <v/>
      </c>
      <c r="AM489" s="59" t="inlineStr"/>
    </row>
    <row r="490" ht="14" customHeight="1" s="518">
      <c r="A490" s="62" t="n">
        <v>7</v>
      </c>
      <c r="B490" s="93" t="n">
        <v>482</v>
      </c>
      <c r="C490" s="68" t="inlineStr">
        <is>
          <t>2011Q</t>
        </is>
      </c>
      <c r="D490" s="59" t="inlineStr">
        <is>
          <t xml:space="preserve">05164-00-044-000 </t>
        </is>
      </c>
      <c r="E490" s="72" t="inlineStr">
        <is>
          <t>Actual</t>
        </is>
      </c>
      <c r="F490" s="73" t="inlineStr">
        <is>
          <t>991 S JASON               ST</t>
        </is>
      </c>
      <c r="G490" s="67" t="n">
        <v>44.1</v>
      </c>
      <c r="H490" s="67" t="n">
        <v>9506</v>
      </c>
      <c r="I490" s="69" t="n">
        <v>0</v>
      </c>
      <c r="J490" s="714" t="n">
        <v>9000</v>
      </c>
      <c r="K490" s="715" t="n">
        <v>5.26</v>
      </c>
      <c r="L490" s="74" t="n">
        <v>0</v>
      </c>
      <c r="M490" s="76" t="n">
        <v>0.1692860160540769</v>
      </c>
      <c r="N490" s="67" t="n">
        <v>1961</v>
      </c>
      <c r="O490" s="64" t="n">
        <v>5930</v>
      </c>
      <c r="Q490" s="59" t="n">
        <v>12</v>
      </c>
      <c r="R490" s="59" t="n">
        <v>1</v>
      </c>
      <c r="S490" s="59" t="n">
        <v>1</v>
      </c>
      <c r="T490" s="63" t="inlineStr">
        <is>
          <t xml:space="preserve">I1   </t>
        </is>
      </c>
      <c r="U490" s="63" t="n">
        <v>398</v>
      </c>
      <c r="V490" s="714" t="n">
        <v>61862</v>
      </c>
      <c r="W490" s="714" t="n">
        <v>62000</v>
      </c>
      <c r="X490" s="83" t="inlineStr">
        <is>
          <t>1.6:1</t>
        </is>
      </c>
      <c r="Y490" s="714" t="n">
        <v>9000</v>
      </c>
      <c r="Z490" s="63" t="inlineStr">
        <is>
          <t xml:space="preserve">C </t>
        </is>
      </c>
      <c r="AC490" s="67" t="n"/>
      <c r="AD490" s="61" t="inlineStr">
        <is>
          <t>DIRECT MAIL SERVICES</t>
        </is>
      </c>
      <c r="AE490" s="716" t="n"/>
      <c r="AF490" s="716" t="n"/>
      <c r="AG490" s="716" t="n"/>
      <c r="AH490" s="716" t="n"/>
      <c r="AI490" s="716" t="n"/>
      <c r="AJ490" s="716" t="n"/>
      <c r="AK490" s="717" t="inlineStr"/>
      <c r="AL490">
        <f>IF(AND(ISNUMBER($S490),$S490&gt;0,ISNUMBER($K490),ISNUMBER($J490)),($K490*$J490)/$S490,"")</f>
        <v/>
      </c>
      <c r="AM490" s="59" t="inlineStr"/>
    </row>
    <row r="491" ht="14" customHeight="1" s="518">
      <c r="A491" s="62" t="n">
        <v>7</v>
      </c>
      <c r="B491" s="93" t="n">
        <v>483</v>
      </c>
      <c r="C491" s="68" t="inlineStr">
        <is>
          <t>2011Q</t>
        </is>
      </c>
      <c r="D491" s="59" t="inlineStr">
        <is>
          <t xml:space="preserve">05164-00-082-000 </t>
        </is>
      </c>
      <c r="E491" s="72" t="inlineStr">
        <is>
          <t>Actual</t>
        </is>
      </c>
      <c r="F491" s="73" t="inlineStr">
        <is>
          <t>820 S LIPAN               ST</t>
        </is>
      </c>
      <c r="G491" s="708" t="n">
        <v>44.2</v>
      </c>
      <c r="H491" s="67" t="n">
        <v>9506</v>
      </c>
      <c r="I491" s="69" t="n">
        <v>0</v>
      </c>
      <c r="J491" s="714" t="n">
        <v>3835</v>
      </c>
      <c r="K491" s="715" t="n">
        <v>7.822685788787484</v>
      </c>
      <c r="L491" s="74" t="n">
        <v>0</v>
      </c>
      <c r="M491" s="76" t="n">
        <v>0</v>
      </c>
      <c r="N491" s="67" t="n">
        <v>1960</v>
      </c>
      <c r="O491" s="64" t="n">
        <v>672</v>
      </c>
      <c r="Q491" s="59" t="n">
        <v>12</v>
      </c>
      <c r="R491" s="59" t="n">
        <v>1</v>
      </c>
      <c r="S491" s="59" t="n">
        <v>1</v>
      </c>
      <c r="T491" s="63" t="inlineStr">
        <is>
          <t xml:space="preserve">I0   </t>
        </is>
      </c>
      <c r="U491" s="63" t="n">
        <v>398</v>
      </c>
      <c r="V491" s="714" t="n">
        <v>11040</v>
      </c>
      <c r="W491" s="714" t="n">
        <v>11000</v>
      </c>
      <c r="X491" s="83" t="inlineStr">
        <is>
          <t>2.9:1</t>
        </is>
      </c>
      <c r="Y491" s="714" t="n">
        <v>4000</v>
      </c>
      <c r="Z491" s="63" t="inlineStr">
        <is>
          <t xml:space="preserve">C </t>
        </is>
      </c>
      <c r="AC491" s="67" t="n"/>
      <c r="AD491" s="61" t="inlineStr">
        <is>
          <t xml:space="preserve">S-W RAINS FLO       </t>
        </is>
      </c>
      <c r="AE491" s="716" t="n"/>
      <c r="AF491" s="716" t="n"/>
      <c r="AG491" s="716" t="n"/>
      <c r="AH491" s="716" t="n"/>
      <c r="AI491" s="716" t="n"/>
      <c r="AJ491" s="716" t="n"/>
      <c r="AK491" s="717" t="inlineStr">
        <is>
          <t xml:space="preserve">DATE OF LEASE COMMENCEMENT UNKNOWN.                               </t>
        </is>
      </c>
      <c r="AL491">
        <f>IF(AND(ISNUMBER($S491),$S491&gt;0,ISNUMBER($K491),ISNUMBER($J491)),($K491*$J491)/$S491,"")</f>
        <v/>
      </c>
      <c r="AM491" s="59" t="inlineStr"/>
    </row>
    <row r="492" ht="14" customHeight="1" s="518">
      <c r="A492" s="62" t="n">
        <v>7</v>
      </c>
      <c r="B492" s="93" t="n">
        <v>484</v>
      </c>
      <c r="C492" s="68" t="inlineStr">
        <is>
          <t>2011Q</t>
        </is>
      </c>
      <c r="D492" s="59" t="inlineStr">
        <is>
          <t xml:space="preserve">05164-00-084-000 </t>
        </is>
      </c>
      <c r="E492" s="72" t="inlineStr">
        <is>
          <t>Actual</t>
        </is>
      </c>
      <c r="F492" s="73" t="inlineStr">
        <is>
          <t>1141 W MISSISSIPPI         AV</t>
        </is>
      </c>
      <c r="G492" s="708" t="n">
        <v>44.2</v>
      </c>
      <c r="H492" s="67" t="n">
        <v>9506</v>
      </c>
      <c r="I492" s="69" t="n">
        <v>0</v>
      </c>
      <c r="J492" s="714" t="n">
        <v>4147</v>
      </c>
      <c r="K492" s="715" t="n">
        <v>6.499879430913913</v>
      </c>
      <c r="L492" s="74" t="n">
        <v>0</v>
      </c>
      <c r="M492" s="76" t="n">
        <v>0</v>
      </c>
      <c r="N492" s="67" t="n">
        <v>1956</v>
      </c>
      <c r="O492" s="64" t="n">
        <v>135</v>
      </c>
      <c r="Q492" s="59" t="n">
        <v>13</v>
      </c>
      <c r="R492" s="59" t="n">
        <v>3</v>
      </c>
      <c r="S492" s="59" t="n">
        <v>1</v>
      </c>
      <c r="T492" s="63" t="inlineStr">
        <is>
          <t xml:space="preserve">I1   </t>
        </is>
      </c>
      <c r="U492" s="63" t="n">
        <v>332</v>
      </c>
      <c r="V492" s="714" t="n">
        <v>11000</v>
      </c>
      <c r="W492" s="714" t="n">
        <v>11000</v>
      </c>
      <c r="X492" s="83" t="inlineStr">
        <is>
          <t>2.7:1</t>
        </is>
      </c>
      <c r="Y492" s="714" t="n">
        <v>4000</v>
      </c>
      <c r="Z492" s="63" t="inlineStr">
        <is>
          <t xml:space="preserve">C </t>
        </is>
      </c>
      <c r="AC492" s="67" t="n"/>
      <c r="AD492" s="61" t="inlineStr">
        <is>
          <t xml:space="preserve">ARAPAHOE SIGN ARTS  </t>
        </is>
      </c>
      <c r="AE492" s="716" t="n"/>
      <c r="AF492" s="716" t="n"/>
      <c r="AG492" s="716" t="n"/>
      <c r="AH492" s="716" t="n"/>
      <c r="AI492" s="716" t="n"/>
      <c r="AJ492" s="716" t="n"/>
      <c r="AK492" s="717" t="inlineStr"/>
      <c r="AL492">
        <f>IF(AND(ISNUMBER($S492),$S492&gt;0,ISNUMBER($K492),ISNUMBER($J492)),($K492*$J492)/$S492,"")</f>
        <v/>
      </c>
      <c r="AM492" s="59" t="inlineStr"/>
    </row>
    <row r="493" ht="14" customHeight="1" s="518">
      <c r="A493" s="62" t="n">
        <v>7</v>
      </c>
      <c r="B493" s="93" t="n">
        <v>485</v>
      </c>
      <c r="C493" s="68" t="inlineStr">
        <is>
          <t>2011Q</t>
        </is>
      </c>
      <c r="D493" s="59" t="inlineStr">
        <is>
          <t xml:space="preserve">05181-17-024-000 </t>
        </is>
      </c>
      <c r="E493" s="72" t="inlineStr">
        <is>
          <t>Actual</t>
        </is>
      </c>
      <c r="F493" s="73" t="inlineStr">
        <is>
          <t>3615   MORRISON            RD</t>
        </is>
      </c>
      <c r="G493" s="67" t="n">
        <v>44.1</v>
      </c>
      <c r="H493" s="67" t="n">
        <v>9506</v>
      </c>
      <c r="I493" s="69" t="n">
        <v>5</v>
      </c>
      <c r="J493" s="714" t="n">
        <v>5274</v>
      </c>
      <c r="K493" s="715" t="n">
        <v>2.275312855517634</v>
      </c>
      <c r="L493" s="74" t="n">
        <v>0</v>
      </c>
      <c r="M493" s="76" t="n">
        <v>0</v>
      </c>
      <c r="N493" s="67" t="n">
        <v>1975</v>
      </c>
      <c r="O493" s="64" t="n">
        <v>1027</v>
      </c>
      <c r="Q493" s="59" t="n">
        <v>18</v>
      </c>
      <c r="R493" s="59" t="n">
        <v>8</v>
      </c>
      <c r="S493" s="59" t="n">
        <v>1</v>
      </c>
      <c r="T493" s="63" t="inlineStr">
        <is>
          <t xml:space="preserve">B4   </t>
        </is>
      </c>
      <c r="U493" s="63" t="n">
        <v>398</v>
      </c>
      <c r="V493" s="714" t="n">
        <v>14286</v>
      </c>
      <c r="W493" s="714" t="n">
        <v>14000</v>
      </c>
      <c r="X493" s="83" t="inlineStr">
        <is>
          <t>2.7:1</t>
        </is>
      </c>
      <c r="Y493" s="714" t="n">
        <v>5000</v>
      </c>
      <c r="Z493" s="63" t="inlineStr">
        <is>
          <t xml:space="preserve">C </t>
        </is>
      </c>
      <c r="AC493" s="67" t="n"/>
      <c r="AD493" s="61" t="inlineStr"/>
      <c r="AE493" s="716" t="n"/>
      <c r="AF493" s="716" t="n"/>
      <c r="AG493" s="716" t="n"/>
      <c r="AH493" s="716" t="n"/>
      <c r="AI493" s="716" t="n"/>
      <c r="AJ493" s="716" t="n"/>
      <c r="AK493" s="717" t="inlineStr"/>
      <c r="AL493">
        <f>IF(AND(ISNUMBER($S493),$S493&gt;0,ISNUMBER($K493),ISNUMBER($J493)),($K493*$J493)/$S493,"")</f>
        <v/>
      </c>
      <c r="AM493" s="59" t="inlineStr"/>
    </row>
    <row r="494" ht="14" customHeight="1" s="518">
      <c r="A494" s="62" t="n">
        <v>7</v>
      </c>
      <c r="B494" s="93" t="n">
        <v>486</v>
      </c>
      <c r="C494" s="68" t="inlineStr">
        <is>
          <t>2011Q</t>
        </is>
      </c>
      <c r="D494" s="59" t="inlineStr">
        <is>
          <t xml:space="preserve">05181-20-014-000 </t>
        </is>
      </c>
      <c r="E494" s="72" t="inlineStr">
        <is>
          <t>Actual</t>
        </is>
      </c>
      <c r="F494" s="73" t="inlineStr">
        <is>
          <t>3715   MORRISON            RD</t>
        </is>
      </c>
      <c r="G494" s="67" t="n">
        <v>44.1</v>
      </c>
      <c r="H494" s="67" t="n">
        <v>9506</v>
      </c>
      <c r="I494" s="69" t="n">
        <v>5</v>
      </c>
      <c r="J494" s="714" t="n">
        <v>5077</v>
      </c>
      <c r="K494" s="715" t="n">
        <v>6.381721489068347</v>
      </c>
      <c r="L494" s="74" t="n">
        <v>0</v>
      </c>
      <c r="M494" s="76" t="n">
        <v>0</v>
      </c>
      <c r="N494" s="67" t="n">
        <v>1956</v>
      </c>
      <c r="O494" s="64" t="n">
        <v>480</v>
      </c>
      <c r="Q494" s="59" t="n">
        <v>15</v>
      </c>
      <c r="R494" s="59" t="n">
        <v>1</v>
      </c>
      <c r="S494" s="59" t="n">
        <v>1</v>
      </c>
      <c r="T494" s="63" t="inlineStr">
        <is>
          <t xml:space="preserve">B4   </t>
        </is>
      </c>
      <c r="U494" s="63" t="n">
        <v>398</v>
      </c>
      <c r="V494" s="714" t="n">
        <v>15254</v>
      </c>
      <c r="W494" s="714" t="n">
        <v>15000</v>
      </c>
      <c r="X494" s="83" t="inlineStr">
        <is>
          <t>3.0:1</t>
        </is>
      </c>
      <c r="Y494" s="714" t="n">
        <v>5000</v>
      </c>
      <c r="Z494" s="63" t="inlineStr">
        <is>
          <t xml:space="preserve">C </t>
        </is>
      </c>
      <c r="AC494" s="67" t="n"/>
      <c r="AD494" s="61" t="inlineStr"/>
      <c r="AE494" s="716" t="n"/>
      <c r="AF494" s="716" t="n"/>
      <c r="AG494" s="716" t="n"/>
      <c r="AH494" s="716" t="n"/>
      <c r="AI494" s="716" t="n"/>
      <c r="AJ494" s="716" t="n"/>
      <c r="AK494" s="717" t="inlineStr"/>
      <c r="AL494">
        <f>IF(AND(ISNUMBER($S494),$S494&gt;0,ISNUMBER($K494),ISNUMBER($J494)),($K494*$J494)/$S494,"")</f>
        <v/>
      </c>
      <c r="AM494" s="59" t="inlineStr"/>
    </row>
    <row r="495" ht="14" customHeight="1" s="518">
      <c r="A495" s="62" t="n">
        <v>7</v>
      </c>
      <c r="B495" s="93" t="n">
        <v>487</v>
      </c>
      <c r="C495" s="68" t="inlineStr">
        <is>
          <t>2011Q</t>
        </is>
      </c>
      <c r="D495" s="59" t="inlineStr">
        <is>
          <t xml:space="preserve">05184-29-007-000 </t>
        </is>
      </c>
      <c r="E495" s="72" t="inlineStr">
        <is>
          <t>Actual</t>
        </is>
      </c>
      <c r="F495" s="73" t="inlineStr">
        <is>
          <t>1050 S QUITMAN             ST</t>
        </is>
      </c>
      <c r="G495" s="67" t="n">
        <v>44.1</v>
      </c>
      <c r="H495" s="67" t="n">
        <v>9506</v>
      </c>
      <c r="I495" s="69" t="n">
        <v>0</v>
      </c>
      <c r="J495" s="714" t="n">
        <v>2873</v>
      </c>
      <c r="K495" s="715" t="n">
        <v>6.265227984684998</v>
      </c>
      <c r="L495" s="74" t="n">
        <v>0</v>
      </c>
      <c r="M495" s="76" t="n">
        <v>0.1904444444444444</v>
      </c>
      <c r="N495" s="67" t="n">
        <v>1946</v>
      </c>
      <c r="O495" s="64" t="n">
        <v>595</v>
      </c>
      <c r="Q495" s="59" t="n">
        <v>11</v>
      </c>
      <c r="R495" s="59" t="n">
        <v>3</v>
      </c>
      <c r="S495" s="59" t="n">
        <v>1</v>
      </c>
      <c r="T495" s="63" t="inlineStr">
        <is>
          <t xml:space="preserve">R2   </t>
        </is>
      </c>
      <c r="U495" s="63" t="n">
        <v>398</v>
      </c>
      <c r="V495" s="714" t="n">
        <v>6350</v>
      </c>
      <c r="W495" s="714" t="n">
        <v>6000</v>
      </c>
      <c r="X495" s="83" t="inlineStr">
        <is>
          <t>2.2:1</t>
        </is>
      </c>
      <c r="Y495" s="714" t="n">
        <v>3000</v>
      </c>
      <c r="Z495" s="63" t="inlineStr">
        <is>
          <t xml:space="preserve">C </t>
        </is>
      </c>
      <c r="AC495" s="67" t="n"/>
      <c r="AD495" s="61" t="inlineStr">
        <is>
          <t>S-WNEW ERA CONSTRUCT</t>
        </is>
      </c>
      <c r="AE495" s="716" t="n"/>
      <c r="AF495" s="716" t="n"/>
      <c r="AG495" s="716" t="n"/>
      <c r="AH495" s="716" t="n"/>
      <c r="AI495" s="716" t="n"/>
      <c r="AJ495" s="716" t="n"/>
      <c r="AK495" s="717" t="inlineStr"/>
      <c r="AL495">
        <f>IF(AND(ISNUMBER($S495),$S495&gt;0,ISNUMBER($K495),ISNUMBER($J495)),($K495*$J495)/$S495,"")</f>
        <v/>
      </c>
      <c r="AM495" s="59" t="inlineStr"/>
    </row>
    <row r="496" ht="14" customHeight="1" s="518">
      <c r="A496" s="62" t="n">
        <v>7</v>
      </c>
      <c r="B496" s="93" t="n">
        <v>488</v>
      </c>
      <c r="C496" s="68" t="inlineStr">
        <is>
          <t>2011Q</t>
        </is>
      </c>
      <c r="D496" s="59" t="inlineStr">
        <is>
          <t xml:space="preserve">05211-03-005-000 </t>
        </is>
      </c>
      <c r="E496" s="72" t="inlineStr">
        <is>
          <t>Actual</t>
        </is>
      </c>
      <c r="F496" s="73" t="inlineStr">
        <is>
          <t>1001 W ARIZONA             AV</t>
        </is>
      </c>
      <c r="G496" s="708" t="n">
        <v>44.2</v>
      </c>
      <c r="H496" s="67" t="n">
        <v>9506</v>
      </c>
      <c r="I496" s="69" t="n">
        <v>0</v>
      </c>
      <c r="J496" s="714" t="n">
        <v>6919</v>
      </c>
      <c r="K496" s="715" t="n">
        <v>5.882352941176471</v>
      </c>
      <c r="L496" s="74" t="n">
        <v>0</v>
      </c>
      <c r="M496" s="76" t="n">
        <v>0.09626535626535626</v>
      </c>
      <c r="N496" s="67" t="n">
        <v>1961</v>
      </c>
      <c r="O496" s="64" t="n">
        <v>1014</v>
      </c>
      <c r="Q496" s="59" t="n">
        <v>14</v>
      </c>
      <c r="R496" s="59" t="n">
        <v>1</v>
      </c>
      <c r="S496" s="59" t="n">
        <v>1</v>
      </c>
      <c r="T496" s="63" t="inlineStr">
        <is>
          <t xml:space="preserve">I2   </t>
        </is>
      </c>
      <c r="U496" s="63" t="n">
        <v>398</v>
      </c>
      <c r="V496" s="714" t="n">
        <v>19113</v>
      </c>
      <c r="W496" s="714" t="n">
        <v>19000</v>
      </c>
      <c r="X496" s="83" t="inlineStr">
        <is>
          <t>2.8:1</t>
        </is>
      </c>
      <c r="Y496" s="714" t="n">
        <v>7000</v>
      </c>
      <c r="Z496" s="63" t="inlineStr">
        <is>
          <t xml:space="preserve">C </t>
        </is>
      </c>
      <c r="AC496" s="67" t="n"/>
      <c r="AD496" s="61" t="inlineStr">
        <is>
          <t xml:space="preserve">TODAYS FITNESS      </t>
        </is>
      </c>
      <c r="AE496" s="716" t="n"/>
      <c r="AF496" s="716" t="n"/>
      <c r="AG496" s="716" t="n"/>
      <c r="AH496" s="716" t="n"/>
      <c r="AI496" s="716" t="n"/>
      <c r="AJ496" s="716" t="n"/>
      <c r="AK496" s="717" t="inlineStr"/>
      <c r="AL496">
        <f>IF(AND(ISNUMBER($S496),$S496&gt;0,ISNUMBER($K496),ISNUMBER($J496)),($K496*$J496)/$S496,"")</f>
        <v/>
      </c>
      <c r="AM496" s="59" t="inlineStr"/>
    </row>
    <row r="497" ht="14" customHeight="1" s="518">
      <c r="A497" s="62" t="n">
        <v>7</v>
      </c>
      <c r="B497" s="93" t="n">
        <v>489</v>
      </c>
      <c r="C497" s="68" t="inlineStr">
        <is>
          <t>2011Q</t>
        </is>
      </c>
      <c r="D497" s="59" t="inlineStr">
        <is>
          <t xml:space="preserve">05211-03-033-000 </t>
        </is>
      </c>
      <c r="E497" s="72" t="inlineStr">
        <is>
          <t>Actual</t>
        </is>
      </c>
      <c r="F497" s="73" t="inlineStr">
        <is>
          <t>1178 S KALAMATH            ST</t>
        </is>
      </c>
      <c r="G497" s="708" t="n">
        <v>44.2</v>
      </c>
      <c r="H497" s="67" t="n">
        <v>9506</v>
      </c>
      <c r="I497" s="69" t="n">
        <v>0</v>
      </c>
      <c r="J497" s="714" t="n">
        <v>8000</v>
      </c>
      <c r="K497" s="715" t="n">
        <v>4.2495</v>
      </c>
      <c r="L497" s="74" t="n">
        <v>0</v>
      </c>
      <c r="M497" s="76" t="n">
        <v>0</v>
      </c>
      <c r="N497" s="67" t="n">
        <v>1975</v>
      </c>
      <c r="O497" s="64" t="n">
        <v>1000</v>
      </c>
      <c r="P497" s="64" t="n">
        <v>2000</v>
      </c>
      <c r="Q497" s="59" t="n">
        <v>13</v>
      </c>
      <c r="R497" s="59" t="n">
        <v>1</v>
      </c>
      <c r="S497" s="59" t="n">
        <v>1</v>
      </c>
      <c r="T497" s="63" t="inlineStr">
        <is>
          <t xml:space="preserve">I2   </t>
        </is>
      </c>
      <c r="U497" s="63" t="n">
        <v>398</v>
      </c>
      <c r="V497" s="714" t="n">
        <v>6477</v>
      </c>
      <c r="W497" s="714" t="n">
        <v>6000</v>
      </c>
      <c r="X497" s="83" t="inlineStr">
        <is>
          <t>0.8:1</t>
        </is>
      </c>
      <c r="Y497" s="714" t="n">
        <v>8000</v>
      </c>
      <c r="Z497" s="63" t="inlineStr">
        <is>
          <t xml:space="preserve">C </t>
        </is>
      </c>
      <c r="AC497" s="67" t="n"/>
      <c r="AD497" s="61" t="inlineStr"/>
      <c r="AE497" s="716" t="n"/>
      <c r="AF497" s="716" t="n"/>
      <c r="AG497" s="716" t="n"/>
      <c r="AH497" s="716" t="n"/>
      <c r="AI497" s="716" t="n"/>
      <c r="AJ497" s="716" t="n"/>
      <c r="AK497" s="717" t="inlineStr"/>
      <c r="AL497">
        <f>IF(AND(ISNUMBER($S497),$S497&gt;0,ISNUMBER($K497),ISNUMBER($J497)),($K497*$J497)/$S497,"")</f>
        <v/>
      </c>
      <c r="AM497" s="59" t="inlineStr"/>
    </row>
    <row r="498" ht="14" customHeight="1" s="518">
      <c r="A498" s="62" t="n">
        <v>7</v>
      </c>
      <c r="B498" s="93" t="n">
        <v>490</v>
      </c>
      <c r="C498" s="68" t="inlineStr">
        <is>
          <t>2011Q</t>
        </is>
      </c>
      <c r="D498" s="59" t="inlineStr">
        <is>
          <t xml:space="preserve">05211-15-012-000 </t>
        </is>
      </c>
      <c r="E498" s="72" t="inlineStr">
        <is>
          <t>Actual</t>
        </is>
      </c>
      <c r="F498" s="73" t="inlineStr">
        <is>
          <t>1220 S JASON               ST</t>
        </is>
      </c>
      <c r="G498" s="708" t="n">
        <v>44.2</v>
      </c>
      <c r="H498" s="67" t="n">
        <v>9506</v>
      </c>
      <c r="I498" s="69" t="n">
        <v>0</v>
      </c>
      <c r="J498" s="714" t="n">
        <v>2610</v>
      </c>
      <c r="K498" s="715" t="n">
        <v>8.007662835249041</v>
      </c>
      <c r="L498" s="74" t="n">
        <v>0</v>
      </c>
      <c r="M498" s="76" t="n">
        <v>0.4064114832535885</v>
      </c>
      <c r="N498" s="67" t="n">
        <v>1962</v>
      </c>
      <c r="O498" s="64" t="n">
        <v>750</v>
      </c>
      <c r="Q498" s="59" t="n">
        <v>12</v>
      </c>
      <c r="R498" s="59" t="n">
        <v>1</v>
      </c>
      <c r="S498" s="59" t="n">
        <v>1</v>
      </c>
      <c r="T498" s="63" t="inlineStr">
        <is>
          <t xml:space="preserve">I1   </t>
        </is>
      </c>
      <c r="U498" s="63" t="n">
        <v>398</v>
      </c>
      <c r="V498" s="714" t="n">
        <v>6350</v>
      </c>
      <c r="W498" s="714" t="n">
        <v>6000</v>
      </c>
      <c r="X498" s="83" t="inlineStr">
        <is>
          <t>2.4:1</t>
        </is>
      </c>
      <c r="Y498" s="714" t="n">
        <v>3000</v>
      </c>
      <c r="Z498" s="63" t="inlineStr">
        <is>
          <t xml:space="preserve">C </t>
        </is>
      </c>
      <c r="AC498" s="67" t="n"/>
      <c r="AD498" s="61" t="inlineStr">
        <is>
          <t xml:space="preserve">THOMAS-STUART INC.  </t>
        </is>
      </c>
      <c r="AE498" s="716" t="n"/>
      <c r="AF498" s="716" t="n"/>
      <c r="AG498" s="716" t="n"/>
      <c r="AH498" s="716" t="n"/>
      <c r="AI498" s="716" t="n"/>
      <c r="AJ498" s="716" t="n"/>
      <c r="AK498" s="717" t="inlineStr">
        <is>
          <t xml:space="preserve">2008 LEASE.                                                       </t>
        </is>
      </c>
      <c r="AL498">
        <f>IF(AND(ISNUMBER($S498),$S498&gt;0,ISNUMBER($K498),ISNUMBER($J498)),($K498*$J498)/$S498,"")</f>
        <v/>
      </c>
      <c r="AM498" s="59" t="inlineStr"/>
    </row>
    <row r="499" ht="28" customHeight="1" s="518">
      <c r="A499" s="62" t="n">
        <v>7</v>
      </c>
      <c r="B499" s="93" t="n">
        <v>491</v>
      </c>
      <c r="C499" s="68" t="inlineStr">
        <is>
          <t>2011Q</t>
        </is>
      </c>
      <c r="D499" s="59" t="inlineStr">
        <is>
          <t xml:space="preserve">05211-16-028-000 </t>
        </is>
      </c>
      <c r="E499" s="72" t="inlineStr">
        <is>
          <t>Actual</t>
        </is>
      </c>
      <c r="F499" s="73" t="inlineStr">
        <is>
          <t>1257 S HURON               ST</t>
        </is>
      </c>
      <c r="G499" s="67" t="n">
        <v>44.1</v>
      </c>
      <c r="H499" s="67" t="n">
        <v>9506</v>
      </c>
      <c r="I499" s="69" t="n">
        <v>0</v>
      </c>
      <c r="J499" s="714" t="n">
        <v>600</v>
      </c>
      <c r="K499" s="715" t="n">
        <v>8.699999999999999</v>
      </c>
      <c r="L499" s="74" t="n">
        <v>0</v>
      </c>
      <c r="M499" s="76" t="n">
        <v>0.4197318007662835</v>
      </c>
      <c r="N499" s="67" t="n">
        <v>1983</v>
      </c>
      <c r="O499" s="64" t="n">
        <v>775</v>
      </c>
      <c r="Q499" s="59" t="n">
        <v>14</v>
      </c>
      <c r="R499" s="59" t="n">
        <v>3</v>
      </c>
      <c r="S499" s="59" t="n">
        <v>1</v>
      </c>
      <c r="T499" s="63" t="inlineStr">
        <is>
          <t xml:space="preserve">I1   </t>
        </is>
      </c>
      <c r="U499" s="63" t="n">
        <v>398</v>
      </c>
      <c r="V499" s="714" t="n">
        <v>4504</v>
      </c>
      <c r="W499" s="714" t="n">
        <v>5000</v>
      </c>
      <c r="X499" s="83" t="inlineStr">
        <is>
          <t>2.2:1</t>
        </is>
      </c>
      <c r="Y499" s="714" t="n">
        <v>600</v>
      </c>
      <c r="Z499" s="63" t="inlineStr">
        <is>
          <t xml:space="preserve">C </t>
        </is>
      </c>
      <c r="AC499" s="67" t="n"/>
      <c r="AD499" s="61" t="inlineStr">
        <is>
          <t>M-W EAST/WEST DESIGN</t>
        </is>
      </c>
      <c r="AE499" s="716" t="n"/>
      <c r="AF499" s="716" t="n"/>
      <c r="AG499" s="716" t="n"/>
      <c r="AH499" s="716" t="n"/>
      <c r="AI499" s="716" t="n"/>
      <c r="AJ499" s="716" t="n"/>
      <c r="AK499" s="717" t="inlineStr">
        <is>
          <t xml:space="preserve">600 SF BASE PERIOD LEASE IN 2049 SF BUILDING.                     </t>
        </is>
      </c>
      <c r="AL499">
        <f>IF(AND(ISNUMBER($S499),$S499&gt;0,ISNUMBER($K499),ISNUMBER($J499)),($K499*$J499)/$S499,"")</f>
        <v/>
      </c>
      <c r="AM499" s="59" t="inlineStr"/>
    </row>
    <row r="500" ht="14" customHeight="1" s="518">
      <c r="A500" s="62" t="n">
        <v>7</v>
      </c>
      <c r="B500" s="93" t="n">
        <v>492</v>
      </c>
      <c r="C500" s="68" t="inlineStr">
        <is>
          <t>2011Q</t>
        </is>
      </c>
      <c r="D500" s="59" t="inlineStr">
        <is>
          <t xml:space="preserve">05211-17-021-000 </t>
        </is>
      </c>
      <c r="E500" s="72" t="inlineStr">
        <is>
          <t>Actual</t>
        </is>
      </c>
      <c r="F500" s="73" t="inlineStr">
        <is>
          <t>1300 S INCA                ST</t>
        </is>
      </c>
      <c r="G500" s="708" t="n">
        <v>44.2</v>
      </c>
      <c r="H500" s="67" t="n">
        <v>9506</v>
      </c>
      <c r="I500" s="69" t="n">
        <v>0</v>
      </c>
      <c r="J500" s="714" t="n">
        <v>2400</v>
      </c>
      <c r="K500" s="715" t="n">
        <v>5</v>
      </c>
      <c r="L500" s="74" t="n">
        <v>0</v>
      </c>
      <c r="M500" s="76" t="n">
        <v>0</v>
      </c>
      <c r="N500" s="67" t="n">
        <v>1977</v>
      </c>
      <c r="O500" s="64" t="n">
        <v>240</v>
      </c>
      <c r="P500" s="64" t="n">
        <v>2400</v>
      </c>
      <c r="Q500" s="59" t="n">
        <v>16</v>
      </c>
      <c r="R500" s="59" t="n">
        <v>8</v>
      </c>
      <c r="S500" s="59" t="n">
        <v>1</v>
      </c>
      <c r="T500" s="63" t="inlineStr">
        <is>
          <t xml:space="preserve">I1   </t>
        </is>
      </c>
      <c r="U500" s="63" t="n">
        <v>398</v>
      </c>
      <c r="V500" s="714" t="n">
        <v>13500</v>
      </c>
      <c r="W500" s="714" t="n">
        <v>14000</v>
      </c>
      <c r="X500" s="83" t="inlineStr">
        <is>
          <t>2.8:1</t>
        </is>
      </c>
      <c r="Y500" s="714" t="n">
        <v>2000</v>
      </c>
      <c r="Z500" s="63" t="inlineStr">
        <is>
          <t xml:space="preserve">C </t>
        </is>
      </c>
      <c r="AC500" s="67" t="n"/>
      <c r="AD500" s="61" t="inlineStr">
        <is>
          <t xml:space="preserve">S-W GEI ELECTRIC    </t>
        </is>
      </c>
      <c r="AE500" s="716" t="n"/>
      <c r="AF500" s="716" t="n"/>
      <c r="AG500" s="716" t="n"/>
      <c r="AH500" s="716" t="n"/>
      <c r="AI500" s="716" t="n"/>
      <c r="AJ500" s="716" t="n"/>
      <c r="AK500" s="717" t="inlineStr">
        <is>
          <t xml:space="preserve">2008 LEASE ON 2400 SF OF 4867 SF BUILDING.                        </t>
        </is>
      </c>
      <c r="AL500">
        <f>IF(AND(ISNUMBER($S500),$S500&gt;0,ISNUMBER($K500),ISNUMBER($J500)),($K500*$J500)/$S500,"")</f>
        <v/>
      </c>
      <c r="AM500" s="59" t="inlineStr"/>
    </row>
    <row r="501">
      <c r="A501" s="62" t="n">
        <v>7</v>
      </c>
      <c r="B501" s="93" t="n">
        <v>493</v>
      </c>
      <c r="C501" s="68" t="inlineStr">
        <is>
          <t>2011Q</t>
        </is>
      </c>
      <c r="D501" s="59" t="inlineStr">
        <is>
          <t xml:space="preserve">05211-18-004-000 </t>
        </is>
      </c>
      <c r="E501" s="72" t="inlineStr">
        <is>
          <t>Actual</t>
        </is>
      </c>
      <c r="F501" s="73" t="inlineStr">
        <is>
          <t>1371 S INCA                ST</t>
        </is>
      </c>
      <c r="G501" s="708" t="n">
        <v>44.2</v>
      </c>
      <c r="H501" s="67" t="n">
        <v>9506</v>
      </c>
      <c r="I501" s="69" t="n">
        <v>0</v>
      </c>
      <c r="J501" s="714" t="n">
        <v>9600</v>
      </c>
      <c r="K501" s="715" t="n">
        <v>6.4375</v>
      </c>
      <c r="L501" s="74" t="n">
        <v>0</v>
      </c>
      <c r="M501" s="76" t="n">
        <v>0.1757605177993528</v>
      </c>
      <c r="N501" s="67" t="n">
        <v>1983</v>
      </c>
      <c r="O501" s="64" t="n">
        <v>1700</v>
      </c>
      <c r="Q501" s="59" t="n">
        <v>18</v>
      </c>
      <c r="R501" s="59" t="n">
        <v>3</v>
      </c>
      <c r="S501" s="59" t="n">
        <v>3</v>
      </c>
      <c r="T501" s="63" t="inlineStr">
        <is>
          <t xml:space="preserve">I1   </t>
        </is>
      </c>
      <c r="U501" s="63" t="n">
        <v>398</v>
      </c>
      <c r="V501" s="714" t="n">
        <v>12700</v>
      </c>
      <c r="W501" s="714" t="n">
        <v>13000</v>
      </c>
      <c r="X501" s="83" t="inlineStr">
        <is>
          <t>1.3:1</t>
        </is>
      </c>
      <c r="Y501" s="714" t="n">
        <v>10000</v>
      </c>
      <c r="Z501" s="63" t="inlineStr">
        <is>
          <t xml:space="preserve">C </t>
        </is>
      </c>
      <c r="AC501" s="67" t="n"/>
      <c r="AD501" s="61" t="inlineStr">
        <is>
          <t xml:space="preserve">KM GRAPHICS         </t>
        </is>
      </c>
      <c r="AE501" s="716" t="n"/>
      <c r="AF501" s="716" t="n"/>
      <c r="AG501" s="716" t="n"/>
      <c r="AH501" s="716" t="n"/>
      <c r="AI501" s="716" t="n"/>
      <c r="AJ501" s="716" t="n"/>
      <c r="AK501" s="716" t="inlineStr">
        <is>
          <t xml:space="preserve">FULL SERVICE LEASE HIGHLY ATYPICAL FOR WAREHOUSE USE.             </t>
        </is>
      </c>
      <c r="AL501">
        <f>IF(AND(ISNUMBER($S501),$S501&gt;0,ISNUMBER($K501),ISNUMBER($J501)),($K501*$J501)/$S501,"")</f>
        <v/>
      </c>
      <c r="AM501" s="59" t="inlineStr"/>
    </row>
    <row r="502">
      <c r="A502" s="62" t="n">
        <v>7</v>
      </c>
      <c r="B502" s="93" t="n">
        <v>494</v>
      </c>
      <c r="C502" s="68" t="inlineStr">
        <is>
          <t>2011Q</t>
        </is>
      </c>
      <c r="D502" s="59" t="inlineStr">
        <is>
          <t xml:space="preserve">05211-18-028-000 </t>
        </is>
      </c>
      <c r="E502" s="72" t="inlineStr">
        <is>
          <t>Actual</t>
        </is>
      </c>
      <c r="F502" s="73" t="inlineStr">
        <is>
          <t>1385 S INCA                ST</t>
        </is>
      </c>
      <c r="G502" s="708" t="n">
        <v>44.2</v>
      </c>
      <c r="H502" s="67" t="n">
        <v>9506</v>
      </c>
      <c r="I502" s="69" t="n">
        <v>0</v>
      </c>
      <c r="J502" s="714" t="n">
        <v>7604</v>
      </c>
      <c r="K502" s="715" t="n">
        <v>5.601657022619674</v>
      </c>
      <c r="L502" s="74" t="n">
        <v>0</v>
      </c>
      <c r="M502" s="76" t="n">
        <v>0.1408146496067613</v>
      </c>
      <c r="N502" s="67" t="n">
        <v>1961</v>
      </c>
      <c r="O502" s="64" t="n">
        <v>4601</v>
      </c>
      <c r="Q502" s="59" t="n">
        <v>12</v>
      </c>
      <c r="R502" s="59" t="n">
        <v>1</v>
      </c>
      <c r="S502" s="59" t="n">
        <v>2</v>
      </c>
      <c r="T502" s="63" t="inlineStr">
        <is>
          <t xml:space="preserve">I1   </t>
        </is>
      </c>
      <c r="U502" s="63" t="n">
        <v>398</v>
      </c>
      <c r="V502" s="714" t="n">
        <v>27746</v>
      </c>
      <c r="W502" s="714" t="n">
        <v>28000</v>
      </c>
      <c r="X502" s="83" t="inlineStr">
        <is>
          <t>2.5:1</t>
        </is>
      </c>
      <c r="Y502" s="714" t="n">
        <v>8000</v>
      </c>
      <c r="Z502" s="63" t="inlineStr">
        <is>
          <t xml:space="preserve">C </t>
        </is>
      </c>
      <c r="AC502" s="67" t="n"/>
      <c r="AD502" s="61" t="inlineStr">
        <is>
          <t xml:space="preserve">M-W                 </t>
        </is>
      </c>
      <c r="AE502" s="716" t="n"/>
      <c r="AF502" s="716" t="n"/>
      <c r="AG502" s="716" t="n"/>
      <c r="AH502" s="716" t="n"/>
      <c r="AI502" s="716" t="n"/>
      <c r="AJ502" s="716" t="n"/>
      <c r="AK502" s="716" t="inlineStr">
        <is>
          <t xml:space="preserve">ONLY USED RENTAL PORTION FOR ENTRY; OWNER-OCC NOT INCLUDED.       </t>
        </is>
      </c>
      <c r="AL502">
        <f>IF(AND(ISNUMBER($S502),$S502&gt;0,ISNUMBER($K502),ISNUMBER($J502)),($K502*$J502)/$S502,"")</f>
        <v/>
      </c>
      <c r="AM502" s="59" t="inlineStr"/>
    </row>
    <row r="503">
      <c r="A503" s="62" t="n">
        <v>7</v>
      </c>
      <c r="B503" s="93" t="n">
        <v>495</v>
      </c>
      <c r="C503" s="68" t="inlineStr">
        <is>
          <t>2011Q</t>
        </is>
      </c>
      <c r="D503" s="59" t="inlineStr">
        <is>
          <t xml:space="preserve">05211-18-029-000 </t>
        </is>
      </c>
      <c r="E503" s="72" t="inlineStr">
        <is>
          <t>Actual</t>
        </is>
      </c>
      <c r="F503" s="73" t="inlineStr">
        <is>
          <t>1328 S JASON               ST</t>
        </is>
      </c>
      <c r="G503" s="708" t="n">
        <v>44.2</v>
      </c>
      <c r="H503" s="67" t="n">
        <v>9506</v>
      </c>
      <c r="I503" s="69" t="n">
        <v>0</v>
      </c>
      <c r="J503" s="714" t="n">
        <v>10000</v>
      </c>
      <c r="K503" s="715" t="n">
        <v>6</v>
      </c>
      <c r="L503" s="74" t="n">
        <v>0</v>
      </c>
      <c r="M503" s="76" t="n">
        <v>0</v>
      </c>
      <c r="N503" s="67" t="n">
        <v>1983</v>
      </c>
      <c r="O503" s="64" t="n">
        <v>2300</v>
      </c>
      <c r="Q503" s="59" t="n">
        <v>14</v>
      </c>
      <c r="R503" s="59" t="n">
        <v>3</v>
      </c>
      <c r="S503" s="59" t="n">
        <v>1</v>
      </c>
      <c r="T503" s="63" t="inlineStr">
        <is>
          <t xml:space="preserve">I1   </t>
        </is>
      </c>
      <c r="U503" s="63" t="n">
        <v>398</v>
      </c>
      <c r="V503" s="714" t="n">
        <v>14224</v>
      </c>
      <c r="W503" s="714" t="n">
        <v>14000</v>
      </c>
      <c r="X503" s="83" t="inlineStr">
        <is>
          <t>1.4:1</t>
        </is>
      </c>
      <c r="Y503" s="714" t="n">
        <v>10000</v>
      </c>
      <c r="Z503" s="63" t="inlineStr">
        <is>
          <t xml:space="preserve">C </t>
        </is>
      </c>
      <c r="AC503" s="67" t="n"/>
      <c r="AD503" s="61" t="inlineStr">
        <is>
          <t xml:space="preserve">AMERICAN TARGET     </t>
        </is>
      </c>
      <c r="AE503" s="716" t="n"/>
      <c r="AF503" s="716" t="n"/>
      <c r="AG503" s="716" t="n"/>
      <c r="AH503" s="716" t="n"/>
      <c r="AI503" s="716" t="n"/>
      <c r="AJ503" s="716" t="n"/>
      <c r="AK503" s="716" t="inlineStr"/>
      <c r="AL503">
        <f>IF(AND(ISNUMBER($S503),$S503&gt;0,ISNUMBER($K503),ISNUMBER($J503)),($K503*$J503)/$S503,"")</f>
        <v/>
      </c>
      <c r="AM503" s="59" t="inlineStr"/>
    </row>
    <row r="504">
      <c r="A504" s="62" t="n">
        <v>7</v>
      </c>
      <c r="B504" s="93" t="n">
        <v>496</v>
      </c>
      <c r="C504" s="68" t="inlineStr">
        <is>
          <t>2011Q</t>
        </is>
      </c>
      <c r="D504" s="59" t="inlineStr">
        <is>
          <t xml:space="preserve">05211-18-030-000 </t>
        </is>
      </c>
      <c r="E504" s="72" t="inlineStr">
        <is>
          <t>Actual</t>
        </is>
      </c>
      <c r="F504" s="73" t="inlineStr">
        <is>
          <t>1308 S JASON               ST</t>
        </is>
      </c>
      <c r="G504" s="708" t="n">
        <v>44.2</v>
      </c>
      <c r="H504" s="67" t="n">
        <v>9506</v>
      </c>
      <c r="I504" s="69" t="n">
        <v>0</v>
      </c>
      <c r="J504" s="714" t="n">
        <v>6801</v>
      </c>
      <c r="K504" s="715" t="n">
        <v>7.498897220996912</v>
      </c>
      <c r="L504" s="74" t="n">
        <v>0</v>
      </c>
      <c r="M504" s="76" t="n">
        <v>0.0392156862745098</v>
      </c>
      <c r="N504" s="67" t="n">
        <v>1997</v>
      </c>
      <c r="O504" s="64" t="n">
        <v>2664</v>
      </c>
      <c r="Q504" s="59" t="n">
        <v>16</v>
      </c>
      <c r="R504" s="59" t="n">
        <v>3</v>
      </c>
      <c r="S504" s="59" t="n">
        <v>1</v>
      </c>
      <c r="T504" s="63" t="inlineStr">
        <is>
          <t xml:space="preserve">I1   </t>
        </is>
      </c>
      <c r="U504" s="63" t="n">
        <v>398</v>
      </c>
      <c r="V504" s="714" t="n">
        <v>11176</v>
      </c>
      <c r="W504" s="714" t="n">
        <v>11000</v>
      </c>
      <c r="X504" s="83" t="inlineStr">
        <is>
          <t>1.6:1</t>
        </is>
      </c>
      <c r="Y504" s="714" t="n">
        <v>7000</v>
      </c>
      <c r="Z504" s="63" t="inlineStr">
        <is>
          <t xml:space="preserve">C </t>
        </is>
      </c>
      <c r="AC504" s="67" t="n"/>
      <c r="AD504" s="61" t="inlineStr">
        <is>
          <t xml:space="preserve">DIST WHSE           </t>
        </is>
      </c>
      <c r="AE504" s="716" t="n"/>
      <c r="AF504" s="716" t="n"/>
      <c r="AG504" s="716" t="n"/>
      <c r="AH504" s="716" t="n"/>
      <c r="AI504" s="716" t="n"/>
      <c r="AJ504" s="716" t="n"/>
      <c r="AK504" s="716" t="inlineStr">
        <is>
          <t xml:space="preserve">2008 LEASE.                                                       </t>
        </is>
      </c>
      <c r="AL504">
        <f>IF(AND(ISNUMBER($S504),$S504&gt;0,ISNUMBER($K504),ISNUMBER($J504)),($K504*$J504)/$S504,"")</f>
        <v/>
      </c>
      <c r="AM504" s="59" t="inlineStr"/>
    </row>
    <row r="505">
      <c r="A505" s="62" t="n">
        <v>7</v>
      </c>
      <c r="B505" s="93" t="n">
        <v>497</v>
      </c>
      <c r="C505" s="68" t="inlineStr">
        <is>
          <t>2011Q</t>
        </is>
      </c>
      <c r="D505" s="59" t="inlineStr">
        <is>
          <t xml:space="preserve">05211-19-011-000 </t>
        </is>
      </c>
      <c r="E505" s="72" t="inlineStr">
        <is>
          <t>Actual</t>
        </is>
      </c>
      <c r="F505" s="73" t="inlineStr">
        <is>
          <t>1301 S JASON               ST</t>
        </is>
      </c>
      <c r="G505" s="708" t="n">
        <v>44.2</v>
      </c>
      <c r="H505" s="67" t="n">
        <v>9506</v>
      </c>
      <c r="I505" s="69" t="n">
        <v>0</v>
      </c>
      <c r="J505" s="714" t="n">
        <v>10246</v>
      </c>
      <c r="K505" s="715" t="n">
        <v>6.819929728674604</v>
      </c>
      <c r="L505" s="74" t="n">
        <v>0.21</v>
      </c>
      <c r="M505" s="76" t="n">
        <v>0.0993603045351117</v>
      </c>
      <c r="N505" s="67" t="n">
        <v>1997</v>
      </c>
      <c r="O505" s="64" t="n">
        <v>8666</v>
      </c>
      <c r="Q505" s="59" t="n">
        <v>26</v>
      </c>
      <c r="R505" s="59" t="n">
        <v>14</v>
      </c>
      <c r="S505" s="59" t="n">
        <v>4</v>
      </c>
      <c r="T505" s="63" t="inlineStr">
        <is>
          <t xml:space="preserve">I0   </t>
        </is>
      </c>
      <c r="U505" s="63" t="n">
        <v>398</v>
      </c>
      <c r="V505" s="714" t="n">
        <v>99255</v>
      </c>
      <c r="W505" s="714" t="n">
        <v>99000</v>
      </c>
      <c r="X505" s="83" t="inlineStr">
        <is>
          <t>2.0:1</t>
        </is>
      </c>
      <c r="Y505" s="714" t="n">
        <v>10000</v>
      </c>
      <c r="Z505" s="63" t="inlineStr">
        <is>
          <t xml:space="preserve">C </t>
        </is>
      </c>
      <c r="AC505" s="67" t="n"/>
      <c r="AD505" s="61" t="inlineStr">
        <is>
          <t xml:space="preserve">M-W DISTRIBUTION    </t>
        </is>
      </c>
      <c r="AE505" s="716" t="n"/>
      <c r="AF505" s="716" t="n"/>
      <c r="AG505" s="716" t="n"/>
      <c r="AH505" s="716" t="n"/>
      <c r="AI505" s="716" t="n"/>
      <c r="AJ505" s="716" t="n"/>
      <c r="AK505" s="716" t="inlineStr">
        <is>
          <t xml:space="preserve">DATA ENTERED FOR ONE BASE PERIOD LEASE IN 49886 SQ.FT. BLDG.      </t>
        </is>
      </c>
      <c r="AL505">
        <f>IF(AND(ISNUMBER($S505),$S505&gt;0,ISNUMBER($K505),ISNUMBER($J505)),($K505*$J505)/$S505,"")</f>
        <v/>
      </c>
      <c r="AM505" s="59" t="inlineStr"/>
    </row>
    <row r="506">
      <c r="A506" s="62" t="n">
        <v>7</v>
      </c>
      <c r="B506" s="93" t="n">
        <v>498</v>
      </c>
      <c r="C506" s="68" t="inlineStr">
        <is>
          <t>2011Q</t>
        </is>
      </c>
      <c r="D506" s="59" t="inlineStr">
        <is>
          <t xml:space="preserve">05211-20-020-000 </t>
        </is>
      </c>
      <c r="E506" s="72" t="inlineStr">
        <is>
          <t>Actual</t>
        </is>
      </c>
      <c r="F506" s="73" t="inlineStr">
        <is>
          <t>1360 S LIPAN               ST</t>
        </is>
      </c>
      <c r="G506" s="708" t="n">
        <v>43.2</v>
      </c>
      <c r="H506" s="67" t="n">
        <v>9506</v>
      </c>
      <c r="I506" s="69" t="n">
        <v>0</v>
      </c>
      <c r="J506" s="714" t="n">
        <v>14976</v>
      </c>
      <c r="K506" s="715" t="n">
        <v>3.739316239316239</v>
      </c>
      <c r="L506" s="74" t="n">
        <v>0</v>
      </c>
      <c r="M506" s="76" t="n">
        <v>0</v>
      </c>
      <c r="N506" s="67" t="n">
        <v>1973</v>
      </c>
      <c r="O506" s="64" t="n">
        <v>7296</v>
      </c>
      <c r="Q506" s="59" t="n">
        <v>20</v>
      </c>
      <c r="R506" s="59" t="n">
        <v>14</v>
      </c>
      <c r="S506" s="59" t="n">
        <v>1</v>
      </c>
      <c r="T506" s="63" t="inlineStr">
        <is>
          <t xml:space="preserve">I0   </t>
        </is>
      </c>
      <c r="U506" s="63" t="n">
        <v>401</v>
      </c>
      <c r="V506" s="714" t="n">
        <v>27318</v>
      </c>
      <c r="W506" s="714" t="n">
        <v>27000</v>
      </c>
      <c r="X506" s="83" t="inlineStr">
        <is>
          <t>1.8:1</t>
        </is>
      </c>
      <c r="Y506" s="714" t="n">
        <v>15000</v>
      </c>
      <c r="Z506" s="63" t="inlineStr">
        <is>
          <t xml:space="preserve">C </t>
        </is>
      </c>
      <c r="AC506" s="67" t="n"/>
      <c r="AD506" s="61" t="inlineStr">
        <is>
          <t xml:space="preserve">S-W LANGE GRAPHICS  </t>
        </is>
      </c>
      <c r="AE506" s="716" t="n"/>
      <c r="AF506" s="716" t="n"/>
      <c r="AG506" s="716" t="n"/>
      <c r="AH506" s="716" t="n"/>
      <c r="AI506" s="716" t="n"/>
      <c r="AJ506" s="716" t="n"/>
      <c r="AK506" s="716" t="inlineStr"/>
      <c r="AL506">
        <f>IF(AND(ISNUMBER($S506),$S506&gt;0,ISNUMBER($K506),ISNUMBER($J506)),($K506*$J506)/$S506,"")</f>
        <v/>
      </c>
      <c r="AM506" s="59" t="inlineStr"/>
    </row>
    <row r="507">
      <c r="A507" s="62" t="n">
        <v>7</v>
      </c>
      <c r="B507" s="93" t="n">
        <v>499</v>
      </c>
      <c r="C507" s="68" t="inlineStr">
        <is>
          <t>2011Q</t>
        </is>
      </c>
      <c r="D507" s="59" t="inlineStr">
        <is>
          <t xml:space="preserve">05211-30-014-000 </t>
        </is>
      </c>
      <c r="E507" s="72" t="inlineStr">
        <is>
          <t>Actual</t>
        </is>
      </c>
      <c r="F507" s="73" t="inlineStr">
        <is>
          <t>1495 S PLATTE RIVER        DR</t>
        </is>
      </c>
      <c r="G507" s="67" t="n">
        <v>44.1</v>
      </c>
      <c r="H507" s="67" t="n">
        <v>9506</v>
      </c>
      <c r="I507" s="69" t="n">
        <v>0</v>
      </c>
      <c r="J507" s="714" t="n">
        <v>10120</v>
      </c>
      <c r="K507" s="715" t="n">
        <v>8.328853754940711</v>
      </c>
      <c r="L507" s="74" t="n">
        <v>1</v>
      </c>
      <c r="M507" s="76" t="n">
        <v>0</v>
      </c>
      <c r="N507" s="67" t="n">
        <v>1985</v>
      </c>
      <c r="O507" s="64" t="n">
        <v>2300</v>
      </c>
      <c r="Q507" s="59" t="n">
        <v>16</v>
      </c>
      <c r="R507" s="59" t="n">
        <v>3</v>
      </c>
      <c r="S507" s="59" t="n">
        <v>1</v>
      </c>
      <c r="T507" s="63" t="inlineStr">
        <is>
          <t xml:space="preserve">I0   </t>
        </is>
      </c>
      <c r="U507" s="63" t="n">
        <v>397</v>
      </c>
      <c r="V507" s="714" t="n">
        <v>22600</v>
      </c>
      <c r="W507" s="714" t="n">
        <v>23000</v>
      </c>
      <c r="X507" s="83" t="inlineStr">
        <is>
          <t>2.2:1</t>
        </is>
      </c>
      <c r="Y507" s="714" t="n">
        <v>10000</v>
      </c>
      <c r="Z507" s="63" t="inlineStr">
        <is>
          <t xml:space="preserve">C </t>
        </is>
      </c>
      <c r="AC507" s="67" t="n"/>
      <c r="AD507" s="61" t="inlineStr"/>
      <c r="AE507" s="716" t="n"/>
      <c r="AF507" s="716" t="n"/>
      <c r="AG507" s="716" t="n"/>
      <c r="AH507" s="716" t="n"/>
      <c r="AI507" s="716" t="n"/>
      <c r="AJ507" s="716" t="n"/>
      <c r="AK507" s="716" t="inlineStr"/>
      <c r="AL507">
        <f>IF(AND(ISNUMBER($S507),$S507&gt;0,ISNUMBER($K507),ISNUMBER($J507)),($K507*$J507)/$S507,"")</f>
        <v/>
      </c>
      <c r="AM507" s="59" t="inlineStr"/>
    </row>
    <row r="508">
      <c r="A508" s="62" t="n">
        <v>7</v>
      </c>
      <c r="B508" s="93" t="n">
        <v>500</v>
      </c>
      <c r="C508" s="68" t="inlineStr">
        <is>
          <t>2011Q</t>
        </is>
      </c>
      <c r="D508" s="59" t="inlineStr">
        <is>
          <t xml:space="preserve">05221-14-033-000 </t>
        </is>
      </c>
      <c r="E508" s="72" t="inlineStr">
        <is>
          <t>Actual</t>
        </is>
      </c>
      <c r="F508" s="73" t="inlineStr">
        <is>
          <t>1215 S PEARL               ST</t>
        </is>
      </c>
      <c r="G508" s="708" t="n">
        <v>44.2</v>
      </c>
      <c r="H508" s="67" t="n">
        <v>9509</v>
      </c>
      <c r="I508" s="69" t="n">
        <v>0</v>
      </c>
      <c r="J508" s="714" t="n">
        <v>4161</v>
      </c>
      <c r="K508" s="715" t="n">
        <v>7.786589762076424</v>
      </c>
      <c r="L508" s="74" t="n">
        <v>0</v>
      </c>
      <c r="M508" s="76" t="n">
        <v>0.1066666666666667</v>
      </c>
      <c r="N508" s="67" t="n">
        <v>1919</v>
      </c>
      <c r="O508" s="64" t="n">
        <v>1720</v>
      </c>
      <c r="Q508" s="59" t="n">
        <v>13</v>
      </c>
      <c r="R508" s="59" t="n">
        <v>1</v>
      </c>
      <c r="S508" s="59" t="n">
        <v>1</v>
      </c>
      <c r="T508" s="63" t="inlineStr">
        <is>
          <t xml:space="preserve">B4   </t>
        </is>
      </c>
      <c r="U508" s="63" t="n">
        <v>398</v>
      </c>
      <c r="V508" s="714" t="n">
        <v>10300</v>
      </c>
      <c r="W508" s="714" t="n">
        <v>10000</v>
      </c>
      <c r="X508" s="83" t="inlineStr">
        <is>
          <t>1.7:1</t>
        </is>
      </c>
      <c r="Y508" s="714" t="n">
        <v>4000</v>
      </c>
      <c r="Z508" s="63" t="inlineStr">
        <is>
          <t xml:space="preserve">C </t>
        </is>
      </c>
      <c r="AC508" s="67" t="n"/>
      <c r="AD508" s="61" t="inlineStr">
        <is>
          <t>SYNERGY COMMUNICATIN</t>
        </is>
      </c>
      <c r="AE508" s="716" t="n"/>
      <c r="AF508" s="716" t="n"/>
      <c r="AG508" s="716" t="n"/>
      <c r="AH508" s="716" t="n"/>
      <c r="AI508" s="716" t="n"/>
      <c r="AJ508" s="716" t="n"/>
      <c r="AK508" s="716" t="inlineStr"/>
      <c r="AL508">
        <f>IF(AND(ISNUMBER($S508),$S508&gt;0,ISNUMBER($K508),ISNUMBER($J508)),($K508*$J508)/$S508,"")</f>
        <v/>
      </c>
      <c r="AM508" s="59" t="inlineStr"/>
    </row>
    <row r="509">
      <c r="A509" s="62" t="n">
        <v>7</v>
      </c>
      <c r="B509" s="93" t="n">
        <v>501</v>
      </c>
      <c r="C509" s="68" t="inlineStr">
        <is>
          <t>2011Q</t>
        </is>
      </c>
      <c r="D509" s="59" t="inlineStr">
        <is>
          <t xml:space="preserve">05221-15-013-000 </t>
        </is>
      </c>
      <c r="E509" s="72" t="inlineStr">
        <is>
          <t>Actual</t>
        </is>
      </c>
      <c r="F509" s="73" t="inlineStr">
        <is>
          <t>666   BUCHTEL             BV</t>
        </is>
      </c>
      <c r="G509" s="708" t="n">
        <v>44.2</v>
      </c>
      <c r="H509" s="67" t="n">
        <v>9509</v>
      </c>
      <c r="I509" s="69" t="n">
        <v>0</v>
      </c>
      <c r="J509" s="714" t="n">
        <v>8845</v>
      </c>
      <c r="K509" s="715" t="n">
        <v>7.149802148106275</v>
      </c>
      <c r="L509" s="74" t="n">
        <v>1</v>
      </c>
      <c r="M509" s="76" t="n">
        <v>0</v>
      </c>
      <c r="N509" s="67" t="n">
        <v>1957</v>
      </c>
      <c r="O509" s="64" t="n">
        <v>576</v>
      </c>
      <c r="Q509" s="59" t="n">
        <v>20</v>
      </c>
      <c r="R509" s="59" t="n">
        <v>3</v>
      </c>
      <c r="S509" s="59" t="n">
        <v>1</v>
      </c>
      <c r="T509" s="63" t="inlineStr">
        <is>
          <t xml:space="preserve">B4   </t>
        </is>
      </c>
      <c r="U509" s="63" t="n">
        <v>398</v>
      </c>
      <c r="V509" s="714" t="n">
        <v>14300</v>
      </c>
      <c r="W509" s="714" t="n">
        <v>14000</v>
      </c>
      <c r="X509" s="83" t="inlineStr">
        <is>
          <t>1.6:1</t>
        </is>
      </c>
      <c r="Y509" s="714" t="n">
        <v>9000</v>
      </c>
      <c r="Z509" s="63" t="inlineStr">
        <is>
          <t xml:space="preserve">C </t>
        </is>
      </c>
      <c r="AC509" s="67" t="n"/>
      <c r="AD509" s="61" t="inlineStr">
        <is>
          <t>ARTISANS STAIN GLASS</t>
        </is>
      </c>
      <c r="AE509" s="716" t="n"/>
      <c r="AF509" s="716" t="n"/>
      <c r="AG509" s="716" t="n"/>
      <c r="AH509" s="716" t="n"/>
      <c r="AI509" s="716" t="n"/>
      <c r="AJ509" s="716" t="n"/>
      <c r="AK509" s="716" t="inlineStr"/>
      <c r="AL509">
        <f>IF(AND(ISNUMBER($S509),$S509&gt;0,ISNUMBER($K509),ISNUMBER($J509)),($K509*$J509)/$S509,"")</f>
        <v/>
      </c>
      <c r="AM509" s="59" t="inlineStr"/>
    </row>
    <row r="510">
      <c r="A510" s="62" t="n">
        <v>7</v>
      </c>
      <c r="B510" s="93" t="n">
        <v>502</v>
      </c>
      <c r="C510" s="68" t="inlineStr">
        <is>
          <t>2011Q</t>
        </is>
      </c>
      <c r="D510" s="59" t="inlineStr">
        <is>
          <t xml:space="preserve">05222-03-012-000 </t>
        </is>
      </c>
      <c r="E510" s="72" t="inlineStr">
        <is>
          <t>Actual</t>
        </is>
      </c>
      <c r="F510" s="73" t="inlineStr">
        <is>
          <t>1220 S ACOMA               ST</t>
        </is>
      </c>
      <c r="G510" s="67" t="n">
        <v>44.1</v>
      </c>
      <c r="H510" s="67" t="n">
        <v>9506</v>
      </c>
      <c r="I510" s="69" t="n">
        <v>0</v>
      </c>
      <c r="J510" s="714" t="n">
        <v>3000</v>
      </c>
      <c r="K510" s="715" t="n">
        <v>5.4</v>
      </c>
      <c r="L510" s="74" t="n">
        <v>0.17</v>
      </c>
      <c r="M510" s="76" t="n">
        <v>0.01771604938271605</v>
      </c>
      <c r="N510" s="67" t="n">
        <v>1959</v>
      </c>
      <c r="O510" s="64" t="n">
        <v>1850</v>
      </c>
      <c r="Q510" s="59" t="n">
        <v>16</v>
      </c>
      <c r="R510" s="59" t="n">
        <v>3</v>
      </c>
      <c r="S510" s="59" t="n">
        <v>1</v>
      </c>
      <c r="T510" s="63" t="inlineStr">
        <is>
          <t xml:space="preserve">I1   </t>
        </is>
      </c>
      <c r="U510" s="63" t="n">
        <v>398</v>
      </c>
      <c r="V510" s="714" t="n">
        <v>15625</v>
      </c>
      <c r="W510" s="714" t="n">
        <v>16000</v>
      </c>
      <c r="X510" s="83" t="inlineStr">
        <is>
          <t>1.3:1</t>
        </is>
      </c>
      <c r="Y510" s="714" t="n">
        <v>3000</v>
      </c>
      <c r="Z510" s="63" t="inlineStr">
        <is>
          <t xml:space="preserve">C </t>
        </is>
      </c>
      <c r="AC510" s="67" t="n"/>
      <c r="AD510" s="61" t="inlineStr"/>
      <c r="AE510" s="716" t="n"/>
      <c r="AF510" s="716" t="n"/>
      <c r="AG510" s="716" t="n"/>
      <c r="AH510" s="716" t="n"/>
      <c r="AI510" s="716" t="n"/>
      <c r="AJ510" s="716" t="n"/>
      <c r="AK510" s="716" t="inlineStr">
        <is>
          <t xml:space="preserve">DATA FOR 3000 SF UNIT WITH 2009 LEASE IN 12,038 SF BUILDING.      </t>
        </is>
      </c>
      <c r="AL510">
        <f>IF(AND(ISNUMBER($S510),$S510&gt;0,ISNUMBER($K510),ISNUMBER($J510)),($K510*$J510)/$S510,"")</f>
        <v/>
      </c>
      <c r="AM510" s="59" t="inlineStr"/>
    </row>
    <row r="511">
      <c r="A511" s="62" t="n">
        <v>7</v>
      </c>
      <c r="B511" s="93" t="n">
        <v>503</v>
      </c>
      <c r="C511" s="68" t="inlineStr">
        <is>
          <t>2011Q</t>
        </is>
      </c>
      <c r="D511" s="59" t="inlineStr">
        <is>
          <t xml:space="preserve">05222-07-005-000 </t>
        </is>
      </c>
      <c r="E511" s="72" t="inlineStr">
        <is>
          <t>Actual</t>
        </is>
      </c>
      <c r="F511" s="73" t="inlineStr">
        <is>
          <t>1432 S ACOMA               ST</t>
        </is>
      </c>
      <c r="G511" s="708" t="n">
        <v>44.2</v>
      </c>
      <c r="H511" s="67" t="n">
        <v>9506</v>
      </c>
      <c r="I511" s="69" t="n">
        <v>0</v>
      </c>
      <c r="J511" s="714" t="n">
        <v>4313</v>
      </c>
      <c r="K511" s="715" t="n">
        <v>11.19870159981451</v>
      </c>
      <c r="L511" s="74" t="n">
        <v>0</v>
      </c>
      <c r="M511" s="76" t="n">
        <v>0.04026915113871635</v>
      </c>
      <c r="N511" s="67" t="n">
        <v>2002</v>
      </c>
      <c r="O511" s="64" t="n">
        <v>0</v>
      </c>
      <c r="Q511" s="59" t="n">
        <v>24</v>
      </c>
      <c r="R511" s="59" t="n">
        <v>3</v>
      </c>
      <c r="S511" s="59" t="n">
        <v>1</v>
      </c>
      <c r="T511" s="63" t="inlineStr">
        <is>
          <t xml:space="preserve">I1   </t>
        </is>
      </c>
      <c r="U511" s="63" t="n">
        <v>398</v>
      </c>
      <c r="V511" s="714" t="n">
        <v>6250</v>
      </c>
      <c r="W511" s="714" t="n">
        <v>6000</v>
      </c>
      <c r="X511" s="83" t="inlineStr">
        <is>
          <t>1.4:1</t>
        </is>
      </c>
      <c r="Y511" s="714" t="n">
        <v>4000</v>
      </c>
      <c r="Z511" s="63" t="inlineStr">
        <is>
          <t xml:space="preserve">C </t>
        </is>
      </c>
      <c r="AC511" s="67" t="n"/>
      <c r="AD511" s="61" t="inlineStr">
        <is>
          <t xml:space="preserve">TRUE PUMP &amp; EQUPMNT </t>
        </is>
      </c>
      <c r="AE511" s="716" t="n"/>
      <c r="AF511" s="716" t="n"/>
      <c r="AG511" s="716" t="n"/>
      <c r="AH511" s="716" t="n"/>
      <c r="AI511" s="716" t="n"/>
      <c r="AJ511" s="716" t="n"/>
      <c r="AK511" s="716" t="inlineStr"/>
      <c r="AL511">
        <f>IF(AND(ISNUMBER($S511),$S511&gt;0,ISNUMBER($K511),ISNUMBER($J511)),($K511*$J511)/$S511,"")</f>
        <v/>
      </c>
      <c r="AM511" s="59" t="inlineStr"/>
    </row>
    <row r="512">
      <c r="A512" s="62" t="n">
        <v>7</v>
      </c>
      <c r="B512" s="93" t="n">
        <v>504</v>
      </c>
      <c r="C512" s="68" t="inlineStr">
        <is>
          <t>2011Q</t>
        </is>
      </c>
      <c r="D512" s="59" t="inlineStr">
        <is>
          <t xml:space="preserve">05222-07-018-000 </t>
        </is>
      </c>
      <c r="E512" s="72" t="inlineStr">
        <is>
          <t>Actual</t>
        </is>
      </c>
      <c r="F512" s="73" t="inlineStr">
        <is>
          <t>1429 S BROADWAY            ST</t>
        </is>
      </c>
      <c r="G512" s="67" t="n">
        <v>44.1</v>
      </c>
      <c r="H512" s="67" t="n">
        <v>9506</v>
      </c>
      <c r="I512" s="69" t="n">
        <v>2</v>
      </c>
      <c r="J512" s="714" t="n">
        <v>1912</v>
      </c>
      <c r="K512" s="715" t="n">
        <v>13.02301255230125</v>
      </c>
      <c r="L512" s="74" t="n">
        <v>0</v>
      </c>
      <c r="M512" s="76" t="n">
        <v>0.05381526104417671</v>
      </c>
      <c r="N512" s="67" t="n">
        <v>1912</v>
      </c>
      <c r="O512" s="64" t="n">
        <v>1006</v>
      </c>
      <c r="Q512" s="59" t="n">
        <v>15</v>
      </c>
      <c r="R512" s="59" t="n">
        <v>1</v>
      </c>
      <c r="S512" s="59" t="n">
        <v>1</v>
      </c>
      <c r="T512" s="63" t="inlineStr">
        <is>
          <t xml:space="preserve">B4   </t>
        </is>
      </c>
      <c r="U512" s="63" t="n">
        <v>398</v>
      </c>
      <c r="V512" s="714" t="n">
        <v>6250</v>
      </c>
      <c r="W512" s="714" t="n">
        <v>6000</v>
      </c>
      <c r="X512" s="83" t="inlineStr">
        <is>
          <t>3.3:1</t>
        </is>
      </c>
      <c r="Y512" s="714" t="n">
        <v>2000</v>
      </c>
      <c r="Z512" s="63" t="inlineStr">
        <is>
          <t xml:space="preserve">C </t>
        </is>
      </c>
      <c r="AC512" s="67" t="n"/>
      <c r="AD512" s="61" t="inlineStr">
        <is>
          <t xml:space="preserve">TRUE PUMP EQUIPT    </t>
        </is>
      </c>
      <c r="AE512" s="716" t="n"/>
      <c r="AF512" s="716" t="n"/>
      <c r="AG512" s="716" t="n"/>
      <c r="AH512" s="716" t="n"/>
      <c r="AI512" s="716" t="n"/>
      <c r="AJ512" s="716" t="n"/>
      <c r="AK512" s="716" t="inlineStr"/>
      <c r="AL512">
        <f>IF(AND(ISNUMBER($S512),$S512&gt;0,ISNUMBER($K512),ISNUMBER($J512)),($K512*$J512)/$S512,"")</f>
        <v/>
      </c>
      <c r="AM512" s="59" t="inlineStr"/>
    </row>
    <row r="513">
      <c r="A513" s="62" t="n">
        <v>7</v>
      </c>
      <c r="B513" s="93" t="n">
        <v>505</v>
      </c>
      <c r="C513" s="68" t="inlineStr">
        <is>
          <t>2011Q</t>
        </is>
      </c>
      <c r="D513" s="59" t="inlineStr">
        <is>
          <t xml:space="preserve">05223-01-008-000 </t>
        </is>
      </c>
      <c r="E513" s="72" t="inlineStr">
        <is>
          <t>Actual</t>
        </is>
      </c>
      <c r="F513" s="73" t="inlineStr">
        <is>
          <t>1132 S BANNOCK             ST</t>
        </is>
      </c>
      <c r="G513" s="67" t="n">
        <v>44.1</v>
      </c>
      <c r="H513" s="67" t="n">
        <v>9506</v>
      </c>
      <c r="I513" s="69" t="n">
        <v>0</v>
      </c>
      <c r="J513" s="714" t="n">
        <v>4699</v>
      </c>
      <c r="K513" s="715" t="n">
        <v>6.895084060438391</v>
      </c>
      <c r="L513" s="74" t="n">
        <v>0</v>
      </c>
      <c r="M513" s="76" t="n">
        <v>0.2063271604938272</v>
      </c>
      <c r="N513" s="67" t="n">
        <v>1962</v>
      </c>
      <c r="O513" s="64" t="n">
        <v>798</v>
      </c>
      <c r="Q513" s="59" t="n">
        <v>14</v>
      </c>
      <c r="R513" s="59" t="n">
        <v>1</v>
      </c>
      <c r="S513" s="59" t="n">
        <v>1</v>
      </c>
      <c r="T513" s="63" t="inlineStr">
        <is>
          <t xml:space="preserve">I1   </t>
        </is>
      </c>
      <c r="U513" s="63" t="n">
        <v>398</v>
      </c>
      <c r="V513" s="714" t="n">
        <v>6100</v>
      </c>
      <c r="W513" s="714" t="n">
        <v>6000</v>
      </c>
      <c r="X513" s="83" t="inlineStr">
        <is>
          <t>1.3:1</t>
        </is>
      </c>
      <c r="Y513" s="714" t="n">
        <v>5000</v>
      </c>
      <c r="Z513" s="63" t="inlineStr">
        <is>
          <t xml:space="preserve">C </t>
        </is>
      </c>
      <c r="AC513" s="67" t="n"/>
      <c r="AD513" s="61" t="inlineStr">
        <is>
          <t>M-F DIAMOND IRON WRK</t>
        </is>
      </c>
      <c r="AE513" s="716" t="n"/>
      <c r="AF513" s="716" t="n"/>
      <c r="AG513" s="716" t="n"/>
      <c r="AH513" s="716" t="n"/>
      <c r="AI513" s="716" t="n"/>
      <c r="AJ513" s="716" t="n"/>
      <c r="AK513" s="716" t="inlineStr">
        <is>
          <t xml:space="preserve">MO-TO-MO LEASES                                                   </t>
        </is>
      </c>
      <c r="AL513">
        <f>IF(AND(ISNUMBER($S513),$S513&gt;0,ISNUMBER($K513),ISNUMBER($J513)),($K513*$J513)/$S513,"")</f>
        <v/>
      </c>
      <c r="AM513" s="59" t="inlineStr"/>
    </row>
    <row r="514">
      <c r="A514" s="62" t="n">
        <v>7</v>
      </c>
      <c r="B514" s="93" t="n">
        <v>506</v>
      </c>
      <c r="C514" s="68" t="inlineStr">
        <is>
          <t>2011Q</t>
        </is>
      </c>
      <c r="D514" s="59" t="inlineStr">
        <is>
          <t xml:space="preserve">05223-05-013-000 </t>
        </is>
      </c>
      <c r="E514" s="72" t="inlineStr">
        <is>
          <t>Actual</t>
        </is>
      </c>
      <c r="F514" s="73" t="inlineStr">
        <is>
          <t>1253 S CHEROKEE            ST</t>
        </is>
      </c>
      <c r="G514" s="708" t="n">
        <v>44.2</v>
      </c>
      <c r="H514" s="67" t="n">
        <v>9506</v>
      </c>
      <c r="I514" s="69" t="n">
        <v>0</v>
      </c>
      <c r="J514" s="714" t="n">
        <v>12860</v>
      </c>
      <c r="K514" s="715" t="n">
        <v>5.7400466562986</v>
      </c>
      <c r="L514" s="74" t="n">
        <v>0.13</v>
      </c>
      <c r="M514" s="76" t="n">
        <v>0</v>
      </c>
      <c r="N514" s="67" t="n">
        <v>1943</v>
      </c>
      <c r="O514" s="64" t="n">
        <v>5907</v>
      </c>
      <c r="Q514" s="59" t="n">
        <v>12</v>
      </c>
      <c r="R514" s="59" t="n">
        <v>1</v>
      </c>
      <c r="S514" s="59" t="n">
        <v>4</v>
      </c>
      <c r="T514" s="63" t="inlineStr">
        <is>
          <t xml:space="preserve">I2   </t>
        </is>
      </c>
      <c r="U514" s="63" t="n">
        <v>398</v>
      </c>
      <c r="V514" s="714" t="n">
        <v>35250</v>
      </c>
      <c r="W514" s="714" t="n">
        <v>35000</v>
      </c>
      <c r="X514" s="83" t="inlineStr">
        <is>
          <t>1.9:1</t>
        </is>
      </c>
      <c r="Y514" s="714" t="n">
        <v>13000</v>
      </c>
      <c r="Z514" s="63" t="inlineStr">
        <is>
          <t xml:space="preserve">C </t>
        </is>
      </c>
      <c r="AC514" s="67" t="n"/>
      <c r="AD514" s="61" t="inlineStr">
        <is>
          <t xml:space="preserve">M-W                 </t>
        </is>
      </c>
      <c r="AE514" s="716" t="n"/>
      <c r="AF514" s="716" t="n"/>
      <c r="AG514" s="716" t="n"/>
      <c r="AH514" s="716" t="n"/>
      <c r="AI514" s="716" t="n"/>
      <c r="AJ514" s="716" t="n"/>
      <c r="AK514" s="716" t="inlineStr">
        <is>
          <t xml:space="preserve">12860 SF LEASED IN AN 18642 SF BLDG.                              </t>
        </is>
      </c>
      <c r="AL514">
        <f>IF(AND(ISNUMBER($S514),$S514&gt;0,ISNUMBER($K514),ISNUMBER($J514)),($K514*$J514)/$S514,"")</f>
        <v/>
      </c>
      <c r="AM514" s="59" t="inlineStr"/>
    </row>
    <row r="515">
      <c r="A515" s="62" t="n">
        <v>7</v>
      </c>
      <c r="B515" s="93" t="n">
        <v>507</v>
      </c>
      <c r="C515" s="68" t="inlineStr">
        <is>
          <t>2011Q</t>
        </is>
      </c>
      <c r="D515" s="59" t="inlineStr">
        <is>
          <t xml:space="preserve">05223-05-022-000 </t>
        </is>
      </c>
      <c r="E515" s="72" t="inlineStr">
        <is>
          <t>Actual</t>
        </is>
      </c>
      <c r="F515" s="73" t="inlineStr">
        <is>
          <t>1221 S CHEROKEE            ST</t>
        </is>
      </c>
      <c r="G515" s="67" t="n">
        <v>44.1</v>
      </c>
      <c r="H515" s="67" t="n">
        <v>9506</v>
      </c>
      <c r="I515" s="69" t="n">
        <v>0</v>
      </c>
      <c r="J515" s="714" t="n">
        <v>3600</v>
      </c>
      <c r="K515" s="715" t="n">
        <v>13.11972222222222</v>
      </c>
      <c r="L515" s="74" t="n">
        <v>0</v>
      </c>
      <c r="M515" s="76" t="n">
        <v>0.179775994579831</v>
      </c>
      <c r="N515" s="67" t="n">
        <v>1985</v>
      </c>
      <c r="O515" s="64" t="n">
        <v>0</v>
      </c>
      <c r="Q515" s="59" t="n">
        <v>15</v>
      </c>
      <c r="R515" s="59" t="n">
        <v>7</v>
      </c>
      <c r="S515" s="59" t="n">
        <v>1</v>
      </c>
      <c r="T515" s="63" t="inlineStr">
        <is>
          <t xml:space="preserve">I1   </t>
        </is>
      </c>
      <c r="U515" s="63" t="n">
        <v>398</v>
      </c>
      <c r="V515" s="714" t="n">
        <v>22750</v>
      </c>
      <c r="W515" s="714" t="n">
        <v>23000</v>
      </c>
      <c r="X515" s="83" t="inlineStr">
        <is>
          <t>5.4:1</t>
        </is>
      </c>
      <c r="Y515" s="714" t="n">
        <v>4000</v>
      </c>
      <c r="Z515" s="63" t="inlineStr">
        <is>
          <t xml:space="preserve">C </t>
        </is>
      </c>
      <c r="AC515" s="67" t="n"/>
      <c r="AD515" s="61" t="inlineStr">
        <is>
          <t xml:space="preserve">S-W                 </t>
        </is>
      </c>
      <c r="AE515" s="716" t="n"/>
      <c r="AF515" s="716" t="n"/>
      <c r="AG515" s="716" t="n"/>
      <c r="AH515" s="716" t="n"/>
      <c r="AI515" s="716" t="n"/>
      <c r="AJ515" s="716" t="n"/>
      <c r="AK515" s="716" t="inlineStr">
        <is>
          <t xml:space="preserve">3600 SF OF BLDG LEASED - BALANCE OCCUPIED BY OWNER.               </t>
        </is>
      </c>
      <c r="AL515">
        <f>IF(AND(ISNUMBER($S515),$S515&gt;0,ISNUMBER($K515),ISNUMBER($J515)),($K515*$J515)/$S515,"")</f>
        <v/>
      </c>
      <c r="AM515" s="59" t="inlineStr"/>
    </row>
    <row r="516">
      <c r="A516" s="62" t="n">
        <v>7</v>
      </c>
      <c r="B516" s="93" t="n">
        <v>508</v>
      </c>
      <c r="C516" s="68" t="inlineStr">
        <is>
          <t>2011Q</t>
        </is>
      </c>
      <c r="D516" s="59" t="inlineStr">
        <is>
          <t xml:space="preserve">05223-06-007-000 </t>
        </is>
      </c>
      <c r="E516" s="72" t="inlineStr">
        <is>
          <t>Actual</t>
        </is>
      </c>
      <c r="F516" s="73" t="inlineStr">
        <is>
          <t>1257 S BANNOCK             ST</t>
        </is>
      </c>
      <c r="G516" s="708" t="n">
        <v>44.2</v>
      </c>
      <c r="H516" s="67" t="n">
        <v>9506</v>
      </c>
      <c r="I516" s="69" t="n">
        <v>0</v>
      </c>
      <c r="J516" s="714" t="n">
        <v>2156</v>
      </c>
      <c r="K516" s="715" t="n">
        <v>9.74025974025974</v>
      </c>
      <c r="L516" s="74" t="n">
        <v>0</v>
      </c>
      <c r="M516" s="76" t="n">
        <v>0.1446666666666667</v>
      </c>
      <c r="N516" s="67" t="n">
        <v>1957</v>
      </c>
      <c r="O516" s="64" t="n">
        <v>0</v>
      </c>
      <c r="Q516" s="59" t="n">
        <v>12</v>
      </c>
      <c r="R516" s="59" t="n">
        <v>3</v>
      </c>
      <c r="S516" s="59" t="n">
        <v>1</v>
      </c>
      <c r="T516" s="63" t="inlineStr">
        <is>
          <t xml:space="preserve">I1   </t>
        </is>
      </c>
      <c r="U516" s="63" t="n">
        <v>398</v>
      </c>
      <c r="V516" s="714" t="n">
        <v>9370</v>
      </c>
      <c r="W516" s="714" t="n">
        <v>9000</v>
      </c>
      <c r="X516" s="83" t="inlineStr">
        <is>
          <t>4.3:1</t>
        </is>
      </c>
      <c r="Y516" s="714" t="n">
        <v>2000</v>
      </c>
      <c r="Z516" s="63" t="inlineStr">
        <is>
          <t xml:space="preserve">C </t>
        </is>
      </c>
      <c r="AC516" s="67" t="n"/>
      <c r="AD516" s="61" t="inlineStr"/>
      <c r="AE516" s="716" t="n"/>
      <c r="AF516" s="716" t="n"/>
      <c r="AG516" s="716" t="n"/>
      <c r="AH516" s="716" t="n"/>
      <c r="AI516" s="716" t="n"/>
      <c r="AJ516" s="716" t="n"/>
      <c r="AK516" s="716" t="inlineStr">
        <is>
          <t xml:space="preserve">2010 LEASE.                                                       </t>
        </is>
      </c>
      <c r="AL516">
        <f>IF(AND(ISNUMBER($S516),$S516&gt;0,ISNUMBER($K516),ISNUMBER($J516)),($K516*$J516)/$S516,"")</f>
        <v/>
      </c>
      <c r="AM516" s="59" t="inlineStr"/>
    </row>
    <row r="517">
      <c r="A517" s="62" t="n">
        <v>7</v>
      </c>
      <c r="B517" s="93" t="n">
        <v>509</v>
      </c>
      <c r="C517" s="68" t="inlineStr">
        <is>
          <t>2011Q</t>
        </is>
      </c>
      <c r="D517" s="59" t="inlineStr">
        <is>
          <t xml:space="preserve">05223-07-017-000 </t>
        </is>
      </c>
      <c r="E517" s="72" t="inlineStr">
        <is>
          <t>Actual</t>
        </is>
      </c>
      <c r="F517" s="73" t="inlineStr">
        <is>
          <t>1220 S BANNOCK             ST</t>
        </is>
      </c>
      <c r="G517" s="708" t="n">
        <v>47.1</v>
      </c>
      <c r="H517" s="67" t="n">
        <v>9506</v>
      </c>
      <c r="I517" s="69" t="n">
        <v>0</v>
      </c>
      <c r="J517" s="714" t="n">
        <v>6800</v>
      </c>
      <c r="K517" s="715" t="n">
        <v>5.922794117647059</v>
      </c>
      <c r="L517" s="74" t="n">
        <v>0</v>
      </c>
      <c r="M517" s="76" t="n">
        <v>0.09857231533209186</v>
      </c>
      <c r="N517" s="67" t="n">
        <v>1967</v>
      </c>
      <c r="O517" s="64" t="n">
        <v>2000</v>
      </c>
      <c r="Q517" s="59" t="n">
        <v>16</v>
      </c>
      <c r="R517" s="59" t="n">
        <v>1</v>
      </c>
      <c r="S517" s="59" t="n">
        <v>1</v>
      </c>
      <c r="T517" s="63" t="inlineStr">
        <is>
          <t xml:space="preserve">I1   </t>
        </is>
      </c>
      <c r="U517" s="63" t="n">
        <v>401</v>
      </c>
      <c r="V517" s="714" t="n">
        <v>11800</v>
      </c>
      <c r="W517" s="714" t="n">
        <v>12000</v>
      </c>
      <c r="X517" s="83" t="inlineStr">
        <is>
          <t>1.4:1</t>
        </is>
      </c>
      <c r="Y517" s="714" t="n">
        <v>7000</v>
      </c>
      <c r="Z517" s="63" t="inlineStr">
        <is>
          <t xml:space="preserve">C </t>
        </is>
      </c>
      <c r="AC517" s="67" t="n"/>
      <c r="AD517" s="61" t="inlineStr"/>
      <c r="AE517" s="716" t="n"/>
      <c r="AF517" s="716" t="n"/>
      <c r="AG517" s="716" t="n"/>
      <c r="AH517" s="716" t="n"/>
      <c r="AI517" s="716" t="n"/>
      <c r="AJ517" s="716" t="n"/>
      <c r="AK517" s="716" t="inlineStr"/>
      <c r="AL517">
        <f>IF(AND(ISNUMBER($S517),$S517&gt;0,ISNUMBER($K517),ISNUMBER($J517)),($K517*$J517)/$S517,"")</f>
        <v/>
      </c>
      <c r="AM517" s="59" t="inlineStr"/>
    </row>
    <row r="518">
      <c r="A518" s="62" t="n">
        <v>7</v>
      </c>
      <c r="B518" s="93" t="n">
        <v>510</v>
      </c>
      <c r="C518" s="68" t="inlineStr">
        <is>
          <t>2011Q</t>
        </is>
      </c>
      <c r="D518" s="59" t="inlineStr">
        <is>
          <t xml:space="preserve">05223-07-018-000 </t>
        </is>
      </c>
      <c r="E518" s="72" t="inlineStr">
        <is>
          <t>Actual</t>
        </is>
      </c>
      <c r="F518" s="73" t="inlineStr">
        <is>
          <t>1240 S BANNOCK             ST</t>
        </is>
      </c>
      <c r="G518" s="708" t="n">
        <v>47.2</v>
      </c>
      <c r="H518" s="67" t="n">
        <v>9506</v>
      </c>
      <c r="I518" s="69" t="n">
        <v>0</v>
      </c>
      <c r="J518" s="714" t="n">
        <v>7720</v>
      </c>
      <c r="K518" s="715" t="n">
        <v>6.217616580310881</v>
      </c>
      <c r="L518" s="74" t="n">
        <v>0</v>
      </c>
      <c r="M518" s="76" t="n">
        <v>0.072625</v>
      </c>
      <c r="N518" s="67" t="n">
        <v>1967</v>
      </c>
      <c r="O518" s="64" t="n">
        <v>1068</v>
      </c>
      <c r="P518" s="64" t="n">
        <v>1005</v>
      </c>
      <c r="Q518" s="59" t="n">
        <v>13</v>
      </c>
      <c r="R518" s="59" t="n">
        <v>1</v>
      </c>
      <c r="S518" s="59" t="n">
        <v>1</v>
      </c>
      <c r="T518" s="63" t="inlineStr">
        <is>
          <t xml:space="preserve">I1   </t>
        </is>
      </c>
      <c r="U518" s="63" t="n">
        <v>401</v>
      </c>
      <c r="V518" s="714" t="n">
        <v>12063</v>
      </c>
      <c r="W518" s="714" t="n">
        <v>12000</v>
      </c>
      <c r="X518" s="83" t="inlineStr">
        <is>
          <t>1.6:1</t>
        </is>
      </c>
      <c r="Y518" s="714" t="n">
        <v>8000</v>
      </c>
      <c r="Z518" s="63" t="inlineStr">
        <is>
          <t xml:space="preserve">C </t>
        </is>
      </c>
      <c r="AC518" s="67" t="n"/>
      <c r="AD518" s="61" t="inlineStr"/>
      <c r="AE518" s="716" t="n"/>
      <c r="AF518" s="716" t="n"/>
      <c r="AG518" s="716" t="n"/>
      <c r="AH518" s="716" t="n"/>
      <c r="AI518" s="716" t="n"/>
      <c r="AJ518" s="716" t="n"/>
      <c r="AK518" s="716" t="inlineStr"/>
      <c r="AL518">
        <f>IF(AND(ISNUMBER($S518),$S518&gt;0,ISNUMBER($K518),ISNUMBER($J518)),($K518*$J518)/$S518,"")</f>
        <v/>
      </c>
      <c r="AM518" s="59" t="inlineStr"/>
    </row>
    <row r="519">
      <c r="A519" s="62" t="n">
        <v>7</v>
      </c>
      <c r="B519" s="93" t="n">
        <v>511</v>
      </c>
      <c r="C519" s="68" t="inlineStr">
        <is>
          <t>2011Q</t>
        </is>
      </c>
      <c r="D519" s="59" t="inlineStr">
        <is>
          <t xml:space="preserve">05223-10-021-000 </t>
        </is>
      </c>
      <c r="E519" s="72" t="inlineStr">
        <is>
          <t>Actual</t>
        </is>
      </c>
      <c r="F519" s="73" t="inlineStr">
        <is>
          <t>1330 S CHEROKEE            ST</t>
        </is>
      </c>
      <c r="G519" s="67" t="n">
        <v>44.1</v>
      </c>
      <c r="H519" s="67" t="n">
        <v>9506</v>
      </c>
      <c r="I519" s="69" t="n">
        <v>0</v>
      </c>
      <c r="J519" s="714" t="n">
        <v>6176</v>
      </c>
      <c r="K519" s="715" t="n">
        <v>6.209034974093265</v>
      </c>
      <c r="L519" s="74" t="n">
        <v>0</v>
      </c>
      <c r="M519" s="76" t="n">
        <v>0.08076251075703444</v>
      </c>
      <c r="N519" s="67" t="n">
        <v>1971</v>
      </c>
      <c r="O519" s="64" t="n">
        <v>2875</v>
      </c>
      <c r="Q519" s="59" t="n">
        <v>18</v>
      </c>
      <c r="R519" s="59" t="n">
        <v>14</v>
      </c>
      <c r="S519" s="59" t="n">
        <v>1</v>
      </c>
      <c r="T519" s="63" t="inlineStr">
        <is>
          <t xml:space="preserve">I2   </t>
        </is>
      </c>
      <c r="U519" s="63" t="n">
        <v>398</v>
      </c>
      <c r="V519" s="714" t="n">
        <v>12870</v>
      </c>
      <c r="W519" s="714" t="n">
        <v>13000</v>
      </c>
      <c r="X519" s="83" t="inlineStr">
        <is>
          <t>2.1:1</t>
        </is>
      </c>
      <c r="Y519" s="714" t="n">
        <v>6000</v>
      </c>
      <c r="Z519" s="63" t="inlineStr">
        <is>
          <t xml:space="preserve">C </t>
        </is>
      </c>
      <c r="AC519" s="67" t="n"/>
      <c r="AD519" s="61" t="inlineStr"/>
      <c r="AE519" s="716" t="n"/>
      <c r="AF519" s="716" t="n"/>
      <c r="AG519" s="716" t="n"/>
      <c r="AH519" s="716" t="n"/>
      <c r="AI519" s="716" t="n"/>
      <c r="AJ519" s="716" t="n"/>
      <c r="AK519" s="716" t="inlineStr"/>
      <c r="AL519">
        <f>IF(AND(ISNUMBER($S519),$S519&gt;0,ISNUMBER($K519),ISNUMBER($J519)),($K519*$J519)/$S519,"")</f>
        <v/>
      </c>
      <c r="AM519" s="59" t="inlineStr"/>
    </row>
    <row r="520">
      <c r="A520" s="62" t="n">
        <v>7</v>
      </c>
      <c r="B520" s="93" t="n">
        <v>512</v>
      </c>
      <c r="C520" s="68" t="inlineStr">
        <is>
          <t>2011Q</t>
        </is>
      </c>
      <c r="D520" s="59" t="inlineStr">
        <is>
          <t xml:space="preserve">05223-10-033-000 </t>
        </is>
      </c>
      <c r="E520" s="72" t="inlineStr">
        <is>
          <t>Actual</t>
        </is>
      </c>
      <c r="F520" s="73" t="inlineStr">
        <is>
          <t>1468 S CHEROKEE            ST</t>
        </is>
      </c>
      <c r="G520" s="708" t="n">
        <v>44.2</v>
      </c>
      <c r="H520" s="67" t="n">
        <v>9506</v>
      </c>
      <c r="I520" s="69" t="n">
        <v>0</v>
      </c>
      <c r="J520" s="714" t="n">
        <v>3000</v>
      </c>
      <c r="K520" s="715" t="n">
        <v>7.9</v>
      </c>
      <c r="L520" s="74" t="n">
        <v>0</v>
      </c>
      <c r="M520" s="76" t="n">
        <v>0.0759493670886076</v>
      </c>
      <c r="N520" s="67" t="n">
        <v>1998</v>
      </c>
      <c r="O520" s="64" t="n">
        <v>657</v>
      </c>
      <c r="Q520" s="59" t="n">
        <v>15</v>
      </c>
      <c r="R520" s="59" t="n">
        <v>7</v>
      </c>
      <c r="S520" s="59" t="n">
        <v>3</v>
      </c>
      <c r="T520" s="63" t="inlineStr">
        <is>
          <t xml:space="preserve">I1   </t>
        </is>
      </c>
      <c r="U520" s="63" t="n">
        <v>398</v>
      </c>
      <c r="V520" s="714" t="n">
        <v>10950</v>
      </c>
      <c r="W520" s="714" t="n">
        <v>11000</v>
      </c>
      <c r="X520" s="83" t="inlineStr">
        <is>
          <t>2.4:1</t>
        </is>
      </c>
      <c r="Y520" s="714" t="n">
        <v>3000</v>
      </c>
      <c r="Z520" s="63" t="inlineStr">
        <is>
          <t xml:space="preserve">C </t>
        </is>
      </c>
      <c r="AC520" s="67" t="n"/>
      <c r="AD520" s="61" t="inlineStr">
        <is>
          <t xml:space="preserve">M-WHSE              </t>
        </is>
      </c>
      <c r="AE520" s="716" t="n"/>
      <c r="AF520" s="716" t="n"/>
      <c r="AG520" s="716" t="n"/>
      <c r="AH520" s="716" t="n"/>
      <c r="AI520" s="716" t="n"/>
      <c r="AJ520" s="716" t="n"/>
      <c r="AK520" s="716" t="inlineStr"/>
      <c r="AL520">
        <f>IF(AND(ISNUMBER($S520),$S520&gt;0,ISNUMBER($K520),ISNUMBER($J520)),($K520*$J520)/$S520,"")</f>
        <v/>
      </c>
      <c r="AM520" s="59" t="inlineStr"/>
    </row>
    <row r="521">
      <c r="A521" s="62" t="n">
        <v>7</v>
      </c>
      <c r="B521" s="93" t="n">
        <v>513</v>
      </c>
      <c r="C521" s="93" t="inlineStr">
        <is>
          <t>2011W</t>
        </is>
      </c>
      <c r="D521" s="93" t="inlineStr">
        <is>
          <t>05224-00-061-000</t>
        </is>
      </c>
      <c r="E521" s="93" t="inlineStr">
        <is>
          <t xml:space="preserve">  Actual</t>
        </is>
      </c>
      <c r="F521" s="93" t="inlineStr">
        <is>
          <t>700 W. Mississippi Ave  B</t>
        </is>
      </c>
      <c r="G521" s="93" t="n">
        <v>44.2</v>
      </c>
      <c r="H521" s="93" t="n">
        <v>9506</v>
      </c>
      <c r="I521" s="93" t="inlineStr">
        <is>
          <t>^     0</t>
        </is>
      </c>
      <c r="J521" s="95" t="n">
        <v>39365</v>
      </c>
      <c r="K521" s="721" t="n">
        <v>4.05</v>
      </c>
      <c r="L521" s="97" t="n">
        <v>0</v>
      </c>
      <c r="M521" s="97" t="n">
        <v>0.09</v>
      </c>
      <c r="N521" s="93" t="n">
        <v>1957</v>
      </c>
      <c r="O521" s="64" t="n">
        <v>20042</v>
      </c>
      <c r="Q521" s="59" t="n">
        <v>20</v>
      </c>
      <c r="R521" s="59" t="n">
        <v>10</v>
      </c>
      <c r="S521" s="59" t="n">
        <v>8</v>
      </c>
      <c r="T521" s="93" t="inlineStr">
        <is>
          <t xml:space="preserve">     I2</t>
        </is>
      </c>
      <c r="U521" s="93" t="n">
        <v>398</v>
      </c>
      <c r="V521" s="95" t="n">
        <v>60009</v>
      </c>
      <c r="W521" s="95" t="n">
        <v>60000</v>
      </c>
      <c r="X521" s="93" t="inlineStr">
        <is>
          <t xml:space="preserve">           1.5:1</t>
        </is>
      </c>
      <c r="Y521" s="95" t="n">
        <v>40000</v>
      </c>
      <c r="Z521" s="93" t="inlineStr">
        <is>
          <t>B</t>
        </is>
      </c>
      <c r="AA521" s="93" t="n">
        <v>3</v>
      </c>
      <c r="AB521" s="93" t="n">
        <v>3</v>
      </c>
      <c r="AC521" s="93" t="n">
        <v>33</v>
      </c>
      <c r="AD521" s="93" t="inlineStr">
        <is>
          <t>Valley Business Center</t>
        </is>
      </c>
      <c r="AE521" s="93" t="n"/>
      <c r="AF521" s="93" t="n"/>
      <c r="AG521" s="93" t="n"/>
      <c r="AH521" s="93" t="n"/>
      <c r="AI521" s="93" t="n"/>
      <c r="AJ521" s="719" t="n"/>
      <c r="AK521" s="93" t="inlineStr">
        <is>
          <t>Expenses are an estimate.  Could be as low as 5%</t>
        </is>
      </c>
      <c r="AL521">
        <f>IF(AND(ISNUMBER($S521),$S521&gt;0,ISNUMBER($K521),ISNUMBER($J521)),($K521*$J521)/$S521,"")</f>
        <v/>
      </c>
      <c r="AM521" s="93" t="n"/>
      <c r="AN521" s="93" t="n"/>
      <c r="AO521" s="93" t="n"/>
      <c r="AP521" s="93" t="n"/>
      <c r="AQ521" s="93" t="n"/>
      <c r="AR521" s="93" t="n"/>
      <c r="AS521" s="93" t="n"/>
      <c r="AT521" s="93" t="n"/>
      <c r="AU521" s="93" t="n"/>
      <c r="AV521" s="93" t="n"/>
      <c r="AW521" s="93" t="n"/>
      <c r="AX521" s="93" t="n"/>
    </row>
    <row r="522">
      <c r="A522" s="62" t="n">
        <v>7</v>
      </c>
      <c r="B522" s="93" t="n">
        <v>514</v>
      </c>
      <c r="C522" s="68" t="inlineStr">
        <is>
          <t>2011Q</t>
        </is>
      </c>
      <c r="D522" s="59" t="inlineStr">
        <is>
          <t xml:space="preserve">05224-00-063-000 </t>
        </is>
      </c>
      <c r="E522" s="72" t="inlineStr">
        <is>
          <t>Actual</t>
        </is>
      </c>
      <c r="F522" s="73" t="inlineStr">
        <is>
          <t>1155 S PLATTE RIVER        DR</t>
        </is>
      </c>
      <c r="G522" s="67" t="n">
        <v>44.1</v>
      </c>
      <c r="H522" s="67" t="n">
        <v>9506</v>
      </c>
      <c r="I522" s="69" t="n">
        <v>0</v>
      </c>
      <c r="J522" s="714" t="n">
        <v>6148</v>
      </c>
      <c r="K522" s="715" t="n">
        <v>5.465191932335719</v>
      </c>
      <c r="L522" s="74" t="n">
        <v>0</v>
      </c>
      <c r="M522" s="76" t="n">
        <v>0</v>
      </c>
      <c r="N522" s="67" t="n">
        <v>1955</v>
      </c>
      <c r="O522" s="64" t="n">
        <v>0</v>
      </c>
      <c r="Q522" s="59" t="n">
        <v>11</v>
      </c>
      <c r="R522" s="59" t="n">
        <v>3</v>
      </c>
      <c r="S522" s="59" t="n">
        <v>1</v>
      </c>
      <c r="T522" s="63" t="inlineStr">
        <is>
          <t xml:space="preserve">I1   </t>
        </is>
      </c>
      <c r="U522" s="63" t="n">
        <v>398</v>
      </c>
      <c r="V522" s="714" t="n">
        <v>21984</v>
      </c>
      <c r="W522" s="714" t="n">
        <v>22000</v>
      </c>
      <c r="X522" s="83" t="inlineStr">
        <is>
          <t>3.6:1</t>
        </is>
      </c>
      <c r="Y522" s="714" t="n">
        <v>6000</v>
      </c>
      <c r="Z522" s="63" t="inlineStr">
        <is>
          <t xml:space="preserve">C </t>
        </is>
      </c>
      <c r="AC522" s="67" t="n"/>
      <c r="AD522" s="61" t="inlineStr">
        <is>
          <t>DNVR AWNING/IRONWORK</t>
        </is>
      </c>
      <c r="AE522" s="716" t="n"/>
      <c r="AF522" s="716" t="n"/>
      <c r="AG522" s="716" t="n"/>
      <c r="AH522" s="716" t="n"/>
      <c r="AI522" s="716" t="n"/>
      <c r="AJ522" s="716" t="n"/>
      <c r="AK522" s="716" t="inlineStr"/>
      <c r="AL522">
        <f>IF(AND(ISNUMBER($S522),$S522&gt;0,ISNUMBER($K522),ISNUMBER($J522)),($K522*$J522)/$S522,"")</f>
        <v/>
      </c>
      <c r="AM522" s="59" t="inlineStr"/>
    </row>
    <row r="523">
      <c r="A523" s="62" t="n">
        <v>7</v>
      </c>
      <c r="B523" s="93" t="n">
        <v>515</v>
      </c>
      <c r="C523" s="68" t="inlineStr">
        <is>
          <t>2011Q</t>
        </is>
      </c>
      <c r="D523" s="59" t="inlineStr">
        <is>
          <t xml:space="preserve">05226-01-028-000 </t>
        </is>
      </c>
      <c r="E523" s="72" t="inlineStr">
        <is>
          <t>Actual</t>
        </is>
      </c>
      <c r="F523" s="73" t="inlineStr">
        <is>
          <t>1586 S ACOMA               ST</t>
        </is>
      </c>
      <c r="G523" s="708" t="n">
        <v>44.2</v>
      </c>
      <c r="H523" s="67" t="n">
        <v>9506</v>
      </c>
      <c r="I523" s="69" t="n">
        <v>0</v>
      </c>
      <c r="J523" s="714" t="n">
        <v>7000</v>
      </c>
      <c r="K523" s="715" t="n">
        <v>6.857142857142857</v>
      </c>
      <c r="L523" s="74" t="n">
        <v>0</v>
      </c>
      <c r="M523" s="76" t="n">
        <v>0.05375</v>
      </c>
      <c r="N523" s="67" t="n">
        <v>1967</v>
      </c>
      <c r="O523" s="64" t="n">
        <v>2500</v>
      </c>
      <c r="Q523" s="59" t="n">
        <v>14</v>
      </c>
      <c r="R523" s="59" t="n">
        <v>1</v>
      </c>
      <c r="S523" s="59" t="n">
        <v>1</v>
      </c>
      <c r="T523" s="63" t="inlineStr">
        <is>
          <t xml:space="preserve">I1   </t>
        </is>
      </c>
      <c r="U523" s="63" t="n">
        <v>398</v>
      </c>
      <c r="V523" s="714" t="n">
        <v>12500</v>
      </c>
      <c r="W523" s="714" t="n">
        <v>13000</v>
      </c>
      <c r="X523" s="83" t="inlineStr">
        <is>
          <t>1.8:1</t>
        </is>
      </c>
      <c r="Y523" s="714" t="n">
        <v>7000</v>
      </c>
      <c r="Z523" s="63" t="inlineStr">
        <is>
          <t xml:space="preserve">C </t>
        </is>
      </c>
      <c r="AC523" s="67" t="n"/>
      <c r="AD523" s="61" t="inlineStr"/>
      <c r="AE523" s="716" t="n"/>
      <c r="AF523" s="716" t="n"/>
      <c r="AG523" s="716" t="n"/>
      <c r="AH523" s="716" t="n"/>
      <c r="AI523" s="716" t="n"/>
      <c r="AJ523" s="716" t="n"/>
      <c r="AK523" s="716" t="inlineStr">
        <is>
          <t xml:space="preserve">LEASES RANGE FROM 2006 TO 2009 ALL AT SAME RATE.                  </t>
        </is>
      </c>
      <c r="AL523">
        <f>IF(AND(ISNUMBER($S523),$S523&gt;0,ISNUMBER($K523),ISNUMBER($J523)),($K523*$J523)/$S523,"")</f>
        <v/>
      </c>
      <c r="AM523" s="59" t="inlineStr"/>
    </row>
    <row r="524">
      <c r="A524" s="62" t="n">
        <v>7</v>
      </c>
      <c r="B524" s="93" t="n">
        <v>516</v>
      </c>
      <c r="C524" s="68" t="inlineStr">
        <is>
          <t>2011Q</t>
        </is>
      </c>
      <c r="D524" s="59" t="inlineStr">
        <is>
          <t xml:space="preserve">05226-16-040-000 </t>
        </is>
      </c>
      <c r="E524" s="72" t="inlineStr">
        <is>
          <t>Actual</t>
        </is>
      </c>
      <c r="F524" s="73" t="inlineStr">
        <is>
          <t>1853 S ACOMA               ST</t>
        </is>
      </c>
      <c r="G524" s="708" t="n">
        <v>44.2</v>
      </c>
      <c r="H524" s="67" t="n">
        <v>9506</v>
      </c>
      <c r="I524" s="69" t="n">
        <v>0</v>
      </c>
      <c r="J524" s="714" t="n">
        <v>4991</v>
      </c>
      <c r="K524" s="715" t="n">
        <v>10.81947505509918</v>
      </c>
      <c r="L524" s="74" t="n">
        <v>0</v>
      </c>
      <c r="M524" s="76" t="n">
        <v>0.1065740740740741</v>
      </c>
      <c r="N524" s="67" t="n">
        <v>1970</v>
      </c>
      <c r="O524" s="64" t="n">
        <v>744</v>
      </c>
      <c r="Q524" s="59" t="n">
        <v>14</v>
      </c>
      <c r="R524" s="59" t="n">
        <v>3</v>
      </c>
      <c r="S524" s="59" t="n">
        <v>1</v>
      </c>
      <c r="T524" s="63" t="inlineStr">
        <is>
          <t xml:space="preserve">I1   </t>
        </is>
      </c>
      <c r="U524" s="63" t="n">
        <v>398</v>
      </c>
      <c r="V524" s="714" t="n">
        <v>7751</v>
      </c>
      <c r="W524" s="714" t="n">
        <v>8000</v>
      </c>
      <c r="X524" s="83" t="inlineStr">
        <is>
          <t>1.6:1</t>
        </is>
      </c>
      <c r="Y524" s="714" t="n">
        <v>5000</v>
      </c>
      <c r="Z524" s="63" t="inlineStr">
        <is>
          <t xml:space="preserve">C </t>
        </is>
      </c>
      <c r="AC524" s="67" t="n"/>
      <c r="AD524" s="61" t="inlineStr">
        <is>
          <t xml:space="preserve">S-W HAMMILL WEST    </t>
        </is>
      </c>
      <c r="AE524" s="716" t="n"/>
      <c r="AF524" s="716" t="n"/>
      <c r="AG524" s="716" t="n"/>
      <c r="AH524" s="716" t="n"/>
      <c r="AI524" s="716" t="n"/>
      <c r="AJ524" s="716" t="n"/>
      <c r="AK524" s="716" t="inlineStr">
        <is>
          <t xml:space="preserve">MO-TO-MO LEASE.                                                   </t>
        </is>
      </c>
      <c r="AL524">
        <f>IF(AND(ISNUMBER($S524),$S524&gt;0,ISNUMBER($K524),ISNUMBER($J524)),($K524*$J524)/$S524,"")</f>
        <v/>
      </c>
      <c r="AM524" s="59" t="inlineStr"/>
    </row>
    <row r="525">
      <c r="A525" s="62" t="n">
        <v>7</v>
      </c>
      <c r="B525" s="93" t="n">
        <v>517</v>
      </c>
      <c r="C525" s="68" t="inlineStr">
        <is>
          <t>2011Q</t>
        </is>
      </c>
      <c r="D525" s="59" t="inlineStr">
        <is>
          <t xml:space="preserve">05226-17-006-000 </t>
        </is>
      </c>
      <c r="E525" s="72" t="inlineStr">
        <is>
          <t>Actual</t>
        </is>
      </c>
      <c r="F525" s="73" t="inlineStr">
        <is>
          <t>1869 S BROADWAY            ST</t>
        </is>
      </c>
      <c r="G525" s="67" t="n">
        <v>44.1</v>
      </c>
      <c r="H525" s="67" t="n">
        <v>9506</v>
      </c>
      <c r="I525" s="69" t="n">
        <v>2</v>
      </c>
      <c r="J525" s="714" t="n">
        <v>3750</v>
      </c>
      <c r="K525" s="715" t="n">
        <v>4.48</v>
      </c>
      <c r="L525" s="74" t="n">
        <v>0</v>
      </c>
      <c r="M525" s="76" t="n">
        <v>0</v>
      </c>
      <c r="N525" s="67" t="n">
        <v>1954</v>
      </c>
      <c r="O525" s="64" t="n">
        <v>0</v>
      </c>
      <c r="Q525" s="59" t="n">
        <v>13</v>
      </c>
      <c r="R525" s="59" t="n">
        <v>3</v>
      </c>
      <c r="S525" s="59" t="n">
        <v>1</v>
      </c>
      <c r="T525" s="63" t="inlineStr">
        <is>
          <t xml:space="preserve">B4   </t>
        </is>
      </c>
      <c r="U525" s="63" t="n">
        <v>398</v>
      </c>
      <c r="V525" s="714" t="n">
        <v>4687</v>
      </c>
      <c r="W525" s="714" t="n">
        <v>5000</v>
      </c>
      <c r="X525" s="83" t="inlineStr">
        <is>
          <t>1.2:1</t>
        </is>
      </c>
      <c r="Y525" s="714" t="n">
        <v>4000</v>
      </c>
      <c r="Z525" s="63" t="inlineStr">
        <is>
          <t>C+</t>
        </is>
      </c>
      <c r="AC525" s="67" t="n"/>
      <c r="AD525" s="61" t="inlineStr"/>
      <c r="AE525" s="716" t="n"/>
      <c r="AF525" s="716" t="n"/>
      <c r="AG525" s="716" t="n"/>
      <c r="AH525" s="716" t="n"/>
      <c r="AI525" s="716" t="n"/>
      <c r="AJ525" s="716" t="n"/>
      <c r="AK525" s="716" t="inlineStr"/>
      <c r="AL525">
        <f>IF(AND(ISNUMBER($S525),$S525&gt;0,ISNUMBER($K525),ISNUMBER($J525)),($K525*$J525)/$S525,"")</f>
        <v/>
      </c>
      <c r="AM525" s="59" t="inlineStr"/>
    </row>
    <row r="526">
      <c r="A526" s="62" t="n">
        <v>7</v>
      </c>
      <c r="B526" s="93" t="n">
        <v>518</v>
      </c>
      <c r="C526" s="68" t="inlineStr">
        <is>
          <t>2011Q</t>
        </is>
      </c>
      <c r="D526" s="59" t="inlineStr">
        <is>
          <t xml:space="preserve">05226-17-017-000 </t>
        </is>
      </c>
      <c r="E526" s="72" t="inlineStr">
        <is>
          <t>Actual</t>
        </is>
      </c>
      <c r="F526" s="73" t="inlineStr">
        <is>
          <t>1860 S ACOMA               ST</t>
        </is>
      </c>
      <c r="G526" s="708" t="n">
        <v>44.2</v>
      </c>
      <c r="H526" s="67" t="n">
        <v>9506</v>
      </c>
      <c r="I526" s="69" t="n">
        <v>0</v>
      </c>
      <c r="J526" s="714" t="n">
        <v>4704</v>
      </c>
      <c r="K526" s="715" t="n">
        <v>7.25</v>
      </c>
      <c r="L526" s="74" t="n">
        <v>0</v>
      </c>
      <c r="M526" s="76" t="n">
        <v>0.1336793338024865</v>
      </c>
      <c r="N526" s="67" t="n">
        <v>1958</v>
      </c>
      <c r="O526" s="64" t="n">
        <v>0</v>
      </c>
      <c r="P526" s="64" t="n">
        <v>1208</v>
      </c>
      <c r="Q526" s="59" t="n">
        <v>10</v>
      </c>
      <c r="R526" s="59" t="n">
        <v>1</v>
      </c>
      <c r="S526" s="59" t="n">
        <v>1</v>
      </c>
      <c r="T526" s="63" t="inlineStr">
        <is>
          <t xml:space="preserve">I1   </t>
        </is>
      </c>
      <c r="U526" s="63" t="n">
        <v>398</v>
      </c>
      <c r="V526" s="714" t="n">
        <v>6250</v>
      </c>
      <c r="W526" s="714" t="n">
        <v>6000</v>
      </c>
      <c r="X526" s="83" t="inlineStr">
        <is>
          <t>1.3:1</t>
        </is>
      </c>
      <c r="Y526" s="714" t="n">
        <v>5000</v>
      </c>
      <c r="Z526" s="63" t="inlineStr">
        <is>
          <t xml:space="preserve">C </t>
        </is>
      </c>
      <c r="AC526" s="67" t="n"/>
      <c r="AD526" s="61" t="inlineStr">
        <is>
          <t xml:space="preserve">S-W ELECTRIC SUPPLY </t>
        </is>
      </c>
      <c r="AE526" s="716" t="n"/>
      <c r="AF526" s="716" t="n"/>
      <c r="AG526" s="716" t="n"/>
      <c r="AH526" s="716" t="n"/>
      <c r="AI526" s="716" t="n"/>
      <c r="AJ526" s="716" t="n"/>
      <c r="AK526" s="716" t="inlineStr"/>
      <c r="AL526">
        <f>IF(AND(ISNUMBER($S526),$S526&gt;0,ISNUMBER($K526),ISNUMBER($J526)),($K526*$J526)/$S526,"")</f>
        <v/>
      </c>
      <c r="AM526" s="59" t="inlineStr"/>
    </row>
    <row r="527">
      <c r="A527" s="62" t="n">
        <v>7</v>
      </c>
      <c r="B527" s="93" t="n">
        <v>519</v>
      </c>
      <c r="C527" s="68" t="inlineStr">
        <is>
          <t>2011Q</t>
        </is>
      </c>
      <c r="D527" s="59" t="inlineStr">
        <is>
          <t xml:space="preserve">05227-36-027-000 </t>
        </is>
      </c>
      <c r="E527" s="72" t="inlineStr">
        <is>
          <t>Actual</t>
        </is>
      </c>
      <c r="F527" s="73" t="inlineStr">
        <is>
          <t>1859 S PEARL               ST</t>
        </is>
      </c>
      <c r="G527" s="67" t="n">
        <v>44.1</v>
      </c>
      <c r="H527" s="67" t="n">
        <v>9509</v>
      </c>
      <c r="I527" s="69" t="n">
        <v>0</v>
      </c>
      <c r="J527" s="714" t="n">
        <v>1912</v>
      </c>
      <c r="K527" s="715" t="n">
        <v>14.17154811715481</v>
      </c>
      <c r="L527" s="74" t="n">
        <v>0</v>
      </c>
      <c r="M527" s="76" t="n">
        <v>0.09676705048715678</v>
      </c>
      <c r="N527" s="67" t="n">
        <v>1955</v>
      </c>
      <c r="O527" s="64" t="n">
        <v>0</v>
      </c>
      <c r="P527" s="64" t="n">
        <v>800</v>
      </c>
      <c r="Q527" s="59" t="n">
        <v>12</v>
      </c>
      <c r="R527" s="59" t="n">
        <v>3</v>
      </c>
      <c r="S527" s="59" t="n">
        <v>1</v>
      </c>
      <c r="T527" s="63" t="inlineStr">
        <is>
          <t xml:space="preserve">B2   </t>
        </is>
      </c>
      <c r="U527" s="63" t="n">
        <v>398</v>
      </c>
      <c r="V527" s="714" t="n">
        <v>3125</v>
      </c>
      <c r="W527" s="714" t="n">
        <v>3000</v>
      </c>
      <c r="X527" s="83" t="inlineStr">
        <is>
          <t>1.6:1</t>
        </is>
      </c>
      <c r="Y527" s="714" t="n">
        <v>2000</v>
      </c>
      <c r="Z527" s="63" t="inlineStr">
        <is>
          <t xml:space="preserve">C </t>
        </is>
      </c>
      <c r="AC527" s="67" t="n"/>
      <c r="AD527" s="61" t="inlineStr">
        <is>
          <t>S-W R K LEONARD SPEC</t>
        </is>
      </c>
      <c r="AE527" s="716" t="n"/>
      <c r="AF527" s="716" t="n"/>
      <c r="AG527" s="716" t="n"/>
      <c r="AH527" s="716" t="n"/>
      <c r="AI527" s="716" t="n"/>
      <c r="AJ527" s="716" t="n"/>
      <c r="AK527" s="716" t="inlineStr">
        <is>
          <t xml:space="preserve">2008 LEASE.                                                       </t>
        </is>
      </c>
      <c r="AL527">
        <f>IF(AND(ISNUMBER($S527),$S527&gt;0,ISNUMBER($K527),ISNUMBER($J527)),($K527*$J527)/$S527,"")</f>
        <v/>
      </c>
      <c r="AM527" s="59" t="inlineStr"/>
    </row>
    <row r="528">
      <c r="A528" s="62" t="n">
        <v>7</v>
      </c>
      <c r="B528" s="93" t="n">
        <v>520</v>
      </c>
      <c r="C528" s="68" t="inlineStr">
        <is>
          <t>2011Q</t>
        </is>
      </c>
      <c r="D528" s="59" t="inlineStr">
        <is>
          <t xml:space="preserve">05271-23-002-000 </t>
        </is>
      </c>
      <c r="E528" s="72" t="inlineStr">
        <is>
          <t>Actual</t>
        </is>
      </c>
      <c r="F528" s="73" t="inlineStr">
        <is>
          <t>2112 S WASHINGTON          ST</t>
        </is>
      </c>
      <c r="G528" s="67" t="n">
        <v>44.1</v>
      </c>
      <c r="H528" s="67" t="n">
        <v>9509</v>
      </c>
      <c r="I528" s="69" t="n">
        <v>0</v>
      </c>
      <c r="J528" s="714" t="n">
        <v>798</v>
      </c>
      <c r="K528" s="715" t="n">
        <v>15.03759398496241</v>
      </c>
      <c r="L528" s="74" t="n">
        <v>0</v>
      </c>
      <c r="M528" s="76" t="n">
        <v>0</v>
      </c>
      <c r="N528" s="67" t="n">
        <v>1956</v>
      </c>
      <c r="O528" s="64" t="n">
        <v>200</v>
      </c>
      <c r="Q528" s="59" t="n">
        <v>14</v>
      </c>
      <c r="R528" s="59" t="n">
        <v>3</v>
      </c>
      <c r="S528" s="59" t="n">
        <v>1</v>
      </c>
      <c r="T528" s="63" t="inlineStr">
        <is>
          <t xml:space="preserve">R2   </t>
        </is>
      </c>
      <c r="U528" s="63" t="n">
        <v>398</v>
      </c>
      <c r="V528" s="714" t="n">
        <v>4700</v>
      </c>
      <c r="W528" s="714" t="n">
        <v>5000</v>
      </c>
      <c r="X528" s="83" t="inlineStr">
        <is>
          <t>5.9:1</t>
        </is>
      </c>
      <c r="Y528" s="714" t="n">
        <v>800</v>
      </c>
      <c r="Z528" s="63" t="inlineStr">
        <is>
          <t xml:space="preserve">C </t>
        </is>
      </c>
      <c r="AC528" s="67" t="n"/>
      <c r="AD528" s="61" t="inlineStr">
        <is>
          <t xml:space="preserve">S-W D.C. PLUMBING   </t>
        </is>
      </c>
      <c r="AE528" s="716" t="n"/>
      <c r="AF528" s="716" t="n"/>
      <c r="AG528" s="716" t="n"/>
      <c r="AH528" s="716" t="n"/>
      <c r="AI528" s="716" t="n"/>
      <c r="AJ528" s="716" t="n"/>
      <c r="AK528" s="716" t="inlineStr"/>
      <c r="AL528">
        <f>IF(AND(ISNUMBER($S528),$S528&gt;0,ISNUMBER($K528),ISNUMBER($J528)),($K528*$J528)/$S528,"")</f>
        <v/>
      </c>
      <c r="AM528" s="59" t="inlineStr"/>
    </row>
    <row r="529">
      <c r="A529" s="62" t="n">
        <v>7</v>
      </c>
      <c r="B529" s="93" t="n">
        <v>521</v>
      </c>
      <c r="C529" s="68" t="inlineStr">
        <is>
          <t>2011Q</t>
        </is>
      </c>
      <c r="D529" s="59" t="inlineStr">
        <is>
          <t xml:space="preserve">05272-01-009-000 </t>
        </is>
      </c>
      <c r="E529" s="72" t="inlineStr">
        <is>
          <t>Actual</t>
        </is>
      </c>
      <c r="F529" s="73" t="inlineStr">
        <is>
          <t>1978 S ACOMA               ST</t>
        </is>
      </c>
      <c r="G529" s="708" t="n">
        <v>44.2</v>
      </c>
      <c r="H529" s="67" t="n">
        <v>9506</v>
      </c>
      <c r="I529" s="69" t="n">
        <v>0</v>
      </c>
      <c r="J529" s="714" t="n">
        <v>6000</v>
      </c>
      <c r="K529" s="715" t="n">
        <v>7</v>
      </c>
      <c r="L529" s="74" t="n">
        <v>0</v>
      </c>
      <c r="M529" s="76" t="n">
        <v>0</v>
      </c>
      <c r="N529" s="67" t="n">
        <v>1999</v>
      </c>
      <c r="O529" s="64" t="n">
        <v>4153</v>
      </c>
      <c r="Q529" s="59" t="n">
        <v>14</v>
      </c>
      <c r="R529" s="59" t="n">
        <v>8</v>
      </c>
      <c r="S529" s="59" t="n">
        <v>2</v>
      </c>
      <c r="T529" s="63" t="inlineStr">
        <is>
          <t xml:space="preserve">I1   </t>
        </is>
      </c>
      <c r="U529" s="63" t="n">
        <v>398</v>
      </c>
      <c r="V529" s="714" t="n">
        <v>6250</v>
      </c>
      <c r="W529" s="714" t="n">
        <v>6000</v>
      </c>
      <c r="X529" s="83" t="inlineStr">
        <is>
          <t>1.0:1</t>
        </is>
      </c>
      <c r="Y529" s="714" t="n">
        <v>6000</v>
      </c>
      <c r="Z529" s="63" t="inlineStr">
        <is>
          <t xml:space="preserve">C </t>
        </is>
      </c>
      <c r="AC529" s="67" t="n"/>
      <c r="AD529" s="61" t="inlineStr">
        <is>
          <t>M-O AMERICAN APPLNCE</t>
        </is>
      </c>
      <c r="AE529" s="716" t="n"/>
      <c r="AF529" s="716" t="n"/>
      <c r="AG529" s="716" t="n"/>
      <c r="AH529" s="716" t="n"/>
      <c r="AI529" s="716" t="n"/>
      <c r="AJ529" s="716" t="n"/>
      <c r="AK529" s="716" t="inlineStr"/>
      <c r="AL529">
        <f>IF(AND(ISNUMBER($S529),$S529&gt;0,ISNUMBER($K529),ISNUMBER($J529)),($K529*$J529)/$S529,"")</f>
        <v/>
      </c>
      <c r="AM529" s="59" t="inlineStr"/>
    </row>
    <row r="530">
      <c r="A530" s="62" t="n">
        <v>7</v>
      </c>
      <c r="B530" s="93" t="n">
        <v>522</v>
      </c>
      <c r="C530" s="68" t="inlineStr">
        <is>
          <t>2011Q</t>
        </is>
      </c>
      <c r="D530" s="59" t="inlineStr">
        <is>
          <t xml:space="preserve">05272-02-011-000 </t>
        </is>
      </c>
      <c r="E530" s="72" t="inlineStr">
        <is>
          <t>Actual</t>
        </is>
      </c>
      <c r="F530" s="73" t="inlineStr">
        <is>
          <t>165 W ASBURY              AV</t>
        </is>
      </c>
      <c r="G530" s="67" t="n">
        <v>44.1</v>
      </c>
      <c r="H530" s="67" t="n">
        <v>9506</v>
      </c>
      <c r="I530" s="69" t="n">
        <v>0</v>
      </c>
      <c r="J530" s="714" t="n">
        <v>2400</v>
      </c>
      <c r="K530" s="715" t="n">
        <v>6.875</v>
      </c>
      <c r="L530" s="74" t="n">
        <v>0</v>
      </c>
      <c r="M530" s="76" t="n">
        <v>0</v>
      </c>
      <c r="N530" s="67" t="n">
        <v>2008</v>
      </c>
      <c r="O530" s="64" t="n">
        <v>0</v>
      </c>
      <c r="Q530" s="59" t="n">
        <v>16</v>
      </c>
      <c r="R530" s="59" t="n">
        <v>2</v>
      </c>
      <c r="S530" s="59" t="n">
        <v>1</v>
      </c>
      <c r="T530" s="63" t="inlineStr">
        <is>
          <t xml:space="preserve">I1   </t>
        </is>
      </c>
      <c r="U530" s="63" t="n">
        <v>398</v>
      </c>
      <c r="V530" s="714" t="n">
        <v>4690</v>
      </c>
      <c r="W530" s="714" t="n">
        <v>5000</v>
      </c>
      <c r="X530" s="83" t="inlineStr">
        <is>
          <t>2.0:1</t>
        </is>
      </c>
      <c r="Y530" s="714" t="n">
        <v>2000</v>
      </c>
      <c r="Z530" s="63" t="inlineStr">
        <is>
          <t xml:space="preserve">C </t>
        </is>
      </c>
      <c r="AC530" s="67" t="n"/>
      <c r="AD530" s="61" t="inlineStr"/>
      <c r="AE530" s="716" t="n"/>
      <c r="AF530" s="716" t="n"/>
      <c r="AG530" s="716" t="n"/>
      <c r="AH530" s="716" t="n"/>
      <c r="AI530" s="716" t="n"/>
      <c r="AJ530" s="716" t="n"/>
      <c r="AK530" s="716" t="inlineStr">
        <is>
          <t xml:space="preserve">2008 LEASE.                                                       </t>
        </is>
      </c>
      <c r="AL530">
        <f>IF(AND(ISNUMBER($S530),$S530&gt;0,ISNUMBER($K530),ISNUMBER($J530)),($K530*$J530)/$S530,"")</f>
        <v/>
      </c>
      <c r="AM530" s="59" t="inlineStr"/>
    </row>
    <row r="531">
      <c r="A531" s="62" t="n">
        <v>7</v>
      </c>
      <c r="B531" s="93" t="n">
        <v>523</v>
      </c>
      <c r="C531" s="68" t="inlineStr">
        <is>
          <t>2011Q</t>
        </is>
      </c>
      <c r="D531" s="59" t="inlineStr">
        <is>
          <t xml:space="preserve">05272-03-007-000 </t>
        </is>
      </c>
      <c r="E531" s="72" t="inlineStr">
        <is>
          <t>Actual</t>
        </is>
      </c>
      <c r="F531" s="73" t="inlineStr">
        <is>
          <t>1950 S CHEROKEE            ST</t>
        </is>
      </c>
      <c r="G531" s="708" t="n">
        <v>44.2</v>
      </c>
      <c r="H531" s="67" t="n">
        <v>9506</v>
      </c>
      <c r="I531" s="69" t="n">
        <v>0</v>
      </c>
      <c r="J531" s="714" t="n">
        <v>3594</v>
      </c>
      <c r="K531" s="715" t="n">
        <v>4.006677796327212</v>
      </c>
      <c r="L531" s="74" t="n">
        <v>0</v>
      </c>
      <c r="M531" s="76" t="n">
        <v>0.04513888888888889</v>
      </c>
      <c r="N531" s="67" t="n">
        <v>1953</v>
      </c>
      <c r="O531" s="64" t="n">
        <v>0</v>
      </c>
      <c r="Q531" s="59" t="n">
        <v>14</v>
      </c>
      <c r="R531" s="59" t="n">
        <v>3</v>
      </c>
      <c r="S531" s="59" t="n">
        <v>1</v>
      </c>
      <c r="T531" s="63" t="inlineStr">
        <is>
          <t xml:space="preserve">I1   </t>
        </is>
      </c>
      <c r="U531" s="63" t="n">
        <v>398</v>
      </c>
      <c r="V531" s="714" t="n">
        <v>12500</v>
      </c>
      <c r="W531" s="714" t="n">
        <v>13000</v>
      </c>
      <c r="X531" s="83" t="inlineStr">
        <is>
          <t>3.5:1</t>
        </is>
      </c>
      <c r="Y531" s="714" t="n">
        <v>4000</v>
      </c>
      <c r="Z531" s="63" t="inlineStr">
        <is>
          <t xml:space="preserve">C </t>
        </is>
      </c>
      <c r="AC531" s="67" t="n"/>
      <c r="AD531" s="61" t="inlineStr">
        <is>
          <t>S-W PASTERKAMPS HEAT</t>
        </is>
      </c>
      <c r="AE531" s="716" t="n"/>
      <c r="AF531" s="716" t="n"/>
      <c r="AG531" s="716" t="n"/>
      <c r="AH531" s="716" t="n"/>
      <c r="AI531" s="716" t="n"/>
      <c r="AJ531" s="716" t="n"/>
      <c r="AK531" s="716" t="inlineStr"/>
      <c r="AL531">
        <f>IF(AND(ISNUMBER($S531),$S531&gt;0,ISNUMBER($K531),ISNUMBER($J531)),($K531*$J531)/$S531,"")</f>
        <v/>
      </c>
      <c r="AM531" s="59" t="inlineStr"/>
    </row>
    <row r="532">
      <c r="A532" s="62" t="n">
        <v>7</v>
      </c>
      <c r="B532" s="93" t="n">
        <v>524</v>
      </c>
      <c r="C532" s="68" t="inlineStr">
        <is>
          <t>2011Q</t>
        </is>
      </c>
      <c r="D532" s="59" t="inlineStr">
        <is>
          <t xml:space="preserve">05272-03-029-000 </t>
        </is>
      </c>
      <c r="E532" s="72" t="inlineStr">
        <is>
          <t>Actual</t>
        </is>
      </c>
      <c r="F532" s="73" t="inlineStr">
        <is>
          <t>1930 S CHEROKEE            ST</t>
        </is>
      </c>
      <c r="G532" s="708" t="n">
        <v>44.2</v>
      </c>
      <c r="H532" s="67" t="n">
        <v>9506</v>
      </c>
      <c r="I532" s="69" t="n">
        <v>0</v>
      </c>
      <c r="J532" s="714" t="n">
        <v>11266</v>
      </c>
      <c r="K532" s="715" t="n">
        <v>5.81404225102077</v>
      </c>
      <c r="L532" s="74" t="n">
        <v>0</v>
      </c>
      <c r="M532" s="76" t="n">
        <v>0</v>
      </c>
      <c r="N532" s="67" t="n">
        <v>1968</v>
      </c>
      <c r="O532" s="64" t="n">
        <v>612</v>
      </c>
      <c r="Q532" s="59" t="n">
        <v>13</v>
      </c>
      <c r="R532" s="59" t="n">
        <v>1</v>
      </c>
      <c r="S532" s="59" t="n">
        <v>1</v>
      </c>
      <c r="T532" s="63" t="inlineStr">
        <is>
          <t xml:space="preserve">I1   </t>
        </is>
      </c>
      <c r="U532" s="63" t="n">
        <v>398</v>
      </c>
      <c r="V532" s="714" t="n">
        <v>15625</v>
      </c>
      <c r="W532" s="714" t="n">
        <v>16000</v>
      </c>
      <c r="X532" s="83" t="inlineStr">
        <is>
          <t>1.4:1</t>
        </is>
      </c>
      <c r="Y532" s="714" t="n">
        <v>11000</v>
      </c>
      <c r="Z532" s="63" t="inlineStr">
        <is>
          <t xml:space="preserve">C </t>
        </is>
      </c>
      <c r="AC532" s="67" t="n"/>
      <c r="AD532" s="61" t="inlineStr">
        <is>
          <t>S-W PASTERKAMP PLUMB</t>
        </is>
      </c>
      <c r="AE532" s="716" t="n"/>
      <c r="AF532" s="716" t="n"/>
      <c r="AG532" s="716" t="n"/>
      <c r="AH532" s="716" t="n"/>
      <c r="AI532" s="716" t="n"/>
      <c r="AJ532" s="716" t="n"/>
      <c r="AK532" s="716" t="inlineStr"/>
      <c r="AL532">
        <f>IF(AND(ISNUMBER($S532),$S532&gt;0,ISNUMBER($K532),ISNUMBER($J532)),($K532*$J532)/$S532,"")</f>
        <v/>
      </c>
      <c r="AM532" s="59" t="inlineStr"/>
    </row>
    <row r="533">
      <c r="A533" s="62" t="n">
        <v>7</v>
      </c>
      <c r="B533" s="93" t="n">
        <v>525</v>
      </c>
      <c r="C533" s="68" t="inlineStr">
        <is>
          <t>2011Q</t>
        </is>
      </c>
      <c r="D533" s="59" t="inlineStr">
        <is>
          <t xml:space="preserve">05274-03-004-000 </t>
        </is>
      </c>
      <c r="E533" s="72" t="inlineStr">
        <is>
          <t>Actual</t>
        </is>
      </c>
      <c r="F533" s="73" t="inlineStr">
        <is>
          <t>2301 S DELAWARE            ST</t>
        </is>
      </c>
      <c r="G533" s="708" t="n">
        <v>47.2</v>
      </c>
      <c r="H533" s="67" t="n">
        <v>9506</v>
      </c>
      <c r="I533" s="69" t="n">
        <v>0</v>
      </c>
      <c r="J533" s="714" t="n">
        <v>30653</v>
      </c>
      <c r="K533" s="715" t="n">
        <v>4.828238671581901</v>
      </c>
      <c r="L533" s="74" t="n">
        <v>0</v>
      </c>
      <c r="M533" s="76" t="n">
        <v>0.0574054054054054</v>
      </c>
      <c r="N533" s="67" t="n">
        <v>1951</v>
      </c>
      <c r="O533" s="64" t="n">
        <v>1922</v>
      </c>
      <c r="Q533" s="59" t="n">
        <v>17</v>
      </c>
      <c r="R533" s="59" t="n">
        <v>3</v>
      </c>
      <c r="S533" s="59" t="n">
        <v>1</v>
      </c>
      <c r="T533" s="63" t="inlineStr">
        <is>
          <t xml:space="preserve">I1   </t>
        </is>
      </c>
      <c r="U533" s="63" t="n">
        <v>401</v>
      </c>
      <c r="V533" s="714" t="n">
        <v>33750</v>
      </c>
      <c r="W533" s="714" t="n">
        <v>34000</v>
      </c>
      <c r="X533" s="83" t="inlineStr">
        <is>
          <t>1.1:1</t>
        </is>
      </c>
      <c r="Y533" s="714" t="n">
        <v>31000</v>
      </c>
      <c r="Z533" s="63" t="inlineStr">
        <is>
          <t xml:space="preserve">C </t>
        </is>
      </c>
      <c r="AC533" s="67" t="n"/>
      <c r="AD533" s="61" t="inlineStr">
        <is>
          <t xml:space="preserve">WOODCRAFT UNLIMITED </t>
        </is>
      </c>
      <c r="AE533" s="716" t="n"/>
      <c r="AF533" s="716" t="n"/>
      <c r="AG533" s="716" t="n"/>
      <c r="AH533" s="716" t="n"/>
      <c r="AI533" s="716" t="n"/>
      <c r="AJ533" s="716" t="n"/>
      <c r="AK533" s="716" t="inlineStr"/>
      <c r="AL533">
        <f>IF(AND(ISNUMBER($S533),$S533&gt;0,ISNUMBER($K533),ISNUMBER($J533)),($K533*$J533)/$S533,"")</f>
        <v/>
      </c>
      <c r="AM533" s="59" t="inlineStr"/>
    </row>
    <row r="534">
      <c r="A534" s="62" t="n">
        <v>7</v>
      </c>
      <c r="B534" s="93" t="n">
        <v>526</v>
      </c>
      <c r="C534" s="68" t="inlineStr">
        <is>
          <t>2011Q</t>
        </is>
      </c>
      <c r="D534" s="59" t="inlineStr">
        <is>
          <t xml:space="preserve">05274-03-008-000 </t>
        </is>
      </c>
      <c r="E534" s="72" t="inlineStr">
        <is>
          <t>Actual</t>
        </is>
      </c>
      <c r="F534" s="73" t="inlineStr">
        <is>
          <t>2385 S DELAWARE            ST</t>
        </is>
      </c>
      <c r="G534" s="708" t="n">
        <v>44.2</v>
      </c>
      <c r="H534" s="67" t="n">
        <v>9506</v>
      </c>
      <c r="I534" s="69" t="n">
        <v>0</v>
      </c>
      <c r="J534" s="714" t="n">
        <v>14970</v>
      </c>
      <c r="K534" s="715" t="n">
        <v>4.683500334001336</v>
      </c>
      <c r="L534" s="74" t="n">
        <v>0</v>
      </c>
      <c r="M534" s="76" t="n">
        <v>0.08656150159744409</v>
      </c>
      <c r="N534" s="67" t="n">
        <v>1960</v>
      </c>
      <c r="O534" s="64" t="n">
        <v>1407</v>
      </c>
      <c r="Q534" s="59" t="n">
        <v>13</v>
      </c>
      <c r="R534" s="59" t="n">
        <v>3</v>
      </c>
      <c r="S534" s="59" t="n">
        <v>1</v>
      </c>
      <c r="T534" s="63" t="inlineStr">
        <is>
          <t xml:space="preserve">I1   </t>
        </is>
      </c>
      <c r="U534" s="63" t="n">
        <v>398</v>
      </c>
      <c r="V534" s="714" t="n">
        <v>17968</v>
      </c>
      <c r="W534" s="714" t="n">
        <v>18000</v>
      </c>
      <c r="X534" s="83" t="inlineStr">
        <is>
          <t>1.2:1</t>
        </is>
      </c>
      <c r="Y534" s="714" t="n">
        <v>15000</v>
      </c>
      <c r="Z534" s="63" t="inlineStr">
        <is>
          <t xml:space="preserve">C </t>
        </is>
      </c>
      <c r="AC534" s="67" t="n"/>
      <c r="AD534" s="61" t="inlineStr"/>
      <c r="AE534" s="716" t="n"/>
      <c r="AF534" s="716" t="n"/>
      <c r="AG534" s="716" t="n"/>
      <c r="AH534" s="716" t="n"/>
      <c r="AI534" s="716" t="n"/>
      <c r="AJ534" s="716" t="n"/>
      <c r="AK534" s="716" t="inlineStr"/>
      <c r="AL534">
        <f>IF(AND(ISNUMBER($S534),$S534&gt;0,ISNUMBER($K534),ISNUMBER($J534)),($K534*$J534)/$S534,"")</f>
        <v/>
      </c>
      <c r="AM534" s="59" t="inlineStr"/>
    </row>
    <row r="535">
      <c r="A535" s="62" t="n">
        <v>7</v>
      </c>
      <c r="B535" s="93" t="n">
        <v>527</v>
      </c>
      <c r="C535" s="68" t="inlineStr">
        <is>
          <t>2011Q</t>
        </is>
      </c>
      <c r="D535" s="59" t="inlineStr">
        <is>
          <t xml:space="preserve">05274-03-009-000 </t>
        </is>
      </c>
      <c r="E535" s="72" t="inlineStr">
        <is>
          <t>Actual</t>
        </is>
      </c>
      <c r="F535" s="73" t="inlineStr">
        <is>
          <t>2345 S DELAWARE            ST</t>
        </is>
      </c>
      <c r="G535" s="708" t="n">
        <v>47.2</v>
      </c>
      <c r="H535" s="67" t="n">
        <v>9506</v>
      </c>
      <c r="I535" s="69" t="n">
        <v>0</v>
      </c>
      <c r="J535" s="714" t="n">
        <v>28581</v>
      </c>
      <c r="K535" s="715" t="n">
        <v>5.454637696371716</v>
      </c>
      <c r="L535" s="74" t="n">
        <v>0</v>
      </c>
      <c r="M535" s="76" t="n">
        <v>0.04149481395005741</v>
      </c>
      <c r="N535" s="67" t="n">
        <v>1961</v>
      </c>
      <c r="O535" s="64" t="n">
        <v>6364</v>
      </c>
      <c r="Q535" s="59" t="n">
        <v>13</v>
      </c>
      <c r="R535" s="59" t="n">
        <v>3</v>
      </c>
      <c r="S535" s="59" t="n">
        <v>1</v>
      </c>
      <c r="T535" s="63" t="inlineStr">
        <is>
          <t xml:space="preserve">I1   </t>
        </is>
      </c>
      <c r="U535" s="63" t="n">
        <v>401</v>
      </c>
      <c r="V535" s="714" t="n">
        <v>38282</v>
      </c>
      <c r="W535" s="714" t="n">
        <v>38000</v>
      </c>
      <c r="X535" s="83" t="inlineStr">
        <is>
          <t>1.3:1</t>
        </is>
      </c>
      <c r="Y535" s="714" t="n">
        <v>29000</v>
      </c>
      <c r="Z535" s="63" t="inlineStr">
        <is>
          <t xml:space="preserve">C </t>
        </is>
      </c>
      <c r="AC535" s="67" t="n"/>
      <c r="AD535" s="61" t="inlineStr">
        <is>
          <t xml:space="preserve">S-F GOLESH INC.     </t>
        </is>
      </c>
      <c r="AE535" s="716" t="n"/>
      <c r="AF535" s="716" t="n"/>
      <c r="AG535" s="716" t="n"/>
      <c r="AH535" s="716" t="n"/>
      <c r="AI535" s="716" t="n"/>
      <c r="AJ535" s="716" t="n"/>
      <c r="AK535" s="716" t="inlineStr"/>
      <c r="AL535">
        <f>IF(AND(ISNUMBER($S535),$S535&gt;0,ISNUMBER($K535),ISNUMBER($J535)),($K535*$J535)/$S535,"")</f>
        <v/>
      </c>
      <c r="AM535" s="59" t="inlineStr"/>
    </row>
    <row r="536">
      <c r="A536" s="62" t="n">
        <v>7</v>
      </c>
      <c r="B536" s="93" t="n">
        <v>528</v>
      </c>
      <c r="C536" s="68" t="inlineStr">
        <is>
          <t>2011Q</t>
        </is>
      </c>
      <c r="D536" s="59" t="inlineStr">
        <is>
          <t xml:space="preserve">05274-15-029-000 </t>
        </is>
      </c>
      <c r="E536" s="72" t="inlineStr">
        <is>
          <t>Actual</t>
        </is>
      </c>
      <c r="F536" s="73" t="inlineStr">
        <is>
          <t>2536 S DELAWARE            ST</t>
        </is>
      </c>
      <c r="G536" s="708" t="n">
        <v>47.1</v>
      </c>
      <c r="H536" s="67" t="n">
        <v>9506</v>
      </c>
      <c r="I536" s="69" t="n">
        <v>0</v>
      </c>
      <c r="J536" s="714" t="n">
        <v>2487</v>
      </c>
      <c r="K536" s="715" t="n">
        <v>9.650180940892641</v>
      </c>
      <c r="L536" s="74" t="n">
        <v>0</v>
      </c>
      <c r="M536" s="76" t="n">
        <v>0.183125</v>
      </c>
      <c r="N536" s="67" t="n">
        <v>1954</v>
      </c>
      <c r="O536" s="64" t="n">
        <v>0</v>
      </c>
      <c r="P536" s="64" t="n">
        <v>1188</v>
      </c>
      <c r="Q536" s="59" t="n">
        <v>16</v>
      </c>
      <c r="R536" s="59" t="n">
        <v>3</v>
      </c>
      <c r="S536" s="59" t="n">
        <v>1</v>
      </c>
      <c r="T536" s="63" t="inlineStr">
        <is>
          <t xml:space="preserve">I0   </t>
        </is>
      </c>
      <c r="U536" s="63" t="n">
        <v>401</v>
      </c>
      <c r="V536" s="714" t="n">
        <v>12500</v>
      </c>
      <c r="W536" s="714" t="n">
        <v>13000</v>
      </c>
      <c r="X536" s="83" t="inlineStr">
        <is>
          <t>5.0:1</t>
        </is>
      </c>
      <c r="Y536" s="714" t="n">
        <v>2000</v>
      </c>
      <c r="Z536" s="63" t="inlineStr">
        <is>
          <t xml:space="preserve">C </t>
        </is>
      </c>
      <c r="AC536" s="67" t="n"/>
      <c r="AD536" s="61" t="inlineStr">
        <is>
          <t xml:space="preserve">S-W CS GROUP        </t>
        </is>
      </c>
      <c r="AE536" s="716" t="n"/>
      <c r="AF536" s="716" t="n"/>
      <c r="AG536" s="716" t="n"/>
      <c r="AH536" s="716" t="n"/>
      <c r="AI536" s="716" t="n"/>
      <c r="AJ536" s="716" t="n"/>
      <c r="AK536" s="716" t="inlineStr"/>
      <c r="AL536">
        <f>IF(AND(ISNUMBER($S536),$S536&gt;0,ISNUMBER($K536),ISNUMBER($J536)),($K536*$J536)/$S536,"")</f>
        <v/>
      </c>
      <c r="AM536" s="59" t="inlineStr"/>
    </row>
    <row r="537">
      <c r="A537" s="62" t="n">
        <v>7</v>
      </c>
      <c r="B537" s="93" t="n">
        <v>529</v>
      </c>
      <c r="C537" s="68" t="inlineStr">
        <is>
          <t>2011Q</t>
        </is>
      </c>
      <c r="D537" s="59" t="inlineStr">
        <is>
          <t xml:space="preserve">05281-01-018-000 </t>
        </is>
      </c>
      <c r="E537" s="72" t="inlineStr">
        <is>
          <t>Actual</t>
        </is>
      </c>
      <c r="F537" s="73" t="inlineStr">
        <is>
          <t>1970 S NAVAJO              ST</t>
        </is>
      </c>
      <c r="G537" s="708" t="n">
        <v>44.2</v>
      </c>
      <c r="H537" s="67" t="n">
        <v>9506</v>
      </c>
      <c r="I537" s="69" t="n">
        <v>0</v>
      </c>
      <c r="J537" s="714" t="n">
        <v>4500</v>
      </c>
      <c r="K537" s="715" t="n">
        <v>5.333333333333333</v>
      </c>
      <c r="L537" s="74" t="n">
        <v>0</v>
      </c>
      <c r="M537" s="76" t="n">
        <v>0.4925</v>
      </c>
      <c r="N537" s="67" t="n">
        <v>1976</v>
      </c>
      <c r="O537" s="64" t="n">
        <v>1950</v>
      </c>
      <c r="Q537" s="59" t="n">
        <v>14</v>
      </c>
      <c r="R537" s="59" t="n">
        <v>3</v>
      </c>
      <c r="S537" s="59" t="n">
        <v>2</v>
      </c>
      <c r="T537" s="63" t="inlineStr">
        <is>
          <t xml:space="preserve">I0   </t>
        </is>
      </c>
      <c r="U537" s="63" t="n">
        <v>398</v>
      </c>
      <c r="V537" s="714" t="n">
        <v>33135</v>
      </c>
      <c r="W537" s="714" t="n">
        <v>33000</v>
      </c>
      <c r="X537" s="83" t="inlineStr">
        <is>
          <t>3.3:1</t>
        </is>
      </c>
      <c r="Y537" s="714" t="n">
        <v>5000</v>
      </c>
      <c r="Z537" s="63" t="inlineStr">
        <is>
          <t xml:space="preserve">C </t>
        </is>
      </c>
      <c r="AC537" s="67" t="n"/>
      <c r="AD537" s="61" t="inlineStr">
        <is>
          <t>M-W;TAD FISER RACING</t>
        </is>
      </c>
      <c r="AE537" s="716" t="n"/>
      <c r="AF537" s="716" t="n"/>
      <c r="AG537" s="716" t="n"/>
      <c r="AH537" s="716" t="n"/>
      <c r="AI537" s="716" t="n"/>
      <c r="AJ537" s="716" t="n"/>
      <c r="AK537" s="716" t="inlineStr">
        <is>
          <t xml:space="preserve">MO-TO-MO; 4500 SF LEASED IN 10120 SF BLDG.                        </t>
        </is>
      </c>
      <c r="AL537">
        <f>IF(AND(ISNUMBER($S537),$S537&gt;0,ISNUMBER($K537),ISNUMBER($J537)),($K537*$J537)/$S537,"")</f>
        <v/>
      </c>
      <c r="AM537" s="59" t="inlineStr"/>
    </row>
    <row r="538">
      <c r="A538" s="62" t="n">
        <v>7</v>
      </c>
      <c r="B538" s="93" t="n">
        <v>530</v>
      </c>
      <c r="C538" s="68" t="inlineStr">
        <is>
          <t>2011Q</t>
        </is>
      </c>
      <c r="D538" s="59" t="inlineStr">
        <is>
          <t xml:space="preserve">05281-05-033-000 </t>
        </is>
      </c>
      <c r="E538" s="72" t="inlineStr">
        <is>
          <t>Actual</t>
        </is>
      </c>
      <c r="F538" s="73" t="inlineStr">
        <is>
          <t>2001 S NAVAJO              ST</t>
        </is>
      </c>
      <c r="G538" s="67" t="n">
        <v>44.1</v>
      </c>
      <c r="H538" s="67" t="n">
        <v>9506</v>
      </c>
      <c r="I538" s="69" t="n">
        <v>0</v>
      </c>
      <c r="J538" s="714" t="n">
        <v>9120</v>
      </c>
      <c r="K538" s="715" t="n">
        <v>6.760526315789473</v>
      </c>
      <c r="L538" s="74" t="n">
        <v>0</v>
      </c>
      <c r="M538" s="76" t="n">
        <v>0.02463669391462307</v>
      </c>
      <c r="N538" s="67" t="n">
        <v>1986</v>
      </c>
      <c r="O538" s="64" t="n">
        <v>1669</v>
      </c>
      <c r="Q538" s="59" t="n">
        <v>16</v>
      </c>
      <c r="R538" s="59" t="n">
        <v>3</v>
      </c>
      <c r="S538" s="59" t="n">
        <v>1</v>
      </c>
      <c r="T538" s="63" t="inlineStr">
        <is>
          <t xml:space="preserve">I1   </t>
        </is>
      </c>
      <c r="U538" s="63" t="n">
        <v>398</v>
      </c>
      <c r="V538" s="714" t="n">
        <v>21128</v>
      </c>
      <c r="W538" s="714" t="n">
        <v>21000</v>
      </c>
      <c r="X538" s="83" t="inlineStr">
        <is>
          <t>2.3:1</t>
        </is>
      </c>
      <c r="Y538" s="714" t="n">
        <v>9000</v>
      </c>
      <c r="Z538" s="63" t="inlineStr">
        <is>
          <t xml:space="preserve">C </t>
        </is>
      </c>
      <c r="AC538" s="67" t="n"/>
      <c r="AD538" s="61" t="inlineStr"/>
      <c r="AE538" s="716" t="n"/>
      <c r="AF538" s="716" t="n"/>
      <c r="AG538" s="716" t="n"/>
      <c r="AH538" s="716" t="n"/>
      <c r="AI538" s="716" t="n"/>
      <c r="AJ538" s="716" t="n"/>
      <c r="AK538" s="716" t="inlineStr">
        <is>
          <t xml:space="preserve">MO-TO-MO. LEASE.                                                  </t>
        </is>
      </c>
      <c r="AL538">
        <f>IF(AND(ISNUMBER($S538),$S538&gt;0,ISNUMBER($K538),ISNUMBER($J538)),($K538*$J538)/$S538,"")</f>
        <v/>
      </c>
      <c r="AM538" s="59" t="inlineStr"/>
    </row>
    <row r="539">
      <c r="A539" s="62" t="n">
        <v>7</v>
      </c>
      <c r="B539" s="93" t="n">
        <v>531</v>
      </c>
      <c r="C539" s="68" t="inlineStr">
        <is>
          <t>2011Q</t>
        </is>
      </c>
      <c r="D539" s="59" t="inlineStr">
        <is>
          <t xml:space="preserve">05281-05-036-000 </t>
        </is>
      </c>
      <c r="E539" s="72" t="inlineStr">
        <is>
          <t>Actual</t>
        </is>
      </c>
      <c r="F539" s="73" t="inlineStr">
        <is>
          <t>2059 S NAVAJO              ST</t>
        </is>
      </c>
      <c r="G539" s="708" t="n">
        <v>44.5</v>
      </c>
      <c r="H539" s="67" t="n">
        <v>9506</v>
      </c>
      <c r="I539" s="69" t="n">
        <v>0</v>
      </c>
      <c r="J539" s="714" t="n">
        <v>26357</v>
      </c>
      <c r="K539" s="715" t="n">
        <v>7.260613878666009</v>
      </c>
      <c r="L539" s="74" t="n">
        <v>0</v>
      </c>
      <c r="M539" s="76" t="n">
        <v>0.3483863550854898</v>
      </c>
      <c r="N539" s="67" t="n">
        <v>2000</v>
      </c>
      <c r="O539" s="64" t="n">
        <v>379</v>
      </c>
      <c r="P539" s="64" t="n">
        <v>825</v>
      </c>
      <c r="Q539" s="59" t="n">
        <v>10</v>
      </c>
      <c r="R539" s="59" t="n">
        <v>1</v>
      </c>
      <c r="S539" s="59" t="n">
        <v>255</v>
      </c>
      <c r="T539" s="63" t="inlineStr">
        <is>
          <t xml:space="preserve">I2   </t>
        </is>
      </c>
      <c r="U539" s="63" t="n">
        <v>396</v>
      </c>
      <c r="V539" s="714" t="n">
        <v>76475</v>
      </c>
      <c r="W539" s="714" t="n">
        <v>76000</v>
      </c>
      <c r="X539" s="83" t="inlineStr">
        <is>
          <t>2.9:1</t>
        </is>
      </c>
      <c r="Y539" s="714" t="n">
        <v>26000</v>
      </c>
      <c r="Z539" s="63" t="inlineStr">
        <is>
          <t xml:space="preserve">C </t>
        </is>
      </c>
      <c r="AC539" s="67" t="n"/>
      <c r="AD539" s="61" t="inlineStr">
        <is>
          <t>ACCSS ANYTME SLFSTGE</t>
        </is>
      </c>
      <c r="AE539" s="716" t="n"/>
      <c r="AF539" s="716" t="n"/>
      <c r="AG539" s="716" t="n"/>
      <c r="AH539" s="716" t="n"/>
      <c r="AI539" s="716" t="n"/>
      <c r="AJ539" s="716" t="n"/>
      <c r="AK539" s="716" t="inlineStr">
        <is>
          <t xml:space="preserve">ADVERTIZING AT $12,653 MAY BE OVERSTATED                          </t>
        </is>
      </c>
      <c r="AL539">
        <f>IF(AND(ISNUMBER($S539),$S539&gt;0,ISNUMBER($K539),ISNUMBER($J539)),($K539*$J539)/$S539,"")</f>
        <v/>
      </c>
      <c r="AM539" s="59" t="inlineStr"/>
    </row>
    <row r="540">
      <c r="A540" s="62" t="n">
        <v>7</v>
      </c>
      <c r="B540" s="93" t="n">
        <v>532</v>
      </c>
      <c r="C540" s="68" t="inlineStr">
        <is>
          <t>2011Q</t>
        </is>
      </c>
      <c r="D540" s="59" t="inlineStr">
        <is>
          <t xml:space="preserve">05281-06-007-000 </t>
        </is>
      </c>
      <c r="E540" s="72" t="inlineStr">
        <is>
          <t>Actual</t>
        </is>
      </c>
      <c r="F540" s="73" t="inlineStr">
        <is>
          <t>1305 W EVANS               AV</t>
        </is>
      </c>
      <c r="G540" s="67" t="n">
        <v>44.1</v>
      </c>
      <c r="H540" s="67" t="n">
        <v>9506</v>
      </c>
      <c r="I540" s="69" t="n">
        <v>0</v>
      </c>
      <c r="J540" s="714" t="n">
        <v>2000</v>
      </c>
      <c r="K540" s="715" t="n">
        <v>4.8</v>
      </c>
      <c r="L540" s="74" t="n">
        <v>0</v>
      </c>
      <c r="M540" s="76" t="n">
        <v>0.1479166666666667</v>
      </c>
      <c r="N540" s="67" t="n">
        <v>1943</v>
      </c>
      <c r="O540" s="64" t="n">
        <v>0</v>
      </c>
      <c r="Q540" s="59" t="n">
        <v>10</v>
      </c>
      <c r="R540" s="59" t="n">
        <v>7</v>
      </c>
      <c r="S540" s="59" t="n">
        <v>1</v>
      </c>
      <c r="T540" s="63" t="inlineStr">
        <is>
          <t xml:space="preserve">I2   </t>
        </is>
      </c>
      <c r="U540" s="63" t="n">
        <v>398</v>
      </c>
      <c r="V540" s="714" t="n">
        <v>8650</v>
      </c>
      <c r="W540" s="714" t="n">
        <v>9000</v>
      </c>
      <c r="X540" s="83" t="inlineStr">
        <is>
          <t>4.3:1</t>
        </is>
      </c>
      <c r="Y540" s="714" t="n">
        <v>2000</v>
      </c>
      <c r="Z540" s="63" t="inlineStr">
        <is>
          <t xml:space="preserve">C </t>
        </is>
      </c>
      <c r="AC540" s="67" t="n"/>
      <c r="AD540" s="61" t="inlineStr">
        <is>
          <t xml:space="preserve">S-W                 </t>
        </is>
      </c>
      <c r="AE540" s="716" t="n"/>
      <c r="AF540" s="716" t="n"/>
      <c r="AG540" s="716" t="n"/>
      <c r="AH540" s="716" t="n"/>
      <c r="AI540" s="716" t="n"/>
      <c r="AJ540" s="716" t="n"/>
      <c r="AK540" s="716" t="inlineStr">
        <is>
          <t xml:space="preserve">6 MO. LEASE ANNUALIZED.                                           </t>
        </is>
      </c>
      <c r="AL540">
        <f>IF(AND(ISNUMBER($S540),$S540&gt;0,ISNUMBER($K540),ISNUMBER($J540)),($K540*$J540)/$S540,"")</f>
        <v/>
      </c>
      <c r="AM540" s="59" t="inlineStr"/>
    </row>
    <row r="541">
      <c r="A541" s="62" t="n">
        <v>7</v>
      </c>
      <c r="B541" s="93" t="n">
        <v>533</v>
      </c>
      <c r="C541" s="68" t="inlineStr">
        <is>
          <t>2011Q</t>
        </is>
      </c>
      <c r="D541" s="59" t="inlineStr">
        <is>
          <t xml:space="preserve">05281-06-012-000 </t>
        </is>
      </c>
      <c r="E541" s="72" t="inlineStr">
        <is>
          <t>Actual</t>
        </is>
      </c>
      <c r="F541" s="73" t="inlineStr">
        <is>
          <t>1331 W EVANS               AV</t>
        </is>
      </c>
      <c r="G541" s="67" t="n">
        <v>44.1</v>
      </c>
      <c r="H541" s="67" t="n">
        <v>9506</v>
      </c>
      <c r="I541" s="69" t="n">
        <v>0</v>
      </c>
      <c r="J541" s="714" t="n">
        <v>7040</v>
      </c>
      <c r="K541" s="715" t="n">
        <v>6.821590909090909</v>
      </c>
      <c r="L541" s="74" t="n">
        <v>0.24</v>
      </c>
      <c r="M541" s="76" t="n">
        <v>0</v>
      </c>
      <c r="N541" s="67" t="n">
        <v>1973</v>
      </c>
      <c r="O541" s="64" t="n">
        <v>1212</v>
      </c>
      <c r="Q541" s="59" t="n">
        <v>11</v>
      </c>
      <c r="R541" s="59" t="n">
        <v>14</v>
      </c>
      <c r="S541" s="59" t="n">
        <v>1</v>
      </c>
      <c r="T541" s="63" t="inlineStr">
        <is>
          <t xml:space="preserve">I2   </t>
        </is>
      </c>
      <c r="U541" s="63" t="n">
        <v>398</v>
      </c>
      <c r="V541" s="714" t="n">
        <v>31915</v>
      </c>
      <c r="W541" s="714" t="n">
        <v>32000</v>
      </c>
      <c r="X541" s="83" t="inlineStr">
        <is>
          <t>1.9:1</t>
        </is>
      </c>
      <c r="Y541" s="714" t="n">
        <v>7000</v>
      </c>
      <c r="Z541" s="63" t="inlineStr">
        <is>
          <t xml:space="preserve">C </t>
        </is>
      </c>
      <c r="AC541" s="67" t="n"/>
      <c r="AD541" s="61" t="inlineStr">
        <is>
          <t>BLUE FLAME POWER CTG</t>
        </is>
      </c>
      <c r="AE541" s="716" t="n"/>
      <c r="AF541" s="716" t="n"/>
      <c r="AG541" s="716" t="n"/>
      <c r="AH541" s="716" t="n"/>
      <c r="AI541" s="716" t="n"/>
      <c r="AJ541" s="716" t="n"/>
      <c r="AK541" s="716" t="inlineStr">
        <is>
          <t xml:space="preserve">7040 SF OF 16551 SF BLDG. AVAILABLE FOR LEASE.                    </t>
        </is>
      </c>
      <c r="AL541">
        <f>IF(AND(ISNUMBER($S541),$S541&gt;0,ISNUMBER($K541),ISNUMBER($J541)),($K541*$J541)/$S541,"")</f>
        <v/>
      </c>
      <c r="AM541" s="59" t="inlineStr"/>
    </row>
    <row r="542">
      <c r="A542" s="62" t="n">
        <v>7</v>
      </c>
      <c r="B542" s="93" t="n">
        <v>534</v>
      </c>
      <c r="C542" s="68" t="inlineStr">
        <is>
          <t>2011Q</t>
        </is>
      </c>
      <c r="D542" s="59" t="inlineStr">
        <is>
          <t xml:space="preserve">05281-12-026-026 </t>
        </is>
      </c>
      <c r="E542" s="72" t="inlineStr">
        <is>
          <t>Actual</t>
        </is>
      </c>
      <c r="F542" s="73" t="inlineStr">
        <is>
          <t>1015 W EVANS               AV</t>
        </is>
      </c>
      <c r="G542" s="708" t="n">
        <v>44.8</v>
      </c>
      <c r="H542" s="67" t="n">
        <v>9506</v>
      </c>
      <c r="I542" s="69" t="n">
        <v>0</v>
      </c>
      <c r="J542" s="714" t="n">
        <v>2102</v>
      </c>
      <c r="K542" s="715" t="n">
        <v>8.563273073263559</v>
      </c>
      <c r="L542" s="74" t="n">
        <v>0</v>
      </c>
      <c r="M542" s="76" t="n">
        <v>0</v>
      </c>
      <c r="N542" s="67" t="n">
        <v>1982</v>
      </c>
      <c r="O542" s="64" t="n">
        <v>0</v>
      </c>
      <c r="Q542" s="59" t="n">
        <v>16</v>
      </c>
      <c r="R542" s="59" t="n">
        <v>3</v>
      </c>
      <c r="S542" s="59" t="n">
        <v>1</v>
      </c>
      <c r="T542" s="63" t="inlineStr">
        <is>
          <t xml:space="preserve">I1   </t>
        </is>
      </c>
      <c r="U542" s="63" t="n">
        <v>398</v>
      </c>
      <c r="V542" s="714" t="n">
        <v>3521</v>
      </c>
      <c r="W542" s="714" t="n">
        <v>4000</v>
      </c>
      <c r="X542" s="83" t="inlineStr">
        <is>
          <t>1.7:1</t>
        </is>
      </c>
      <c r="Y542" s="714" t="n">
        <v>2000</v>
      </c>
      <c r="Z542" s="63" t="inlineStr">
        <is>
          <t xml:space="preserve">C </t>
        </is>
      </c>
      <c r="AC542" s="67" t="n"/>
      <c r="AD542" s="61" t="inlineStr">
        <is>
          <t xml:space="preserve">CONDO UNIT #A       </t>
        </is>
      </c>
      <c r="AE542" s="716" t="n"/>
      <c r="AF542" s="716" t="n"/>
      <c r="AG542" s="716" t="n"/>
      <c r="AH542" s="716" t="n"/>
      <c r="AI542" s="716" t="n"/>
      <c r="AJ542" s="716" t="n"/>
      <c r="AK542" s="716" t="inlineStr"/>
      <c r="AL542">
        <f>IF(AND(ISNUMBER($S542),$S542&gt;0,ISNUMBER($K542),ISNUMBER($J542)),($K542*$J542)/$S542,"")</f>
        <v/>
      </c>
      <c r="AM542" s="59" t="inlineStr"/>
    </row>
    <row r="543">
      <c r="A543" s="62" t="n">
        <v>7</v>
      </c>
      <c r="B543" s="93" t="n">
        <v>535</v>
      </c>
      <c r="C543" s="68" t="inlineStr">
        <is>
          <t>2011Q</t>
        </is>
      </c>
      <c r="D543" s="59" t="inlineStr">
        <is>
          <t xml:space="preserve">05281-12-027-027 </t>
        </is>
      </c>
      <c r="E543" s="72" t="inlineStr">
        <is>
          <t>Actual</t>
        </is>
      </c>
      <c r="F543" s="73" t="inlineStr">
        <is>
          <t>1015 W EVANS               AV</t>
        </is>
      </c>
      <c r="G543" s="708" t="n">
        <v>44.8</v>
      </c>
      <c r="H543" s="67" t="n">
        <v>9506</v>
      </c>
      <c r="I543" s="69" t="n">
        <v>0</v>
      </c>
      <c r="J543" s="714" t="n">
        <v>2126</v>
      </c>
      <c r="K543" s="715" t="n">
        <v>8.466603951081844</v>
      </c>
      <c r="L543" s="74" t="n">
        <v>0</v>
      </c>
      <c r="M543" s="76" t="n">
        <v>0</v>
      </c>
      <c r="N543" s="67" t="n">
        <v>1982</v>
      </c>
      <c r="O543" s="64" t="n">
        <v>0</v>
      </c>
      <c r="Q543" s="59" t="n">
        <v>16</v>
      </c>
      <c r="R543" s="59" t="n">
        <v>3</v>
      </c>
      <c r="S543" s="59" t="n">
        <v>1</v>
      </c>
      <c r="T543" s="63" t="inlineStr">
        <is>
          <t xml:space="preserve">I1   </t>
        </is>
      </c>
      <c r="U543" s="63" t="n">
        <v>398</v>
      </c>
      <c r="V543" s="714" t="n">
        <v>3586</v>
      </c>
      <c r="W543" s="714" t="n">
        <v>4000</v>
      </c>
      <c r="X543" s="83" t="inlineStr">
        <is>
          <t>1.7:1</t>
        </is>
      </c>
      <c r="Y543" s="714" t="n">
        <v>2000</v>
      </c>
      <c r="Z543" s="63" t="inlineStr">
        <is>
          <t xml:space="preserve">C </t>
        </is>
      </c>
      <c r="AC543" s="67" t="n"/>
      <c r="AD543" s="61" t="inlineStr">
        <is>
          <t xml:space="preserve">CONDO UNIT #B       </t>
        </is>
      </c>
      <c r="AE543" s="716" t="n"/>
      <c r="AF543" s="716" t="n"/>
      <c r="AG543" s="716" t="n"/>
      <c r="AH543" s="716" t="n"/>
      <c r="AI543" s="716" t="n"/>
      <c r="AJ543" s="716" t="n"/>
      <c r="AK543" s="716" t="inlineStr"/>
      <c r="AL543">
        <f>IF(AND(ISNUMBER($S543),$S543&gt;0,ISNUMBER($K543),ISNUMBER($J543)),($K543*$J543)/$S543,"")</f>
        <v/>
      </c>
      <c r="AM543" s="59" t="inlineStr"/>
    </row>
    <row r="544">
      <c r="A544" s="62" t="n">
        <v>7</v>
      </c>
      <c r="B544" s="93" t="n">
        <v>536</v>
      </c>
      <c r="C544" s="68" t="inlineStr">
        <is>
          <t>2011Q</t>
        </is>
      </c>
      <c r="D544" s="59" t="inlineStr">
        <is>
          <t xml:space="preserve">05281-14-017-000 </t>
        </is>
      </c>
      <c r="E544" s="72" t="inlineStr">
        <is>
          <t>Actual</t>
        </is>
      </c>
      <c r="F544" s="73" t="inlineStr">
        <is>
          <t>2140 S KALAMATH            ST</t>
        </is>
      </c>
      <c r="G544" s="67" t="n">
        <v>44.1</v>
      </c>
      <c r="H544" s="67" t="n">
        <v>9506</v>
      </c>
      <c r="I544" s="69" t="n">
        <v>0</v>
      </c>
      <c r="J544" s="714" t="n">
        <v>2000</v>
      </c>
      <c r="K544" s="715" t="n">
        <v>5.94</v>
      </c>
      <c r="L544" s="74" t="n">
        <v>0</v>
      </c>
      <c r="M544" s="76" t="n">
        <v>0.3458754208754209</v>
      </c>
      <c r="N544" s="67" t="n">
        <v>1960</v>
      </c>
      <c r="O544" s="64" t="n">
        <v>0</v>
      </c>
      <c r="Q544" s="59" t="n">
        <v>12</v>
      </c>
      <c r="R544" s="59" t="n">
        <v>1</v>
      </c>
      <c r="S544" s="59" t="n">
        <v>2</v>
      </c>
      <c r="T544" s="63" t="inlineStr">
        <is>
          <t xml:space="preserve">I1   </t>
        </is>
      </c>
      <c r="U544" s="63" t="n">
        <v>398</v>
      </c>
      <c r="V544" s="714" t="n">
        <v>9375</v>
      </c>
      <c r="W544" s="714" t="n">
        <v>9000</v>
      </c>
      <c r="X544" s="83" t="inlineStr">
        <is>
          <t>2.4:1</t>
        </is>
      </c>
      <c r="Y544" s="714" t="n">
        <v>2000</v>
      </c>
      <c r="Z544" s="63" t="inlineStr">
        <is>
          <t xml:space="preserve">C </t>
        </is>
      </c>
      <c r="AC544" s="67" t="n"/>
      <c r="AD544" s="61" t="inlineStr">
        <is>
          <t>M-W GUS SHEKER STUDI</t>
        </is>
      </c>
      <c r="AE544" s="716" t="n"/>
      <c r="AF544" s="716" t="n"/>
      <c r="AG544" s="716" t="n"/>
      <c r="AH544" s="716" t="n"/>
      <c r="AI544" s="716" t="n"/>
      <c r="AJ544" s="716" t="n"/>
      <c r="AK544" s="716" t="inlineStr">
        <is>
          <t xml:space="preserve">ENTER ONLY DATA FOR THE 2009 LEASE.                               </t>
        </is>
      </c>
      <c r="AL544">
        <f>IF(AND(ISNUMBER($S544),$S544&gt;0,ISNUMBER($K544),ISNUMBER($J544)),($K544*$J544)/$S544,"")</f>
        <v/>
      </c>
      <c r="AM544" s="59" t="inlineStr"/>
    </row>
    <row r="545">
      <c r="A545" s="62" t="n">
        <v>7</v>
      </c>
      <c r="B545" s="93" t="n">
        <v>537</v>
      </c>
      <c r="C545" s="68" t="inlineStr">
        <is>
          <t>2011Q</t>
        </is>
      </c>
      <c r="D545" s="59" t="inlineStr">
        <is>
          <t xml:space="preserve">05281-14-018-000 </t>
        </is>
      </c>
      <c r="E545" s="72" t="inlineStr">
        <is>
          <t>Actual</t>
        </is>
      </c>
      <c r="F545" s="73" t="inlineStr">
        <is>
          <t>2150 S KALAMATH            ST</t>
        </is>
      </c>
      <c r="G545" s="67" t="n">
        <v>44.1</v>
      </c>
      <c r="H545" s="67" t="n">
        <v>9506</v>
      </c>
      <c r="I545" s="69" t="n">
        <v>0</v>
      </c>
      <c r="J545" s="714" t="n">
        <v>4000</v>
      </c>
      <c r="K545" s="715" t="n">
        <v>6.1</v>
      </c>
      <c r="L545" s="74" t="n">
        <v>0</v>
      </c>
      <c r="M545" s="76" t="n">
        <v>0.110327868852459</v>
      </c>
      <c r="N545" s="67" t="n">
        <v>1962</v>
      </c>
      <c r="O545" s="64" t="n">
        <v>0</v>
      </c>
      <c r="Q545" s="59" t="n">
        <v>12</v>
      </c>
      <c r="R545" s="59" t="n">
        <v>1</v>
      </c>
      <c r="S545" s="59" t="n">
        <v>1</v>
      </c>
      <c r="T545" s="63" t="inlineStr">
        <is>
          <t xml:space="preserve">I1   </t>
        </is>
      </c>
      <c r="U545" s="63" t="n">
        <v>398</v>
      </c>
      <c r="V545" s="714" t="n">
        <v>9375</v>
      </c>
      <c r="W545" s="714" t="n">
        <v>9000</v>
      </c>
      <c r="X545" s="83" t="inlineStr">
        <is>
          <t>2.3:1</t>
        </is>
      </c>
      <c r="Y545" s="714" t="n">
        <v>4000</v>
      </c>
      <c r="Z545" s="63" t="inlineStr">
        <is>
          <t xml:space="preserve">C </t>
        </is>
      </c>
      <c r="AC545" s="67" t="n"/>
      <c r="AD545" s="61" t="inlineStr">
        <is>
          <t xml:space="preserve">S-W ABLE SIGN       </t>
        </is>
      </c>
      <c r="AE545" s="716" t="n"/>
      <c r="AF545" s="716" t="n"/>
      <c r="AG545" s="716" t="n"/>
      <c r="AH545" s="716" t="n"/>
      <c r="AI545" s="716" t="n"/>
      <c r="AJ545" s="716" t="n"/>
      <c r="AK545" s="716" t="inlineStr"/>
      <c r="AL545">
        <f>IF(AND(ISNUMBER($S545),$S545&gt;0,ISNUMBER($K545),ISNUMBER($J545)),($K545*$J545)/$S545,"")</f>
        <v/>
      </c>
      <c r="AM545" s="59" t="inlineStr"/>
    </row>
    <row r="546">
      <c r="A546" s="62" t="n">
        <v>7</v>
      </c>
      <c r="B546" s="93" t="n">
        <v>538</v>
      </c>
      <c r="C546" s="68" t="inlineStr">
        <is>
          <t>2011Q</t>
        </is>
      </c>
      <c r="D546" s="59" t="inlineStr">
        <is>
          <t xml:space="preserve">05281-14-019-000 </t>
        </is>
      </c>
      <c r="E546" s="72" t="inlineStr">
        <is>
          <t>Actual</t>
        </is>
      </c>
      <c r="F546" s="73" t="inlineStr">
        <is>
          <t>2168 S KALAMATH            ST</t>
        </is>
      </c>
      <c r="G546" s="708" t="n">
        <v>47.2</v>
      </c>
      <c r="H546" s="67" t="n">
        <v>9506</v>
      </c>
      <c r="I546" s="69" t="n">
        <v>0</v>
      </c>
      <c r="J546" s="714" t="n">
        <v>4000</v>
      </c>
      <c r="K546" s="715" t="n">
        <v>6.3175</v>
      </c>
      <c r="L546" s="74" t="n">
        <v>0</v>
      </c>
      <c r="M546" s="76" t="n">
        <v>0.09232291254451919</v>
      </c>
      <c r="N546" s="67" t="n">
        <v>1956</v>
      </c>
      <c r="O546" s="64" t="n">
        <v>200</v>
      </c>
      <c r="Q546" s="59" t="n">
        <v>14</v>
      </c>
      <c r="R546" s="59" t="n">
        <v>1</v>
      </c>
      <c r="S546" s="59" t="n">
        <v>1</v>
      </c>
      <c r="T546" s="63" t="inlineStr">
        <is>
          <t xml:space="preserve">I1   </t>
        </is>
      </c>
      <c r="U546" s="63" t="n">
        <v>401</v>
      </c>
      <c r="V546" s="714" t="n">
        <v>12500</v>
      </c>
      <c r="W546" s="714" t="n">
        <v>13000</v>
      </c>
      <c r="X546" s="83" t="inlineStr">
        <is>
          <t>3.1:1</t>
        </is>
      </c>
      <c r="Y546" s="714" t="n">
        <v>4000</v>
      </c>
      <c r="Z546" s="63" t="inlineStr">
        <is>
          <t xml:space="preserve">C </t>
        </is>
      </c>
      <c r="AC546" s="67" t="n"/>
      <c r="AD546" s="61" t="inlineStr">
        <is>
          <t xml:space="preserve">S-F ELEMER'S MANUF. </t>
        </is>
      </c>
      <c r="AE546" s="716" t="n"/>
      <c r="AF546" s="716" t="n"/>
      <c r="AG546" s="716" t="n"/>
      <c r="AH546" s="716" t="n"/>
      <c r="AI546" s="716" t="n"/>
      <c r="AJ546" s="716" t="n"/>
      <c r="AK546" s="716" t="inlineStr"/>
      <c r="AL546">
        <f>IF(AND(ISNUMBER($S546),$S546&gt;0,ISNUMBER($K546),ISNUMBER($J546)),($K546*$J546)/$S546,"")</f>
        <v/>
      </c>
      <c r="AM546" s="59" t="inlineStr"/>
    </row>
    <row r="547">
      <c r="A547" s="62" t="n">
        <v>7</v>
      </c>
      <c r="B547" s="93" t="n">
        <v>539</v>
      </c>
      <c r="C547" s="68" t="inlineStr">
        <is>
          <t>2011Q</t>
        </is>
      </c>
      <c r="D547" s="59" t="inlineStr">
        <is>
          <t xml:space="preserve">05281-14-029-000 </t>
        </is>
      </c>
      <c r="E547" s="72" t="inlineStr">
        <is>
          <t>Actual</t>
        </is>
      </c>
      <c r="F547" s="73" t="inlineStr">
        <is>
          <t>2121 S JASON               ST</t>
        </is>
      </c>
      <c r="G547" s="67" t="n">
        <v>44.1</v>
      </c>
      <c r="H547" s="67" t="n">
        <v>9506</v>
      </c>
      <c r="I547" s="69" t="n">
        <v>0</v>
      </c>
      <c r="J547" s="714" t="n">
        <v>4000</v>
      </c>
      <c r="K547" s="715" t="n">
        <v>12</v>
      </c>
      <c r="L547" s="74" t="n">
        <v>0</v>
      </c>
      <c r="M547" s="76" t="n">
        <v>0</v>
      </c>
      <c r="N547" s="67" t="n">
        <v>1972</v>
      </c>
      <c r="O547" s="64" t="n">
        <v>0</v>
      </c>
      <c r="Q547" s="59" t="n">
        <v>0</v>
      </c>
      <c r="S547" s="59" t="n">
        <v>0</v>
      </c>
      <c r="T547" s="63" t="inlineStr">
        <is>
          <t xml:space="preserve">I1   </t>
        </is>
      </c>
      <c r="U547" s="63" t="n">
        <v>397</v>
      </c>
      <c r="V547" s="714" t="n">
        <v>6250</v>
      </c>
      <c r="W547" s="714" t="n">
        <v>6000</v>
      </c>
      <c r="X547" s="83" t="inlineStr">
        <is>
          <t>1.6:1</t>
        </is>
      </c>
      <c r="Y547" s="714" t="n">
        <v>4000</v>
      </c>
      <c r="Z547" s="63" t="inlineStr">
        <is>
          <t>C</t>
        </is>
      </c>
      <c r="AC547" s="67" t="n"/>
      <c r="AD547" s="61" t="inlineStr"/>
      <c r="AE547" s="716" t="n"/>
      <c r="AF547" s="716" t="n"/>
      <c r="AG547" s="716" t="n"/>
      <c r="AH547" s="716" t="n"/>
      <c r="AI547" s="716" t="n"/>
      <c r="AJ547" s="716" t="n"/>
      <c r="AK547" s="716" t="inlineStr"/>
      <c r="AL547">
        <f>IF(AND(ISNUMBER($S547),$S547&gt;0,ISNUMBER($K547),ISNUMBER($J547)),($K547*$J547)/$S547,"")</f>
        <v/>
      </c>
      <c r="AM547" s="59" t="inlineStr"/>
    </row>
    <row r="548">
      <c r="A548" s="62" t="n">
        <v>7</v>
      </c>
      <c r="B548" s="93" t="n">
        <v>540</v>
      </c>
      <c r="C548" s="68" t="inlineStr">
        <is>
          <t>2011Q</t>
        </is>
      </c>
      <c r="D548" s="59" t="inlineStr">
        <is>
          <t xml:space="preserve">05281-15-013-000 </t>
        </is>
      </c>
      <c r="E548" s="72" t="inlineStr">
        <is>
          <t>Actual</t>
        </is>
      </c>
      <c r="F548" s="73" t="inlineStr">
        <is>
          <t>1130 W EVANS               AV</t>
        </is>
      </c>
      <c r="G548" s="708" t="n">
        <v>44.2</v>
      </c>
      <c r="H548" s="67" t="n">
        <v>9506</v>
      </c>
      <c r="I548" s="69" t="n">
        <v>0</v>
      </c>
      <c r="J548" s="714" t="n">
        <v>10010</v>
      </c>
      <c r="K548" s="715" t="n">
        <v>5.86933066933067</v>
      </c>
      <c r="L548" s="74" t="n">
        <v>0</v>
      </c>
      <c r="M548" s="76" t="n">
        <v>0.05284926470588235</v>
      </c>
      <c r="N548" s="67" t="n">
        <v>1961</v>
      </c>
      <c r="O548" s="64" t="n">
        <v>1135</v>
      </c>
      <c r="Q548" s="59" t="n">
        <v>14</v>
      </c>
      <c r="R548" s="59" t="n">
        <v>1</v>
      </c>
      <c r="S548" s="59" t="n">
        <v>1</v>
      </c>
      <c r="T548" s="63" t="inlineStr">
        <is>
          <t xml:space="preserve">I1   </t>
        </is>
      </c>
      <c r="U548" s="63" t="n">
        <v>397</v>
      </c>
      <c r="V548" s="714" t="n">
        <v>15625</v>
      </c>
      <c r="W548" s="714" t="n">
        <v>16000</v>
      </c>
      <c r="X548" s="83" t="inlineStr">
        <is>
          <t>1.6:1</t>
        </is>
      </c>
      <c r="Y548" s="714" t="n">
        <v>10000</v>
      </c>
      <c r="Z548" s="63" t="inlineStr">
        <is>
          <t xml:space="preserve">C </t>
        </is>
      </c>
      <c r="AC548" s="67" t="n"/>
      <c r="AD548" s="61" t="inlineStr"/>
      <c r="AE548" s="716" t="n"/>
      <c r="AF548" s="716" t="n"/>
      <c r="AG548" s="716" t="n"/>
      <c r="AH548" s="716" t="n"/>
      <c r="AI548" s="716" t="n"/>
      <c r="AJ548" s="716" t="n"/>
      <c r="AK548" s="716" t="inlineStr"/>
      <c r="AL548">
        <f>IF(AND(ISNUMBER($S548),$S548&gt;0,ISNUMBER($K548),ISNUMBER($J548)),($K548*$J548)/$S548,"")</f>
        <v/>
      </c>
      <c r="AM548" s="59" t="inlineStr"/>
    </row>
    <row r="549">
      <c r="A549" s="62" t="n">
        <v>7</v>
      </c>
      <c r="B549" s="93" t="n">
        <v>541</v>
      </c>
      <c r="C549" s="68" t="inlineStr">
        <is>
          <t>2011Q</t>
        </is>
      </c>
      <c r="D549" s="59" t="inlineStr">
        <is>
          <t xml:space="preserve">05281-16-001-000 </t>
        </is>
      </c>
      <c r="E549" s="72" t="inlineStr">
        <is>
          <t>Actual</t>
        </is>
      </c>
      <c r="F549" s="73" t="inlineStr">
        <is>
          <t>2201 S KALAMATH            ST</t>
        </is>
      </c>
      <c r="G549" s="67" t="n">
        <v>44.1</v>
      </c>
      <c r="H549" s="67" t="n">
        <v>9506</v>
      </c>
      <c r="I549" s="69" t="n">
        <v>0</v>
      </c>
      <c r="J549" s="714" t="n">
        <v>5000</v>
      </c>
      <c r="K549" s="715" t="n">
        <v>6</v>
      </c>
      <c r="L549" s="74" t="n">
        <v>0</v>
      </c>
      <c r="M549" s="76" t="n">
        <v>0.1080333333333333</v>
      </c>
      <c r="N549" s="67" t="n">
        <v>1966</v>
      </c>
      <c r="O549" s="64" t="n">
        <v>521</v>
      </c>
      <c r="Q549" s="59" t="n">
        <v>14</v>
      </c>
      <c r="R549" s="59" t="n">
        <v>3</v>
      </c>
      <c r="S549" s="59" t="n">
        <v>1</v>
      </c>
      <c r="T549" s="63" t="inlineStr">
        <is>
          <t xml:space="preserve">I1   </t>
        </is>
      </c>
      <c r="U549" s="63" t="n">
        <v>397</v>
      </c>
      <c r="V549" s="714" t="n">
        <v>6250</v>
      </c>
      <c r="W549" s="714" t="n">
        <v>6000</v>
      </c>
      <c r="X549" s="83" t="inlineStr">
        <is>
          <t>1.3:1</t>
        </is>
      </c>
      <c r="Y549" s="714" t="n">
        <v>5000</v>
      </c>
      <c r="Z549" s="63" t="inlineStr">
        <is>
          <t xml:space="preserve">C </t>
        </is>
      </c>
      <c r="AC549" s="67" t="n"/>
      <c r="AD549" s="61" t="inlineStr">
        <is>
          <t xml:space="preserve">S-W EUROPEAN MARBLE </t>
        </is>
      </c>
      <c r="AE549" s="716" t="n"/>
      <c r="AF549" s="716" t="n"/>
      <c r="AG549" s="716" t="n"/>
      <c r="AH549" s="716" t="n"/>
      <c r="AI549" s="716" t="n"/>
      <c r="AJ549" s="716" t="n"/>
      <c r="AK549" s="716" t="inlineStr">
        <is>
          <t xml:space="preserve">2008 LEASE.                                                       </t>
        </is>
      </c>
      <c r="AL549">
        <f>IF(AND(ISNUMBER($S549),$S549&gt;0,ISNUMBER($K549),ISNUMBER($J549)),($K549*$J549)/$S549,"")</f>
        <v/>
      </c>
      <c r="AM549" s="59" t="inlineStr"/>
    </row>
    <row r="550">
      <c r="A550" s="62" t="n">
        <v>7</v>
      </c>
      <c r="B550" s="93" t="n">
        <v>542</v>
      </c>
      <c r="C550" s="68" t="inlineStr">
        <is>
          <t>2011Q</t>
        </is>
      </c>
      <c r="D550" s="59" t="inlineStr">
        <is>
          <t xml:space="preserve">05281-16-004-000 </t>
        </is>
      </c>
      <c r="E550" s="72" t="inlineStr">
        <is>
          <t>Actual</t>
        </is>
      </c>
      <c r="F550" s="73" t="inlineStr">
        <is>
          <t>2235 S KALAMATH            ST</t>
        </is>
      </c>
      <c r="G550" s="67" t="n">
        <v>44.1</v>
      </c>
      <c r="H550" s="67" t="n">
        <v>9506</v>
      </c>
      <c r="I550" s="69" t="n">
        <v>0</v>
      </c>
      <c r="J550" s="714" t="n">
        <v>5425</v>
      </c>
      <c r="K550" s="715" t="n">
        <v>7.741935483870968</v>
      </c>
      <c r="L550" s="74" t="n">
        <v>0</v>
      </c>
      <c r="M550" s="76" t="n">
        <v>0.08016666666666666</v>
      </c>
      <c r="N550" s="67" t="n">
        <v>1974</v>
      </c>
      <c r="O550" s="64" t="n">
        <v>1116</v>
      </c>
      <c r="Q550" s="59" t="n">
        <v>13</v>
      </c>
      <c r="R550" s="59" t="n">
        <v>8</v>
      </c>
      <c r="S550" s="59" t="n">
        <v>1</v>
      </c>
      <c r="T550" s="63" t="inlineStr">
        <is>
          <t xml:space="preserve">I1   </t>
        </is>
      </c>
      <c r="U550" s="63" t="n">
        <v>397</v>
      </c>
      <c r="V550" s="714" t="n">
        <v>12500</v>
      </c>
      <c r="W550" s="714" t="n">
        <v>13000</v>
      </c>
      <c r="X550" s="83" t="inlineStr">
        <is>
          <t>2.3:1</t>
        </is>
      </c>
      <c r="Y550" s="714" t="n">
        <v>5000</v>
      </c>
      <c r="Z550" s="63" t="inlineStr">
        <is>
          <t xml:space="preserve">C </t>
        </is>
      </c>
      <c r="AC550" s="67" t="n"/>
      <c r="AD550" s="61" t="inlineStr">
        <is>
          <t xml:space="preserve">SEAL MAXX           </t>
        </is>
      </c>
      <c r="AE550" s="716" t="n"/>
      <c r="AF550" s="716" t="n"/>
      <c r="AG550" s="716" t="n"/>
      <c r="AH550" s="716" t="n"/>
      <c r="AI550" s="716" t="n"/>
      <c r="AJ550" s="716" t="n"/>
      <c r="AK550" s="716" t="inlineStr">
        <is>
          <t xml:space="preserve">2008 LEASE.                                                       </t>
        </is>
      </c>
      <c r="AL550">
        <f>IF(AND(ISNUMBER($S550),$S550&gt;0,ISNUMBER($K550),ISNUMBER($J550)),($K550*$J550)/$S550,"")</f>
        <v/>
      </c>
      <c r="AM550" s="59" t="inlineStr"/>
    </row>
    <row r="551">
      <c r="A551" s="62" t="n">
        <v>7</v>
      </c>
      <c r="B551" s="93" t="n">
        <v>543</v>
      </c>
      <c r="C551" s="68" t="inlineStr">
        <is>
          <t>2011Q</t>
        </is>
      </c>
      <c r="D551" s="59" t="inlineStr">
        <is>
          <t xml:space="preserve">05281-17-024-000 </t>
        </is>
      </c>
      <c r="E551" s="72" t="inlineStr">
        <is>
          <t>Actual</t>
        </is>
      </c>
      <c r="F551" s="73" t="inlineStr">
        <is>
          <t>2240 S KALAMATH            ST</t>
        </is>
      </c>
      <c r="G551" s="708" t="n">
        <v>44.2</v>
      </c>
      <c r="H551" s="67" t="n">
        <v>9506</v>
      </c>
      <c r="I551" s="69" t="n">
        <v>0</v>
      </c>
      <c r="J551" s="714" t="n">
        <v>2000</v>
      </c>
      <c r="K551" s="715" t="n">
        <v>7.2</v>
      </c>
      <c r="L551" s="74" t="n">
        <v>0</v>
      </c>
      <c r="M551" s="76" t="n">
        <v>0.07916666666666666</v>
      </c>
      <c r="N551" s="67" t="n">
        <v>1962</v>
      </c>
      <c r="O551" s="64" t="n">
        <v>0</v>
      </c>
      <c r="Q551" s="59" t="n">
        <v>12</v>
      </c>
      <c r="R551" s="59" t="n">
        <v>3</v>
      </c>
      <c r="S551" s="59" t="n">
        <v>1</v>
      </c>
      <c r="T551" s="63" t="inlineStr">
        <is>
          <t xml:space="preserve">I1   </t>
        </is>
      </c>
      <c r="U551" s="63" t="n">
        <v>398</v>
      </c>
      <c r="V551" s="714" t="n">
        <v>12500</v>
      </c>
      <c r="W551" s="714" t="n">
        <v>13000</v>
      </c>
      <c r="X551" s="83" t="inlineStr">
        <is>
          <t>6.3:1</t>
        </is>
      </c>
      <c r="Y551" s="714" t="n">
        <v>2000</v>
      </c>
      <c r="Z551" s="63" t="inlineStr">
        <is>
          <t xml:space="preserve">C </t>
        </is>
      </c>
      <c r="AC551" s="67" t="n"/>
      <c r="AD551" s="61" t="inlineStr">
        <is>
          <t xml:space="preserve">S-W JT'S UPHOLSTERY </t>
        </is>
      </c>
      <c r="AE551" s="716" t="n"/>
      <c r="AF551" s="716" t="n"/>
      <c r="AG551" s="716" t="n"/>
      <c r="AH551" s="716" t="n"/>
      <c r="AI551" s="716" t="n"/>
      <c r="AJ551" s="716" t="n"/>
      <c r="AK551" s="716" t="inlineStr">
        <is>
          <t xml:space="preserve">2008 LEASE.                                                       </t>
        </is>
      </c>
      <c r="AL551">
        <f>IF(AND(ISNUMBER($S551),$S551&gt;0,ISNUMBER($K551),ISNUMBER($J551)),($K551*$J551)/$S551,"")</f>
        <v/>
      </c>
      <c r="AM551" s="59" t="inlineStr"/>
    </row>
    <row r="552">
      <c r="A552" s="62" t="n">
        <v>7</v>
      </c>
      <c r="B552" s="93" t="n">
        <v>544</v>
      </c>
      <c r="C552" s="68" t="inlineStr">
        <is>
          <t>2011Q</t>
        </is>
      </c>
      <c r="D552" s="59" t="inlineStr">
        <is>
          <t xml:space="preserve">05281-18-015-000 </t>
        </is>
      </c>
      <c r="E552" s="72" t="inlineStr">
        <is>
          <t>Actual</t>
        </is>
      </c>
      <c r="F552" s="73" t="inlineStr">
        <is>
          <t>2201 S PLATTE RIVER        DR</t>
        </is>
      </c>
      <c r="G552" s="708" t="inlineStr">
        <is>
          <t>44.M</t>
        </is>
      </c>
      <c r="H552" s="67" t="n">
        <v>9506</v>
      </c>
      <c r="I552" s="69" t="n">
        <v>0</v>
      </c>
      <c r="J552" s="714" t="n">
        <v>2490</v>
      </c>
      <c r="K552" s="715" t="n">
        <v>7.710843373493976</v>
      </c>
      <c r="L552" s="74" t="n">
        <v>0</v>
      </c>
      <c r="M552" s="76" t="n">
        <v>0</v>
      </c>
      <c r="N552" s="67" t="n">
        <v>1954</v>
      </c>
      <c r="O552" s="64" t="n">
        <v>0</v>
      </c>
      <c r="Q552" s="59" t="n">
        <v>10</v>
      </c>
      <c r="R552" s="59" t="n">
        <v>1</v>
      </c>
      <c r="S552" s="59" t="n">
        <v>1</v>
      </c>
      <c r="T552" s="63" t="inlineStr">
        <is>
          <t xml:space="preserve">I1   </t>
        </is>
      </c>
      <c r="U552" s="63" t="n">
        <v>398</v>
      </c>
      <c r="V552" s="714" t="n">
        <v>29660</v>
      </c>
      <c r="W552" s="714" t="n">
        <v>30000</v>
      </c>
      <c r="X552" s="83" t="inlineStr">
        <is>
          <t>11.9:1</t>
        </is>
      </c>
      <c r="Y552" s="714" t="n">
        <v>2000</v>
      </c>
      <c r="Z552" s="63" t="inlineStr">
        <is>
          <t xml:space="preserve">C </t>
        </is>
      </c>
      <c r="AC552" s="67" t="n"/>
      <c r="AD552" s="61" t="inlineStr"/>
      <c r="AE552" s="716" t="n"/>
      <c r="AF552" s="716" t="n"/>
      <c r="AG552" s="716" t="n"/>
      <c r="AH552" s="716" t="n"/>
      <c r="AI552" s="716" t="n"/>
      <c r="AJ552" s="716" t="n"/>
      <c r="AK552" s="716" t="inlineStr"/>
      <c r="AL552">
        <f>IF(AND(ISNUMBER($S552),$S552&gt;0,ISNUMBER($K552),ISNUMBER($J552)),($K552*$J552)/$S552,"")</f>
        <v/>
      </c>
      <c r="AM552" s="59" t="inlineStr"/>
    </row>
    <row r="553">
      <c r="A553" s="62" t="n">
        <v>7</v>
      </c>
      <c r="B553" s="93" t="n">
        <v>545</v>
      </c>
      <c r="C553" s="68" t="inlineStr">
        <is>
          <t>2011Q</t>
        </is>
      </c>
      <c r="D553" s="59" t="inlineStr">
        <is>
          <t xml:space="preserve">05281-18-022-000 </t>
        </is>
      </c>
      <c r="E553" s="72" t="inlineStr">
        <is>
          <t>Actual</t>
        </is>
      </c>
      <c r="F553" s="73" t="inlineStr">
        <is>
          <t>2240 S JASON               ST</t>
        </is>
      </c>
      <c r="G553" s="67" t="n">
        <v>44.1</v>
      </c>
      <c r="H553" s="67" t="n">
        <v>9506</v>
      </c>
      <c r="I553" s="69" t="n">
        <v>0</v>
      </c>
      <c r="J553" s="714" t="n">
        <v>1360</v>
      </c>
      <c r="K553" s="715" t="n">
        <v>13.23529411764706</v>
      </c>
      <c r="L553" s="74" t="n">
        <v>0</v>
      </c>
      <c r="M553" s="76" t="n">
        <v>0</v>
      </c>
      <c r="N553" s="67" t="n">
        <v>1970</v>
      </c>
      <c r="O553" s="64" t="n">
        <v>200</v>
      </c>
      <c r="Q553" s="59" t="n">
        <v>12</v>
      </c>
      <c r="R553" s="59" t="n">
        <v>7</v>
      </c>
      <c r="S553" s="59" t="n">
        <v>1</v>
      </c>
      <c r="T553" s="63" t="inlineStr">
        <is>
          <t xml:space="preserve">I1   </t>
        </is>
      </c>
      <c r="U553" s="63" t="n">
        <v>398</v>
      </c>
      <c r="V553" s="714" t="n">
        <v>9975</v>
      </c>
      <c r="W553" s="714" t="n">
        <v>10000</v>
      </c>
      <c r="X553" s="83" t="inlineStr">
        <is>
          <t>7.3:1</t>
        </is>
      </c>
      <c r="Y553" s="714" t="n">
        <v>1000</v>
      </c>
      <c r="Z553" s="63" t="inlineStr">
        <is>
          <t xml:space="preserve">C </t>
        </is>
      </c>
      <c r="AC553" s="67" t="n"/>
      <c r="AD553" s="61" t="inlineStr">
        <is>
          <t xml:space="preserve">AA HIGH TECH AUTO   </t>
        </is>
      </c>
      <c r="AE553" s="716" t="n"/>
      <c r="AF553" s="716" t="n"/>
      <c r="AG553" s="716" t="n"/>
      <c r="AH553" s="716" t="n"/>
      <c r="AI553" s="716" t="n"/>
      <c r="AJ553" s="716" t="n"/>
      <c r="AK553" s="716" t="inlineStr">
        <is>
          <t xml:space="preserve">MONTH-TO-MONTH LEASE - COMMENCEMENT DATE UNKNOWN.                 </t>
        </is>
      </c>
      <c r="AL553">
        <f>IF(AND(ISNUMBER($S553),$S553&gt;0,ISNUMBER($K553),ISNUMBER($J553)),($K553*$J553)/$S553,"")</f>
        <v/>
      </c>
      <c r="AM553" s="59" t="inlineStr"/>
    </row>
    <row r="554">
      <c r="A554" s="62" t="n">
        <v>7</v>
      </c>
      <c r="B554" s="93" t="n">
        <v>546</v>
      </c>
      <c r="C554" s="68" t="inlineStr">
        <is>
          <t>2011Q</t>
        </is>
      </c>
      <c r="D554" s="59" t="inlineStr">
        <is>
          <t xml:space="preserve">05281-18-036-000 </t>
        </is>
      </c>
      <c r="E554" s="72" t="inlineStr">
        <is>
          <t>Actual</t>
        </is>
      </c>
      <c r="F554" s="73" t="inlineStr">
        <is>
          <t>905 W ILIFF               AV</t>
        </is>
      </c>
      <c r="G554" s="708" t="n">
        <v>44.2</v>
      </c>
      <c r="H554" s="67" t="n">
        <v>9506</v>
      </c>
      <c r="I554" s="69" t="n">
        <v>0</v>
      </c>
      <c r="J554" s="714" t="n">
        <v>5500</v>
      </c>
      <c r="K554" s="715" t="n">
        <v>4.8</v>
      </c>
      <c r="L554" s="74" t="n">
        <v>0</v>
      </c>
      <c r="M554" s="76" t="n">
        <v>0</v>
      </c>
      <c r="N554" s="67" t="n">
        <v>1982</v>
      </c>
      <c r="O554" s="64" t="n">
        <v>1500</v>
      </c>
      <c r="Q554" s="59" t="n">
        <v>19</v>
      </c>
      <c r="R554" s="59" t="n">
        <v>7</v>
      </c>
      <c r="S554" s="59" t="n">
        <v>1</v>
      </c>
      <c r="T554" s="63" t="inlineStr">
        <is>
          <t xml:space="preserve">I1   </t>
        </is>
      </c>
      <c r="U554" s="63" t="n">
        <v>398</v>
      </c>
      <c r="V554" s="714" t="n">
        <v>29925</v>
      </c>
      <c r="W554" s="714" t="n">
        <v>30000</v>
      </c>
      <c r="X554" s="83" t="inlineStr">
        <is>
          <t>2.3:1</t>
        </is>
      </c>
      <c r="Y554" s="714" t="n">
        <v>6000</v>
      </c>
      <c r="Z554" s="63" t="inlineStr">
        <is>
          <t xml:space="preserve">C </t>
        </is>
      </c>
      <c r="AC554" s="67" t="n"/>
      <c r="AD554" s="61" t="inlineStr"/>
      <c r="AE554" s="716" t="n"/>
      <c r="AF554" s="716" t="n"/>
      <c r="AG554" s="716" t="n"/>
      <c r="AH554" s="716" t="n"/>
      <c r="AI554" s="716" t="n"/>
      <c r="AJ554" s="716" t="n"/>
      <c r="AK554" s="716" t="inlineStr"/>
      <c r="AL554">
        <f>IF(AND(ISNUMBER($S554),$S554&gt;0,ISNUMBER($K554),ISNUMBER($J554)),($K554*$J554)/$S554,"")</f>
        <v/>
      </c>
      <c r="AM554" s="59" t="inlineStr"/>
    </row>
    <row r="555">
      <c r="A555" s="62" t="n">
        <v>7</v>
      </c>
      <c r="B555" s="93" t="n">
        <v>547</v>
      </c>
      <c r="C555" s="68" t="inlineStr">
        <is>
          <t>2011Q</t>
        </is>
      </c>
      <c r="D555" s="59" t="inlineStr">
        <is>
          <t xml:space="preserve">05282-11-010-000 </t>
        </is>
      </c>
      <c r="E555" s="72" t="inlineStr">
        <is>
          <t>Actual</t>
        </is>
      </c>
      <c r="F555" s="73" t="inlineStr">
        <is>
          <t>1801 W EVANS               AV</t>
        </is>
      </c>
      <c r="G555" s="708" t="n">
        <v>44.2</v>
      </c>
      <c r="H555" s="67" t="n">
        <v>9506</v>
      </c>
      <c r="I555" s="69" t="n">
        <v>0</v>
      </c>
      <c r="J555" s="714" t="n">
        <v>1784</v>
      </c>
      <c r="K555" s="715" t="n">
        <v>9.080717488789238</v>
      </c>
      <c r="L555" s="74" t="n">
        <v>0</v>
      </c>
      <c r="M555" s="76" t="n">
        <v>0.354320987654321</v>
      </c>
      <c r="N555" s="67" t="n">
        <v>1980</v>
      </c>
      <c r="O555" s="64" t="n">
        <v>2205</v>
      </c>
      <c r="Q555" s="59" t="n">
        <v>19</v>
      </c>
      <c r="R555" s="59" t="n">
        <v>3</v>
      </c>
      <c r="S555" s="59" t="n">
        <v>1</v>
      </c>
      <c r="T555" s="63" t="inlineStr">
        <is>
          <t xml:space="preserve">PUD  </t>
        </is>
      </c>
      <c r="U555" s="63" t="n">
        <v>398</v>
      </c>
      <c r="V555" s="714" t="n">
        <v>15960</v>
      </c>
      <c r="W555" s="714" t="n">
        <v>16000</v>
      </c>
      <c r="X555" s="83" t="inlineStr">
        <is>
          <t>2.2:1</t>
        </is>
      </c>
      <c r="Y555" s="714" t="n">
        <v>2000</v>
      </c>
      <c r="Z555" s="63" t="inlineStr">
        <is>
          <t xml:space="preserve">C </t>
        </is>
      </c>
      <c r="AC555" s="67" t="n"/>
      <c r="AD555" s="61" t="inlineStr">
        <is>
          <t>VOLVO PARTS &amp; SERVCE</t>
        </is>
      </c>
      <c r="AE555" s="716" t="n"/>
      <c r="AF555" s="716" t="n"/>
      <c r="AG555" s="716" t="n"/>
      <c r="AH555" s="716" t="n"/>
      <c r="AI555" s="716" t="n"/>
      <c r="AJ555" s="716" t="n"/>
      <c r="AK555" s="716" t="inlineStr">
        <is>
          <t xml:space="preserve">MO-TO-MO LEASE FOR 1,784 SQ FT OUT OF 7,094 SQ FT BLDG.           </t>
        </is>
      </c>
      <c r="AL555">
        <f>IF(AND(ISNUMBER($S555),$S555&gt;0,ISNUMBER($K555),ISNUMBER($J555)),($K555*$J555)/$S555,"")</f>
        <v/>
      </c>
      <c r="AM555" s="59" t="inlineStr"/>
    </row>
    <row r="556">
      <c r="A556" s="62" t="n">
        <v>7</v>
      </c>
      <c r="B556" s="93" t="n">
        <v>548</v>
      </c>
      <c r="C556" s="68" t="inlineStr">
        <is>
          <t>2011Q</t>
        </is>
      </c>
      <c r="D556" s="59" t="inlineStr">
        <is>
          <t xml:space="preserve">05284-02-010-000 </t>
        </is>
      </c>
      <c r="E556" s="72" t="inlineStr">
        <is>
          <t>Actual</t>
        </is>
      </c>
      <c r="F556" s="73" t="inlineStr">
        <is>
          <t>2301 S INCA                ST</t>
        </is>
      </c>
      <c r="G556" s="67" t="n">
        <v>44.1</v>
      </c>
      <c r="H556" s="67" t="n">
        <v>9506</v>
      </c>
      <c r="I556" s="69" t="n">
        <v>0</v>
      </c>
      <c r="J556" s="714" t="n">
        <v>10005</v>
      </c>
      <c r="K556" s="715" t="n">
        <v>5.75712143928036</v>
      </c>
      <c r="L556" s="74" t="n">
        <v>0</v>
      </c>
      <c r="M556" s="76" t="n">
        <v>0.02239583333333333</v>
      </c>
      <c r="N556" s="67" t="n">
        <v>1965</v>
      </c>
      <c r="O556" s="64" t="n">
        <v>2142</v>
      </c>
      <c r="P556" s="64" t="n">
        <v>1188</v>
      </c>
      <c r="Q556" s="59" t="n">
        <v>13</v>
      </c>
      <c r="R556" s="59" t="n">
        <v>1</v>
      </c>
      <c r="S556" s="59" t="n">
        <v>1</v>
      </c>
      <c r="T556" s="63" t="inlineStr">
        <is>
          <t xml:space="preserve">I1   </t>
        </is>
      </c>
      <c r="U556" s="63" t="n">
        <v>398</v>
      </c>
      <c r="V556" s="714" t="n">
        <v>12500</v>
      </c>
      <c r="W556" s="714" t="n">
        <v>13000</v>
      </c>
      <c r="X556" s="83" t="inlineStr">
        <is>
          <t>1.2:1</t>
        </is>
      </c>
      <c r="Y556" s="714" t="n">
        <v>10000</v>
      </c>
      <c r="Z556" s="63" t="inlineStr">
        <is>
          <t>C+</t>
        </is>
      </c>
      <c r="AC556" s="67" t="n"/>
      <c r="AD556" s="61" t="inlineStr">
        <is>
          <t xml:space="preserve">S-D STRUBLE         </t>
        </is>
      </c>
      <c r="AE556" s="716" t="n"/>
      <c r="AF556" s="716" t="n"/>
      <c r="AG556" s="716" t="n"/>
      <c r="AH556" s="716" t="n"/>
      <c r="AI556" s="716" t="n"/>
      <c r="AJ556" s="716" t="n"/>
      <c r="AK556" s="716" t="inlineStr">
        <is>
          <t xml:space="preserve">2008 LEASE.                                                       </t>
        </is>
      </c>
      <c r="AL556">
        <f>IF(AND(ISNUMBER($S556),$S556&gt;0,ISNUMBER($K556),ISNUMBER($J556)),($K556*$J556)/$S556,"")</f>
        <v/>
      </c>
      <c r="AM556" s="59" t="inlineStr"/>
    </row>
    <row r="557">
      <c r="A557" s="62" t="n">
        <v>7</v>
      </c>
      <c r="B557" s="93" t="n">
        <v>549</v>
      </c>
      <c r="C557" s="68" t="inlineStr">
        <is>
          <t>2011Q</t>
        </is>
      </c>
      <c r="D557" s="59" t="inlineStr">
        <is>
          <t xml:space="preserve">05284-02-031-000 </t>
        </is>
      </c>
      <c r="E557" s="72" t="inlineStr">
        <is>
          <t>Actual</t>
        </is>
      </c>
      <c r="F557" s="73" t="inlineStr">
        <is>
          <t>2335 S INCA                ST</t>
        </is>
      </c>
      <c r="G557" s="708" t="n">
        <v>44.2</v>
      </c>
      <c r="H557" s="67" t="n">
        <v>9506</v>
      </c>
      <c r="I557" s="69" t="n">
        <v>0</v>
      </c>
      <c r="J557" s="714" t="n">
        <v>10073</v>
      </c>
      <c r="K557" s="715" t="n">
        <v>3.46470763426983</v>
      </c>
      <c r="L557" s="74" t="n">
        <v>0</v>
      </c>
      <c r="M557" s="76" t="n">
        <v>0.09169054441260745</v>
      </c>
      <c r="N557" s="67" t="n">
        <v>1973</v>
      </c>
      <c r="O557" s="64" t="n">
        <v>2805</v>
      </c>
      <c r="Q557" s="59" t="n">
        <v>12</v>
      </c>
      <c r="R557" s="59" t="n">
        <v>1</v>
      </c>
      <c r="S557" s="59" t="n">
        <v>1</v>
      </c>
      <c r="T557" s="63" t="inlineStr">
        <is>
          <t xml:space="preserve">I1   </t>
        </is>
      </c>
      <c r="U557" s="63" t="n">
        <v>398</v>
      </c>
      <c r="V557" s="714" t="n">
        <v>12500</v>
      </c>
      <c r="W557" s="714" t="n">
        <v>13000</v>
      </c>
      <c r="X557" s="83" t="inlineStr">
        <is>
          <t>1.2:1</t>
        </is>
      </c>
      <c r="Y557" s="714" t="n">
        <v>10000</v>
      </c>
      <c r="Z557" s="63" t="inlineStr">
        <is>
          <t xml:space="preserve">C </t>
        </is>
      </c>
      <c r="AC557" s="67" t="n"/>
      <c r="AD557" s="61" t="inlineStr">
        <is>
          <t>LAUNDRY/DRY CLEANERS</t>
        </is>
      </c>
      <c r="AE557" s="716" t="n"/>
      <c r="AF557" s="716" t="n"/>
      <c r="AG557" s="716" t="n"/>
      <c r="AH557" s="716" t="n"/>
      <c r="AI557" s="716" t="n"/>
      <c r="AJ557" s="716" t="n"/>
      <c r="AK557" s="716" t="inlineStr"/>
      <c r="AL557">
        <f>IF(AND(ISNUMBER($S557),$S557&gt;0,ISNUMBER($K557),ISNUMBER($J557)),($K557*$J557)/$S557,"")</f>
        <v/>
      </c>
      <c r="AM557" s="59" t="inlineStr"/>
    </row>
    <row r="558">
      <c r="A558" s="62" t="n">
        <v>7</v>
      </c>
      <c r="B558" s="93" t="n">
        <v>550</v>
      </c>
      <c r="C558" s="68" t="inlineStr">
        <is>
          <t>2011Q</t>
        </is>
      </c>
      <c r="D558" s="59" t="inlineStr">
        <is>
          <t xml:space="preserve">05284-03-018-000 </t>
        </is>
      </c>
      <c r="E558" s="72" t="inlineStr">
        <is>
          <t>Actual</t>
        </is>
      </c>
      <c r="F558" s="73" t="inlineStr">
        <is>
          <t>2390 S KALAMATH            ST</t>
        </is>
      </c>
      <c r="G558" s="708" t="n">
        <v>44.2</v>
      </c>
      <c r="H558" s="67" t="n">
        <v>9506</v>
      </c>
      <c r="I558" s="69" t="n">
        <v>0</v>
      </c>
      <c r="J558" s="714" t="n">
        <v>6000</v>
      </c>
      <c r="K558" s="715" t="n">
        <v>6.3</v>
      </c>
      <c r="L558" s="74" t="n">
        <v>0</v>
      </c>
      <c r="M558" s="76" t="n">
        <v>0.2948677248677249</v>
      </c>
      <c r="N558" s="67" t="n">
        <v>1973</v>
      </c>
      <c r="O558" s="64" t="n">
        <v>1440</v>
      </c>
      <c r="Q558" s="59" t="n">
        <v>14</v>
      </c>
      <c r="R558" s="59" t="n">
        <v>1</v>
      </c>
      <c r="S558" s="59" t="n">
        <v>1</v>
      </c>
      <c r="T558" s="63" t="inlineStr">
        <is>
          <t xml:space="preserve">I1   </t>
        </is>
      </c>
      <c r="U558" s="63" t="n">
        <v>398</v>
      </c>
      <c r="V558" s="714" t="n">
        <v>18750</v>
      </c>
      <c r="W558" s="714" t="n">
        <v>19000</v>
      </c>
      <c r="X558" s="83" t="inlineStr">
        <is>
          <t>1.6:1</t>
        </is>
      </c>
      <c r="Y558" s="714" t="n">
        <v>6000</v>
      </c>
      <c r="Z558" s="63" t="inlineStr">
        <is>
          <t xml:space="preserve">C </t>
        </is>
      </c>
      <c r="AC558" s="67" t="n"/>
      <c r="AD558" s="61" t="inlineStr"/>
      <c r="AE558" s="716" t="n"/>
      <c r="AF558" s="716" t="n"/>
      <c r="AG558" s="716" t="n"/>
      <c r="AH558" s="716" t="n"/>
      <c r="AI558" s="716" t="n"/>
      <c r="AJ558" s="716" t="n"/>
      <c r="AK558" s="716" t="inlineStr">
        <is>
          <t xml:space="preserve">6000 SF OF 12000 SF BLDG. LEASED.                                 </t>
        </is>
      </c>
      <c r="AL558">
        <f>IF(AND(ISNUMBER($S558),$S558&gt;0,ISNUMBER($K558),ISNUMBER($J558)),($K558*$J558)/$S558,"")</f>
        <v/>
      </c>
      <c r="AM558" s="59" t="inlineStr"/>
    </row>
    <row r="559">
      <c r="A559" s="62" t="n">
        <v>7</v>
      </c>
      <c r="B559" s="93" t="n">
        <v>551</v>
      </c>
      <c r="C559" s="68" t="inlineStr">
        <is>
          <t>2011Q</t>
        </is>
      </c>
      <c r="D559" s="59" t="inlineStr">
        <is>
          <t xml:space="preserve">05284-03-019-000 </t>
        </is>
      </c>
      <c r="E559" s="72" t="inlineStr">
        <is>
          <t>Actual</t>
        </is>
      </c>
      <c r="F559" s="73" t="inlineStr">
        <is>
          <t>2340 S KALAMATH            ST</t>
        </is>
      </c>
      <c r="G559" s="708" t="n">
        <v>44.2</v>
      </c>
      <c r="H559" s="67" t="n">
        <v>9506</v>
      </c>
      <c r="I559" s="69" t="n">
        <v>0</v>
      </c>
      <c r="J559" s="714" t="n">
        <v>4000</v>
      </c>
      <c r="K559" s="715" t="n">
        <v>6.45</v>
      </c>
      <c r="L559" s="74" t="n">
        <v>0</v>
      </c>
      <c r="M559" s="76" t="n">
        <v>0.1795348837209302</v>
      </c>
      <c r="N559" s="67" t="n">
        <v>1973</v>
      </c>
      <c r="O559" s="64" t="n">
        <v>400</v>
      </c>
      <c r="Q559" s="59" t="n">
        <v>14</v>
      </c>
      <c r="R559" s="59" t="n">
        <v>1</v>
      </c>
      <c r="S559" s="59" t="n">
        <v>2</v>
      </c>
      <c r="T559" s="63" t="inlineStr">
        <is>
          <t xml:space="preserve">I1   </t>
        </is>
      </c>
      <c r="U559" s="63" t="n">
        <v>398</v>
      </c>
      <c r="V559" s="714" t="n">
        <v>6250</v>
      </c>
      <c r="W559" s="714" t="n">
        <v>6000</v>
      </c>
      <c r="X559" s="83" t="inlineStr">
        <is>
          <t>1.6:1</t>
        </is>
      </c>
      <c r="Y559" s="714" t="n">
        <v>4000</v>
      </c>
      <c r="Z559" s="63" t="inlineStr">
        <is>
          <t xml:space="preserve">C </t>
        </is>
      </c>
      <c r="AC559" s="67" t="n"/>
      <c r="AD559" s="61" t="inlineStr">
        <is>
          <t xml:space="preserve">M-W                 </t>
        </is>
      </c>
      <c r="AE559" s="716" t="n"/>
      <c r="AF559" s="716" t="n"/>
      <c r="AG559" s="716" t="n"/>
      <c r="AH559" s="716" t="n"/>
      <c r="AI559" s="716" t="n"/>
      <c r="AJ559" s="716" t="n"/>
      <c r="AK559" s="716" t="inlineStr"/>
      <c r="AL559">
        <f>IF(AND(ISNUMBER($S559),$S559&gt;0,ISNUMBER($K559),ISNUMBER($J559)),($K559*$J559)/$S559,"")</f>
        <v/>
      </c>
      <c r="AM559" s="59" t="inlineStr"/>
    </row>
    <row r="560">
      <c r="A560" s="62" t="n">
        <v>7</v>
      </c>
      <c r="B560" s="93" t="n">
        <v>552</v>
      </c>
      <c r="C560" s="68" t="inlineStr">
        <is>
          <t>2011Q</t>
        </is>
      </c>
      <c r="D560" s="59" t="inlineStr">
        <is>
          <t xml:space="preserve">05294-00-003-000 </t>
        </is>
      </c>
      <c r="E560" s="72" t="inlineStr">
        <is>
          <t>Actual</t>
        </is>
      </c>
      <c r="F560" s="73" t="inlineStr">
        <is>
          <t>2920 W ILIFF               AV</t>
        </is>
      </c>
      <c r="G560" s="708" t="n">
        <v>47.1</v>
      </c>
      <c r="H560" s="67" t="n">
        <v>9506</v>
      </c>
      <c r="I560" s="69" t="n">
        <v>0</v>
      </c>
      <c r="J560" s="714" t="n">
        <v>3260</v>
      </c>
      <c r="K560" s="715" t="n">
        <v>4.969325153374233</v>
      </c>
      <c r="L560" s="74" t="n">
        <v>0</v>
      </c>
      <c r="M560" s="76" t="n">
        <v>0.4382716049382716</v>
      </c>
      <c r="N560" s="67" t="n">
        <v>1970</v>
      </c>
      <c r="O560" s="64" t="n">
        <v>180</v>
      </c>
      <c r="Q560" s="59" t="n">
        <v>14</v>
      </c>
      <c r="R560" s="59" t="n">
        <v>14</v>
      </c>
      <c r="S560" s="59" t="n">
        <v>1</v>
      </c>
      <c r="T560" s="63" t="inlineStr">
        <is>
          <t xml:space="preserve">B4   </t>
        </is>
      </c>
      <c r="U560" s="63" t="n">
        <v>401</v>
      </c>
      <c r="V560" s="714" t="n">
        <v>14704</v>
      </c>
      <c r="W560" s="714" t="n">
        <v>15000</v>
      </c>
      <c r="X560" s="83" t="inlineStr">
        <is>
          <t>4.5:1</t>
        </is>
      </c>
      <c r="Y560" s="714" t="n">
        <v>3000</v>
      </c>
      <c r="Z560" s="63" t="inlineStr">
        <is>
          <t xml:space="preserve">C </t>
        </is>
      </c>
      <c r="AC560" s="67" t="n"/>
      <c r="AD560" s="61" t="inlineStr">
        <is>
          <t xml:space="preserve">MB MARBLE &amp; TILE    </t>
        </is>
      </c>
      <c r="AE560" s="716" t="n"/>
      <c r="AF560" s="716" t="n"/>
      <c r="AG560" s="716" t="n"/>
      <c r="AH560" s="716" t="n"/>
      <c r="AI560" s="716" t="n"/>
      <c r="AJ560" s="716" t="n"/>
      <c r="AK560" s="716" t="inlineStr">
        <is>
          <t xml:space="preserve">2008 LEASE.                                                       </t>
        </is>
      </c>
      <c r="AL560">
        <f>IF(AND(ISNUMBER($S560),$S560&gt;0,ISNUMBER($K560),ISNUMBER($J560)),($K560*$J560)/$S560,"")</f>
        <v/>
      </c>
      <c r="AM560" s="59" t="inlineStr"/>
    </row>
    <row r="561">
      <c r="A561" s="62" t="n">
        <v>7</v>
      </c>
      <c r="B561" s="93" t="n">
        <v>553</v>
      </c>
      <c r="C561" s="68" t="inlineStr">
        <is>
          <t>2011Q</t>
        </is>
      </c>
      <c r="D561" s="59" t="inlineStr">
        <is>
          <t xml:space="preserve">06041-08-020-000 </t>
        </is>
      </c>
      <c r="E561" s="72" t="inlineStr">
        <is>
          <t>Actual</t>
        </is>
      </c>
      <c r="F561" s="73" t="inlineStr">
        <is>
          <t>1420   ULSTER              ST</t>
        </is>
      </c>
      <c r="G561" s="67" t="n">
        <v>44.1</v>
      </c>
      <c r="H561" s="67" t="n">
        <v>9601</v>
      </c>
      <c r="I561" s="69" t="n">
        <v>0</v>
      </c>
      <c r="J561" s="714" t="n">
        <v>1500</v>
      </c>
      <c r="K561" s="715" t="n">
        <v>4.8</v>
      </c>
      <c r="L561" s="74" t="n">
        <v>0</v>
      </c>
      <c r="M561" s="76" t="n">
        <v>0</v>
      </c>
      <c r="N561" s="67" t="n">
        <v>1949</v>
      </c>
      <c r="O561" s="64" t="n">
        <v>0</v>
      </c>
      <c r="P561" s="64" t="n">
        <v>703</v>
      </c>
      <c r="Q561" s="59" t="n">
        <v>10</v>
      </c>
      <c r="R561" s="59" t="n">
        <v>7</v>
      </c>
      <c r="S561" s="59" t="n">
        <v>1</v>
      </c>
      <c r="T561" s="63" t="inlineStr">
        <is>
          <t xml:space="preserve">MS1  </t>
        </is>
      </c>
      <c r="U561" s="63" t="n">
        <v>398</v>
      </c>
      <c r="V561" s="714" t="n">
        <v>12200</v>
      </c>
      <c r="W561" s="714" t="n">
        <v>12000</v>
      </c>
      <c r="X561" s="83" t="inlineStr">
        <is>
          <t>2.8:1</t>
        </is>
      </c>
      <c r="Y561" s="714" t="n">
        <v>2000</v>
      </c>
      <c r="Z561" s="63" t="inlineStr">
        <is>
          <t xml:space="preserve">C </t>
        </is>
      </c>
      <c r="AC561" s="67" t="n"/>
      <c r="AD561" s="61" t="inlineStr">
        <is>
          <t xml:space="preserve">1426 ULSTER ST      </t>
        </is>
      </c>
      <c r="AE561" s="716" t="n"/>
      <c r="AF561" s="716" t="n"/>
      <c r="AG561" s="716" t="n"/>
      <c r="AH561" s="716" t="n"/>
      <c r="AI561" s="716" t="n"/>
      <c r="AJ561" s="716" t="n"/>
      <c r="AK561" s="716" t="inlineStr">
        <is>
          <t xml:space="preserve">LEASE COVERS 1500 SF OF 4377 SF BLDG.                             </t>
        </is>
      </c>
      <c r="AL561">
        <f>IF(AND(ISNUMBER($S561),$S561&gt;0,ISNUMBER($K561),ISNUMBER($J561)),($K561*$J561)/$S561,"")</f>
        <v/>
      </c>
      <c r="AM561" s="59" t="inlineStr"/>
    </row>
    <row r="562">
      <c r="A562" s="62" t="n">
        <v>7</v>
      </c>
      <c r="B562" s="93" t="n">
        <v>554</v>
      </c>
      <c r="C562" s="68" t="inlineStr">
        <is>
          <t>2011Q</t>
        </is>
      </c>
      <c r="D562" s="59" t="inlineStr">
        <is>
          <t xml:space="preserve">06041-08-021-000 </t>
        </is>
      </c>
      <c r="E562" s="72" t="inlineStr">
        <is>
          <t>Actual</t>
        </is>
      </c>
      <c r="F562" s="73" t="inlineStr">
        <is>
          <t>1414   ULSTER              ST</t>
        </is>
      </c>
      <c r="G562" s="708" t="n">
        <v>44.2</v>
      </c>
      <c r="H562" s="67" t="n">
        <v>9601</v>
      </c>
      <c r="I562" s="69" t="n">
        <v>0</v>
      </c>
      <c r="J562" s="714" t="n">
        <v>5978</v>
      </c>
      <c r="K562" s="715" t="n">
        <v>4.516560722649715</v>
      </c>
      <c r="L562" s="74" t="n">
        <v>0</v>
      </c>
      <c r="M562" s="76" t="n">
        <v>0</v>
      </c>
      <c r="N562" s="67" t="n">
        <v>1964</v>
      </c>
      <c r="O562" s="64" t="n">
        <v>0</v>
      </c>
      <c r="Q562" s="59" t="n">
        <v>10</v>
      </c>
      <c r="R562" s="59" t="n">
        <v>3</v>
      </c>
      <c r="S562" s="59" t="n">
        <v>2</v>
      </c>
      <c r="T562" s="63" t="inlineStr">
        <is>
          <t xml:space="preserve">MS1  </t>
        </is>
      </c>
      <c r="U562" s="63" t="n">
        <v>398</v>
      </c>
      <c r="V562" s="714" t="n">
        <v>12200</v>
      </c>
      <c r="W562" s="714" t="n">
        <v>12000</v>
      </c>
      <c r="X562" s="83" t="inlineStr">
        <is>
          <t>2.0:1</t>
        </is>
      </c>
      <c r="Y562" s="714" t="n">
        <v>6000</v>
      </c>
      <c r="Z562" s="63" t="inlineStr">
        <is>
          <t xml:space="preserve">C </t>
        </is>
      </c>
      <c r="AC562" s="67" t="n"/>
      <c r="AD562" s="61" t="inlineStr"/>
      <c r="AE562" s="716" t="n"/>
      <c r="AF562" s="716" t="n"/>
      <c r="AG562" s="716" t="n"/>
      <c r="AH562" s="716" t="n"/>
      <c r="AI562" s="716" t="n"/>
      <c r="AJ562" s="716" t="n"/>
      <c r="AK562" s="716" t="inlineStr">
        <is>
          <t>LEASE COMMENCEMENT UNKNOWN - MAY BE 2008 OR 2009.LOT OF ASSUMPT'NS</t>
        </is>
      </c>
      <c r="AL562">
        <f>IF(AND(ISNUMBER($S562),$S562&gt;0,ISNUMBER($K562),ISNUMBER($J562)),($K562*$J562)/$S562,"")</f>
        <v/>
      </c>
      <c r="AM562" s="59" t="inlineStr"/>
    </row>
    <row r="563">
      <c r="A563" s="62" t="n">
        <v>7</v>
      </c>
      <c r="B563" s="93" t="n">
        <v>555</v>
      </c>
      <c r="C563" s="68" t="inlineStr">
        <is>
          <t>2011Q</t>
        </is>
      </c>
      <c r="D563" s="59" t="inlineStr">
        <is>
          <t xml:space="preserve">06172-00-031-000 </t>
        </is>
      </c>
      <c r="E563" s="72" t="inlineStr">
        <is>
          <t>Actual</t>
        </is>
      </c>
      <c r="F563" s="73" t="inlineStr">
        <is>
          <t>6150   LEETSDALE           DR</t>
        </is>
      </c>
      <c r="G563" s="708" t="n">
        <v>44.5</v>
      </c>
      <c r="H563" s="67" t="n">
        <v>9602</v>
      </c>
      <c r="I563" s="69" t="n">
        <v>9</v>
      </c>
      <c r="J563" s="714" t="n">
        <v>75160</v>
      </c>
      <c r="K563" s="715" t="n">
        <v>10.11617881852049</v>
      </c>
      <c r="L563" s="74" t="n">
        <v>0</v>
      </c>
      <c r="M563" s="76" t="n">
        <v>0.2562104449109073</v>
      </c>
      <c r="N563" s="67" t="n">
        <v>2006</v>
      </c>
      <c r="O563" s="64" t="n">
        <v>0</v>
      </c>
      <c r="Q563" s="59" t="n">
        <v>18</v>
      </c>
      <c r="R563" s="59" t="n">
        <v>3</v>
      </c>
      <c r="S563" s="59" t="n">
        <v>651</v>
      </c>
      <c r="T563" s="63" t="inlineStr">
        <is>
          <t xml:space="preserve">PUD  </t>
        </is>
      </c>
      <c r="U563" s="63" t="n">
        <v>396</v>
      </c>
      <c r="V563" s="714" t="n">
        <v>95897</v>
      </c>
      <c r="W563" s="714" t="n">
        <v>96000</v>
      </c>
      <c r="X563" s="83" t="inlineStr">
        <is>
          <t>1.3:1</t>
        </is>
      </c>
      <c r="Y563" s="714" t="n">
        <v>75000</v>
      </c>
      <c r="Z563" s="63" t="inlineStr">
        <is>
          <t xml:space="preserve">B </t>
        </is>
      </c>
      <c r="AC563" s="67" t="n"/>
      <c r="AD563" s="61" t="inlineStr">
        <is>
          <t xml:space="preserve">UN'TED STGE LTSDALE </t>
        </is>
      </c>
      <c r="AE563" s="716" t="n"/>
      <c r="AF563" s="716" t="n"/>
      <c r="AG563" s="716" t="n"/>
      <c r="AH563" s="716" t="n"/>
      <c r="AI563" s="716" t="n"/>
      <c r="AJ563" s="716" t="n"/>
      <c r="AK563" s="716" t="inlineStr"/>
      <c r="AL563">
        <f>IF(AND(ISNUMBER($S563),$S563&gt;0,ISNUMBER($K563),ISNUMBER($J563)),($K563*$J563)/$S563,"")</f>
        <v/>
      </c>
      <c r="AM563" s="59" t="inlineStr"/>
    </row>
    <row r="564">
      <c r="A564" s="62" t="n">
        <v>7</v>
      </c>
      <c r="B564" s="93" t="n">
        <v>556</v>
      </c>
      <c r="C564" s="68" t="inlineStr">
        <is>
          <t>2011Q</t>
        </is>
      </c>
      <c r="D564" s="59" t="inlineStr">
        <is>
          <t xml:space="preserve">06282-01-003-000 </t>
        </is>
      </c>
      <c r="E564" s="72" t="inlineStr">
        <is>
          <t>Actual</t>
        </is>
      </c>
      <c r="F564" s="73" t="inlineStr">
        <is>
          <t>7450 E JEWELL              AV</t>
        </is>
      </c>
      <c r="G564" s="708" t="n">
        <v>44.2</v>
      </c>
      <c r="H564" s="67" t="n">
        <v>9603</v>
      </c>
      <c r="I564" s="69" t="n">
        <v>0</v>
      </c>
      <c r="J564" s="714" t="n">
        <v>3400</v>
      </c>
      <c r="K564" s="715" t="n">
        <v>8.84</v>
      </c>
      <c r="L564" s="74" t="n">
        <v>0</v>
      </c>
      <c r="M564" s="76" t="n">
        <v>0.1080982166622305</v>
      </c>
      <c r="N564" s="67" t="n">
        <v>1977</v>
      </c>
      <c r="O564" s="64" t="n">
        <v>8901</v>
      </c>
      <c r="Q564" s="59" t="n">
        <v>19</v>
      </c>
      <c r="R564" s="59" t="n">
        <v>10</v>
      </c>
      <c r="S564" s="59" t="n">
        <v>3</v>
      </c>
      <c r="T564" s="63" t="inlineStr">
        <is>
          <t xml:space="preserve">I1   </t>
        </is>
      </c>
      <c r="U564" s="63" t="n">
        <v>398</v>
      </c>
      <c r="V564" s="714" t="n">
        <v>41625</v>
      </c>
      <c r="W564" s="714" t="n">
        <v>42000</v>
      </c>
      <c r="X564" s="83" t="inlineStr">
        <is>
          <t>2.4:1</t>
        </is>
      </c>
      <c r="Y564" s="714" t="n">
        <v>3000</v>
      </c>
      <c r="Z564" s="63" t="inlineStr">
        <is>
          <t xml:space="preserve">C </t>
        </is>
      </c>
      <c r="AC564" s="67" t="n"/>
      <c r="AD564" s="61" t="inlineStr">
        <is>
          <t xml:space="preserve">WAREHOUSE           </t>
        </is>
      </c>
      <c r="AE564" s="716" t="n"/>
      <c r="AF564" s="716" t="n"/>
      <c r="AG564" s="716" t="n"/>
      <c r="AH564" s="716" t="n"/>
      <c r="AI564" s="716" t="n"/>
      <c r="AJ564" s="716" t="n"/>
      <c r="AK564" s="716" t="inlineStr">
        <is>
          <t xml:space="preserve">BASE PEROD LEASE = 3400 SF OF 17,092 SF BLDG.                     </t>
        </is>
      </c>
      <c r="AL564">
        <f>IF(AND(ISNUMBER($S564),$S564&gt;0,ISNUMBER($K564),ISNUMBER($J564)),($K564*$J564)/$S564,"")</f>
        <v/>
      </c>
      <c r="AM564" s="59" t="inlineStr"/>
    </row>
    <row r="565">
      <c r="A565" s="62" t="n">
        <v>7</v>
      </c>
      <c r="B565" s="93" t="n">
        <v>557</v>
      </c>
      <c r="C565" s="68" t="inlineStr">
        <is>
          <t>2011Q</t>
        </is>
      </c>
      <c r="D565" s="59" t="inlineStr">
        <is>
          <t xml:space="preserve">06292-10-004-000 </t>
        </is>
      </c>
      <c r="E565" s="72" t="inlineStr">
        <is>
          <t>Actual</t>
        </is>
      </c>
      <c r="F565" s="73" t="inlineStr">
        <is>
          <t>5885 E EVANS               AV</t>
        </is>
      </c>
      <c r="G565" s="67" t="n">
        <v>44.1</v>
      </c>
      <c r="H565" s="67" t="n">
        <v>9603</v>
      </c>
      <c r="I565" s="69" t="n">
        <v>0</v>
      </c>
      <c r="J565" s="714" t="n">
        <v>12244</v>
      </c>
      <c r="K565" s="715" t="n">
        <v>5.390395295655015</v>
      </c>
      <c r="L565" s="74" t="n">
        <v>0</v>
      </c>
      <c r="M565" s="76" t="n">
        <v>0.08540909090909091</v>
      </c>
      <c r="N565" s="67" t="n">
        <v>1960</v>
      </c>
      <c r="O565" s="64" t="n">
        <v>5891</v>
      </c>
      <c r="Q565" s="59" t="n">
        <v>13</v>
      </c>
      <c r="R565" s="59" t="n">
        <v>3</v>
      </c>
      <c r="S565" s="59" t="n">
        <v>1</v>
      </c>
      <c r="T565" s="63" t="inlineStr">
        <is>
          <t xml:space="preserve">I0   </t>
        </is>
      </c>
      <c r="U565" s="63" t="n">
        <v>398</v>
      </c>
      <c r="V565" s="714" t="n">
        <v>43775</v>
      </c>
      <c r="W565" s="714" t="n">
        <v>44000</v>
      </c>
      <c r="X565" s="83" t="inlineStr">
        <is>
          <t>3.6:1</t>
        </is>
      </c>
      <c r="Y565" s="714" t="n">
        <v>12000</v>
      </c>
      <c r="Z565" s="63" t="inlineStr">
        <is>
          <t xml:space="preserve">C </t>
        </is>
      </c>
      <c r="AC565" s="67" t="n"/>
      <c r="AD565" s="61" t="inlineStr">
        <is>
          <t xml:space="preserve">PRINTSHOP PLUS      </t>
        </is>
      </c>
      <c r="AE565" s="716" t="n"/>
      <c r="AF565" s="716" t="n"/>
      <c r="AG565" s="716" t="n"/>
      <c r="AH565" s="716" t="n"/>
      <c r="AI565" s="716" t="n"/>
      <c r="AJ565" s="716" t="n"/>
      <c r="AK565" s="716" t="inlineStr"/>
      <c r="AL565">
        <f>IF(AND(ISNUMBER($S565),$S565&gt;0,ISNUMBER($K565),ISNUMBER($J565)),($K565*$J565)/$S565,"")</f>
        <v/>
      </c>
      <c r="AM565" s="59" t="inlineStr"/>
    </row>
    <row r="566">
      <c r="A566" s="62" t="n">
        <v>7</v>
      </c>
      <c r="B566" s="93" t="n">
        <v>558</v>
      </c>
      <c r="C566" s="68" t="inlineStr">
        <is>
          <t>2011Q</t>
        </is>
      </c>
      <c r="D566" s="59" t="inlineStr">
        <is>
          <t xml:space="preserve">06292-12-017-000 </t>
        </is>
      </c>
      <c r="E566" s="72" t="inlineStr">
        <is>
          <t>Actual</t>
        </is>
      </c>
      <c r="F566" s="73" t="inlineStr">
        <is>
          <t>2160 S IVANHOE             ST</t>
        </is>
      </c>
      <c r="G566" s="708" t="inlineStr">
        <is>
          <t>44.M</t>
        </is>
      </c>
      <c r="H566" s="67" t="n">
        <v>9603</v>
      </c>
      <c r="I566" s="69" t="n">
        <v>0</v>
      </c>
      <c r="J566" s="714" t="n">
        <v>10200</v>
      </c>
      <c r="K566" s="715" t="n">
        <v>11.94705882352941</v>
      </c>
      <c r="L566" s="74" t="n">
        <v>0</v>
      </c>
      <c r="M566" s="76" t="n">
        <v>0.2810109962251764</v>
      </c>
      <c r="N566" s="67" t="n">
        <v>1974</v>
      </c>
      <c r="O566" s="64" t="n">
        <v>0</v>
      </c>
      <c r="Q566" s="59" t="n">
        <v>10</v>
      </c>
      <c r="R566" s="59" t="n">
        <v>3</v>
      </c>
      <c r="S566" s="59" t="n">
        <v>56</v>
      </c>
      <c r="T566" s="63" t="inlineStr">
        <is>
          <t xml:space="preserve">I0   </t>
        </is>
      </c>
      <c r="U566" s="63" t="n">
        <v>396</v>
      </c>
      <c r="V566" s="714" t="n">
        <v>34151</v>
      </c>
      <c r="W566" s="714" t="n">
        <v>34000</v>
      </c>
      <c r="X566" s="83" t="inlineStr">
        <is>
          <t>3.3:1</t>
        </is>
      </c>
      <c r="Y566" s="714" t="n">
        <v>10000</v>
      </c>
      <c r="Z566" s="63" t="inlineStr">
        <is>
          <t xml:space="preserve">C </t>
        </is>
      </c>
      <c r="AC566" s="67" t="n"/>
      <c r="AD566" s="61" t="inlineStr">
        <is>
          <t>EVANS/HOLLY SELF STG</t>
        </is>
      </c>
      <c r="AE566" s="716" t="n"/>
      <c r="AF566" s="716" t="n"/>
      <c r="AG566" s="716" t="n"/>
      <c r="AH566" s="716" t="n"/>
      <c r="AI566" s="716" t="n"/>
      <c r="AJ566" s="716" t="n"/>
      <c r="AK566" s="716" t="inlineStr"/>
      <c r="AL566">
        <f>IF(AND(ISNUMBER($S566),$S566&gt;0,ISNUMBER($K566),ISNUMBER($J566)),($K566*$J566)/$S566,"")</f>
        <v/>
      </c>
      <c r="AM566" s="59" t="inlineStr"/>
    </row>
    <row r="567">
      <c r="A567" s="62" t="n">
        <v>7</v>
      </c>
      <c r="B567" s="93" t="n">
        <v>559</v>
      </c>
      <c r="C567" s="68" t="inlineStr">
        <is>
          <t>2011Q</t>
        </is>
      </c>
      <c r="D567" s="59" t="inlineStr">
        <is>
          <t xml:space="preserve">06292-14-004-000 </t>
        </is>
      </c>
      <c r="E567" s="72" t="inlineStr">
        <is>
          <t>Actual</t>
        </is>
      </c>
      <c r="F567" s="73" t="inlineStr">
        <is>
          <t>6300 E EVANS               AV</t>
        </is>
      </c>
      <c r="G567" s="67" t="n">
        <v>44.1</v>
      </c>
      <c r="H567" s="67" t="n">
        <v>9603</v>
      </c>
      <c r="I567" s="69" t="n">
        <v>7</v>
      </c>
      <c r="J567" s="714" t="n">
        <v>40296</v>
      </c>
      <c r="K567" s="715" t="n">
        <v>4.640907286082986</v>
      </c>
      <c r="L567" s="74" t="n">
        <v>0</v>
      </c>
      <c r="M567" s="76" t="n">
        <v>0.002352815357467515</v>
      </c>
      <c r="N567" s="67" t="n">
        <v>1963</v>
      </c>
      <c r="O567" s="64" t="n">
        <v>11042</v>
      </c>
      <c r="P567" s="64" t="n">
        <v>5161</v>
      </c>
      <c r="Q567" s="59" t="n">
        <v>15</v>
      </c>
      <c r="R567" s="59" t="n">
        <v>1</v>
      </c>
      <c r="S567" s="59" t="n">
        <v>1</v>
      </c>
      <c r="T567" s="63" t="inlineStr">
        <is>
          <t xml:space="preserve">I0   </t>
        </is>
      </c>
      <c r="U567" s="63" t="n">
        <v>398</v>
      </c>
      <c r="V567" s="714" t="n">
        <v>66517</v>
      </c>
      <c r="W567" s="714" t="n">
        <v>67000</v>
      </c>
      <c r="X567" s="83" t="inlineStr">
        <is>
          <t>1.7:1</t>
        </is>
      </c>
      <c r="Y567" s="714" t="n">
        <v>40000</v>
      </c>
      <c r="Z567" s="63" t="inlineStr">
        <is>
          <t xml:space="preserve">C </t>
        </is>
      </c>
      <c r="AC567" s="67" t="n"/>
      <c r="AD567" s="61" t="inlineStr">
        <is>
          <t xml:space="preserve">S-W LEWAN SALES     </t>
        </is>
      </c>
      <c r="AE567" s="716" t="n"/>
      <c r="AF567" s="716" t="n"/>
      <c r="AG567" s="716" t="n"/>
      <c r="AH567" s="716" t="n"/>
      <c r="AI567" s="716" t="n"/>
      <c r="AJ567" s="716" t="n"/>
      <c r="AK567" s="716" t="inlineStr"/>
      <c r="AL567">
        <f>IF(AND(ISNUMBER($S567),$S567&gt;0,ISNUMBER($K567),ISNUMBER($J567)),($K567*$J567)/$S567,"")</f>
        <v/>
      </c>
      <c r="AM567" s="59" t="inlineStr"/>
    </row>
    <row r="568">
      <c r="A568" s="62" t="n">
        <v>7</v>
      </c>
      <c r="B568" s="93" t="n">
        <v>560</v>
      </c>
      <c r="C568" s="68" t="inlineStr">
        <is>
          <t>2011Q</t>
        </is>
      </c>
      <c r="D568" s="59" t="inlineStr">
        <is>
          <t xml:space="preserve">06301-13-010-000 </t>
        </is>
      </c>
      <c r="E568" s="72" t="inlineStr">
        <is>
          <t>Actual</t>
        </is>
      </c>
      <c r="F568" s="73" t="inlineStr">
        <is>
          <t>4925 E PACIFIC             PL</t>
        </is>
      </c>
      <c r="G568" s="67" t="n">
        <v>44.1</v>
      </c>
      <c r="H568" s="67" t="n">
        <v>9603</v>
      </c>
      <c r="I568" s="69" t="n">
        <v>0</v>
      </c>
      <c r="J568" s="714" t="n">
        <v>6752</v>
      </c>
      <c r="K568" s="715" t="n">
        <v>7.286729857819905</v>
      </c>
      <c r="L568" s="74" t="n">
        <v>0</v>
      </c>
      <c r="M568" s="76" t="n">
        <v>0</v>
      </c>
      <c r="N568" s="67" t="n">
        <v>1973</v>
      </c>
      <c r="O568" s="64" t="n">
        <v>2832</v>
      </c>
      <c r="Q568" s="59" t="n">
        <v>20</v>
      </c>
      <c r="R568" s="59" t="n">
        <v>14</v>
      </c>
      <c r="S568" s="59" t="n">
        <v>1</v>
      </c>
      <c r="T568" s="63" t="inlineStr">
        <is>
          <t xml:space="preserve">I0   </t>
        </is>
      </c>
      <c r="U568" s="63" t="n">
        <v>398</v>
      </c>
      <c r="V568" s="714" t="n">
        <v>15625</v>
      </c>
      <c r="W568" s="714" t="n">
        <v>16000</v>
      </c>
      <c r="X568" s="83" t="inlineStr">
        <is>
          <t>2.3:1</t>
        </is>
      </c>
      <c r="Y568" s="714" t="n">
        <v>7000</v>
      </c>
      <c r="Z568" s="63" t="inlineStr">
        <is>
          <t xml:space="preserve">C </t>
        </is>
      </c>
      <c r="AC568" s="67" t="n"/>
      <c r="AD568" s="61" t="inlineStr">
        <is>
          <t>S-W CREATIVE DRYWALL</t>
        </is>
      </c>
      <c r="AE568" s="716" t="n"/>
      <c r="AF568" s="716" t="n"/>
      <c r="AG568" s="716" t="n"/>
      <c r="AH568" s="716" t="n"/>
      <c r="AI568" s="716" t="n"/>
      <c r="AJ568" s="716" t="n"/>
      <c r="AK568" s="716" t="inlineStr"/>
      <c r="AL568">
        <f>IF(AND(ISNUMBER($S568),$S568&gt;0,ISNUMBER($K568),ISNUMBER($J568)),($K568*$J568)/$S568,"")</f>
        <v/>
      </c>
      <c r="AM568" s="59" t="inlineStr"/>
    </row>
    <row r="569">
      <c r="A569" s="62" t="n">
        <v>7</v>
      </c>
      <c r="B569" s="93" t="n">
        <v>561</v>
      </c>
      <c r="C569" s="68" t="inlineStr">
        <is>
          <t>2011Q</t>
        </is>
      </c>
      <c r="D569" s="59" t="inlineStr">
        <is>
          <t xml:space="preserve">06302-20-007-000 </t>
        </is>
      </c>
      <c r="E569" s="72" t="inlineStr">
        <is>
          <t>Actual</t>
        </is>
      </c>
      <c r="F569" s="73" t="inlineStr">
        <is>
          <t>4875 E EVANS               AV</t>
        </is>
      </c>
      <c r="G569" s="67" t="n">
        <v>44.1</v>
      </c>
      <c r="H569" s="67" t="n">
        <v>9603</v>
      </c>
      <c r="I569" s="69" t="n">
        <v>0</v>
      </c>
      <c r="J569" s="714" t="n">
        <v>8512</v>
      </c>
      <c r="K569" s="715" t="n">
        <v>8.250117481203008</v>
      </c>
      <c r="L569" s="74" t="n">
        <v>0</v>
      </c>
      <c r="M569" s="76" t="n">
        <v>0.09715913136347455</v>
      </c>
      <c r="N569" s="67" t="n">
        <v>1973</v>
      </c>
      <c r="O569" s="64" t="n">
        <v>1054</v>
      </c>
      <c r="Q569" s="59" t="n">
        <v>14</v>
      </c>
      <c r="R569" s="59" t="n">
        <v>3</v>
      </c>
      <c r="S569" s="59" t="n">
        <v>1</v>
      </c>
      <c r="T569" s="63" t="inlineStr">
        <is>
          <t xml:space="preserve">I0   </t>
        </is>
      </c>
      <c r="U569" s="63" t="n">
        <v>398</v>
      </c>
      <c r="V569" s="714" t="n">
        <v>19718</v>
      </c>
      <c r="W569" s="714" t="n">
        <v>20000</v>
      </c>
      <c r="X569" s="83" t="inlineStr">
        <is>
          <t>2.3:1</t>
        </is>
      </c>
      <c r="Y569" s="714" t="n">
        <v>9000</v>
      </c>
      <c r="Z569" s="63" t="inlineStr">
        <is>
          <t xml:space="preserve">C </t>
        </is>
      </c>
      <c r="AC569" s="67" t="n"/>
      <c r="AD569" s="61" t="inlineStr"/>
      <c r="AE569" s="716" t="n"/>
      <c r="AF569" s="716" t="n"/>
      <c r="AG569" s="716" t="n"/>
      <c r="AH569" s="716" t="n"/>
      <c r="AI569" s="716" t="n"/>
      <c r="AJ569" s="716" t="n"/>
      <c r="AK569" s="716" t="inlineStr">
        <is>
          <t xml:space="preserve">08/08 LEASE.                                                      </t>
        </is>
      </c>
      <c r="AL569">
        <f>IF(AND(ISNUMBER($S569),$S569&gt;0,ISNUMBER($K569),ISNUMBER($J569)),($K569*$J569)/$S569,"")</f>
        <v/>
      </c>
      <c r="AM569" s="59" t="inlineStr"/>
    </row>
    <row r="570">
      <c r="A570" s="62" t="n">
        <v>8</v>
      </c>
      <c r="B570" s="93" t="n">
        <v>562</v>
      </c>
      <c r="C570" s="68" t="inlineStr">
        <is>
          <t>2009Q</t>
        </is>
      </c>
      <c r="D570" s="59" t="inlineStr">
        <is>
          <t xml:space="preserve">00184-01-019-000 </t>
        </is>
      </c>
      <c r="E570" s="72" t="inlineStr">
        <is>
          <t>Actual</t>
        </is>
      </c>
      <c r="F570" s="73" t="inlineStr">
        <is>
          <t>15200 E 53RD                 AV</t>
        </is>
      </c>
      <c r="G570" s="708" t="n">
        <v>44.5</v>
      </c>
      <c r="H570" s="67" t="n">
        <v>9102</v>
      </c>
      <c r="I570" s="69" t="n">
        <v>0</v>
      </c>
      <c r="J570" s="714" t="n">
        <v>59703</v>
      </c>
      <c r="K570" s="715" t="n">
        <v>10.2211949148284</v>
      </c>
      <c r="L570" s="74" t="n">
        <v>0.07000000000000001</v>
      </c>
      <c r="M570" s="76" t="n">
        <v>0.107030722540132</v>
      </c>
      <c r="N570" s="67" t="n">
        <v>2000</v>
      </c>
      <c r="P570" s="64">
        <f>1294*2</f>
        <v/>
      </c>
      <c r="Q570" s="59" t="n">
        <v>9</v>
      </c>
      <c r="R570" s="59" t="n">
        <v>3</v>
      </c>
      <c r="S570" s="59" t="n">
        <v>1</v>
      </c>
      <c r="T570" s="63" t="inlineStr">
        <is>
          <t xml:space="preserve">PUD  </t>
        </is>
      </c>
      <c r="U570" s="63" t="n">
        <v>396</v>
      </c>
      <c r="V570" s="714" t="n">
        <v>223537</v>
      </c>
      <c r="W570" s="714" t="n">
        <v>220000</v>
      </c>
      <c r="X570" s="83" t="inlineStr">
        <is>
          <t>3.7:1</t>
        </is>
      </c>
      <c r="Y570" s="714">
        <f>ROUND(J570,-4)</f>
        <v/>
      </c>
      <c r="Z570" s="63" t="inlineStr">
        <is>
          <t xml:space="preserve">C </t>
        </is>
      </c>
      <c r="AA570" s="59" t="n">
        <v>3</v>
      </c>
      <c r="AB570" s="59" t="n">
        <v>3</v>
      </c>
      <c r="AC570" s="67" t="inlineStr">
        <is>
          <t>33</t>
        </is>
      </c>
      <c r="AD570" s="61" t="inlineStr">
        <is>
          <t xml:space="preserve">KANGAROO SELF STRGE </t>
        </is>
      </c>
      <c r="AE570" s="716" t="n"/>
      <c r="AF570" s="716" t="n"/>
      <c r="AG570" s="716" t="n"/>
      <c r="AH570" s="716" t="n"/>
      <c r="AI570" s="716" t="n"/>
      <c r="AJ570" s="716" t="n"/>
      <c r="AK570" s="716" t="inlineStr">
        <is>
          <t xml:space="preserve">KANGAROO SELF-STORAGE                                             </t>
        </is>
      </c>
      <c r="AL570">
        <f>IF(AND(ISNUMBER($S570),$S570&gt;0,ISNUMBER($K570),ISNUMBER($J570)),($K570*$J570)/$S570,"")</f>
        <v/>
      </c>
    </row>
    <row r="571">
      <c r="A571" s="62" t="n">
        <v>8</v>
      </c>
      <c r="B571" s="93" t="n">
        <v>563</v>
      </c>
      <c r="C571" s="68" t="inlineStr">
        <is>
          <t>2009Q</t>
        </is>
      </c>
      <c r="D571" s="59" t="inlineStr">
        <is>
          <t xml:space="preserve">01141-01-015-000 </t>
        </is>
      </c>
      <c r="E571" s="72" t="inlineStr">
        <is>
          <t>Actual</t>
        </is>
      </c>
      <c r="F571" s="73" t="inlineStr">
        <is>
          <t>11777 E 55TH                 AV</t>
        </is>
      </c>
      <c r="G571" s="708" t="n">
        <v>44.3</v>
      </c>
      <c r="H571" s="67" t="n">
        <v>9102</v>
      </c>
      <c r="I571" s="69" t="n">
        <v>0</v>
      </c>
      <c r="J571" s="714" t="n">
        <v>171880</v>
      </c>
      <c r="K571" s="715" t="n">
        <v>4.40846520828485</v>
      </c>
      <c r="L571" s="74" t="n">
        <v>0</v>
      </c>
      <c r="M571" s="76" t="n">
        <v>0.1137626084328525</v>
      </c>
      <c r="N571" s="67" t="n">
        <v>1986</v>
      </c>
      <c r="O571" s="64" t="n">
        <v>2232</v>
      </c>
      <c r="Q571" s="59" t="n">
        <v>28</v>
      </c>
      <c r="R571" s="59" t="n">
        <v>14</v>
      </c>
      <c r="S571" s="59" t="n">
        <v>1</v>
      </c>
      <c r="T571" s="63" t="inlineStr">
        <is>
          <t xml:space="preserve">I2   </t>
        </is>
      </c>
      <c r="U571" s="63" t="n">
        <v>398</v>
      </c>
      <c r="V571" s="714" t="n">
        <v>311753</v>
      </c>
      <c r="W571" s="714" t="n">
        <v>310000</v>
      </c>
      <c r="X571" s="83" t="inlineStr">
        <is>
          <t>1.8:1</t>
        </is>
      </c>
      <c r="Y571" s="714">
        <f>ROUND(J571,-4)</f>
        <v/>
      </c>
      <c r="Z571" s="63" t="inlineStr">
        <is>
          <t xml:space="preserve">C </t>
        </is>
      </c>
      <c r="AA571" s="59" t="n">
        <v>3</v>
      </c>
      <c r="AB571" s="59" t="n">
        <v>3</v>
      </c>
      <c r="AC571" s="67" t="inlineStr">
        <is>
          <t>33</t>
        </is>
      </c>
      <c r="AD571" s="61" t="inlineStr">
        <is>
          <t xml:space="preserve">S-W G.E. DIST WHSE  </t>
        </is>
      </c>
      <c r="AE571" s="716" t="n"/>
      <c r="AF571" s="716" t="n"/>
      <c r="AG571" s="716" t="n"/>
      <c r="AH571" s="716" t="n"/>
      <c r="AI571" s="716" t="n"/>
      <c r="AJ571" s="716" t="n"/>
      <c r="AK571" s="716" t="inlineStr">
        <is>
          <t xml:space="preserve">S-T WHSE - G.E.; 25 YR. LEASE DATES FROM 1986.                    </t>
        </is>
      </c>
      <c r="AL571">
        <f>IF(AND(ISNUMBER($S571),$S571&gt;0,ISNUMBER($K571),ISNUMBER($J571)),($K571*$J571)/$S571,"")</f>
        <v/>
      </c>
    </row>
    <row r="572">
      <c r="A572" s="62" t="n">
        <v>8</v>
      </c>
      <c r="B572" s="93" t="n">
        <v>564</v>
      </c>
      <c r="C572" s="68" t="inlineStr">
        <is>
          <t>2009Q</t>
        </is>
      </c>
      <c r="D572" s="59" t="inlineStr">
        <is>
          <t xml:space="preserve">01141-02-010-000 </t>
        </is>
      </c>
      <c r="E572" s="72" t="inlineStr">
        <is>
          <t>Actual</t>
        </is>
      </c>
      <c r="F572" s="73" t="inlineStr">
        <is>
          <t>11475 E 53RD                 AV</t>
        </is>
      </c>
      <c r="G572" s="708" t="n">
        <v>44.4</v>
      </c>
      <c r="H572" s="67" t="n">
        <v>9102</v>
      </c>
      <c r="I572" s="69" t="n">
        <v>0</v>
      </c>
      <c r="J572" s="714" t="n">
        <v>168112</v>
      </c>
      <c r="K572" s="715" t="n">
        <v>4.910167031502808</v>
      </c>
      <c r="L572" s="74" t="n">
        <v>0</v>
      </c>
      <c r="M572" s="76" t="n">
        <v>0.1288678527556823</v>
      </c>
      <c r="N572" s="67" t="n">
        <v>1985</v>
      </c>
      <c r="O572" s="64">
        <f>3650+1504+400+3422</f>
        <v/>
      </c>
      <c r="Q572" s="59" t="n">
        <v>20</v>
      </c>
      <c r="R572" s="59" t="n">
        <v>10</v>
      </c>
      <c r="S572" s="59" t="n">
        <v>5</v>
      </c>
      <c r="T572" s="63" t="inlineStr">
        <is>
          <t xml:space="preserve">I2   </t>
        </is>
      </c>
      <c r="U572" s="63" t="n">
        <v>398</v>
      </c>
      <c r="V572" s="714" t="n">
        <v>339340</v>
      </c>
      <c r="W572" s="714" t="n">
        <v>340000</v>
      </c>
      <c r="X572" s="83" t="inlineStr">
        <is>
          <t>2.0:1</t>
        </is>
      </c>
      <c r="Y572" s="714">
        <f>ROUND(J572,-4)</f>
        <v/>
      </c>
      <c r="Z572" s="63" t="inlineStr">
        <is>
          <t xml:space="preserve">C </t>
        </is>
      </c>
      <c r="AA572" s="59" t="n">
        <v>3</v>
      </c>
      <c r="AB572" s="59" t="n">
        <v>3</v>
      </c>
      <c r="AC572" s="67" t="inlineStr">
        <is>
          <t>33</t>
        </is>
      </c>
      <c r="AD572" s="61" t="inlineStr">
        <is>
          <t xml:space="preserve">M-W MIDWAY DIST CTR </t>
        </is>
      </c>
      <c r="AE572" s="716" t="n"/>
      <c r="AF572" s="716" t="n"/>
      <c r="AG572" s="716" t="n"/>
      <c r="AH572" s="716" t="n"/>
      <c r="AI572" s="716" t="n"/>
      <c r="AJ572" s="716" t="n"/>
      <c r="AK572" s="716" t="inlineStr">
        <is>
          <t xml:space="preserve">M-T WHSE; 6 TENANTS; LEASES 2002 - 2005.                          </t>
        </is>
      </c>
      <c r="AL572">
        <f>IF(AND(ISNUMBER($S572),$S572&gt;0,ISNUMBER($K572),ISNUMBER($J572)),($K572*$J572)/$S572,"")</f>
        <v/>
      </c>
    </row>
    <row r="573">
      <c r="A573" s="62" t="n">
        <v>8</v>
      </c>
      <c r="B573" s="93" t="n">
        <v>565</v>
      </c>
      <c r="C573" s="68" t="inlineStr">
        <is>
          <t>2009Q</t>
        </is>
      </c>
      <c r="D573" s="59" t="inlineStr">
        <is>
          <t xml:space="preserve">01141-04-043-043 </t>
        </is>
      </c>
      <c r="E573" s="72" t="inlineStr">
        <is>
          <t>Actual</t>
        </is>
      </c>
      <c r="F573" s="73" t="inlineStr">
        <is>
          <t>5475   PEORIA               ST</t>
        </is>
      </c>
      <c r="G573" s="708" t="n">
        <v>44.8</v>
      </c>
      <c r="H573" s="67" t="n">
        <v>9102</v>
      </c>
      <c r="I573" s="69" t="n">
        <v>3</v>
      </c>
      <c r="J573" s="714" t="n">
        <v>1780</v>
      </c>
      <c r="K573" s="715" t="n">
        <v>11.56179775280899</v>
      </c>
      <c r="L573" s="74" t="n">
        <v>0</v>
      </c>
      <c r="M573" s="76" t="n">
        <v>0.1253644314868805</v>
      </c>
      <c r="N573" s="67" t="n">
        <v>1985</v>
      </c>
      <c r="O573" s="64" t="n">
        <v>502</v>
      </c>
      <c r="Q573" s="59" t="n">
        <v>17</v>
      </c>
      <c r="R573" s="59" t="n">
        <v>10</v>
      </c>
      <c r="S573" s="59" t="n">
        <v>1</v>
      </c>
      <c r="T573" s="63" t="inlineStr">
        <is>
          <t xml:space="preserve">I0   </t>
        </is>
      </c>
      <c r="U573" s="63" t="n">
        <v>398</v>
      </c>
      <c r="V573" s="714" t="n">
        <v>5810</v>
      </c>
      <c r="W573" s="714" t="n">
        <v>6000</v>
      </c>
      <c r="X573" s="83" t="inlineStr">
        <is>
          <t>3.3:1</t>
        </is>
      </c>
      <c r="Y573" s="714">
        <f>ROUND(J573,-2)</f>
        <v/>
      </c>
      <c r="Z573" s="63" t="inlineStr">
        <is>
          <t xml:space="preserve">C </t>
        </is>
      </c>
      <c r="AA573" s="59" t="n">
        <v>3</v>
      </c>
      <c r="AB573" s="59" t="n">
        <v>3</v>
      </c>
      <c r="AC573" s="67" t="inlineStr">
        <is>
          <t>33</t>
        </is>
      </c>
      <c r="AD573" s="61" t="inlineStr">
        <is>
          <t xml:space="preserve">PEORIA PLAZA #3-107 </t>
        </is>
      </c>
      <c r="AE573" s="716" t="n"/>
      <c r="AF573" s="716" t="n"/>
      <c r="AG573" s="716" t="n"/>
      <c r="AH573" s="716" t="n"/>
      <c r="AI573" s="716" t="n"/>
      <c r="AJ573" s="716" t="n"/>
      <c r="AK573" s="716" t="inlineStr">
        <is>
          <t xml:space="preserve">S-T WHSE.                                                         </t>
        </is>
      </c>
      <c r="AL573">
        <f>IF(AND(ISNUMBER($S573),$S573&gt;0,ISNUMBER($K573),ISNUMBER($J573)),($K573*$J573)/$S573,"")</f>
        <v/>
      </c>
    </row>
    <row r="574">
      <c r="A574" s="62" t="n">
        <v>8</v>
      </c>
      <c r="B574" s="93" t="n">
        <v>566</v>
      </c>
      <c r="C574" s="68" t="inlineStr">
        <is>
          <t>2009Q</t>
        </is>
      </c>
      <c r="D574" s="59" t="inlineStr">
        <is>
          <t xml:space="preserve">01141-04-058-058 </t>
        </is>
      </c>
      <c r="E574" s="72" t="inlineStr">
        <is>
          <t>Actual</t>
        </is>
      </c>
      <c r="F574" s="73" t="inlineStr">
        <is>
          <t>5475   PEORIA               ST</t>
        </is>
      </c>
      <c r="G574" s="708" t="n">
        <v>44.8</v>
      </c>
      <c r="H574" s="67" t="n">
        <v>9102</v>
      </c>
      <c r="I574" s="69" t="n">
        <v>3</v>
      </c>
      <c r="J574" s="714" t="n">
        <v>1490</v>
      </c>
      <c r="K574" s="715" t="n">
        <v>9.664429530201343</v>
      </c>
      <c r="L574" s="74" t="n">
        <v>0</v>
      </c>
      <c r="M574" s="76" t="n">
        <v>0.1736111111111111</v>
      </c>
      <c r="N574" s="67" t="n">
        <v>1985</v>
      </c>
      <c r="O574" s="64" t="n">
        <v>678</v>
      </c>
      <c r="Q574" s="59" t="n">
        <v>17</v>
      </c>
      <c r="R574" s="59" t="n">
        <v>10</v>
      </c>
      <c r="S574" s="59" t="n">
        <v>1</v>
      </c>
      <c r="T574" s="63" t="inlineStr">
        <is>
          <t xml:space="preserve">I0   </t>
        </is>
      </c>
      <c r="U574" s="63" t="n">
        <v>398</v>
      </c>
      <c r="V574" s="714" t="n">
        <v>5810</v>
      </c>
      <c r="W574" s="714" t="n">
        <v>6000</v>
      </c>
      <c r="X574" s="83" t="inlineStr">
        <is>
          <t>3.9:1</t>
        </is>
      </c>
      <c r="Y574" s="714">
        <f>ROUND(J574,-2)</f>
        <v/>
      </c>
      <c r="Z574" s="63" t="inlineStr">
        <is>
          <t xml:space="preserve">C </t>
        </is>
      </c>
      <c r="AA574" s="59" t="n">
        <v>3</v>
      </c>
      <c r="AB574" s="59" t="n">
        <v>3</v>
      </c>
      <c r="AC574" s="67" t="inlineStr">
        <is>
          <t>33</t>
        </is>
      </c>
      <c r="AD574" s="61" t="inlineStr">
        <is>
          <t xml:space="preserve">PEORIA PLAZA #4-112 </t>
        </is>
      </c>
      <c r="AE574" s="716" t="n"/>
      <c r="AF574" s="716" t="n"/>
      <c r="AG574" s="716" t="n"/>
      <c r="AH574" s="716" t="n"/>
      <c r="AI574" s="716" t="n"/>
      <c r="AJ574" s="716" t="n"/>
      <c r="AK574" s="716" t="inlineStr">
        <is>
          <t xml:space="preserve">S-T WHSE.                                                         </t>
        </is>
      </c>
      <c r="AL574">
        <f>IF(AND(ISNUMBER($S574),$S574&gt;0,ISNUMBER($K574),ISNUMBER($J574)),($K574*$J574)/$S574,"")</f>
        <v/>
      </c>
    </row>
    <row r="575">
      <c r="A575" s="62" t="n">
        <v>8</v>
      </c>
      <c r="B575" s="93" t="n">
        <v>567</v>
      </c>
      <c r="C575" s="68" t="inlineStr">
        <is>
          <t>2009Q</t>
        </is>
      </c>
      <c r="D575" s="59" t="inlineStr">
        <is>
          <t xml:space="preserve">01142-00-014-000 </t>
        </is>
      </c>
      <c r="E575" s="72" t="inlineStr">
        <is>
          <t>Actual</t>
        </is>
      </c>
      <c r="F575" s="73" t="inlineStr">
        <is>
          <t>5150   HAVANA               ST</t>
        </is>
      </c>
      <c r="G575" s="708" t="n">
        <v>44.4</v>
      </c>
      <c r="H575" s="67" t="n">
        <v>9102</v>
      </c>
      <c r="I575" s="69" t="n">
        <v>0</v>
      </c>
      <c r="J575" s="714" t="n">
        <v>151792</v>
      </c>
      <c r="K575" s="715" t="n">
        <v>6.039270844313271</v>
      </c>
      <c r="L575" s="74" t="n">
        <v>0.09816064087698956</v>
      </c>
      <c r="M575" s="76" t="n">
        <v>0.2714895501645553</v>
      </c>
      <c r="N575" s="67" t="n">
        <v>1997</v>
      </c>
      <c r="O575" s="64" t="n">
        <v>15827</v>
      </c>
      <c r="Q575" s="59" t="n">
        <v>26</v>
      </c>
      <c r="R575" s="59" t="n">
        <v>14</v>
      </c>
      <c r="S575" s="59" t="n">
        <v>5</v>
      </c>
      <c r="T575" s="63" t="inlineStr">
        <is>
          <t xml:space="preserve">I1   </t>
        </is>
      </c>
      <c r="U575" s="63" t="n">
        <v>398</v>
      </c>
      <c r="V575" s="714" t="n">
        <v>358383</v>
      </c>
      <c r="W575" s="714" t="n">
        <v>360000</v>
      </c>
      <c r="X575" s="83" t="inlineStr">
        <is>
          <t>2.4:1</t>
        </is>
      </c>
      <c r="Y575" s="714">
        <f>ROUND(J575,-4)</f>
        <v/>
      </c>
      <c r="Z575" s="63" t="inlineStr">
        <is>
          <t xml:space="preserve">C </t>
        </is>
      </c>
      <c r="AA575" s="59" t="n">
        <v>3</v>
      </c>
      <c r="AB575" s="59" t="n">
        <v>3</v>
      </c>
      <c r="AC575" s="67" t="inlineStr">
        <is>
          <t>33</t>
        </is>
      </c>
      <c r="AD575" s="61" t="inlineStr">
        <is>
          <t>MTN VIEW BUS. CENTER</t>
        </is>
      </c>
      <c r="AE575" s="716" t="n"/>
      <c r="AF575" s="716" t="n"/>
      <c r="AG575" s="716" t="n"/>
      <c r="AH575" s="716" t="n"/>
      <c r="AI575" s="716" t="n"/>
      <c r="AJ575" s="716" t="n"/>
      <c r="AK575" s="716" t="inlineStr"/>
      <c r="AL575">
        <f>IF(AND(ISNUMBER($S575),$S575&gt;0,ISNUMBER($K575),ISNUMBER($J575)),($K575*$J575)/$S575,"")</f>
        <v/>
      </c>
    </row>
    <row r="576">
      <c r="A576" s="62" t="n">
        <v>8</v>
      </c>
      <c r="B576" s="93" t="n">
        <v>568</v>
      </c>
      <c r="C576" s="68" t="inlineStr">
        <is>
          <t>2009Q</t>
        </is>
      </c>
      <c r="D576" s="59" t="inlineStr">
        <is>
          <t xml:space="preserve">01142-01-027-000 </t>
        </is>
      </c>
      <c r="E576" s="72" t="inlineStr">
        <is>
          <t>Actual</t>
        </is>
      </c>
      <c r="F576" s="73" t="inlineStr">
        <is>
          <t>5555   JOLIET               ST</t>
        </is>
      </c>
      <c r="G576" s="708" t="n">
        <v>44.2</v>
      </c>
      <c r="H576" s="67" t="n">
        <v>9102</v>
      </c>
      <c r="I576" s="69" t="n">
        <v>0</v>
      </c>
      <c r="J576" s="714" t="n">
        <v>96836</v>
      </c>
      <c r="K576" s="715" t="n">
        <v>3.970248667850799</v>
      </c>
      <c r="L576" s="74" t="n">
        <v>0</v>
      </c>
      <c r="M576" s="76" t="n">
        <v>0</v>
      </c>
      <c r="N576" s="67" t="n">
        <v>1996</v>
      </c>
      <c r="O576" s="64" t="n">
        <v>9601</v>
      </c>
      <c r="Q576" s="59" t="n">
        <v>26</v>
      </c>
      <c r="R576" s="59" t="n">
        <v>14</v>
      </c>
      <c r="S576" s="59" t="n">
        <v>1</v>
      </c>
      <c r="T576" s="63" t="inlineStr">
        <is>
          <t xml:space="preserve">I2   </t>
        </is>
      </c>
      <c r="U576" s="63" t="n">
        <v>398</v>
      </c>
      <c r="V576" s="714" t="n">
        <v>314024</v>
      </c>
      <c r="W576" s="714" t="n">
        <v>310000</v>
      </c>
      <c r="X576" s="83" t="inlineStr">
        <is>
          <t>3.2:1</t>
        </is>
      </c>
      <c r="Y576" s="714">
        <f>ROUND(J576,-4)</f>
        <v/>
      </c>
      <c r="Z576" s="63" t="inlineStr">
        <is>
          <t xml:space="preserve">C </t>
        </is>
      </c>
      <c r="AA576" s="59" t="n">
        <v>3</v>
      </c>
      <c r="AB576" s="59" t="n">
        <v>3</v>
      </c>
      <c r="AC576" s="67" t="inlineStr">
        <is>
          <t>33</t>
        </is>
      </c>
      <c r="AD576" s="61" t="inlineStr">
        <is>
          <t xml:space="preserve">ADAM WHOLESALERS    </t>
        </is>
      </c>
      <c r="AE576" s="716" t="n"/>
      <c r="AF576" s="716" t="n"/>
      <c r="AG576" s="716" t="n"/>
      <c r="AH576" s="716" t="n"/>
      <c r="AI576" s="716" t="n"/>
      <c r="AJ576" s="716" t="n"/>
      <c r="AK576" s="716" t="inlineStr">
        <is>
          <t xml:space="preserve">S-T WHSE.                                                         </t>
        </is>
      </c>
      <c r="AL576">
        <f>IF(AND(ISNUMBER($S576),$S576&gt;0,ISNUMBER($K576),ISNUMBER($J576)),($K576*$J576)/$S576,"")</f>
        <v/>
      </c>
    </row>
    <row r="577">
      <c r="A577" s="62" t="n">
        <v>8</v>
      </c>
      <c r="B577" s="93" t="n">
        <v>569</v>
      </c>
      <c r="C577" s="68" t="inlineStr">
        <is>
          <t>2009Q</t>
        </is>
      </c>
      <c r="D577" s="59" t="inlineStr">
        <is>
          <t xml:space="preserve">01142-02-007-000 </t>
        </is>
      </c>
      <c r="E577" s="72" t="inlineStr">
        <is>
          <t>Actual</t>
        </is>
      </c>
      <c r="F577" s="73" t="inlineStr">
        <is>
          <t>5353   JOLIET               ST</t>
        </is>
      </c>
      <c r="G577" s="708" t="n">
        <v>44.2</v>
      </c>
      <c r="H577" s="67" t="n">
        <v>9102</v>
      </c>
      <c r="I577" s="69" t="n">
        <v>0</v>
      </c>
      <c r="J577" s="714" t="n">
        <v>22144</v>
      </c>
      <c r="K577" s="715" t="n">
        <v>7.586705202312139</v>
      </c>
      <c r="L577" s="74" t="n">
        <v>0</v>
      </c>
      <c r="M577" s="76" t="n">
        <v>0</v>
      </c>
      <c r="N577" s="67" t="n">
        <v>1980</v>
      </c>
      <c r="O577" s="64" t="n">
        <v>4080</v>
      </c>
      <c r="Q577" s="59" t="n">
        <v>21</v>
      </c>
      <c r="R577" s="59" t="n">
        <v>3</v>
      </c>
      <c r="S577" s="59" t="n">
        <v>1</v>
      </c>
      <c r="T577" s="63" t="inlineStr">
        <is>
          <t xml:space="preserve">I2   </t>
        </is>
      </c>
      <c r="U577" s="63" t="n">
        <v>398</v>
      </c>
      <c r="V577" s="714" t="n">
        <v>61688</v>
      </c>
      <c r="W577" s="714" t="n">
        <v>60000</v>
      </c>
      <c r="X577" s="83" t="inlineStr">
        <is>
          <t>2.8:1</t>
        </is>
      </c>
      <c r="Y577" s="714">
        <f>ROUND(J577,-3)</f>
        <v/>
      </c>
      <c r="Z577" s="63" t="inlineStr">
        <is>
          <t xml:space="preserve">C </t>
        </is>
      </c>
      <c r="AA577" s="59" t="n">
        <v>3</v>
      </c>
      <c r="AB577" s="59" t="n">
        <v>3</v>
      </c>
      <c r="AC577" s="67" t="inlineStr">
        <is>
          <t>33</t>
        </is>
      </c>
      <c r="AD577" s="61" t="inlineStr"/>
      <c r="AE577" s="716" t="n"/>
      <c r="AF577" s="716" t="n"/>
      <c r="AG577" s="716" t="n"/>
      <c r="AH577" s="716" t="n"/>
      <c r="AI577" s="716" t="n"/>
      <c r="AJ577" s="716" t="n"/>
      <c r="AK577" s="716" t="inlineStr">
        <is>
          <t xml:space="preserve">S-T WHSE.                                                         </t>
        </is>
      </c>
      <c r="AL577">
        <f>IF(AND(ISNUMBER($S577),$S577&gt;0,ISNUMBER($K577),ISNUMBER($J577)),($K577*$J577)/$S577,"")</f>
        <v/>
      </c>
    </row>
    <row r="578">
      <c r="A578" s="62" t="n">
        <v>8</v>
      </c>
      <c r="B578" s="93" t="n">
        <v>570</v>
      </c>
      <c r="C578" s="68" t="inlineStr">
        <is>
          <t>2009W</t>
        </is>
      </c>
      <c r="D578" s="59" t="inlineStr">
        <is>
          <t>01142-03-002-000</t>
        </is>
      </c>
      <c r="E578" s="72" t="inlineStr">
        <is>
          <t>Actual</t>
        </is>
      </c>
      <c r="F578" s="73" t="inlineStr">
        <is>
          <t>11175 E 55th Ave</t>
        </is>
      </c>
      <c r="G578" s="708" t="n">
        <v>44.2</v>
      </c>
      <c r="H578" s="67" t="n">
        <v>9102</v>
      </c>
      <c r="I578" s="69" t="n">
        <v>0</v>
      </c>
      <c r="J578" s="714" t="n">
        <v>236800</v>
      </c>
      <c r="K578" s="715">
        <f>870223/J578</f>
        <v/>
      </c>
      <c r="L578" s="74" t="n">
        <v>0.35</v>
      </c>
      <c r="M578" s="76">
        <f>(870223-843917)/870223</f>
        <v/>
      </c>
      <c r="N578" s="67" t="n">
        <v>1996</v>
      </c>
      <c r="O578" s="64" t="n">
        <v>10121</v>
      </c>
      <c r="Q578" s="59" t="n">
        <v>32</v>
      </c>
      <c r="R578" s="59" t="n">
        <v>14</v>
      </c>
      <c r="S578" s="59" t="n">
        <v>5</v>
      </c>
      <c r="T578" s="63" t="inlineStr">
        <is>
          <t>I2</t>
        </is>
      </c>
      <c r="U578" s="63" t="n">
        <v>398</v>
      </c>
      <c r="V578" s="714" t="n">
        <v>492234</v>
      </c>
      <c r="W578" s="714" t="n">
        <v>500000</v>
      </c>
      <c r="X578" s="83">
        <f>5/2</f>
        <v/>
      </c>
      <c r="Y578" s="714" t="n">
        <v>200000</v>
      </c>
      <c r="Z578" s="63" t="inlineStr">
        <is>
          <t>B</t>
        </is>
      </c>
      <c r="AA578" s="59" t="n">
        <v>3</v>
      </c>
      <c r="AB578" s="59" t="n">
        <v>3</v>
      </c>
      <c r="AC578" s="67" t="n">
        <v>33</v>
      </c>
      <c r="AD578" s="61" t="inlineStr">
        <is>
          <t>Denver Buss Ctr #5</t>
        </is>
      </c>
      <c r="AE578" s="716" t="n">
        <v>3.67</v>
      </c>
      <c r="AF578" s="716" t="n"/>
      <c r="AG578" s="716">
        <f>843917/236800</f>
        <v/>
      </c>
      <c r="AH578" s="716">
        <f>AE578-AG578</f>
        <v/>
      </c>
      <c r="AI578" s="716" t="n"/>
      <c r="AJ578" s="716" t="n"/>
      <c r="AK578" s="716" t="inlineStr">
        <is>
          <t xml:space="preserve">ProLogis multi-tenant excess vacancy </t>
        </is>
      </c>
      <c r="AL578">
        <f>IF(AND(ISNUMBER($S578),$S578&gt;0,ISNUMBER($K578),ISNUMBER($J578)),($K578*$J578)/$S578,"")</f>
        <v/>
      </c>
    </row>
    <row r="579">
      <c r="A579" s="62" t="n">
        <v>8</v>
      </c>
      <c r="B579" s="93" t="n">
        <v>571</v>
      </c>
      <c r="C579" s="68" t="inlineStr">
        <is>
          <t>2009Q</t>
        </is>
      </c>
      <c r="D579" s="59" t="inlineStr">
        <is>
          <t xml:space="preserve">01142-03-011-000 </t>
        </is>
      </c>
      <c r="E579" s="72" t="inlineStr">
        <is>
          <t>Actual</t>
        </is>
      </c>
      <c r="F579" s="73" t="inlineStr">
        <is>
          <t>5550   JOLIET               ST</t>
        </is>
      </c>
      <c r="G579" s="708" t="n">
        <v>44.2</v>
      </c>
      <c r="H579" s="67" t="n">
        <v>9102</v>
      </c>
      <c r="I579" s="69" t="n">
        <v>0</v>
      </c>
      <c r="J579" s="714" t="n">
        <v>19715</v>
      </c>
      <c r="K579" s="715" t="n">
        <v>5.965001268069997</v>
      </c>
      <c r="L579" s="74" t="n">
        <v>0</v>
      </c>
      <c r="M579" s="76" t="n">
        <v>0</v>
      </c>
      <c r="N579" s="67" t="n">
        <v>1985</v>
      </c>
      <c r="O579" s="64">
        <f>2371+1772</f>
        <v/>
      </c>
      <c r="Q579" s="59" t="n">
        <v>26</v>
      </c>
      <c r="R579" s="59" t="n">
        <v>3</v>
      </c>
      <c r="S579" s="59" t="n">
        <v>1</v>
      </c>
      <c r="T579" s="63" t="inlineStr">
        <is>
          <t xml:space="preserve">I2   </t>
        </is>
      </c>
      <c r="U579" s="63" t="n">
        <v>398</v>
      </c>
      <c r="V579" s="714" t="n">
        <v>46294</v>
      </c>
      <c r="W579" s="714" t="n">
        <v>46000</v>
      </c>
      <c r="X579" s="83" t="inlineStr">
        <is>
          <t>2.3:1</t>
        </is>
      </c>
      <c r="Y579" s="714">
        <f>ROUND(J579,-3)</f>
        <v/>
      </c>
      <c r="Z579" s="63" t="inlineStr">
        <is>
          <t xml:space="preserve">C </t>
        </is>
      </c>
      <c r="AA579" s="59" t="n">
        <v>3</v>
      </c>
      <c r="AB579" s="59" t="n">
        <v>3</v>
      </c>
      <c r="AC579" s="67" t="inlineStr">
        <is>
          <t>33</t>
        </is>
      </c>
      <c r="AD579" s="61" t="inlineStr"/>
      <c r="AE579" s="716" t="n"/>
      <c r="AF579" s="716" t="n"/>
      <c r="AG579" s="716" t="n"/>
      <c r="AH579" s="716" t="n"/>
      <c r="AI579" s="716" t="n"/>
      <c r="AJ579" s="716" t="n"/>
      <c r="AK579" s="716" t="inlineStr">
        <is>
          <t xml:space="preserve">S-T WHSE.                                                         </t>
        </is>
      </c>
      <c r="AL579">
        <f>IF(AND(ISNUMBER($S579),$S579&gt;0,ISNUMBER($K579),ISNUMBER($J579)),($K579*$J579)/$S579,"")</f>
        <v/>
      </c>
    </row>
    <row r="580">
      <c r="A580" s="62" t="n">
        <v>8</v>
      </c>
      <c r="B580" s="93" t="n">
        <v>572</v>
      </c>
      <c r="C580" s="68" t="inlineStr">
        <is>
          <t>2009Q</t>
        </is>
      </c>
      <c r="D580" s="59" t="inlineStr">
        <is>
          <t xml:space="preserve">01142-03-014-000 </t>
        </is>
      </c>
      <c r="E580" s="72" t="inlineStr">
        <is>
          <t>Actual</t>
        </is>
      </c>
      <c r="F580" s="73" t="inlineStr">
        <is>
          <t>10975 E 55TH                 AV</t>
        </is>
      </c>
      <c r="G580" s="708" t="n">
        <v>44.2</v>
      </c>
      <c r="H580" s="67" t="n">
        <v>9102</v>
      </c>
      <c r="I580" s="69" t="n">
        <v>0</v>
      </c>
      <c r="J580" s="714" t="n">
        <v>18782</v>
      </c>
      <c r="K580" s="715" t="n">
        <v>4.511606857629645</v>
      </c>
      <c r="L580" s="74" t="n">
        <v>0</v>
      </c>
      <c r="M580" s="76" t="n">
        <v>0</v>
      </c>
      <c r="N580" s="67" t="n">
        <v>1999</v>
      </c>
      <c r="O580" s="64">
        <f>4482+1185</f>
        <v/>
      </c>
      <c r="Q580" s="59" t="n">
        <v>25</v>
      </c>
      <c r="R580" s="59" t="n">
        <v>14</v>
      </c>
      <c r="S580" s="59" t="n">
        <v>5</v>
      </c>
      <c r="T580" s="63" t="inlineStr">
        <is>
          <t xml:space="preserve">I2   </t>
        </is>
      </c>
      <c r="U580" s="63" t="n">
        <v>398</v>
      </c>
      <c r="V580" s="714" t="n">
        <v>87567</v>
      </c>
      <c r="W580" s="714" t="n">
        <v>90000</v>
      </c>
      <c r="X580" s="83" t="inlineStr">
        <is>
          <t>2.4:1</t>
        </is>
      </c>
      <c r="Y580" s="714">
        <f>ROUND(J580,-3)</f>
        <v/>
      </c>
      <c r="Z580" s="63" t="inlineStr">
        <is>
          <t xml:space="preserve">C </t>
        </is>
      </c>
      <c r="AA580" s="59" t="n">
        <v>3</v>
      </c>
      <c r="AB580" s="59" t="n">
        <v>3</v>
      </c>
      <c r="AC580" s="67" t="inlineStr">
        <is>
          <t>33</t>
        </is>
      </c>
      <c r="AD580" s="61" t="inlineStr">
        <is>
          <t xml:space="preserve">M-W                 </t>
        </is>
      </c>
      <c r="AE580" s="716" t="n"/>
      <c r="AF580" s="716" t="n"/>
      <c r="AG580" s="716" t="n"/>
      <c r="AH580" s="716" t="n"/>
      <c r="AI580" s="716" t="n"/>
      <c r="AJ580" s="716" t="n"/>
      <c r="AK580" s="716" t="inlineStr">
        <is>
          <t xml:space="preserve">M-T WHSE.                                                         </t>
        </is>
      </c>
      <c r="AL580">
        <f>IF(AND(ISNUMBER($S580),$S580&gt;0,ISNUMBER($K580),ISNUMBER($J580)),($K580*$J580)/$S580,"")</f>
        <v/>
      </c>
    </row>
    <row r="581">
      <c r="A581" s="62" t="n">
        <v>8</v>
      </c>
      <c r="B581" s="93" t="n">
        <v>573</v>
      </c>
      <c r="C581" s="68" t="inlineStr">
        <is>
          <t>2009Q</t>
        </is>
      </c>
      <c r="D581" s="59" t="inlineStr">
        <is>
          <t xml:space="preserve">01142-05-004-000 </t>
        </is>
      </c>
      <c r="E581" s="72" t="inlineStr">
        <is>
          <t>Actual</t>
        </is>
      </c>
      <c r="F581" s="73" t="inlineStr">
        <is>
          <t>5280   JOLIET               ST</t>
        </is>
      </c>
      <c r="G581" s="708" t="n">
        <v>44.2</v>
      </c>
      <c r="H581" s="67" t="n">
        <v>9102</v>
      </c>
      <c r="I581" s="69" t="n">
        <v>0</v>
      </c>
      <c r="J581" s="714" t="n">
        <v>83072</v>
      </c>
      <c r="K581" s="715" t="n">
        <v>3.916012615562404</v>
      </c>
      <c r="L581" s="74" t="n">
        <v>0</v>
      </c>
      <c r="M581" s="76" t="n">
        <v>0.03321129626726425</v>
      </c>
      <c r="N581" s="67" t="n">
        <v>1984</v>
      </c>
      <c r="O581" s="64">
        <f>499+1123+9724</f>
        <v/>
      </c>
      <c r="P581" s="64">
        <f>2092+14006</f>
        <v/>
      </c>
      <c r="Q581" s="59" t="n">
        <v>25</v>
      </c>
      <c r="R581" s="59" t="n">
        <v>10</v>
      </c>
      <c r="S581" s="59" t="n">
        <v>1</v>
      </c>
      <c r="T581" s="63" t="inlineStr">
        <is>
          <t xml:space="preserve">I2   </t>
        </is>
      </c>
      <c r="U581" s="63" t="n">
        <v>398</v>
      </c>
      <c r="V581" s="714" t="n">
        <v>174895</v>
      </c>
      <c r="W581" s="714" t="n">
        <v>170000</v>
      </c>
      <c r="X581" s="83" t="inlineStr">
        <is>
          <t>2.1:1</t>
        </is>
      </c>
      <c r="Y581" s="714">
        <f>ROUND(J581,-4)</f>
        <v/>
      </c>
      <c r="Z581" s="63" t="inlineStr">
        <is>
          <t xml:space="preserve">C </t>
        </is>
      </c>
      <c r="AA581" s="59" t="n">
        <v>3</v>
      </c>
      <c r="AB581" s="59" t="n">
        <v>3</v>
      </c>
      <c r="AC581" s="67" t="inlineStr">
        <is>
          <t>33</t>
        </is>
      </c>
      <c r="AD581" s="61" t="inlineStr">
        <is>
          <t xml:space="preserve">DIST/WHSE OFC DEPOT </t>
        </is>
      </c>
      <c r="AE581" s="716" t="n"/>
      <c r="AF581" s="716" t="n"/>
      <c r="AG581" s="716" t="n"/>
      <c r="AH581" s="716" t="n"/>
      <c r="AI581" s="716" t="n"/>
      <c r="AJ581" s="716" t="n"/>
      <c r="AK581" s="716" t="inlineStr">
        <is>
          <t xml:space="preserve">S-T WHS; OFFICE DEPOT; 2003 LEASE.                                </t>
        </is>
      </c>
      <c r="AL581">
        <f>IF(AND(ISNUMBER($S581),$S581&gt;0,ISNUMBER($K581),ISNUMBER($J581)),($K581*$J581)/$S581,"")</f>
        <v/>
      </c>
    </row>
    <row r="582">
      <c r="A582" s="62" t="n">
        <v>8</v>
      </c>
      <c r="B582" s="93" t="n">
        <v>574</v>
      </c>
      <c r="C582" s="68" t="inlineStr">
        <is>
          <t>2009Q</t>
        </is>
      </c>
      <c r="D582" s="59" t="inlineStr">
        <is>
          <t xml:space="preserve">01142-05-006-000 </t>
        </is>
      </c>
      <c r="E582" s="72" t="inlineStr">
        <is>
          <t>Actual</t>
        </is>
      </c>
      <c r="F582" s="73" t="inlineStr">
        <is>
          <t>11000 E 53RD                 AV</t>
        </is>
      </c>
      <c r="G582" s="708" t="n">
        <v>44.2</v>
      </c>
      <c r="H582" s="67" t="n">
        <v>9102</v>
      </c>
      <c r="I582" s="69" t="n">
        <v>0</v>
      </c>
      <c r="J582" s="714" t="n">
        <v>24319</v>
      </c>
      <c r="K582" s="715" t="n">
        <v>6.90817879024631</v>
      </c>
      <c r="L582" s="74" t="n">
        <v>0</v>
      </c>
      <c r="M582" s="76" t="n">
        <v>0</v>
      </c>
      <c r="N582" s="67" t="n">
        <v>1983</v>
      </c>
      <c r="O582" s="64" t="n">
        <v>462</v>
      </c>
      <c r="P582" s="64" t="n">
        <v>3519</v>
      </c>
      <c r="Q582" s="59" t="n">
        <v>23</v>
      </c>
      <c r="R582" s="59" t="n">
        <v>7</v>
      </c>
      <c r="S582" s="59" t="n">
        <v>1</v>
      </c>
      <c r="T582" s="63" t="inlineStr">
        <is>
          <t xml:space="preserve">I2   </t>
        </is>
      </c>
      <c r="U582" s="63" t="n">
        <v>398</v>
      </c>
      <c r="V582" s="714" t="n">
        <v>100126</v>
      </c>
      <c r="W582" s="714" t="n">
        <v>100000</v>
      </c>
      <c r="X582" s="83" t="inlineStr">
        <is>
          <t>4.1:1</t>
        </is>
      </c>
      <c r="Y582" s="714">
        <f>ROUND(J582,-3)</f>
        <v/>
      </c>
      <c r="Z582" s="63" t="inlineStr">
        <is>
          <t xml:space="preserve">C </t>
        </is>
      </c>
      <c r="AA582" s="59" t="n">
        <v>3</v>
      </c>
      <c r="AB582" s="59" t="n">
        <v>3</v>
      </c>
      <c r="AC582" s="67" t="inlineStr">
        <is>
          <t>33</t>
        </is>
      </c>
      <c r="AD582" s="61" t="inlineStr">
        <is>
          <t xml:space="preserve">KEY PRODUCTS        </t>
        </is>
      </c>
      <c r="AE582" s="716" t="n"/>
      <c r="AF582" s="716" t="n"/>
      <c r="AG582" s="716" t="n"/>
      <c r="AH582" s="716" t="n"/>
      <c r="AI582" s="716" t="n"/>
      <c r="AJ582" s="716" t="n"/>
      <c r="AK582" s="716" t="inlineStr">
        <is>
          <t xml:space="preserve">S-T WHSE.                                                         </t>
        </is>
      </c>
      <c r="AL582">
        <f>IF(AND(ISNUMBER($S582),$S582&gt;0,ISNUMBER($K582),ISNUMBER($J582)),($K582*$J582)/$S582,"")</f>
        <v/>
      </c>
    </row>
    <row r="583">
      <c r="A583" s="62" t="n">
        <v>8</v>
      </c>
      <c r="B583" s="93" t="n">
        <v>575</v>
      </c>
      <c r="C583" s="68" t="inlineStr">
        <is>
          <t>2009Q</t>
        </is>
      </c>
      <c r="D583" s="59" t="inlineStr">
        <is>
          <t xml:space="preserve">01143-01-010-000 </t>
        </is>
      </c>
      <c r="E583" s="72" t="inlineStr">
        <is>
          <t>Actual</t>
        </is>
      </c>
      <c r="F583" s="73" t="inlineStr">
        <is>
          <t>10705 E 51ST                 AV</t>
        </is>
      </c>
      <c r="G583" s="708" t="n">
        <v>44.2</v>
      </c>
      <c r="H583" s="67" t="n">
        <v>9102</v>
      </c>
      <c r="I583" s="69" t="n">
        <v>0</v>
      </c>
      <c r="J583" s="714" t="n">
        <v>48000</v>
      </c>
      <c r="K583" s="715" t="n">
        <v>4.849645833333334</v>
      </c>
      <c r="L583" s="74" t="n">
        <v>0.5</v>
      </c>
      <c r="M583" s="76" t="n">
        <v>0.05308806914594279</v>
      </c>
      <c r="N583" s="67" t="n">
        <v>1973</v>
      </c>
      <c r="O583" s="64" t="n">
        <v>5467</v>
      </c>
      <c r="Q583" s="59" t="n">
        <v>26</v>
      </c>
      <c r="R583" s="59" t="n">
        <v>10</v>
      </c>
      <c r="S583" s="59" t="n">
        <v>3</v>
      </c>
      <c r="T583" s="63" t="inlineStr">
        <is>
          <t xml:space="preserve">I2   </t>
        </is>
      </c>
      <c r="U583" s="63" t="n">
        <v>398</v>
      </c>
      <c r="V583" s="714" t="n">
        <v>104089</v>
      </c>
      <c r="W583" s="714" t="n">
        <v>100000</v>
      </c>
      <c r="X583" s="83" t="inlineStr">
        <is>
          <t>2.2:1</t>
        </is>
      </c>
      <c r="Y583" s="714">
        <f>ROUND(J583,-3)</f>
        <v/>
      </c>
      <c r="Z583" s="63" t="inlineStr">
        <is>
          <t xml:space="preserve">C </t>
        </is>
      </c>
      <c r="AA583" s="59" t="n">
        <v>3</v>
      </c>
      <c r="AB583" s="59" t="n">
        <v>3</v>
      </c>
      <c r="AC583" s="67" t="inlineStr">
        <is>
          <t>33</t>
        </is>
      </c>
      <c r="AD583" s="61" t="inlineStr">
        <is>
          <t>M-W DIST &amp; WHOLESALE</t>
        </is>
      </c>
      <c r="AE583" s="716" t="n"/>
      <c r="AF583" s="716" t="n"/>
      <c r="AG583" s="716" t="n"/>
      <c r="AH583" s="716" t="n"/>
      <c r="AI583" s="716" t="n"/>
      <c r="AJ583" s="716" t="n"/>
      <c r="AK583" s="716" t="inlineStr">
        <is>
          <t xml:space="preserve">M-T WHSE.                                                         </t>
        </is>
      </c>
      <c r="AL583">
        <f>IF(AND(ISNUMBER($S583),$S583&gt;0,ISNUMBER($K583),ISNUMBER($J583)),($K583*$J583)/$S583,"")</f>
        <v/>
      </c>
    </row>
    <row r="584">
      <c r="A584" s="62" t="n">
        <v>8</v>
      </c>
      <c r="B584" s="93" t="n">
        <v>576</v>
      </c>
      <c r="C584" s="68" t="inlineStr">
        <is>
          <t>2009Q</t>
        </is>
      </c>
      <c r="D584" s="59" t="inlineStr">
        <is>
          <t xml:space="preserve">01143-03-024-000 </t>
        </is>
      </c>
      <c r="E584" s="72" t="inlineStr">
        <is>
          <t>Actual</t>
        </is>
      </c>
      <c r="F584" s="73" t="inlineStr">
        <is>
          <t>4890   IRONTON              ST</t>
        </is>
      </c>
      <c r="G584" s="708" t="n">
        <v>44.2</v>
      </c>
      <c r="H584" s="67" t="n">
        <v>9102</v>
      </c>
      <c r="I584" s="69" t="n">
        <v>0</v>
      </c>
      <c r="J584" s="714" t="n">
        <v>57300</v>
      </c>
      <c r="K584" s="715" t="n">
        <v>6.589703315881327</v>
      </c>
      <c r="L584" s="74" t="n">
        <v>0</v>
      </c>
      <c r="M584" s="76" t="n">
        <v>0.1988611986546254</v>
      </c>
      <c r="N584" s="67" t="n">
        <v>1973</v>
      </c>
      <c r="O584" s="64" t="n">
        <v>14305</v>
      </c>
      <c r="Q584" s="59" t="n">
        <v>14</v>
      </c>
      <c r="R584" s="59" t="n">
        <v>10</v>
      </c>
      <c r="S584" s="59" t="n">
        <v>7</v>
      </c>
      <c r="T584" s="63" t="inlineStr">
        <is>
          <t xml:space="preserve">I2   </t>
        </is>
      </c>
      <c r="U584" s="63" t="n">
        <v>397</v>
      </c>
      <c r="V584" s="714" t="n">
        <v>169147</v>
      </c>
      <c r="W584" s="714" t="n">
        <v>170000</v>
      </c>
      <c r="X584" s="83" t="inlineStr">
        <is>
          <t>3.0:1</t>
        </is>
      </c>
      <c r="Y584" s="714">
        <f>ROUND(J584,-4)</f>
        <v/>
      </c>
      <c r="Z584" s="63" t="inlineStr">
        <is>
          <t xml:space="preserve">C </t>
        </is>
      </c>
      <c r="AA584" s="59" t="n">
        <v>3</v>
      </c>
      <c r="AB584" s="59" t="n">
        <v>3</v>
      </c>
      <c r="AC584" s="67" t="inlineStr">
        <is>
          <t>33</t>
        </is>
      </c>
      <c r="AD584" s="61" t="inlineStr">
        <is>
          <t xml:space="preserve">OFC/WHSE MULIT-TEN  </t>
        </is>
      </c>
      <c r="AE584" s="716" t="n"/>
      <c r="AF584" s="716" t="n"/>
      <c r="AG584" s="716" t="n"/>
      <c r="AH584" s="716" t="n"/>
      <c r="AI584" s="716" t="n"/>
      <c r="AJ584" s="716" t="n"/>
      <c r="AK584" s="716" t="inlineStr">
        <is>
          <t xml:space="preserve">M-T WHSE; 17 TENANTS; LEASES 1995-2008.                           </t>
        </is>
      </c>
      <c r="AL584">
        <f>IF(AND(ISNUMBER($S584),$S584&gt;0,ISNUMBER($K584),ISNUMBER($J584)),($K584*$J584)/$S584,"")</f>
        <v/>
      </c>
    </row>
    <row r="585">
      <c r="A585" s="62" t="n">
        <v>8</v>
      </c>
      <c r="B585" s="93" t="n">
        <v>577</v>
      </c>
      <c r="C585" s="68" t="inlineStr">
        <is>
          <t>2009Q</t>
        </is>
      </c>
      <c r="D585" s="59" t="inlineStr">
        <is>
          <t xml:space="preserve">01143-04-005-000 </t>
        </is>
      </c>
      <c r="E585" s="72" t="inlineStr">
        <is>
          <t>Actual</t>
        </is>
      </c>
      <c r="F585" s="73" t="inlineStr">
        <is>
          <t>4901   IRONTON              ST</t>
        </is>
      </c>
      <c r="G585" s="708" t="n">
        <v>44.2</v>
      </c>
      <c r="H585" s="67" t="n">
        <v>9102</v>
      </c>
      <c r="I585" s="69" t="n">
        <v>0</v>
      </c>
      <c r="J585" s="714" t="n">
        <v>25095</v>
      </c>
      <c r="K585" s="715" t="n">
        <v>2.054871488344292</v>
      </c>
      <c r="L585" s="74" t="n">
        <v>0</v>
      </c>
      <c r="M585" s="76" t="n">
        <v>0.3568173444256986</v>
      </c>
      <c r="N585" s="67" t="n">
        <v>1969</v>
      </c>
      <c r="O585" s="64" t="n">
        <v>2430</v>
      </c>
      <c r="Q585" s="59" t="n">
        <v>24</v>
      </c>
      <c r="R585" s="59" t="n">
        <v>7</v>
      </c>
      <c r="S585" s="59" t="n">
        <v>1</v>
      </c>
      <c r="T585" s="63" t="inlineStr">
        <is>
          <t xml:space="preserve">I2   </t>
        </is>
      </c>
      <c r="U585" s="63" t="n">
        <v>398</v>
      </c>
      <c r="V585" s="714" t="n">
        <v>72790</v>
      </c>
      <c r="W585" s="714" t="n">
        <v>70000</v>
      </c>
      <c r="X585" s="83" t="inlineStr">
        <is>
          <t>1.5:1</t>
        </is>
      </c>
      <c r="Y585" s="714">
        <f>ROUND(J585,-3)</f>
        <v/>
      </c>
      <c r="Z585" s="63" t="inlineStr">
        <is>
          <t xml:space="preserve">C </t>
        </is>
      </c>
      <c r="AA585" s="59" t="n">
        <v>2</v>
      </c>
      <c r="AB585" s="59" t="n">
        <v>3</v>
      </c>
      <c r="AC585" s="67" t="inlineStr">
        <is>
          <t>23</t>
        </is>
      </c>
      <c r="AD585" s="61" t="inlineStr">
        <is>
          <t xml:space="preserve">MAN T-SHIRTS        </t>
        </is>
      </c>
      <c r="AE585" s="716" t="n"/>
      <c r="AF585" s="716" t="n"/>
      <c r="AG585" s="716" t="n"/>
      <c r="AH585" s="716" t="n"/>
      <c r="AI585" s="716" t="n"/>
      <c r="AJ585" s="716" t="n"/>
      <c r="AK585" s="716" t="inlineStr">
        <is>
          <t xml:space="preserve">M-T WHSE; 3 TENANTS                                               </t>
        </is>
      </c>
      <c r="AL585">
        <f>IF(AND(ISNUMBER($S585),$S585&gt;0,ISNUMBER($K585),ISNUMBER($J585)),($K585*$J585)/$S585,"")</f>
        <v/>
      </c>
    </row>
    <row r="586">
      <c r="A586" s="62" t="n">
        <v>8</v>
      </c>
      <c r="B586" s="93" t="n">
        <v>578</v>
      </c>
      <c r="C586" s="68" t="inlineStr">
        <is>
          <t>2009Q</t>
        </is>
      </c>
      <c r="D586" s="59" t="inlineStr">
        <is>
          <t xml:space="preserve">01143-04-033-000 </t>
        </is>
      </c>
      <c r="E586" s="72" t="inlineStr">
        <is>
          <t>Actual</t>
        </is>
      </c>
      <c r="F586" s="73" t="inlineStr">
        <is>
          <t>5040   HAVANA               ST</t>
        </is>
      </c>
      <c r="G586" s="708" t="n">
        <v>44.2</v>
      </c>
      <c r="H586" s="67" t="n">
        <v>9102</v>
      </c>
      <c r="I586" s="69" t="n">
        <v>0</v>
      </c>
      <c r="J586" s="714" t="n">
        <v>10604</v>
      </c>
      <c r="K586" s="715" t="n">
        <v>8.487363259147491</v>
      </c>
      <c r="L586" s="74" t="n">
        <v>0</v>
      </c>
      <c r="M586" s="76" t="n">
        <v>0</v>
      </c>
      <c r="N586" s="67" t="n">
        <v>1994</v>
      </c>
      <c r="O586" s="64" t="n">
        <v>3059</v>
      </c>
      <c r="Q586" s="59" t="n">
        <v>21</v>
      </c>
      <c r="R586" s="59" t="n">
        <v>6</v>
      </c>
      <c r="S586" s="59" t="n">
        <v>2</v>
      </c>
      <c r="T586" s="63" t="inlineStr">
        <is>
          <t xml:space="preserve">I2   </t>
        </is>
      </c>
      <c r="U586" s="63" t="n">
        <v>332</v>
      </c>
      <c r="V586" s="714" t="n">
        <v>56150</v>
      </c>
      <c r="W586" s="714" t="n">
        <v>60000</v>
      </c>
      <c r="X586" s="83" t="inlineStr">
        <is>
          <t>5.3:1</t>
        </is>
      </c>
      <c r="Y586" s="714">
        <f>ROUND(J586,-3)</f>
        <v/>
      </c>
      <c r="Z586" s="63" t="inlineStr">
        <is>
          <t xml:space="preserve">C </t>
        </is>
      </c>
      <c r="AA586" s="59" t="n">
        <v>3</v>
      </c>
      <c r="AB586" s="59" t="n">
        <v>3</v>
      </c>
      <c r="AC586" s="67" t="n">
        <v>33</v>
      </c>
      <c r="AD586" s="61" t="inlineStr"/>
      <c r="AE586" s="716" t="n"/>
      <c r="AF586" s="716" t="n"/>
      <c r="AG586" s="716" t="n"/>
      <c r="AH586" s="716" t="n"/>
      <c r="AI586" s="716" t="n"/>
      <c r="AJ586" s="716" t="n"/>
      <c r="AK586" s="716" t="inlineStr"/>
      <c r="AL586">
        <f>IF(AND(ISNUMBER($S586),$S586&gt;0,ISNUMBER($K586),ISNUMBER($J586)),($K586*$J586)/$S586,"")</f>
        <v/>
      </c>
    </row>
    <row r="587">
      <c r="A587" s="62" t="n">
        <v>8</v>
      </c>
      <c r="B587" s="93" t="n">
        <v>579</v>
      </c>
      <c r="C587" s="68" t="inlineStr">
        <is>
          <t>2009Q</t>
        </is>
      </c>
      <c r="D587" s="59" t="inlineStr">
        <is>
          <t xml:space="preserve">01143-05-010-000 </t>
        </is>
      </c>
      <c r="E587" s="72" t="inlineStr">
        <is>
          <t>Actual</t>
        </is>
      </c>
      <c r="F587" s="73" t="inlineStr">
        <is>
          <t>11001 E 51ST                 AV</t>
        </is>
      </c>
      <c r="G587" s="708" t="n">
        <v>44.2</v>
      </c>
      <c r="H587" s="67" t="n">
        <v>9102</v>
      </c>
      <c r="I587" s="69" t="n">
        <v>0</v>
      </c>
      <c r="J587" s="714" t="n">
        <v>14270</v>
      </c>
      <c r="K587" s="715" t="n">
        <v>6.208829712683952</v>
      </c>
      <c r="L587" s="74" t="n">
        <v>0</v>
      </c>
      <c r="M587" s="76" t="n">
        <v>0.2801128668171557</v>
      </c>
      <c r="N587" s="67" t="n">
        <v>1987</v>
      </c>
      <c r="O587" s="64" t="inlineStr"/>
      <c r="P587" s="64" t="n">
        <v>6822</v>
      </c>
      <c r="Q587" s="59" t="n">
        <v>16</v>
      </c>
      <c r="R587" s="59" t="n">
        <v>3</v>
      </c>
      <c r="S587" s="59" t="n">
        <v>1</v>
      </c>
      <c r="T587" s="63" t="inlineStr">
        <is>
          <t xml:space="preserve">I2   </t>
        </is>
      </c>
      <c r="U587" s="63" t="n">
        <v>397</v>
      </c>
      <c r="V587" s="714" t="n">
        <v>48567</v>
      </c>
      <c r="W587" s="714" t="n">
        <v>49000</v>
      </c>
      <c r="X587" s="83" t="inlineStr">
        <is>
          <t>3.4:1</t>
        </is>
      </c>
      <c r="Y587" s="714">
        <f>ROUND(J587,-3)</f>
        <v/>
      </c>
      <c r="Z587" s="63" t="inlineStr">
        <is>
          <t xml:space="preserve">C </t>
        </is>
      </c>
      <c r="AA587" s="59" t="n">
        <v>3</v>
      </c>
      <c r="AB587" s="59" t="n">
        <v>3</v>
      </c>
      <c r="AC587" s="67" t="inlineStr">
        <is>
          <t>33</t>
        </is>
      </c>
      <c r="AD587" s="61" t="inlineStr">
        <is>
          <t xml:space="preserve">CMI MECHANCIAL      </t>
        </is>
      </c>
      <c r="AE587" s="716" t="n"/>
      <c r="AF587" s="716" t="n"/>
      <c r="AG587" s="716" t="n"/>
      <c r="AH587" s="716" t="n"/>
      <c r="AI587" s="716" t="n"/>
      <c r="AJ587" s="716" t="n"/>
      <c r="AK587" s="716" t="inlineStr">
        <is>
          <t xml:space="preserve">S-T WHSE; 2005 LEASE.                                             </t>
        </is>
      </c>
      <c r="AL587">
        <f>IF(AND(ISNUMBER($S587),$S587&gt;0,ISNUMBER($K587),ISNUMBER($J587)),($K587*$J587)/$S587,"")</f>
        <v/>
      </c>
    </row>
    <row r="588">
      <c r="A588" s="62" t="n">
        <v>8</v>
      </c>
      <c r="B588" s="93" t="n">
        <v>580</v>
      </c>
      <c r="C588" s="68" t="inlineStr">
        <is>
          <t>2009Q</t>
        </is>
      </c>
      <c r="D588" s="59" t="inlineStr">
        <is>
          <t xml:space="preserve">01143-05-018-000 </t>
        </is>
      </c>
      <c r="E588" s="72" t="inlineStr">
        <is>
          <t>Actual</t>
        </is>
      </c>
      <c r="F588" s="73" t="inlineStr">
        <is>
          <t>11055 E 51ST                 AV</t>
        </is>
      </c>
      <c r="G588" s="708" t="n">
        <v>44.1</v>
      </c>
      <c r="H588" s="67" t="n">
        <v>9102</v>
      </c>
      <c r="I588" s="69" t="n">
        <v>0</v>
      </c>
      <c r="J588" s="714" t="n">
        <v>53947</v>
      </c>
      <c r="K588" s="715" t="n">
        <v>5.071644391717797</v>
      </c>
      <c r="L588" s="74" t="n">
        <v>0</v>
      </c>
      <c r="M588" s="76" t="n">
        <v>0</v>
      </c>
      <c r="N588" s="67" t="n">
        <v>1999</v>
      </c>
      <c r="O588" s="64" t="n">
        <v>2507</v>
      </c>
      <c r="Q588" s="59" t="n">
        <v>20</v>
      </c>
      <c r="R588" s="59" t="n">
        <v>14</v>
      </c>
      <c r="S588" s="59" t="n">
        <v>1</v>
      </c>
      <c r="T588" s="63" t="inlineStr">
        <is>
          <t xml:space="preserve">I2   </t>
        </is>
      </c>
      <c r="U588" s="63" t="n">
        <v>398</v>
      </c>
      <c r="V588" s="714" t="n">
        <v>74836</v>
      </c>
      <c r="W588" s="714" t="n">
        <v>70000</v>
      </c>
      <c r="X588" s="83" t="inlineStr">
        <is>
          <t>1.4:1</t>
        </is>
      </c>
      <c r="Y588" s="714">
        <f>ROUND(J588,-4)</f>
        <v/>
      </c>
      <c r="Z588" s="63" t="inlineStr">
        <is>
          <t xml:space="preserve">C </t>
        </is>
      </c>
      <c r="AA588" s="59" t="n">
        <v>3</v>
      </c>
      <c r="AB588" s="59" t="n">
        <v>3</v>
      </c>
      <c r="AC588" s="67" t="inlineStr">
        <is>
          <t>33</t>
        </is>
      </c>
      <c r="AD588" s="61" t="inlineStr">
        <is>
          <t xml:space="preserve">DISTRIBUTION WHSE   </t>
        </is>
      </c>
      <c r="AE588" s="716" t="n"/>
      <c r="AF588" s="716" t="n"/>
      <c r="AG588" s="716" t="n"/>
      <c r="AH588" s="716" t="n"/>
      <c r="AI588" s="716" t="n"/>
      <c r="AJ588" s="716" t="n"/>
      <c r="AK588" s="716" t="inlineStr">
        <is>
          <t xml:space="preserve">S-T WHSE.; 2003 LEASE.                                            </t>
        </is>
      </c>
      <c r="AL588">
        <f>IF(AND(ISNUMBER($S588),$S588&gt;0,ISNUMBER($K588),ISNUMBER($J588)),($K588*$J588)/$S588,"")</f>
        <v/>
      </c>
    </row>
    <row r="589">
      <c r="A589" s="62" t="n">
        <v>8</v>
      </c>
      <c r="B589" s="93" t="n">
        <v>581</v>
      </c>
      <c r="C589" s="68" t="inlineStr">
        <is>
          <t>2009Q</t>
        </is>
      </c>
      <c r="D589" s="59" t="inlineStr">
        <is>
          <t xml:space="preserve">01143-06-008-000 </t>
        </is>
      </c>
      <c r="E589" s="72" t="inlineStr">
        <is>
          <t>Actual</t>
        </is>
      </c>
      <c r="F589" s="73" t="inlineStr">
        <is>
          <t>4999   KINGSTON             ST</t>
        </is>
      </c>
      <c r="G589" s="708" t="n">
        <v>43.2</v>
      </c>
      <c r="H589" s="67" t="n">
        <v>9102</v>
      </c>
      <c r="I589" s="69" t="n">
        <v>0</v>
      </c>
      <c r="J589" s="714" t="n">
        <v>45450</v>
      </c>
      <c r="K589" s="715" t="n">
        <v>5.808580858085809</v>
      </c>
      <c r="L589" s="74" t="n">
        <v>0</v>
      </c>
      <c r="M589" s="76" t="n">
        <v>0</v>
      </c>
      <c r="N589" s="67" t="n">
        <v>1980</v>
      </c>
      <c r="O589" s="64" t="n">
        <v>6453</v>
      </c>
      <c r="Q589" s="59" t="n">
        <v>26</v>
      </c>
      <c r="R589" s="59" t="n">
        <v>10</v>
      </c>
      <c r="S589" s="59" t="n">
        <v>1</v>
      </c>
      <c r="T589" s="63" t="inlineStr">
        <is>
          <t xml:space="preserve">I2   </t>
        </is>
      </c>
      <c r="U589" s="63" t="n">
        <v>401</v>
      </c>
      <c r="V589" s="714" t="n">
        <v>78320</v>
      </c>
      <c r="W589" s="714" t="n">
        <v>80000</v>
      </c>
      <c r="X589" s="83" t="inlineStr">
        <is>
          <t>1.7:1</t>
        </is>
      </c>
      <c r="Y589" s="714">
        <f>ROUND(J589,-3)</f>
        <v/>
      </c>
      <c r="Z589" s="63" t="inlineStr">
        <is>
          <t xml:space="preserve">C </t>
        </is>
      </c>
      <c r="AA589" s="59" t="n">
        <v>3</v>
      </c>
      <c r="AB589" s="59" t="n">
        <v>3</v>
      </c>
      <c r="AC589" s="67" t="inlineStr">
        <is>
          <t>33</t>
        </is>
      </c>
      <c r="AD589" s="61" t="inlineStr">
        <is>
          <t>PRINTINGPLANT/SPRINT</t>
        </is>
      </c>
      <c r="AE589" s="716" t="n"/>
      <c r="AF589" s="716" t="n"/>
      <c r="AG589" s="716" t="n"/>
      <c r="AH589" s="716" t="n"/>
      <c r="AI589" s="716" t="n"/>
      <c r="AJ589" s="716" t="n"/>
      <c r="AK589" s="716" t="inlineStr">
        <is>
          <t xml:space="preserve">S-T WHSE; MAY BE OWNER-OCCUPIED.                                  </t>
        </is>
      </c>
      <c r="AL589">
        <f>IF(AND(ISNUMBER($S589),$S589&gt;0,ISNUMBER($K589),ISNUMBER($J589)),($K589*$J589)/$S589,"")</f>
        <v/>
      </c>
    </row>
    <row r="590">
      <c r="A590" s="62" t="n">
        <v>8</v>
      </c>
      <c r="B590" s="93" t="n">
        <v>582</v>
      </c>
      <c r="C590" s="68" t="inlineStr">
        <is>
          <t>2009Q</t>
        </is>
      </c>
      <c r="D590" s="59" t="inlineStr">
        <is>
          <t xml:space="preserve">01144-02-008-000 </t>
        </is>
      </c>
      <c r="E590" s="72" t="inlineStr">
        <is>
          <t>Actual</t>
        </is>
      </c>
      <c r="F590" s="73" t="inlineStr">
        <is>
          <t>5055   LIMA                 ST</t>
        </is>
      </c>
      <c r="G590" s="708" t="n">
        <v>44.2</v>
      </c>
      <c r="H590" s="67" t="n">
        <v>9102</v>
      </c>
      <c r="I590" s="69" t="n">
        <v>0</v>
      </c>
      <c r="J590" s="714" t="n">
        <v>39832</v>
      </c>
      <c r="K590" s="715" t="n">
        <v>4.407511548503716</v>
      </c>
      <c r="L590" s="74" t="n">
        <v>0</v>
      </c>
      <c r="M590" s="76" t="n">
        <v>0.3224139895192527</v>
      </c>
      <c r="N590" s="67" t="n">
        <v>1978</v>
      </c>
      <c r="O590" s="64">
        <f>114+219</f>
        <v/>
      </c>
      <c r="P590" s="64" t="n">
        <v>3874</v>
      </c>
      <c r="Q590" s="59" t="n">
        <v>26</v>
      </c>
      <c r="R590" s="59" t="n">
        <v>10</v>
      </c>
      <c r="S590" s="59" t="n">
        <v>1</v>
      </c>
      <c r="T590" s="63" t="inlineStr">
        <is>
          <t xml:space="preserve">I2   </t>
        </is>
      </c>
      <c r="U590" s="63" t="n">
        <v>398</v>
      </c>
      <c r="V590" s="714" t="n">
        <v>77488</v>
      </c>
      <c r="W590" s="714" t="n">
        <v>80000</v>
      </c>
      <c r="X590" s="83" t="inlineStr">
        <is>
          <t>1.9:1</t>
        </is>
      </c>
      <c r="Y590" s="714">
        <f>ROUND(J590,-3)</f>
        <v/>
      </c>
      <c r="Z590" s="63" t="inlineStr">
        <is>
          <t xml:space="preserve">C </t>
        </is>
      </c>
      <c r="AA590" s="59" t="n">
        <v>3</v>
      </c>
      <c r="AB590" s="59" t="n">
        <v>3</v>
      </c>
      <c r="AC590" s="67" t="inlineStr">
        <is>
          <t>33</t>
        </is>
      </c>
      <c r="AD590" s="61" t="inlineStr">
        <is>
          <t xml:space="preserve">S-W                 </t>
        </is>
      </c>
      <c r="AE590" s="716" t="n"/>
      <c r="AF590" s="716" t="n"/>
      <c r="AG590" s="716" t="n"/>
      <c r="AH590" s="716" t="n"/>
      <c r="AI590" s="716" t="n"/>
      <c r="AJ590" s="716" t="n"/>
      <c r="AK590" s="716" t="inlineStr">
        <is>
          <t xml:space="preserve">S-T WHSE                                                          </t>
        </is>
      </c>
      <c r="AL590">
        <f>IF(AND(ISNUMBER($S590),$S590&gt;0,ISNUMBER($K590),ISNUMBER($J590)),($K590*$J590)/$S590,"")</f>
        <v/>
      </c>
    </row>
    <row r="591">
      <c r="A591" s="62" t="n">
        <v>8</v>
      </c>
      <c r="B591" s="93" t="n">
        <v>583</v>
      </c>
      <c r="C591" s="68" t="inlineStr">
        <is>
          <t>2009Q</t>
        </is>
      </c>
      <c r="D591" s="59" t="inlineStr">
        <is>
          <t xml:space="preserve">01144-04-011-000 </t>
        </is>
      </c>
      <c r="E591" s="72" t="inlineStr">
        <is>
          <t>Actual</t>
        </is>
      </c>
      <c r="F591" s="73" t="inlineStr">
        <is>
          <t>5010   PARIS                ST</t>
        </is>
      </c>
      <c r="G591" s="708" t="n">
        <v>44.2</v>
      </c>
      <c r="H591" s="67" t="n">
        <v>9102</v>
      </c>
      <c r="I591" s="69" t="n">
        <v>0</v>
      </c>
      <c r="J591" s="714" t="n">
        <v>14636</v>
      </c>
      <c r="K591" s="715" t="n">
        <v>7.185228204427439</v>
      </c>
      <c r="L591" s="74" t="n">
        <v>0</v>
      </c>
      <c r="M591" s="76" t="n">
        <v>0.3023306676302502</v>
      </c>
      <c r="N591" s="67" t="n">
        <v>1981</v>
      </c>
      <c r="O591" s="64" t="n">
        <v>8545</v>
      </c>
      <c r="P591" s="64" t="n">
        <v>1046</v>
      </c>
      <c r="Q591" s="59" t="n">
        <v>20</v>
      </c>
      <c r="R591" s="59" t="n">
        <v>10</v>
      </c>
      <c r="S591" s="59" t="n">
        <v>1</v>
      </c>
      <c r="T591" s="63" t="inlineStr">
        <is>
          <t xml:space="preserve">I0   </t>
        </is>
      </c>
      <c r="U591" s="63" t="n">
        <v>398</v>
      </c>
      <c r="V591" s="714" t="n">
        <v>33200</v>
      </c>
      <c r="W591" s="714" t="n">
        <v>33000</v>
      </c>
      <c r="X591" s="83" t="inlineStr">
        <is>
          <t>2.3:1</t>
        </is>
      </c>
      <c r="Y591" s="714">
        <f>ROUND(J591,-3)</f>
        <v/>
      </c>
      <c r="Z591" s="63" t="inlineStr">
        <is>
          <t xml:space="preserve">C </t>
        </is>
      </c>
      <c r="AA591" s="59" t="n">
        <v>3</v>
      </c>
      <c r="AB591" s="59" t="n">
        <v>3</v>
      </c>
      <c r="AC591" s="67" t="inlineStr">
        <is>
          <t>33</t>
        </is>
      </c>
      <c r="AD591" s="61" t="inlineStr">
        <is>
          <t xml:space="preserve">A T SYSTEMS         </t>
        </is>
      </c>
      <c r="AE591" s="716" t="n"/>
      <c r="AF591" s="716" t="n"/>
      <c r="AG591" s="716" t="n"/>
      <c r="AH591" s="716" t="n"/>
      <c r="AI591" s="716" t="n"/>
      <c r="AJ591" s="716" t="n"/>
      <c r="AK591" s="716" t="inlineStr">
        <is>
          <t xml:space="preserve">S-T WHSE; 2002 LEASE.                                             </t>
        </is>
      </c>
      <c r="AL591">
        <f>IF(AND(ISNUMBER($S591),$S591&gt;0,ISNUMBER($K591),ISNUMBER($J591)),($K591*$J591)/$S591,"")</f>
        <v/>
      </c>
    </row>
    <row r="592">
      <c r="A592" s="62" t="n">
        <v>8</v>
      </c>
      <c r="B592" s="93" t="n">
        <v>584</v>
      </c>
      <c r="C592" s="68" t="inlineStr">
        <is>
          <t>2009Q</t>
        </is>
      </c>
      <c r="D592" s="59" t="inlineStr">
        <is>
          <t xml:space="preserve">01144-04-020-000 </t>
        </is>
      </c>
      <c r="E592" s="72" t="inlineStr">
        <is>
          <t>Actual</t>
        </is>
      </c>
      <c r="F592" s="73" t="inlineStr">
        <is>
          <t>5090   PARIS                ST</t>
        </is>
      </c>
      <c r="G592" s="708" t="n">
        <v>44.2</v>
      </c>
      <c r="H592" s="67" t="n">
        <v>9102</v>
      </c>
      <c r="I592" s="69" t="n">
        <v>0</v>
      </c>
      <c r="J592" s="714" t="n">
        <v>9376</v>
      </c>
      <c r="K592" s="715" t="n">
        <v>6.93259385665529</v>
      </c>
      <c r="L592" s="74" t="n">
        <v>0</v>
      </c>
      <c r="M592" s="76" t="n">
        <v>0</v>
      </c>
      <c r="N592" s="67" t="n">
        <v>1981</v>
      </c>
      <c r="O592" s="64" t="n">
        <v>1927</v>
      </c>
      <c r="P592" s="64" t="n">
        <v>952</v>
      </c>
      <c r="Q592" s="59" t="n">
        <v>19</v>
      </c>
      <c r="R592" s="59" t="n">
        <v>10</v>
      </c>
      <c r="S592" s="59" t="n">
        <v>1</v>
      </c>
      <c r="T592" s="63" t="inlineStr">
        <is>
          <t xml:space="preserve">I0   </t>
        </is>
      </c>
      <c r="U592" s="63" t="n">
        <v>398</v>
      </c>
      <c r="V592" s="714" t="n">
        <v>27477</v>
      </c>
      <c r="W592" s="714" t="n">
        <v>27000</v>
      </c>
      <c r="X592" s="83" t="inlineStr">
        <is>
          <t>2.9:1</t>
        </is>
      </c>
      <c r="Y592" s="714">
        <f>ROUND(J592,-3)</f>
        <v/>
      </c>
      <c r="Z592" s="63" t="inlineStr">
        <is>
          <t xml:space="preserve">C </t>
        </is>
      </c>
      <c r="AA592" s="59" t="n">
        <v>3</v>
      </c>
      <c r="AB592" s="59" t="n">
        <v>3</v>
      </c>
      <c r="AC592" s="67" t="inlineStr">
        <is>
          <t>33</t>
        </is>
      </c>
      <c r="AD592" s="61" t="inlineStr"/>
      <c r="AE592" s="716" t="n"/>
      <c r="AF592" s="716" t="n"/>
      <c r="AG592" s="716" t="n"/>
      <c r="AH592" s="716" t="n"/>
      <c r="AI592" s="716" t="n"/>
      <c r="AJ592" s="716" t="n"/>
      <c r="AK592" s="716" t="inlineStr">
        <is>
          <t xml:space="preserve">S-T WHSE.                                                         </t>
        </is>
      </c>
      <c r="AL592">
        <f>IF(AND(ISNUMBER($S592),$S592&gt;0,ISNUMBER($K592),ISNUMBER($J592)),($K592*$J592)/$S592,"")</f>
        <v/>
      </c>
    </row>
    <row r="593">
      <c r="A593" s="62" t="n">
        <v>8</v>
      </c>
      <c r="B593" s="93" t="n">
        <v>585</v>
      </c>
      <c r="C593" s="68" t="inlineStr">
        <is>
          <t>2009Q</t>
        </is>
      </c>
      <c r="D593" s="59" t="inlineStr">
        <is>
          <t xml:space="preserve">01144-05-007-000 </t>
        </is>
      </c>
      <c r="E593" s="72" t="inlineStr">
        <is>
          <t>Actual</t>
        </is>
      </c>
      <c r="F593" s="73" t="inlineStr">
        <is>
          <t>5001   OAKLAND              ST</t>
        </is>
      </c>
      <c r="G593" s="708" t="n">
        <v>44.2</v>
      </c>
      <c r="H593" s="67" t="n">
        <v>9102</v>
      </c>
      <c r="I593" s="69" t="n">
        <v>0</v>
      </c>
      <c r="J593" s="714" t="n">
        <v>9800</v>
      </c>
      <c r="K593" s="715" t="n">
        <v>8.193775510204082</v>
      </c>
      <c r="L593" s="74" t="n">
        <v>0</v>
      </c>
      <c r="M593" s="76" t="n">
        <v>0.03392321199516806</v>
      </c>
      <c r="N593" s="67" t="n">
        <v>2004</v>
      </c>
      <c r="O593" s="64" t="n">
        <v>2520</v>
      </c>
      <c r="Q593" s="59" t="n">
        <v>45</v>
      </c>
      <c r="R593" s="59" t="n">
        <v>22</v>
      </c>
      <c r="S593" s="59" t="n">
        <v>1</v>
      </c>
      <c r="T593" s="63" t="inlineStr">
        <is>
          <t xml:space="preserve">I1   </t>
        </is>
      </c>
      <c r="U593" s="63" t="n">
        <v>398</v>
      </c>
      <c r="V593" s="714" t="n">
        <v>42336</v>
      </c>
      <c r="W593" s="714" t="n">
        <v>42000</v>
      </c>
      <c r="X593" s="83" t="inlineStr">
        <is>
          <t>4.3:1</t>
        </is>
      </c>
      <c r="Y593" s="714">
        <f>ROUND(J593,-3)</f>
        <v/>
      </c>
      <c r="Z593" s="63" t="inlineStr">
        <is>
          <t xml:space="preserve">C </t>
        </is>
      </c>
      <c r="AA593" s="59" t="n">
        <v>3</v>
      </c>
      <c r="AB593" s="59" t="n">
        <v>3</v>
      </c>
      <c r="AC593" s="67" t="inlineStr">
        <is>
          <t>33</t>
        </is>
      </c>
      <c r="AD593" s="61" t="inlineStr">
        <is>
          <t>BAKER AUCTION &amp; ESTA</t>
        </is>
      </c>
      <c r="AE593" s="716" t="n"/>
      <c r="AF593" s="716" t="n"/>
      <c r="AG593" s="716" t="n"/>
      <c r="AH593" s="716" t="n"/>
      <c r="AI593" s="716" t="n"/>
      <c r="AJ593" s="716" t="n"/>
      <c r="AK593" s="716" t="inlineStr">
        <is>
          <t xml:space="preserve">S-T WHSE.; 2004 LEASE.                                            </t>
        </is>
      </c>
      <c r="AL593">
        <f>IF(AND(ISNUMBER($S593),$S593&gt;0,ISNUMBER($K593),ISNUMBER($J593)),($K593*$J593)/$S593,"")</f>
        <v/>
      </c>
    </row>
    <row r="594">
      <c r="A594" s="62" t="n">
        <v>8</v>
      </c>
      <c r="B594" s="93" t="n">
        <v>586</v>
      </c>
      <c r="C594" s="68" t="inlineStr">
        <is>
          <t>2009Q</t>
        </is>
      </c>
      <c r="D594" s="59" t="inlineStr">
        <is>
          <t xml:space="preserve">01144-06-013-000 </t>
        </is>
      </c>
      <c r="E594" s="72" t="inlineStr">
        <is>
          <t>Actual</t>
        </is>
      </c>
      <c r="F594" s="73" t="inlineStr">
        <is>
          <t>4995   PARIS                ST</t>
        </is>
      </c>
      <c r="G594" s="708" t="n">
        <v>47.2</v>
      </c>
      <c r="H594" s="67" t="n">
        <v>9102</v>
      </c>
      <c r="I594" s="69" t="n">
        <v>0</v>
      </c>
      <c r="J594" s="714" t="n">
        <v>10143</v>
      </c>
      <c r="K594" s="715" t="n">
        <v>9.331558710440698</v>
      </c>
      <c r="L594" s="74" t="n">
        <v>0</v>
      </c>
      <c r="M594" s="76" t="n">
        <v>0.006951928156365557</v>
      </c>
      <c r="N594" s="67" t="n">
        <v>1979</v>
      </c>
      <c r="O594" s="64" t="n">
        <v>1451</v>
      </c>
      <c r="Q594" s="59" t="n">
        <v>20</v>
      </c>
      <c r="R594" s="59" t="n">
        <v>10</v>
      </c>
      <c r="S594" s="59" t="n">
        <v>1</v>
      </c>
      <c r="T594" s="63" t="inlineStr">
        <is>
          <t xml:space="preserve">I1   </t>
        </is>
      </c>
      <c r="U594" s="63" t="n">
        <v>401</v>
      </c>
      <c r="V594" s="714" t="n">
        <v>30504</v>
      </c>
      <c r="W594" s="714" t="n">
        <v>31000</v>
      </c>
      <c r="X594" s="83" t="inlineStr">
        <is>
          <t>3.0:1</t>
        </is>
      </c>
      <c r="Y594" s="714">
        <f>ROUND(J594,-3)</f>
        <v/>
      </c>
      <c r="Z594" s="63" t="inlineStr">
        <is>
          <t xml:space="preserve">C </t>
        </is>
      </c>
      <c r="AA594" s="59" t="n">
        <v>3</v>
      </c>
      <c r="AB594" s="59" t="n">
        <v>3</v>
      </c>
      <c r="AC594" s="67" t="inlineStr">
        <is>
          <t>33</t>
        </is>
      </c>
      <c r="AD594" s="61" t="inlineStr"/>
      <c r="AE594" s="716" t="n"/>
      <c r="AF594" s="716" t="n"/>
      <c r="AG594" s="716" t="n"/>
      <c r="AH594" s="716" t="n"/>
      <c r="AI594" s="716" t="n"/>
      <c r="AJ594" s="716" t="n"/>
      <c r="AK594" s="716" t="inlineStr">
        <is>
          <t xml:space="preserve">S-T WHSE.                                                         </t>
        </is>
      </c>
      <c r="AL594">
        <f>IF(AND(ISNUMBER($S594),$S594&gt;0,ISNUMBER($K594),ISNUMBER($J594)),($K594*$J594)/$S594,"")</f>
        <v/>
      </c>
    </row>
    <row r="595">
      <c r="A595" s="62" t="n">
        <v>8</v>
      </c>
      <c r="B595" s="93" t="n">
        <v>587</v>
      </c>
      <c r="C595" s="68" t="inlineStr">
        <is>
          <t>2009Q</t>
        </is>
      </c>
      <c r="D595" s="59" t="inlineStr">
        <is>
          <t xml:space="preserve">01144-06-014-000 </t>
        </is>
      </c>
      <c r="E595" s="72" t="inlineStr">
        <is>
          <t>Actual</t>
        </is>
      </c>
      <c r="F595" s="73" t="inlineStr">
        <is>
          <t>4975   PARIS                ST</t>
        </is>
      </c>
      <c r="G595" s="708" t="n">
        <v>44.2</v>
      </c>
      <c r="H595" s="67" t="n">
        <v>9102</v>
      </c>
      <c r="I595" s="69" t="n">
        <v>0</v>
      </c>
      <c r="J595" s="714" t="n">
        <v>15550</v>
      </c>
      <c r="K595" s="715" t="n">
        <v>8.842443729903536</v>
      </c>
      <c r="L595" s="74" t="n">
        <v>0</v>
      </c>
      <c r="M595" s="76" t="n">
        <v>0</v>
      </c>
      <c r="N595" s="67" t="n">
        <v>1979</v>
      </c>
      <c r="O595" s="64" t="n">
        <v>2400</v>
      </c>
      <c r="P595" s="64" t="n">
        <v>1126</v>
      </c>
      <c r="Q595" s="59" t="n">
        <v>20</v>
      </c>
      <c r="R595" s="59" t="n">
        <v>10</v>
      </c>
      <c r="S595" s="59" t="n">
        <v>1</v>
      </c>
      <c r="T595" s="63" t="inlineStr">
        <is>
          <t xml:space="preserve">I1   </t>
        </is>
      </c>
      <c r="U595" s="63" t="n">
        <v>397</v>
      </c>
      <c r="V595" s="714" t="n">
        <v>40424</v>
      </c>
      <c r="W595" s="714" t="n">
        <v>40000</v>
      </c>
      <c r="X595" s="83" t="inlineStr">
        <is>
          <t>2.6:1</t>
        </is>
      </c>
      <c r="Y595" s="714">
        <f>ROUND(J595,-3)</f>
        <v/>
      </c>
      <c r="Z595" s="63" t="inlineStr">
        <is>
          <t xml:space="preserve">C </t>
        </is>
      </c>
      <c r="AA595" s="59" t="n">
        <v>3</v>
      </c>
      <c r="AB595" s="59" t="n">
        <v>3</v>
      </c>
      <c r="AC595" s="67" t="inlineStr">
        <is>
          <t>33</t>
        </is>
      </c>
      <c r="AD595" s="61" t="inlineStr">
        <is>
          <t xml:space="preserve">RMCAT               </t>
        </is>
      </c>
      <c r="AE595" s="716" t="n"/>
      <c r="AF595" s="716" t="n"/>
      <c r="AG595" s="716" t="n"/>
      <c r="AH595" s="716" t="n"/>
      <c r="AI595" s="716" t="n"/>
      <c r="AJ595" s="716" t="n"/>
      <c r="AK595" s="716" t="inlineStr">
        <is>
          <t xml:space="preserve">S-T WHSE.                                                         </t>
        </is>
      </c>
      <c r="AL595">
        <f>IF(AND(ISNUMBER($S595),$S595&gt;0,ISNUMBER($K595),ISNUMBER($J595)),($K595*$J595)/$S595,"")</f>
        <v/>
      </c>
    </row>
    <row r="596">
      <c r="A596" s="62" t="n">
        <v>8</v>
      </c>
      <c r="B596" s="93" t="n">
        <v>588</v>
      </c>
      <c r="C596" s="68" t="inlineStr">
        <is>
          <t>2009Q</t>
        </is>
      </c>
      <c r="D596" s="59" t="inlineStr">
        <is>
          <t xml:space="preserve">01144-06-016-000 </t>
        </is>
      </c>
      <c r="E596" s="72" t="inlineStr">
        <is>
          <t>Actual</t>
        </is>
      </c>
      <c r="F596" s="73" t="inlineStr">
        <is>
          <t>5015   PARIS                ST</t>
        </is>
      </c>
      <c r="G596" s="708" t="n">
        <v>44.2</v>
      </c>
      <c r="H596" s="67" t="n">
        <v>9102</v>
      </c>
      <c r="I596" s="69" t="n">
        <v>0</v>
      </c>
      <c r="J596" s="714" t="n">
        <v>16328</v>
      </c>
      <c r="K596" s="715" t="n">
        <v>5.30812101910828</v>
      </c>
      <c r="L596" s="74" t="n">
        <v>0</v>
      </c>
      <c r="M596" s="76" t="n">
        <v>0.03272144085103437</v>
      </c>
      <c r="N596" s="67" t="n">
        <v>1979</v>
      </c>
      <c r="O596" s="64" t="n">
        <v>2250</v>
      </c>
      <c r="Q596" s="59" t="n">
        <v>23</v>
      </c>
      <c r="R596" s="59" t="n">
        <v>10</v>
      </c>
      <c r="S596" s="59" t="n">
        <v>1</v>
      </c>
      <c r="T596" s="63" t="inlineStr">
        <is>
          <t xml:space="preserve">I1   </t>
        </is>
      </c>
      <c r="U596" s="63" t="n">
        <v>398</v>
      </c>
      <c r="V596" s="714" t="n">
        <v>40424</v>
      </c>
      <c r="W596" s="714" t="n">
        <v>40000</v>
      </c>
      <c r="X596" s="83" t="inlineStr">
        <is>
          <t>2.5:1</t>
        </is>
      </c>
      <c r="Y596" s="714">
        <f>ROUND(J596,-3)</f>
        <v/>
      </c>
      <c r="Z596" s="63" t="inlineStr">
        <is>
          <t xml:space="preserve">C </t>
        </is>
      </c>
      <c r="AA596" s="59" t="n">
        <v>3</v>
      </c>
      <c r="AB596" s="59" t="n">
        <v>3</v>
      </c>
      <c r="AC596" s="67" t="inlineStr">
        <is>
          <t>33</t>
        </is>
      </c>
      <c r="AD596" s="61" t="inlineStr"/>
      <c r="AE596" s="716" t="n"/>
      <c r="AF596" s="716" t="n"/>
      <c r="AG596" s="716" t="n"/>
      <c r="AH596" s="716" t="n"/>
      <c r="AI596" s="716" t="n"/>
      <c r="AJ596" s="716" t="n"/>
      <c r="AK596" s="716" t="inlineStr">
        <is>
          <t xml:space="preserve">S-T WHSE.; 2006 LEASE.                                            </t>
        </is>
      </c>
      <c r="AL596">
        <f>IF(AND(ISNUMBER($S596),$S596&gt;0,ISNUMBER($K596),ISNUMBER($J596)),($K596*$J596)/$S596,"")</f>
        <v/>
      </c>
    </row>
    <row r="597">
      <c r="A597" s="62" t="n">
        <v>8</v>
      </c>
      <c r="B597" s="93" t="n">
        <v>589</v>
      </c>
      <c r="C597" s="68" t="inlineStr">
        <is>
          <t>2009Q</t>
        </is>
      </c>
      <c r="D597" s="59" t="inlineStr">
        <is>
          <t xml:space="preserve">01144-10-011-000 </t>
        </is>
      </c>
      <c r="E597" s="72" t="inlineStr">
        <is>
          <t>Actual</t>
        </is>
      </c>
      <c r="F597" s="73" t="inlineStr">
        <is>
          <t>4850   MOLINE               ST</t>
        </is>
      </c>
      <c r="G597" s="708" t="n">
        <v>44.1</v>
      </c>
      <c r="H597" s="67" t="n">
        <v>9102</v>
      </c>
      <c r="I597" s="69" t="n">
        <v>0</v>
      </c>
      <c r="J597" s="714" t="n">
        <v>87133</v>
      </c>
      <c r="K597" s="715" t="n">
        <v>4.360024330621004</v>
      </c>
      <c r="L597" s="74" t="n">
        <v>0</v>
      </c>
      <c r="M597" s="76" t="n">
        <v>0</v>
      </c>
      <c r="N597" s="67" t="n">
        <v>1974</v>
      </c>
      <c r="O597" s="64" t="n">
        <v>3944</v>
      </c>
      <c r="P597" s="64" t="n">
        <v>8659</v>
      </c>
      <c r="Q597" s="59" t="n">
        <v>27</v>
      </c>
      <c r="R597" s="59" t="n">
        <v>10</v>
      </c>
      <c r="S597" s="59" t="n">
        <v>1</v>
      </c>
      <c r="T597" s="63" t="inlineStr">
        <is>
          <t xml:space="preserve">I2   </t>
        </is>
      </c>
      <c r="U597" s="63" t="n">
        <v>397</v>
      </c>
      <c r="V597" s="714" t="n">
        <v>211126</v>
      </c>
      <c r="W597" s="714" t="n">
        <v>210000</v>
      </c>
      <c r="X597" s="83" t="inlineStr">
        <is>
          <t>2.4:1</t>
        </is>
      </c>
      <c r="Y597" s="714">
        <f>ROUND(J597,-4)</f>
        <v/>
      </c>
      <c r="Z597" s="63" t="inlineStr">
        <is>
          <t xml:space="preserve">B </t>
        </is>
      </c>
      <c r="AA597" s="59" t="n">
        <v>3</v>
      </c>
      <c r="AB597" s="59" t="n">
        <v>3</v>
      </c>
      <c r="AC597" s="67" t="inlineStr">
        <is>
          <t>33</t>
        </is>
      </c>
      <c r="AD597" s="61" t="inlineStr">
        <is>
          <t xml:space="preserve">S-W WEATHER GUARD   </t>
        </is>
      </c>
      <c r="AE597" s="716" t="n"/>
      <c r="AF597" s="716" t="n"/>
      <c r="AG597" s="716" t="n"/>
      <c r="AH597" s="716" t="n"/>
      <c r="AI597" s="716" t="n"/>
      <c r="AJ597" s="716" t="n"/>
      <c r="AK597" s="716" t="inlineStr">
        <is>
          <t xml:space="preserve">S-T WHSE; 1999 LEASE.                                             </t>
        </is>
      </c>
      <c r="AL597">
        <f>IF(AND(ISNUMBER($S597),$S597&gt;0,ISNUMBER($K597),ISNUMBER($J597)),($K597*$J597)/$S597,"")</f>
        <v/>
      </c>
    </row>
    <row r="598">
      <c r="A598" s="62" t="n">
        <v>8</v>
      </c>
      <c r="B598" s="93" t="n">
        <v>590</v>
      </c>
      <c r="C598" s="68" t="inlineStr">
        <is>
          <t>2009Q</t>
        </is>
      </c>
      <c r="D598" s="59" t="inlineStr">
        <is>
          <t xml:space="preserve">01153-03-006-000 </t>
        </is>
      </c>
      <c r="E598" s="72" t="inlineStr">
        <is>
          <t>Actual</t>
        </is>
      </c>
      <c r="F598" s="73" t="inlineStr">
        <is>
          <t>9305 E 49TH                 AV</t>
        </is>
      </c>
      <c r="G598" s="708" t="n">
        <v>44.1</v>
      </c>
      <c r="H598" s="67" t="n">
        <v>9103</v>
      </c>
      <c r="I598" s="69" t="n">
        <v>0</v>
      </c>
      <c r="J598" s="714" t="n">
        <v>10530</v>
      </c>
      <c r="K598" s="715" t="n">
        <v>5.650522317188984</v>
      </c>
      <c r="L598" s="74" t="n">
        <v>0</v>
      </c>
      <c r="M598" s="76" t="n">
        <v>0</v>
      </c>
      <c r="N598" s="67" t="n">
        <v>2006</v>
      </c>
      <c r="O598" s="64" t="n">
        <v>3547</v>
      </c>
      <c r="P598" s="64" t="inlineStr"/>
      <c r="Q598" s="59" t="n">
        <v>25</v>
      </c>
      <c r="R598" s="59" t="n">
        <v>14</v>
      </c>
      <c r="S598" s="59" t="n">
        <v>1</v>
      </c>
      <c r="T598" s="63" t="inlineStr">
        <is>
          <t>CMU30</t>
        </is>
      </c>
      <c r="U598" s="63" t="n">
        <v>398</v>
      </c>
      <c r="V598" s="714" t="n">
        <v>44907</v>
      </c>
      <c r="W598" s="714" t="n">
        <v>45000</v>
      </c>
      <c r="X598" s="83" t="inlineStr">
        <is>
          <t>4.3:1</t>
        </is>
      </c>
      <c r="Y598" s="714">
        <f>ROUND(J598,-3)</f>
        <v/>
      </c>
      <c r="Z598" s="63" t="inlineStr">
        <is>
          <t xml:space="preserve">C </t>
        </is>
      </c>
      <c r="AA598" s="59" t="n">
        <v>3</v>
      </c>
      <c r="AB598" s="59" t="n">
        <v>3</v>
      </c>
      <c r="AC598" s="67" t="inlineStr">
        <is>
          <t>33</t>
        </is>
      </c>
      <c r="AD598" s="61" t="inlineStr">
        <is>
          <t xml:space="preserve">SINGLE TENANT WHSE  </t>
        </is>
      </c>
      <c r="AE598" s="716" t="n"/>
      <c r="AF598" s="716" t="n"/>
      <c r="AG598" s="716" t="n"/>
      <c r="AH598" s="716" t="n"/>
      <c r="AI598" s="716" t="n"/>
      <c r="AJ598" s="716" t="n"/>
      <c r="AK598" s="716" t="inlineStr">
        <is>
          <t xml:space="preserve">S-T WHSE; AGE OF LEASE UNKNOWN.                                   </t>
        </is>
      </c>
      <c r="AL598">
        <f>IF(AND(ISNUMBER($S598),$S598&gt;0,ISNUMBER($K598),ISNUMBER($J598)),($K598*$J598)/$S598,"")</f>
        <v/>
      </c>
    </row>
    <row r="599">
      <c r="A599" s="62" t="n">
        <v>8</v>
      </c>
      <c r="B599" s="93" t="n">
        <v>591</v>
      </c>
      <c r="C599" s="68" t="inlineStr">
        <is>
          <t>2009W</t>
        </is>
      </c>
      <c r="D599" s="59" t="inlineStr">
        <is>
          <t>01154-01-002-000</t>
        </is>
      </c>
      <c r="E599" s="72" t="inlineStr">
        <is>
          <t>Actual</t>
        </is>
      </c>
      <c r="F599" s="73" t="inlineStr">
        <is>
          <t xml:space="preserve">5025 FLORENCE ST. </t>
        </is>
      </c>
      <c r="G599" s="708" t="n">
        <v>44.4</v>
      </c>
      <c r="H599" s="67" t="n">
        <v>9103</v>
      </c>
      <c r="I599" s="69" t="n">
        <v>0</v>
      </c>
      <c r="J599" s="714" t="n">
        <v>323860</v>
      </c>
      <c r="K599" s="715" t="n">
        <v>3.76</v>
      </c>
      <c r="L599" s="74" t="n">
        <v>0</v>
      </c>
      <c r="M599" s="76" t="n">
        <v>0.01</v>
      </c>
      <c r="N599" s="67" t="n">
        <v>1998</v>
      </c>
      <c r="O599" s="64" t="n">
        <v>8739</v>
      </c>
      <c r="Q599" s="59" t="n">
        <v>35</v>
      </c>
      <c r="R599" s="59" t="n">
        <v>14</v>
      </c>
      <c r="S599" s="59" t="n">
        <v>4</v>
      </c>
      <c r="T599" s="63" t="inlineStr">
        <is>
          <t>CMU30</t>
        </is>
      </c>
      <c r="U599" s="63" t="n">
        <v>398</v>
      </c>
      <c r="V599" s="714" t="n">
        <v>857261</v>
      </c>
      <c r="W599" s="714" t="n">
        <v>900000</v>
      </c>
      <c r="X599" s="83" t="inlineStr">
        <is>
          <t>2.6:1</t>
        </is>
      </c>
      <c r="Y599" s="714" t="n">
        <v>350000</v>
      </c>
      <c r="Z599" s="63" t="inlineStr">
        <is>
          <t>B</t>
        </is>
      </c>
      <c r="AA599" s="59" t="n">
        <v>3</v>
      </c>
      <c r="AB599" s="59" t="n">
        <v>3</v>
      </c>
      <c r="AC599" s="67" t="n">
        <v>33</v>
      </c>
      <c r="AD599" s="61" t="inlineStr">
        <is>
          <t>Stapleton Bus. Ctr. #2</t>
        </is>
      </c>
      <c r="AE599" s="716" t="n">
        <v>3.76</v>
      </c>
      <c r="AF599" s="716" t="n">
        <v>3.76</v>
      </c>
      <c r="AG599" s="716" t="n">
        <v>3.72</v>
      </c>
      <c r="AH599" s="716" t="n">
        <v>0.04</v>
      </c>
      <c r="AI599" s="716" t="inlineStr">
        <is>
          <t>-</t>
        </is>
      </c>
      <c r="AJ599" s="716" t="inlineStr">
        <is>
          <t>-</t>
        </is>
      </c>
      <c r="AK599" s="716" t="n"/>
      <c r="AL599">
        <f>IF(AND(ISNUMBER($S599),$S599&gt;0,ISNUMBER($K599),ISNUMBER($J599)),($K599*$J599)/$S599,"")</f>
        <v/>
      </c>
    </row>
    <row r="600">
      <c r="A600" s="62" t="n">
        <v>8</v>
      </c>
      <c r="B600" s="93" t="n">
        <v>592</v>
      </c>
      <c r="C600" s="68" t="inlineStr">
        <is>
          <t>2009Q</t>
        </is>
      </c>
      <c r="D600" s="59" t="inlineStr">
        <is>
          <t xml:space="preserve">01154-02-003-000 </t>
        </is>
      </c>
      <c r="E600" s="72" t="inlineStr">
        <is>
          <t>Actual</t>
        </is>
      </c>
      <c r="F600" s="73" t="inlineStr">
        <is>
          <t>5050   FLORENCE             ST</t>
        </is>
      </c>
      <c r="G600" s="708" t="n">
        <v>46.7</v>
      </c>
      <c r="H600" s="67" t="n">
        <v>9103</v>
      </c>
      <c r="I600" s="69" t="n">
        <v>0</v>
      </c>
      <c r="J600" s="714" t="n">
        <v>34112</v>
      </c>
      <c r="K600" s="715" t="n">
        <v>12.22443714821764</v>
      </c>
      <c r="L600" s="74" t="n">
        <v>0</v>
      </c>
      <c r="M600" s="76" t="n">
        <v>0</v>
      </c>
      <c r="N600" s="67" t="n">
        <v>1998</v>
      </c>
      <c r="O600" s="64" t="n">
        <v>5312</v>
      </c>
      <c r="Q600" s="59" t="n">
        <v>26</v>
      </c>
      <c r="R600" s="59" t="n">
        <v>14</v>
      </c>
      <c r="S600" s="59" t="n">
        <v>1</v>
      </c>
      <c r="T600" s="63" t="inlineStr">
        <is>
          <t>CMU30</t>
        </is>
      </c>
      <c r="U600" s="63" t="n">
        <v>391</v>
      </c>
      <c r="V600" s="714" t="n">
        <v>206039</v>
      </c>
      <c r="W600" s="714" t="n">
        <v>210000</v>
      </c>
      <c r="X600" s="83" t="inlineStr">
        <is>
          <t>6.0:1</t>
        </is>
      </c>
      <c r="Y600" s="714">
        <f>ROUND(J600,-3)</f>
        <v/>
      </c>
      <c r="Z600" s="63" t="inlineStr">
        <is>
          <t xml:space="preserve">C </t>
        </is>
      </c>
      <c r="AA600" s="59" t="n">
        <v>3</v>
      </c>
      <c r="AB600" s="59" t="n">
        <v>3</v>
      </c>
      <c r="AC600" s="67" t="inlineStr">
        <is>
          <t>33</t>
        </is>
      </c>
      <c r="AD600" s="61" t="inlineStr">
        <is>
          <t xml:space="preserve">S-M DOMINO'S DOUGH  </t>
        </is>
      </c>
      <c r="AE600" s="716" t="n"/>
      <c r="AF600" s="716" t="n"/>
      <c r="AG600" s="716" t="n"/>
      <c r="AH600" s="716" t="n"/>
      <c r="AI600" s="716" t="n"/>
      <c r="AJ600" s="716" t="n"/>
      <c r="AK600" s="716" t="inlineStr">
        <is>
          <t xml:space="preserve">S-T INDUSTRIAL BLDG; LEASE DATES FROM 1999.                       </t>
        </is>
      </c>
      <c r="AL600">
        <f>IF(AND(ISNUMBER($S600),$S600&gt;0,ISNUMBER($K600),ISNUMBER($J600)),($K600*$J600)/$S600,"")</f>
        <v/>
      </c>
    </row>
    <row r="601">
      <c r="A601" s="62" t="n">
        <v>8</v>
      </c>
      <c r="B601" s="93" t="n">
        <v>593</v>
      </c>
      <c r="C601" s="68" t="inlineStr">
        <is>
          <t>2009Q</t>
        </is>
      </c>
      <c r="D601" s="59" t="inlineStr">
        <is>
          <t xml:space="preserve">01154-03-004-000 </t>
        </is>
      </c>
      <c r="E601" s="72" t="inlineStr">
        <is>
          <t>Actual</t>
        </is>
      </c>
      <c r="F601" s="73" t="inlineStr">
        <is>
          <t>10275 E 47TH                 AV</t>
        </is>
      </c>
      <c r="G601" s="708" t="n">
        <v>44.2</v>
      </c>
      <c r="H601" s="67" t="n">
        <v>9103</v>
      </c>
      <c r="I601" s="69" t="n">
        <v>0</v>
      </c>
      <c r="J601" s="714" t="n">
        <v>50533</v>
      </c>
      <c r="K601" s="715" t="n">
        <v>7.214295608810085</v>
      </c>
      <c r="L601" s="74" t="n">
        <v>0</v>
      </c>
      <c r="M601" s="76" t="n">
        <v>0</v>
      </c>
      <c r="N601" s="67" t="n">
        <v>1998</v>
      </c>
      <c r="O601" s="64" t="n">
        <v>11472</v>
      </c>
      <c r="P601" s="64" t="n">
        <v>12133</v>
      </c>
      <c r="Q601" s="59" t="n">
        <v>22</v>
      </c>
      <c r="R601" s="59" t="n">
        <v>14</v>
      </c>
      <c r="S601" s="59" t="n">
        <v>1</v>
      </c>
      <c r="T601" s="63" t="inlineStr">
        <is>
          <t>CMU30</t>
        </is>
      </c>
      <c r="U601" s="63" t="n">
        <v>398</v>
      </c>
      <c r="V601" s="714" t="n">
        <v>202118</v>
      </c>
      <c r="W601" s="714" t="n">
        <v>200000</v>
      </c>
      <c r="X601" s="83" t="inlineStr">
        <is>
          <t>4.0:1</t>
        </is>
      </c>
      <c r="Y601" s="714">
        <f>ROUND(J601,-4)</f>
        <v/>
      </c>
      <c r="Z601" s="63" t="inlineStr">
        <is>
          <t xml:space="preserve">C </t>
        </is>
      </c>
      <c r="AA601" s="59" t="n">
        <v>3</v>
      </c>
      <c r="AB601" s="59" t="n">
        <v>3</v>
      </c>
      <c r="AC601" s="67" t="inlineStr">
        <is>
          <t>33</t>
        </is>
      </c>
      <c r="AD601" s="61" t="inlineStr">
        <is>
          <t xml:space="preserve">GUY'S FLOOR SERVICE </t>
        </is>
      </c>
      <c r="AE601" s="716" t="n"/>
      <c r="AF601" s="716" t="n"/>
      <c r="AG601" s="716" t="n"/>
      <c r="AH601" s="716" t="n"/>
      <c r="AI601" s="716" t="n"/>
      <c r="AJ601" s="716" t="n"/>
      <c r="AK601" s="716" t="inlineStr">
        <is>
          <t xml:space="preserve">S-T WHSE                                                          </t>
        </is>
      </c>
      <c r="AL601">
        <f>IF(AND(ISNUMBER($S601),$S601&gt;0,ISNUMBER($K601),ISNUMBER($J601)),($K601*$J601)/$S601,"")</f>
        <v/>
      </c>
    </row>
    <row r="602">
      <c r="A602" s="62" t="n">
        <v>8</v>
      </c>
      <c r="B602" s="93" t="n">
        <v>594</v>
      </c>
      <c r="C602" s="68" t="inlineStr">
        <is>
          <t>2009Q</t>
        </is>
      </c>
      <c r="D602" s="59" t="inlineStr">
        <is>
          <t xml:space="preserve">01154-04-002-000 </t>
        </is>
      </c>
      <c r="E602" s="72" t="inlineStr">
        <is>
          <t>Actual</t>
        </is>
      </c>
      <c r="F602" s="73" t="inlineStr">
        <is>
          <t>4800   GENEVA               ST</t>
        </is>
      </c>
      <c r="G602" s="708" t="n">
        <v>44.2</v>
      </c>
      <c r="H602" s="67" t="n">
        <v>9103</v>
      </c>
      <c r="I602" s="69" t="n">
        <v>0</v>
      </c>
      <c r="J602" s="714" t="n">
        <v>20146</v>
      </c>
      <c r="K602" s="715" t="n">
        <v>5.559416261292564</v>
      </c>
      <c r="L602" s="74" t="n">
        <v>0</v>
      </c>
      <c r="M602" s="76" t="n">
        <v>0.01838392857142857</v>
      </c>
      <c r="N602" s="67" t="n">
        <v>2005</v>
      </c>
      <c r="O602" s="64" t="n">
        <v>964</v>
      </c>
      <c r="Q602" s="59" t="n">
        <v>28</v>
      </c>
      <c r="R602" s="59" t="n">
        <v>14</v>
      </c>
      <c r="S602" s="59" t="n">
        <v>1</v>
      </c>
      <c r="T602" s="63" t="inlineStr">
        <is>
          <t>CMU30</t>
        </is>
      </c>
      <c r="U602" s="63" t="n">
        <v>398</v>
      </c>
      <c r="V602" s="714" t="n">
        <v>71003</v>
      </c>
      <c r="W602" s="714" t="n">
        <v>70000</v>
      </c>
      <c r="X602" s="83" t="inlineStr">
        <is>
          <t>3.5:1</t>
        </is>
      </c>
      <c r="Y602" s="714">
        <f>ROUND(J602,-3)</f>
        <v/>
      </c>
      <c r="Z602" s="63" t="inlineStr">
        <is>
          <t xml:space="preserve">C </t>
        </is>
      </c>
      <c r="AA602" s="59" t="n">
        <v>3</v>
      </c>
      <c r="AB602" s="59" t="n">
        <v>3</v>
      </c>
      <c r="AC602" s="67" t="inlineStr">
        <is>
          <t>33</t>
        </is>
      </c>
      <c r="AD602" s="61" t="inlineStr">
        <is>
          <t xml:space="preserve">GUY'S FLOOR SERVICE </t>
        </is>
      </c>
      <c r="AE602" s="716" t="n"/>
      <c r="AF602" s="716" t="n"/>
      <c r="AG602" s="716" t="n"/>
      <c r="AH602" s="716" t="n"/>
      <c r="AI602" s="716" t="n"/>
      <c r="AJ602" s="716" t="n"/>
      <c r="AK602" s="716" t="inlineStr">
        <is>
          <t xml:space="preserve">S-T WHSE.                                                         </t>
        </is>
      </c>
      <c r="AL602">
        <f>IF(AND(ISNUMBER($S602),$S602&gt;0,ISNUMBER($K602),ISNUMBER($J602)),($K602*$J602)/$S602,"")</f>
        <v/>
      </c>
    </row>
    <row r="603">
      <c r="A603" s="62" t="n">
        <v>8</v>
      </c>
      <c r="B603" s="93" t="n">
        <v>595</v>
      </c>
      <c r="C603" s="68" t="inlineStr">
        <is>
          <t>2009Q</t>
        </is>
      </c>
      <c r="D603" s="59" t="inlineStr">
        <is>
          <t xml:space="preserve">01154-04-005-000 </t>
        </is>
      </c>
      <c r="E603" s="72" t="inlineStr">
        <is>
          <t>Actual</t>
        </is>
      </c>
      <c r="F603" s="73" t="inlineStr">
        <is>
          <t>4890   GENEVA               ST</t>
        </is>
      </c>
      <c r="G603" s="708" t="n">
        <v>44.2</v>
      </c>
      <c r="H603" s="67" t="n">
        <v>9103</v>
      </c>
      <c r="I603" s="69" t="n">
        <v>0</v>
      </c>
      <c r="J603" s="714" t="n">
        <v>17750</v>
      </c>
      <c r="K603" s="715" t="n">
        <v>8.441014084507042</v>
      </c>
      <c r="L603" s="74" t="n">
        <v>0</v>
      </c>
      <c r="M603" s="76" t="n">
        <v>0.07411164802306645</v>
      </c>
      <c r="N603" s="67" t="n">
        <v>2004</v>
      </c>
      <c r="O603" s="64" t="n">
        <v>8277</v>
      </c>
      <c r="Q603" s="59" t="n">
        <v>30</v>
      </c>
      <c r="R603" s="59" t="n">
        <v>14</v>
      </c>
      <c r="S603" s="59" t="n">
        <v>1</v>
      </c>
      <c r="T603" s="63" t="inlineStr">
        <is>
          <t>CMU30</t>
        </is>
      </c>
      <c r="U603" s="63" t="n">
        <v>398</v>
      </c>
      <c r="V603" s="714" t="n">
        <v>65250</v>
      </c>
      <c r="W603" s="714" t="n">
        <v>70000</v>
      </c>
      <c r="X603" s="83" t="inlineStr">
        <is>
          <t>3.7:1</t>
        </is>
      </c>
      <c r="Y603" s="714">
        <f>ROUND(J603,-3)</f>
        <v/>
      </c>
      <c r="Z603" s="63" t="inlineStr">
        <is>
          <t xml:space="preserve">C </t>
        </is>
      </c>
      <c r="AA603" s="59" t="n">
        <v>3</v>
      </c>
      <c r="AB603" s="59" t="n">
        <v>3</v>
      </c>
      <c r="AC603" s="67" t="inlineStr">
        <is>
          <t>33</t>
        </is>
      </c>
      <c r="AD603" s="61" t="inlineStr">
        <is>
          <t xml:space="preserve">STRYKER             </t>
        </is>
      </c>
      <c r="AE603" s="716" t="n"/>
      <c r="AF603" s="716" t="n"/>
      <c r="AG603" s="716" t="n"/>
      <c r="AH603" s="716" t="n"/>
      <c r="AI603" s="716" t="n"/>
      <c r="AJ603" s="716" t="n"/>
      <c r="AK603" s="716" t="inlineStr">
        <is>
          <t xml:space="preserve">S-T WHSE.; 2005 LEASE.                                            </t>
        </is>
      </c>
      <c r="AL603">
        <f>IF(AND(ISNUMBER($S603),$S603&gt;0,ISNUMBER($K603),ISNUMBER($J603)),($K603*$J603)/$S603,"")</f>
        <v/>
      </c>
    </row>
    <row r="604">
      <c r="A604" s="62" t="n">
        <v>8</v>
      </c>
      <c r="B604" s="93" t="n">
        <v>596</v>
      </c>
      <c r="C604" s="68" t="inlineStr">
        <is>
          <t>2009Q</t>
        </is>
      </c>
      <c r="D604" s="59" t="inlineStr">
        <is>
          <t xml:space="preserve">01183-00-012-000 </t>
        </is>
      </c>
      <c r="E604" s="72" t="inlineStr">
        <is>
          <t>Actual</t>
        </is>
      </c>
      <c r="F604" s="73" t="inlineStr">
        <is>
          <t>5050   COLORADO             BV</t>
        </is>
      </c>
      <c r="G604" s="708" t="n">
        <v>44.2</v>
      </c>
      <c r="H604" s="67" t="n">
        <v>9101</v>
      </c>
      <c r="I604" s="69" t="n">
        <v>5</v>
      </c>
      <c r="J604" s="714" t="n">
        <v>40896</v>
      </c>
      <c r="K604" s="715" t="n">
        <v>2.503472222222222</v>
      </c>
      <c r="L604" s="74" t="n">
        <v>0</v>
      </c>
      <c r="M604" s="76" t="n">
        <v>0.2233888769510265</v>
      </c>
      <c r="N604" s="67" t="n">
        <v>1959</v>
      </c>
      <c r="O604" s="64" t="n">
        <v>1200</v>
      </c>
      <c r="P604" s="64" t="n">
        <v>2764</v>
      </c>
      <c r="Q604" s="59" t="n">
        <v>22</v>
      </c>
      <c r="R604" s="59" t="n">
        <v>1</v>
      </c>
      <c r="S604" s="59" t="n">
        <v>1</v>
      </c>
      <c r="T604" s="63" t="inlineStr">
        <is>
          <t xml:space="preserve">I2   </t>
        </is>
      </c>
      <c r="U604" s="63" t="n">
        <v>398</v>
      </c>
      <c r="V604" s="714" t="n">
        <v>95733</v>
      </c>
      <c r="W604" s="714" t="n">
        <v>100000</v>
      </c>
      <c r="X604" s="83" t="inlineStr">
        <is>
          <t>2.3:1</t>
        </is>
      </c>
      <c r="Y604" s="714">
        <f>ROUND(J604,-3)</f>
        <v/>
      </c>
      <c r="Z604" s="63" t="inlineStr">
        <is>
          <t xml:space="preserve">C </t>
        </is>
      </c>
      <c r="AA604" s="59" t="n">
        <v>3</v>
      </c>
      <c r="AB604" s="59" t="n">
        <v>3</v>
      </c>
      <c r="AC604" s="67" t="inlineStr">
        <is>
          <t>33</t>
        </is>
      </c>
      <c r="AD604" s="61" t="inlineStr">
        <is>
          <t xml:space="preserve">S-W WEATHER GUARD   </t>
        </is>
      </c>
      <c r="AE604" s="716" t="n"/>
      <c r="AF604" s="716" t="n"/>
      <c r="AG604" s="716" t="n"/>
      <c r="AH604" s="716" t="n"/>
      <c r="AI604" s="716" t="n"/>
      <c r="AJ604" s="716" t="n"/>
      <c r="AK604" s="716" t="inlineStr">
        <is>
          <t xml:space="preserve">S-T WHSE                                                          </t>
        </is>
      </c>
      <c r="AL604">
        <f>IF(AND(ISNUMBER($S604),$S604&gt;0,ISNUMBER($K604),ISNUMBER($J604)),($K604*$J604)/$S604,"")</f>
        <v/>
      </c>
    </row>
    <row r="605">
      <c r="A605" s="62" t="n">
        <v>8</v>
      </c>
      <c r="B605" s="93" t="n">
        <v>597</v>
      </c>
      <c r="C605" s="68" t="inlineStr">
        <is>
          <t>2009Q</t>
        </is>
      </c>
      <c r="D605" s="59" t="inlineStr">
        <is>
          <t xml:space="preserve">01183-00-013-000 </t>
        </is>
      </c>
      <c r="E605" s="72" t="inlineStr">
        <is>
          <t>Actual</t>
        </is>
      </c>
      <c r="F605" s="73" t="inlineStr">
        <is>
          <t>5000   COLORADO             BV</t>
        </is>
      </c>
      <c r="G605" s="708" t="n">
        <v>44.2</v>
      </c>
      <c r="H605" s="67" t="n">
        <v>9101</v>
      </c>
      <c r="I605" s="69" t="n">
        <v>5</v>
      </c>
      <c r="J605" s="714" t="n">
        <v>15058</v>
      </c>
      <c r="K605" s="715" t="n">
        <v>4.59058307876212</v>
      </c>
      <c r="L605" s="74" t="n">
        <v>0</v>
      </c>
      <c r="M605" s="76" t="n">
        <v>0</v>
      </c>
      <c r="N605" s="67" t="n">
        <v>1964</v>
      </c>
      <c r="P605" s="64" t="n">
        <v>1872</v>
      </c>
      <c r="Q605" s="59" t="n">
        <v>19</v>
      </c>
      <c r="R605" s="59" t="n">
        <v>1</v>
      </c>
      <c r="S605" s="59" t="n">
        <v>1</v>
      </c>
      <c r="T605" s="63" t="inlineStr">
        <is>
          <t xml:space="preserve">I2   </t>
        </is>
      </c>
      <c r="U605" s="63" t="n">
        <v>398</v>
      </c>
      <c r="V605" s="714" t="n">
        <v>59290</v>
      </c>
      <c r="W605" s="714" t="n">
        <v>60000</v>
      </c>
      <c r="X605" s="83" t="inlineStr">
        <is>
          <t>3.9:1</t>
        </is>
      </c>
      <c r="Y605" s="714">
        <f>ROUND(J605,-3)</f>
        <v/>
      </c>
      <c r="Z605" s="63" t="inlineStr">
        <is>
          <t xml:space="preserve">C </t>
        </is>
      </c>
      <c r="AA605" s="59" t="n">
        <v>3</v>
      </c>
      <c r="AB605" s="59" t="n">
        <v>3</v>
      </c>
      <c r="AC605" s="67" t="inlineStr">
        <is>
          <t>33</t>
        </is>
      </c>
      <c r="AD605" s="61" t="inlineStr">
        <is>
          <t>DIST J W BREWER TIRE</t>
        </is>
      </c>
      <c r="AE605" s="716" t="n"/>
      <c r="AF605" s="716" t="n"/>
      <c r="AG605" s="716" t="n"/>
      <c r="AH605" s="716" t="n"/>
      <c r="AI605" s="716" t="n"/>
      <c r="AJ605" s="716" t="n"/>
      <c r="AK605" s="716" t="inlineStr">
        <is>
          <t xml:space="preserve">S-T WHSE.; 2005 LEASE.                                            </t>
        </is>
      </c>
      <c r="AL605">
        <f>IF(AND(ISNUMBER($S605),$S605&gt;0,ISNUMBER($K605),ISNUMBER($J605)),($K605*$J605)/$S605,"")</f>
        <v/>
      </c>
    </row>
    <row r="606">
      <c r="A606" s="62" t="n">
        <v>8</v>
      </c>
      <c r="B606" s="93" t="n">
        <v>598</v>
      </c>
      <c r="C606" s="68" t="inlineStr">
        <is>
          <t>2009Q</t>
        </is>
      </c>
      <c r="D606" s="59" t="inlineStr">
        <is>
          <t xml:space="preserve">01183-00-036-000 </t>
        </is>
      </c>
      <c r="E606" s="72" t="inlineStr">
        <is>
          <t>Actual</t>
        </is>
      </c>
      <c r="F606" s="73" t="inlineStr">
        <is>
          <t>4950   COLORADO             BV</t>
        </is>
      </c>
      <c r="G606" s="708" t="n">
        <v>44.2</v>
      </c>
      <c r="H606" s="67" t="n">
        <v>9101</v>
      </c>
      <c r="I606" s="69" t="n">
        <v>5</v>
      </c>
      <c r="J606" s="714" t="n">
        <v>44780</v>
      </c>
      <c r="K606" s="715" t="n">
        <v>3.752300133988387</v>
      </c>
      <c r="L606" s="74" t="n">
        <v>0</v>
      </c>
      <c r="M606" s="76" t="n">
        <v>0</v>
      </c>
      <c r="N606" s="67" t="n">
        <v>1955</v>
      </c>
      <c r="P606" s="64" t="n">
        <v>4259</v>
      </c>
      <c r="Q606" s="59" t="n">
        <v>20</v>
      </c>
      <c r="R606" s="59" t="n">
        <v>10</v>
      </c>
      <c r="S606" s="59" t="n">
        <v>1</v>
      </c>
      <c r="T606" s="63" t="inlineStr">
        <is>
          <t xml:space="preserve">I2   </t>
        </is>
      </c>
      <c r="U606" s="63" t="n">
        <v>398</v>
      </c>
      <c r="V606" s="714" t="n">
        <v>104790</v>
      </c>
      <c r="W606" s="714" t="n">
        <v>100000</v>
      </c>
      <c r="X606" s="83" t="inlineStr">
        <is>
          <t>2.3:1</t>
        </is>
      </c>
      <c r="Y606" s="714">
        <f>ROUND(J606,-3)</f>
        <v/>
      </c>
      <c r="Z606" s="63" t="inlineStr">
        <is>
          <t xml:space="preserve">C </t>
        </is>
      </c>
      <c r="AA606" s="59" t="n">
        <v>3</v>
      </c>
      <c r="AB606" s="59" t="n">
        <v>3</v>
      </c>
      <c r="AC606" s="67" t="inlineStr">
        <is>
          <t>33</t>
        </is>
      </c>
      <c r="AD606" s="61" t="inlineStr"/>
      <c r="AE606" s="716" t="n"/>
      <c r="AF606" s="716" t="n"/>
      <c r="AG606" s="716" t="n"/>
      <c r="AH606" s="716" t="n"/>
      <c r="AI606" s="716" t="n"/>
      <c r="AJ606" s="716" t="n"/>
      <c r="AK606" s="716" t="inlineStr">
        <is>
          <t xml:space="preserve">S-T WHSE; 2003 LEASE.                                             </t>
        </is>
      </c>
      <c r="AL606">
        <f>IF(AND(ISNUMBER($S606),$S606&gt;0,ISNUMBER($K606),ISNUMBER($J606)),($K606*$J606)/$S606,"")</f>
        <v/>
      </c>
    </row>
    <row r="607">
      <c r="A607" s="62" t="n">
        <v>8</v>
      </c>
      <c r="B607" s="93" t="n">
        <v>599</v>
      </c>
      <c r="C607" s="68" t="inlineStr">
        <is>
          <t>2009Q</t>
        </is>
      </c>
      <c r="D607" s="59" t="inlineStr">
        <is>
          <t xml:space="preserve">01183-00-057-000 </t>
        </is>
      </c>
      <c r="E607" s="72" t="inlineStr">
        <is>
          <t>Actual</t>
        </is>
      </c>
      <c r="F607" s="73" t="inlineStr">
        <is>
          <t>4101 E 48TH                 AV</t>
        </is>
      </c>
      <c r="G607" s="708" t="n">
        <v>47.2</v>
      </c>
      <c r="H607" s="67" t="n">
        <v>9101</v>
      </c>
      <c r="I607" s="69" t="n">
        <v>0</v>
      </c>
      <c r="J607" s="714" t="n">
        <v>75608</v>
      </c>
      <c r="K607" s="715" t="n">
        <v>1.983917045815258</v>
      </c>
      <c r="L607" s="74" t="n">
        <v>0</v>
      </c>
      <c r="M607" s="76" t="n">
        <v>0</v>
      </c>
      <c r="N607" s="67" t="n">
        <v>1963</v>
      </c>
      <c r="O607" s="64">
        <f>4254+1382</f>
        <v/>
      </c>
      <c r="P607" s="64" t="inlineStr"/>
      <c r="Q607" s="59" t="n">
        <v>15</v>
      </c>
      <c r="R607" s="59" t="n">
        <v>3</v>
      </c>
      <c r="S607" s="59" t="n">
        <v>1</v>
      </c>
      <c r="T607" s="63" t="inlineStr">
        <is>
          <t xml:space="preserve">I2   </t>
        </is>
      </c>
      <c r="U607" s="63" t="n">
        <v>401</v>
      </c>
      <c r="V607" s="714" t="n">
        <v>110783</v>
      </c>
      <c r="W607" s="714" t="n">
        <v>110000</v>
      </c>
      <c r="X607" s="83" t="inlineStr">
        <is>
          <t>1.5:1</t>
        </is>
      </c>
      <c r="Y607" s="714">
        <f>ROUND(J607,-4)</f>
        <v/>
      </c>
      <c r="Z607" s="63" t="inlineStr">
        <is>
          <t xml:space="preserve">C </t>
        </is>
      </c>
      <c r="AA607" s="59" t="n">
        <v>2</v>
      </c>
      <c r="AB607" s="59" t="n">
        <v>2</v>
      </c>
      <c r="AC607" s="67" t="inlineStr">
        <is>
          <t>22</t>
        </is>
      </c>
      <c r="AD607" s="61" t="inlineStr"/>
      <c r="AE607" s="716" t="n"/>
      <c r="AF607" s="716" t="n"/>
      <c r="AG607" s="716" t="n"/>
      <c r="AH607" s="716" t="n"/>
      <c r="AI607" s="716" t="n"/>
      <c r="AJ607" s="716" t="n"/>
      <c r="AK607" s="716" t="inlineStr">
        <is>
          <t xml:space="preserve">S-T WHSE. MO-TO-MO.                                               </t>
        </is>
      </c>
      <c r="AL607">
        <f>IF(AND(ISNUMBER($S607),$S607&gt;0,ISNUMBER($K607),ISNUMBER($J607)),($K607*$J607)/$S607,"")</f>
        <v/>
      </c>
    </row>
    <row r="608">
      <c r="A608" s="62" t="n">
        <v>8</v>
      </c>
      <c r="B608" s="93" t="n">
        <v>600</v>
      </c>
      <c r="C608" s="68" t="inlineStr">
        <is>
          <t>2009Q</t>
        </is>
      </c>
      <c r="D608" s="59" t="inlineStr">
        <is>
          <t xml:space="preserve">01183-00-058-000 </t>
        </is>
      </c>
      <c r="E608" s="72" t="inlineStr">
        <is>
          <t>Actual</t>
        </is>
      </c>
      <c r="F608" s="73" t="inlineStr">
        <is>
          <t>4201 E 48TH                 AV</t>
        </is>
      </c>
      <c r="G608" s="708" t="n">
        <v>44.2</v>
      </c>
      <c r="H608" s="67" t="n">
        <v>9101</v>
      </c>
      <c r="I608" s="69" t="n">
        <v>0</v>
      </c>
      <c r="J608" s="714" t="n">
        <v>19692</v>
      </c>
      <c r="K608" s="715" t="n">
        <v>2.58988421694089</v>
      </c>
      <c r="L608" s="74" t="n">
        <v>0</v>
      </c>
      <c r="M608" s="76" t="n">
        <v>0</v>
      </c>
      <c r="N608" s="67" t="n">
        <v>1959</v>
      </c>
      <c r="O608" s="64" t="n">
        <v>1400</v>
      </c>
      <c r="Q608" s="59" t="n">
        <v>17</v>
      </c>
      <c r="R608" s="59" t="n">
        <v>3</v>
      </c>
      <c r="S608" s="59" t="n">
        <v>1</v>
      </c>
      <c r="T608" s="63" t="inlineStr">
        <is>
          <t xml:space="preserve">I2   </t>
        </is>
      </c>
      <c r="U608" s="63" t="n">
        <v>398</v>
      </c>
      <c r="V608" s="714" t="n">
        <v>45551</v>
      </c>
      <c r="W608" s="714" t="n">
        <v>46000</v>
      </c>
      <c r="X608" s="83" t="inlineStr">
        <is>
          <t>2.3:1</t>
        </is>
      </c>
      <c r="Y608" s="714">
        <f>ROUND(J608,-3)</f>
        <v/>
      </c>
      <c r="Z608" s="63" t="inlineStr">
        <is>
          <t xml:space="preserve">C </t>
        </is>
      </c>
      <c r="AA608" s="59" t="n">
        <v>2</v>
      </c>
      <c r="AB608" s="59" t="n">
        <v>2</v>
      </c>
      <c r="AC608" s="67" t="inlineStr">
        <is>
          <t>22</t>
        </is>
      </c>
      <c r="AD608" s="61" t="inlineStr"/>
      <c r="AE608" s="716" t="n"/>
      <c r="AF608" s="716" t="n"/>
      <c r="AG608" s="716" t="n"/>
      <c r="AH608" s="716" t="n"/>
      <c r="AI608" s="716" t="n"/>
      <c r="AJ608" s="716" t="n"/>
      <c r="AK608" s="716" t="inlineStr">
        <is>
          <t xml:space="preserve">S-T WHSE; MO-TO-MO.                                               </t>
        </is>
      </c>
      <c r="AL608">
        <f>IF(AND(ISNUMBER($S608),$S608&gt;0,ISNUMBER($K608),ISNUMBER($J608)),($K608*$J608)/$S608,"")</f>
        <v/>
      </c>
    </row>
    <row r="609">
      <c r="A609" s="62" t="n">
        <v>8</v>
      </c>
      <c r="B609" s="93" t="n">
        <v>601</v>
      </c>
      <c r="C609" s="68" t="inlineStr">
        <is>
          <t>2009Q</t>
        </is>
      </c>
      <c r="D609" s="59" t="inlineStr">
        <is>
          <t xml:space="preserve">01183-01-015-000 </t>
        </is>
      </c>
      <c r="E609" s="72" t="inlineStr">
        <is>
          <t>Actual</t>
        </is>
      </c>
      <c r="F609" s="73" t="inlineStr">
        <is>
          <t>4550 E 52ND                 AV</t>
        </is>
      </c>
      <c r="G609" s="708" t="n">
        <v>44.2</v>
      </c>
      <c r="H609" s="67" t="n">
        <v>9101</v>
      </c>
      <c r="I609" s="69" t="n">
        <v>0</v>
      </c>
      <c r="J609" s="714" t="n">
        <v>26010</v>
      </c>
      <c r="K609" s="715" t="n">
        <v>13.84083044982699</v>
      </c>
      <c r="L609" s="74" t="n">
        <v>0</v>
      </c>
      <c r="M609" s="76" t="n">
        <v>0</v>
      </c>
      <c r="N609" s="67" t="n">
        <v>1992</v>
      </c>
      <c r="O609" s="64">
        <f>2295*2</f>
        <v/>
      </c>
      <c r="P609" s="64" t="n">
        <v>330</v>
      </c>
      <c r="Q609" s="59" t="n">
        <v>20</v>
      </c>
      <c r="R609" s="59" t="n">
        <v>7</v>
      </c>
      <c r="S609" s="59" t="n">
        <v>1</v>
      </c>
      <c r="T609" s="63" t="inlineStr">
        <is>
          <t xml:space="preserve">I2   </t>
        </is>
      </c>
      <c r="U609" s="63" t="n">
        <v>398</v>
      </c>
      <c r="V609" s="714" t="n">
        <v>81553</v>
      </c>
      <c r="W609" s="714" t="n">
        <v>80000</v>
      </c>
      <c r="X609" s="83" t="inlineStr">
        <is>
          <t>3.1:1</t>
        </is>
      </c>
      <c r="Y609" s="714">
        <f>ROUND(J609,-3)</f>
        <v/>
      </c>
      <c r="Z609" s="63" t="inlineStr">
        <is>
          <t xml:space="preserve">C </t>
        </is>
      </c>
      <c r="AA609" s="59" t="n">
        <v>3</v>
      </c>
      <c r="AB609" s="59" t="n">
        <v>3</v>
      </c>
      <c r="AC609" s="67" t="inlineStr">
        <is>
          <t>33</t>
        </is>
      </c>
      <c r="AD609" s="61" t="inlineStr">
        <is>
          <t>S-W AMERICAN ROOFING</t>
        </is>
      </c>
      <c r="AE609" s="716" t="n"/>
      <c r="AF609" s="716" t="n"/>
      <c r="AG609" s="716" t="n"/>
      <c r="AH609" s="716" t="n"/>
      <c r="AI609" s="716" t="n"/>
      <c r="AJ609" s="716" t="n"/>
      <c r="AK609" s="716" t="inlineStr">
        <is>
          <t xml:space="preserve">S-T WHSES.; LEASE ORIGINATED IN 1989.                             </t>
        </is>
      </c>
      <c r="AL609">
        <f>IF(AND(ISNUMBER($S609),$S609&gt;0,ISNUMBER($K609),ISNUMBER($J609)),($K609*$J609)/$S609,"")</f>
        <v/>
      </c>
    </row>
    <row r="610">
      <c r="A610" s="62" t="n">
        <v>8</v>
      </c>
      <c r="B610" s="93" t="n">
        <v>602</v>
      </c>
      <c r="C610" s="68" t="inlineStr">
        <is>
          <t>2009Q</t>
        </is>
      </c>
      <c r="D610" s="59" t="inlineStr">
        <is>
          <t xml:space="preserve">01183-02-011-000 </t>
        </is>
      </c>
      <c r="E610" s="72" t="inlineStr">
        <is>
          <t>Actual</t>
        </is>
      </c>
      <c r="F610" s="73" t="inlineStr">
        <is>
          <t>4770 E 51ST                 AV</t>
        </is>
      </c>
      <c r="G610" s="708" t="n">
        <v>44.7</v>
      </c>
      <c r="H610" s="67" t="n">
        <v>9101</v>
      </c>
      <c r="I610" s="69" t="n">
        <v>0</v>
      </c>
      <c r="J610" s="714" t="n">
        <v>101883</v>
      </c>
      <c r="K610" s="715" t="n">
        <v>3.182621242012897</v>
      </c>
      <c r="L610" s="74" t="n">
        <v>0</v>
      </c>
      <c r="M610" s="76" t="n">
        <v>0</v>
      </c>
      <c r="N610" s="67" t="n">
        <v>1974</v>
      </c>
      <c r="O610" s="64">
        <f>16800+8047</f>
        <v/>
      </c>
      <c r="Q610" s="59" t="n">
        <v>24</v>
      </c>
      <c r="R610" s="59" t="n">
        <v>10</v>
      </c>
      <c r="S610" s="59" t="n">
        <v>1</v>
      </c>
      <c r="T610" s="63" t="inlineStr">
        <is>
          <t xml:space="preserve">I2   </t>
        </is>
      </c>
      <c r="U610" s="63" t="n">
        <v>398</v>
      </c>
      <c r="V610" s="714" t="n">
        <v>261000</v>
      </c>
      <c r="W610" s="714" t="n">
        <v>260000</v>
      </c>
      <c r="X610" s="83" t="inlineStr">
        <is>
          <t>2.6:1</t>
        </is>
      </c>
      <c r="Y610" s="714">
        <f>ROUND(J610,-4)</f>
        <v/>
      </c>
      <c r="Z610" s="63" t="inlineStr">
        <is>
          <t xml:space="preserve">C </t>
        </is>
      </c>
      <c r="AA610" s="59" t="n">
        <v>3</v>
      </c>
      <c r="AB610" s="59" t="n">
        <v>3</v>
      </c>
      <c r="AC610" s="67" t="inlineStr">
        <is>
          <t>33</t>
        </is>
      </c>
      <c r="AD610" s="61" t="inlineStr">
        <is>
          <t>MILE-HI FROZEN FOODS</t>
        </is>
      </c>
      <c r="AE610" s="716" t="n"/>
      <c r="AF610" s="716" t="n"/>
      <c r="AG610" s="716" t="n"/>
      <c r="AH610" s="716" t="n"/>
      <c r="AI610" s="716" t="n"/>
      <c r="AJ610" s="716" t="n"/>
      <c r="AK610" s="716" t="inlineStr">
        <is>
          <t xml:space="preserve">S-T WHSE.; DATE OF LEASE UNKNOWN.                                 </t>
        </is>
      </c>
      <c r="AL610">
        <f>IF(AND(ISNUMBER($S610),$S610&gt;0,ISNUMBER($K610),ISNUMBER($J610)),($K610*$J610)/$S610,"")</f>
        <v/>
      </c>
    </row>
    <row r="611">
      <c r="A611" s="62" t="n">
        <v>8</v>
      </c>
      <c r="B611" s="93" t="n">
        <v>603</v>
      </c>
      <c r="C611" s="68" t="inlineStr">
        <is>
          <t>2009Q</t>
        </is>
      </c>
      <c r="D611" s="59" t="inlineStr">
        <is>
          <t xml:space="preserve">01183-02-012-000 </t>
        </is>
      </c>
      <c r="E611" s="72" t="inlineStr">
        <is>
          <t>Actual</t>
        </is>
      </c>
      <c r="F611" s="73" t="inlineStr">
        <is>
          <t>4501 E 50TH                 AV</t>
        </is>
      </c>
      <c r="G611" s="708" t="n">
        <v>44.7</v>
      </c>
      <c r="H611" s="67" t="n">
        <v>9101</v>
      </c>
      <c r="I611" s="69" t="n">
        <v>0</v>
      </c>
      <c r="J611" s="714" t="n">
        <v>104748</v>
      </c>
      <c r="K611" s="715" t="n">
        <v>5.314125329361898</v>
      </c>
      <c r="L611" s="74" t="n">
        <v>0</v>
      </c>
      <c r="M611" s="76" t="n">
        <v>0</v>
      </c>
      <c r="N611" s="67" t="n">
        <v>1973</v>
      </c>
      <c r="O611" s="64">
        <f>529+2475+512</f>
        <v/>
      </c>
      <c r="Q611" s="59" t="n">
        <v>27</v>
      </c>
      <c r="R611" s="59" t="n">
        <v>3</v>
      </c>
      <c r="S611" s="59" t="n">
        <v>2</v>
      </c>
      <c r="T611" s="63" t="inlineStr">
        <is>
          <t xml:space="preserve">I2   </t>
        </is>
      </c>
      <c r="U611" s="63" t="n">
        <v>398</v>
      </c>
      <c r="V611" s="714" t="n">
        <v>261359</v>
      </c>
      <c r="W611" s="714" t="n">
        <v>260000</v>
      </c>
      <c r="X611" s="83" t="inlineStr">
        <is>
          <t>2.5:1</t>
        </is>
      </c>
      <c r="Y611" s="714">
        <f>ROUND(J611,-4)</f>
        <v/>
      </c>
      <c r="Z611" s="63" t="inlineStr">
        <is>
          <t xml:space="preserve">C </t>
        </is>
      </c>
      <c r="AA611" s="59" t="n">
        <v>3</v>
      </c>
      <c r="AB611" s="59" t="n">
        <v>3</v>
      </c>
      <c r="AC611" s="67" t="inlineStr">
        <is>
          <t>33</t>
        </is>
      </c>
      <c r="AD611" s="61" t="inlineStr">
        <is>
          <t>MILE HIGH FROZEN FOO</t>
        </is>
      </c>
      <c r="AE611" s="716" t="n"/>
      <c r="AF611" s="716" t="n"/>
      <c r="AG611" s="716" t="n"/>
      <c r="AH611" s="716" t="n"/>
      <c r="AI611" s="716" t="n"/>
      <c r="AJ611" s="716" t="n"/>
      <c r="AK611" s="716" t="inlineStr">
        <is>
          <t xml:space="preserve">S-T WHSE.; YR. TO YR. LEASE.                                      </t>
        </is>
      </c>
      <c r="AL611">
        <f>IF(AND(ISNUMBER($S611),$S611&gt;0,ISNUMBER($K611),ISNUMBER($J611)),($K611*$J611)/$S611,"")</f>
        <v/>
      </c>
    </row>
    <row r="612">
      <c r="A612" s="62" t="n">
        <v>8</v>
      </c>
      <c r="B612" s="93" t="n">
        <v>604</v>
      </c>
      <c r="C612" s="68" t="inlineStr">
        <is>
          <t>2009Q</t>
        </is>
      </c>
      <c r="D612" s="59" t="inlineStr">
        <is>
          <t xml:space="preserve">01183-02-016-000 </t>
        </is>
      </c>
      <c r="E612" s="72" t="inlineStr">
        <is>
          <t>Actual</t>
        </is>
      </c>
      <c r="F612" s="73" t="inlineStr">
        <is>
          <t>5075   DAHLIA               ST</t>
        </is>
      </c>
      <c r="G612" s="708" t="n">
        <v>44.7</v>
      </c>
      <c r="H612" s="67" t="n">
        <v>9101</v>
      </c>
      <c r="I612" s="69" t="n">
        <v>0</v>
      </c>
      <c r="J612" s="714" t="n">
        <v>13066</v>
      </c>
      <c r="K612" s="715" t="n">
        <v>3.731057707025869</v>
      </c>
      <c r="L612" s="74" t="n">
        <v>0</v>
      </c>
      <c r="M612" s="76" t="n">
        <v>0.001764102564102564</v>
      </c>
      <c r="N612" s="67" t="n">
        <v>1966</v>
      </c>
      <c r="O612" s="64" t="n">
        <v>1560</v>
      </c>
      <c r="Q612" s="59" t="n">
        <v>20</v>
      </c>
      <c r="R612" s="59" t="n">
        <v>3</v>
      </c>
      <c r="S612" s="59" t="n">
        <v>2</v>
      </c>
      <c r="T612" s="63" t="inlineStr">
        <is>
          <t xml:space="preserve">I2   </t>
        </is>
      </c>
      <c r="U612" s="63" t="n">
        <v>398</v>
      </c>
      <c r="V612" s="714" t="n">
        <v>18315</v>
      </c>
      <c r="W612" s="714" t="n">
        <v>18000</v>
      </c>
      <c r="X612" s="83" t="inlineStr">
        <is>
          <t>1.4:1</t>
        </is>
      </c>
      <c r="Y612" s="714">
        <f>ROUND(J612,-3)</f>
        <v/>
      </c>
      <c r="Z612" s="63" t="inlineStr">
        <is>
          <t xml:space="preserve">C </t>
        </is>
      </c>
      <c r="AA612" s="59" t="n">
        <v>3</v>
      </c>
      <c r="AB612" s="59" t="n">
        <v>3</v>
      </c>
      <c r="AC612" s="67" t="inlineStr">
        <is>
          <t>33</t>
        </is>
      </c>
      <c r="AD612" s="61" t="inlineStr"/>
      <c r="AE612" s="716" t="n"/>
      <c r="AF612" s="716" t="n"/>
      <c r="AG612" s="716" t="n"/>
      <c r="AH612" s="716" t="n"/>
      <c r="AI612" s="716" t="n"/>
      <c r="AJ612" s="716" t="n"/>
      <c r="AK612" s="716" t="inlineStr">
        <is>
          <t xml:space="preserve">S-T WHSE; YR. TO YR.                                              </t>
        </is>
      </c>
      <c r="AL612">
        <f>IF(AND(ISNUMBER($S612),$S612&gt;0,ISNUMBER($K612),ISNUMBER($J612)),($K612*$J612)/$S612,"")</f>
        <v/>
      </c>
    </row>
    <row r="613">
      <c r="A613" s="62" t="n">
        <v>8</v>
      </c>
      <c r="B613" s="93" t="n">
        <v>605</v>
      </c>
      <c r="C613" s="68" t="inlineStr">
        <is>
          <t>2009Q</t>
        </is>
      </c>
      <c r="D613" s="59" t="inlineStr">
        <is>
          <t xml:space="preserve">01183-02-017-000 </t>
        </is>
      </c>
      <c r="E613" s="72" t="inlineStr">
        <is>
          <t>Actual</t>
        </is>
      </c>
      <c r="F613" s="73" t="inlineStr">
        <is>
          <t>5025   DAHLIA               ST</t>
        </is>
      </c>
      <c r="G613" s="708" t="n">
        <v>44.2</v>
      </c>
      <c r="H613" s="67" t="n">
        <v>9101</v>
      </c>
      <c r="I613" s="69" t="n">
        <v>0</v>
      </c>
      <c r="J613" s="714" t="n">
        <v>11440</v>
      </c>
      <c r="K613" s="715" t="n">
        <v>6.818181818181818</v>
      </c>
      <c r="L613" s="74" t="n">
        <v>0</v>
      </c>
      <c r="M613" s="76" t="n">
        <v>0.0461025641025641</v>
      </c>
      <c r="N613" s="67" t="n">
        <v>1974</v>
      </c>
      <c r="O613" s="64" t="n">
        <v>1564</v>
      </c>
      <c r="Q613" s="59" t="n">
        <v>22</v>
      </c>
      <c r="R613" s="59" t="n">
        <v>1</v>
      </c>
      <c r="S613" s="59" t="n">
        <v>1</v>
      </c>
      <c r="T613" s="63" t="inlineStr">
        <is>
          <t xml:space="preserve">I2   </t>
        </is>
      </c>
      <c r="U613" s="63" t="n">
        <v>398</v>
      </c>
      <c r="V613" s="714" t="n">
        <v>21764</v>
      </c>
      <c r="W613" s="714" t="n">
        <v>22000</v>
      </c>
      <c r="X613" s="83" t="inlineStr">
        <is>
          <t>1.9:1</t>
        </is>
      </c>
      <c r="Y613" s="714">
        <f>ROUND(J613,-3)</f>
        <v/>
      </c>
      <c r="Z613" s="63" t="inlineStr">
        <is>
          <t xml:space="preserve">C </t>
        </is>
      </c>
      <c r="AA613" s="59" t="n">
        <v>3</v>
      </c>
      <c r="AB613" s="59" t="n">
        <v>3</v>
      </c>
      <c r="AC613" s="67" t="inlineStr">
        <is>
          <t>33</t>
        </is>
      </c>
      <c r="AD613" s="61" t="inlineStr"/>
      <c r="AE613" s="716" t="n"/>
      <c r="AF613" s="716" t="n"/>
      <c r="AG613" s="716" t="n"/>
      <c r="AH613" s="716" t="n"/>
      <c r="AI613" s="716" t="n"/>
      <c r="AJ613" s="716" t="n"/>
      <c r="AK613" s="716" t="inlineStr">
        <is>
          <t xml:space="preserve">M-T WHSE.                                                         </t>
        </is>
      </c>
      <c r="AL613">
        <f>IF(AND(ISNUMBER($S613),$S613&gt;0,ISNUMBER($K613),ISNUMBER($J613)),($K613*$J613)/$S613,"")</f>
        <v/>
      </c>
    </row>
    <row r="614">
      <c r="A614" s="62" t="n">
        <v>8</v>
      </c>
      <c r="B614" s="93" t="n">
        <v>606</v>
      </c>
      <c r="C614" s="68" t="inlineStr">
        <is>
          <t>2009Q</t>
        </is>
      </c>
      <c r="D614" s="59" t="inlineStr">
        <is>
          <t xml:space="preserve">01184-00-015-000 </t>
        </is>
      </c>
      <c r="E614" s="72" t="inlineStr">
        <is>
          <t>Actual</t>
        </is>
      </c>
      <c r="F614" s="73" t="inlineStr">
        <is>
          <t>4990   DAHLIA               ST</t>
        </is>
      </c>
      <c r="G614" s="708" t="n">
        <v>44.2</v>
      </c>
      <c r="H614" s="67" t="n">
        <v>9101</v>
      </c>
      <c r="I614" s="69" t="n">
        <v>0</v>
      </c>
      <c r="J614" s="714" t="n">
        <v>81475</v>
      </c>
      <c r="K614" s="715" t="n">
        <v>5.100460263884627</v>
      </c>
      <c r="L614" s="74" t="n">
        <v>0</v>
      </c>
      <c r="M614" s="76" t="n">
        <v>0.3213976321108865</v>
      </c>
      <c r="N614" s="67" t="n">
        <v>1966</v>
      </c>
      <c r="O614" s="64" t="n">
        <v>4080</v>
      </c>
      <c r="P614" s="64" t="n">
        <v>1225</v>
      </c>
      <c r="Q614" s="59" t="n">
        <v>30</v>
      </c>
      <c r="R614" s="59" t="n">
        <v>3</v>
      </c>
      <c r="S614" s="59" t="n">
        <v>1</v>
      </c>
      <c r="T614" s="63" t="inlineStr">
        <is>
          <t xml:space="preserve">I2   </t>
        </is>
      </c>
      <c r="U614" s="63" t="n">
        <v>398</v>
      </c>
      <c r="V614" s="714" t="n">
        <v>169045</v>
      </c>
      <c r="W614" s="714" t="n">
        <v>170000</v>
      </c>
      <c r="X614" s="83" t="inlineStr">
        <is>
          <t>2.1:1</t>
        </is>
      </c>
      <c r="Y614" s="714">
        <f>ROUND(J614,-4)</f>
        <v/>
      </c>
      <c r="Z614" s="63" t="inlineStr">
        <is>
          <t xml:space="preserve">C </t>
        </is>
      </c>
      <c r="AA614" s="59" t="n">
        <v>3</v>
      </c>
      <c r="AB614" s="59" t="n">
        <v>3</v>
      </c>
      <c r="AC614" s="67" t="inlineStr">
        <is>
          <t>33</t>
        </is>
      </c>
      <c r="AD614" s="61" t="inlineStr">
        <is>
          <t>S-W AMICK MOVING&amp;STR</t>
        </is>
      </c>
      <c r="AE614" s="716" t="n"/>
      <c r="AF614" s="716" t="n"/>
      <c r="AG614" s="716" t="n"/>
      <c r="AH614" s="716" t="n"/>
      <c r="AI614" s="716" t="n"/>
      <c r="AJ614" s="716" t="n"/>
      <c r="AK614" s="716" t="inlineStr">
        <is>
          <t xml:space="preserve">S-T WHSE; GPMS                                                    </t>
        </is>
      </c>
      <c r="AL614">
        <f>IF(AND(ISNUMBER($S614),$S614&gt;0,ISNUMBER($K614),ISNUMBER($J614)),($K614*$J614)/$S614,"")</f>
        <v/>
      </c>
    </row>
    <row r="615">
      <c r="A615" s="62" t="n">
        <v>8</v>
      </c>
      <c r="B615" s="93" t="n">
        <v>607</v>
      </c>
      <c r="C615" s="68" t="inlineStr">
        <is>
          <t>2009Q</t>
        </is>
      </c>
      <c r="D615" s="59" t="inlineStr">
        <is>
          <t xml:space="preserve">01184-00-016-000 </t>
        </is>
      </c>
      <c r="E615" s="72" t="inlineStr">
        <is>
          <t>Actual</t>
        </is>
      </c>
      <c r="F615" s="73" t="inlineStr">
        <is>
          <t>4900   DAHLIA               ST</t>
        </is>
      </c>
      <c r="G615" s="708" t="n">
        <v>44.2</v>
      </c>
      <c r="H615" s="67" t="n">
        <v>9101</v>
      </c>
      <c r="I615" s="69" t="n">
        <v>0</v>
      </c>
      <c r="J615" s="714" t="n">
        <v>40200</v>
      </c>
      <c r="K615" s="715" t="n">
        <v>3.374850746268657</v>
      </c>
      <c r="L615" s="74" t="n">
        <v>0</v>
      </c>
      <c r="M615" s="76" t="n">
        <v>0.03901407101106369</v>
      </c>
      <c r="N615" s="67" t="n">
        <v>1966</v>
      </c>
      <c r="Q615" s="59" t="n">
        <v>30</v>
      </c>
      <c r="R615" s="59" t="n">
        <v>1</v>
      </c>
      <c r="S615" s="59" t="n">
        <v>1</v>
      </c>
      <c r="T615" s="63" t="inlineStr">
        <is>
          <t xml:space="preserve">I2   </t>
        </is>
      </c>
      <c r="U615" s="63" t="n">
        <v>398</v>
      </c>
      <c r="V615" s="714" t="n">
        <v>102703</v>
      </c>
      <c r="W615" s="714" t="n">
        <v>100000</v>
      </c>
      <c r="X615" s="83" t="inlineStr">
        <is>
          <t>2.6:1</t>
        </is>
      </c>
      <c r="Y615" s="714">
        <f>ROUND(J615,-3)</f>
        <v/>
      </c>
      <c r="Z615" s="63" t="inlineStr">
        <is>
          <t xml:space="preserve">C </t>
        </is>
      </c>
      <c r="AA615" s="59" t="n">
        <v>2</v>
      </c>
      <c r="AB615" s="59" t="n">
        <v>3</v>
      </c>
      <c r="AC615" s="67" t="inlineStr">
        <is>
          <t>23</t>
        </is>
      </c>
      <c r="AD615" s="61" t="inlineStr">
        <is>
          <t xml:space="preserve">AMERICAN WHSE       </t>
        </is>
      </c>
      <c r="AE615" s="716" t="n"/>
      <c r="AF615" s="716" t="n"/>
      <c r="AG615" s="716" t="n"/>
      <c r="AH615" s="716" t="n"/>
      <c r="AI615" s="716" t="n"/>
      <c r="AJ615" s="716" t="n"/>
      <c r="AK615" s="716" t="inlineStr">
        <is>
          <t xml:space="preserve">S-T WHSE.                                                         </t>
        </is>
      </c>
      <c r="AL615">
        <f>IF(AND(ISNUMBER($S615),$S615&gt;0,ISNUMBER($K615),ISNUMBER($J615)),($K615*$J615)/$S615,"")</f>
        <v/>
      </c>
    </row>
    <row r="616">
      <c r="A616" s="62" t="n">
        <v>8</v>
      </c>
      <c r="B616" s="93" t="n">
        <v>608</v>
      </c>
      <c r="C616" s="68" t="inlineStr">
        <is>
          <t>2009Q</t>
        </is>
      </c>
      <c r="D616" s="59" t="inlineStr">
        <is>
          <t xml:space="preserve">01184-00-020-000 </t>
        </is>
      </c>
      <c r="E616" s="72" t="inlineStr">
        <is>
          <t>Actual</t>
        </is>
      </c>
      <c r="F616" s="73" t="inlineStr">
        <is>
          <t>4800   DAHLIA               ST</t>
        </is>
      </c>
      <c r="G616" s="708" t="n">
        <v>44.4</v>
      </c>
      <c r="H616" s="67" t="n">
        <v>9101</v>
      </c>
      <c r="I616" s="69" t="n">
        <v>0</v>
      </c>
      <c r="J616" s="714" t="n">
        <v>28015</v>
      </c>
      <c r="K616" s="715" t="n">
        <v>4.457968945207925</v>
      </c>
      <c r="L616" s="74" t="n">
        <v>0.2284490451543816</v>
      </c>
      <c r="M616" s="76" t="n">
        <v>0.2717751621426855</v>
      </c>
      <c r="N616" s="67" t="n">
        <v>1959</v>
      </c>
      <c r="O616" s="64">
        <f>2630+5166</f>
        <v/>
      </c>
      <c r="P616" s="64" t="n">
        <v>5142</v>
      </c>
      <c r="Q616" s="59" t="n">
        <v>22</v>
      </c>
      <c r="R616" s="59" t="n">
        <v>1</v>
      </c>
      <c r="S616" s="59" t="n">
        <v>1</v>
      </c>
      <c r="T616" s="63" t="inlineStr">
        <is>
          <t xml:space="preserve">I2   </t>
        </is>
      </c>
      <c r="U616" s="63" t="n">
        <v>398</v>
      </c>
      <c r="V616" s="714" t="n">
        <v>239703</v>
      </c>
      <c r="W616" s="714" t="n">
        <v>240000</v>
      </c>
      <c r="X616" s="83" t="inlineStr">
        <is>
          <t>2.3:1</t>
        </is>
      </c>
      <c r="Y616" s="714">
        <f>ROUND(J616,-3)</f>
        <v/>
      </c>
      <c r="Z616" s="63" t="inlineStr">
        <is>
          <t xml:space="preserve">C </t>
        </is>
      </c>
      <c r="AA616" s="59" t="n">
        <v>3</v>
      </c>
      <c r="AB616" s="59" t="n">
        <v>3</v>
      </c>
      <c r="AC616" s="67" t="inlineStr">
        <is>
          <t>33</t>
        </is>
      </c>
      <c r="AD616" s="61" t="inlineStr">
        <is>
          <t>S-F-WHOLESALE FLORST</t>
        </is>
      </c>
      <c r="AE616" s="716" t="n"/>
      <c r="AF616" s="716" t="n"/>
      <c r="AG616" s="716" t="n"/>
      <c r="AH616" s="716" t="n"/>
      <c r="AI616" s="716" t="n"/>
      <c r="AJ616" s="716" t="n"/>
      <c r="AK616" s="716" t="inlineStr">
        <is>
          <t xml:space="preserve">M-T WHSE.                                                         </t>
        </is>
      </c>
      <c r="AL616">
        <f>IF(AND(ISNUMBER($S616),$S616&gt;0,ISNUMBER($K616),ISNUMBER($J616)),($K616*$J616)/$S616,"")</f>
        <v/>
      </c>
    </row>
    <row r="617">
      <c r="A617" s="62" t="n">
        <v>8</v>
      </c>
      <c r="B617" s="93" t="n">
        <v>609</v>
      </c>
      <c r="C617" s="68" t="inlineStr">
        <is>
          <t>2009Q</t>
        </is>
      </c>
      <c r="D617" s="59" t="inlineStr">
        <is>
          <t xml:space="preserve">01184-01-004-000 </t>
        </is>
      </c>
      <c r="E617" s="72" t="inlineStr">
        <is>
          <t>Actual</t>
        </is>
      </c>
      <c r="F617" s="73" t="inlineStr">
        <is>
          <t>5199 E 48TH                 AV</t>
        </is>
      </c>
      <c r="G617" s="708" t="n">
        <v>44.2</v>
      </c>
      <c r="H617" s="67" t="n">
        <v>9101</v>
      </c>
      <c r="I617" s="69" t="n">
        <v>0</v>
      </c>
      <c r="J617" s="714" t="n">
        <v>14222</v>
      </c>
      <c r="K617" s="715" t="n">
        <v>5.062579102798481</v>
      </c>
      <c r="L617" s="74" t="n">
        <v>0</v>
      </c>
      <c r="M617" s="76" t="n">
        <v>0</v>
      </c>
      <c r="N617" s="67" t="n">
        <v>1986</v>
      </c>
      <c r="O617" s="64" t="n">
        <v>1731</v>
      </c>
      <c r="Q617" s="59" t="n">
        <v>18</v>
      </c>
      <c r="R617" s="59" t="n">
        <v>8</v>
      </c>
      <c r="S617" s="59" t="n">
        <v>1</v>
      </c>
      <c r="T617" s="63" t="inlineStr">
        <is>
          <t xml:space="preserve">I2   </t>
        </is>
      </c>
      <c r="U617" s="63" t="n">
        <v>398</v>
      </c>
      <c r="V617" s="714" t="n">
        <v>99260</v>
      </c>
      <c r="W617" s="714" t="n">
        <v>100000</v>
      </c>
      <c r="X617" s="83" t="inlineStr">
        <is>
          <t>7.0:1</t>
        </is>
      </c>
      <c r="Y617" s="714">
        <f>ROUND(J617,-3)</f>
        <v/>
      </c>
      <c r="Z617" s="63" t="inlineStr">
        <is>
          <t xml:space="preserve">C </t>
        </is>
      </c>
      <c r="AA617" s="59" t="n">
        <v>3</v>
      </c>
      <c r="AB617" s="59" t="n">
        <v>3</v>
      </c>
      <c r="AC617" s="67" t="inlineStr">
        <is>
          <t>33</t>
        </is>
      </c>
      <c r="AD617" s="61" t="inlineStr">
        <is>
          <t xml:space="preserve">CENTRAL STATES HOSE </t>
        </is>
      </c>
      <c r="AE617" s="716" t="n"/>
      <c r="AF617" s="716" t="n"/>
      <c r="AG617" s="716" t="n"/>
      <c r="AH617" s="716" t="n"/>
      <c r="AI617" s="716" t="n"/>
      <c r="AJ617" s="716" t="n"/>
      <c r="AK617" s="716" t="inlineStr">
        <is>
          <t xml:space="preserve">S-T WHSE.                                                         </t>
        </is>
      </c>
      <c r="AL617">
        <f>IF(AND(ISNUMBER($S617),$S617&gt;0,ISNUMBER($K617),ISNUMBER($J617)),($K617*$J617)/$S617,"")</f>
        <v/>
      </c>
    </row>
    <row r="618">
      <c r="A618" s="62" t="n">
        <v>8</v>
      </c>
      <c r="B618" s="93" t="n">
        <v>610</v>
      </c>
      <c r="C618" s="68" t="inlineStr">
        <is>
          <t>2009Q</t>
        </is>
      </c>
      <c r="D618" s="59" t="inlineStr">
        <is>
          <t xml:space="preserve">01184-01-006-000 </t>
        </is>
      </c>
      <c r="E618" s="72" t="inlineStr">
        <is>
          <t>Actual</t>
        </is>
      </c>
      <c r="F618" s="73" t="inlineStr">
        <is>
          <t>4851   FOREST               ST</t>
        </is>
      </c>
      <c r="G618" s="708" t="n">
        <v>44.2</v>
      </c>
      <c r="H618" s="67" t="n">
        <v>9101</v>
      </c>
      <c r="I618" s="69" t="n">
        <v>0</v>
      </c>
      <c r="J618" s="714" t="n">
        <v>6480</v>
      </c>
      <c r="K618" s="715" t="n">
        <v>9.25925925925926</v>
      </c>
      <c r="L618" s="74" t="n">
        <v>0</v>
      </c>
      <c r="M618" s="76" t="n">
        <v>0</v>
      </c>
      <c r="N618" s="67" t="n">
        <v>1987</v>
      </c>
      <c r="O618" s="64" t="n">
        <v>1744</v>
      </c>
      <c r="Q618" s="59" t="n">
        <v>16</v>
      </c>
      <c r="R618" s="59" t="n">
        <v>8</v>
      </c>
      <c r="S618" s="59" t="n">
        <v>1</v>
      </c>
      <c r="T618" s="63" t="inlineStr">
        <is>
          <t xml:space="preserve">I2   </t>
        </is>
      </c>
      <c r="U618" s="63" t="n">
        <v>398</v>
      </c>
      <c r="V618" s="714" t="n">
        <v>45216</v>
      </c>
      <c r="W618" s="714" t="n">
        <v>45000</v>
      </c>
      <c r="X618" s="83" t="inlineStr">
        <is>
          <t>7.0:1</t>
        </is>
      </c>
      <c r="Y618" s="714">
        <f>ROUND(J618,-3)</f>
        <v/>
      </c>
      <c r="Z618" s="63" t="inlineStr">
        <is>
          <t xml:space="preserve">C </t>
        </is>
      </c>
      <c r="AA618" s="59" t="n">
        <v>3</v>
      </c>
      <c r="AB618" s="59" t="n">
        <v>3</v>
      </c>
      <c r="AC618" s="67" t="inlineStr">
        <is>
          <t>33</t>
        </is>
      </c>
      <c r="AD618" s="61" t="inlineStr">
        <is>
          <t xml:space="preserve">SEAL MASTER/DENVER  </t>
        </is>
      </c>
      <c r="AE618" s="716" t="n"/>
      <c r="AF618" s="716" t="n"/>
      <c r="AG618" s="716" t="n"/>
      <c r="AH618" s="716" t="n"/>
      <c r="AI618" s="716" t="n"/>
      <c r="AJ618" s="716" t="n"/>
      <c r="AK618" s="716" t="inlineStr">
        <is>
          <t xml:space="preserve">S-T WHSE; SEALMASTER                                              </t>
        </is>
      </c>
      <c r="AL618">
        <f>IF(AND(ISNUMBER($S618),$S618&gt;0,ISNUMBER($K618),ISNUMBER($J618)),($K618*$J618)/$S618,"")</f>
        <v/>
      </c>
    </row>
    <row r="619">
      <c r="A619" s="62" t="n">
        <v>8</v>
      </c>
      <c r="B619" s="93" t="n">
        <v>611</v>
      </c>
      <c r="C619" s="68" t="inlineStr">
        <is>
          <t>2009Q</t>
        </is>
      </c>
      <c r="D619" s="59" t="inlineStr">
        <is>
          <t xml:space="preserve">01191-00-014-000 </t>
        </is>
      </c>
      <c r="E619" s="72" t="inlineStr">
        <is>
          <t>Actual</t>
        </is>
      </c>
      <c r="F619" s="73" t="inlineStr">
        <is>
          <t>4343   HOLLY                ST</t>
        </is>
      </c>
      <c r="G619" s="708" t="n">
        <v>44.1</v>
      </c>
      <c r="H619" s="67" t="n">
        <v>9101</v>
      </c>
      <c r="I619" s="69" t="n">
        <v>0</v>
      </c>
      <c r="J619" s="714" t="n">
        <v>36789</v>
      </c>
      <c r="K619" s="715" t="n">
        <v>4.892766859659138</v>
      </c>
      <c r="L619" s="74" t="n">
        <v>0</v>
      </c>
      <c r="M619" s="76" t="n">
        <v>0</v>
      </c>
      <c r="N619" s="67" t="n">
        <v>1962</v>
      </c>
      <c r="O619" s="64">
        <f>686+686</f>
        <v/>
      </c>
      <c r="P619" s="64" t="n">
        <v>2245</v>
      </c>
      <c r="Q619" s="59" t="n">
        <v>18</v>
      </c>
      <c r="R619" s="59" t="n">
        <v>1</v>
      </c>
      <c r="S619" s="59" t="n">
        <v>1</v>
      </c>
      <c r="T619" s="63" t="inlineStr">
        <is>
          <t xml:space="preserve">I2   </t>
        </is>
      </c>
      <c r="U619" s="63" t="n">
        <v>398</v>
      </c>
      <c r="V619" s="714" t="n">
        <v>157000</v>
      </c>
      <c r="W619" s="714" t="n">
        <v>160000</v>
      </c>
      <c r="X619" s="83" t="inlineStr">
        <is>
          <t>4.3:1</t>
        </is>
      </c>
      <c r="Y619" s="714">
        <f>ROUND(J619,-3)</f>
        <v/>
      </c>
      <c r="Z619" s="63" t="inlineStr">
        <is>
          <t xml:space="preserve">C </t>
        </is>
      </c>
      <c r="AA619" s="59" t="n">
        <v>3</v>
      </c>
      <c r="AB619" s="59" t="n">
        <v>3</v>
      </c>
      <c r="AC619" s="67" t="inlineStr">
        <is>
          <t>33</t>
        </is>
      </c>
      <c r="AD619" s="61" t="inlineStr">
        <is>
          <t xml:space="preserve">PROCOAT SYSTEMS     </t>
        </is>
      </c>
      <c r="AE619" s="716" t="n"/>
      <c r="AF619" s="716" t="n"/>
      <c r="AG619" s="716" t="n"/>
      <c r="AH619" s="716" t="n"/>
      <c r="AI619" s="716" t="n"/>
      <c r="AJ619" s="716" t="n"/>
      <c r="AK619" s="716" t="inlineStr">
        <is>
          <t xml:space="preserve">S-T WHSE.                                                         </t>
        </is>
      </c>
      <c r="AL619">
        <f>IF(AND(ISNUMBER($S619),$S619&gt;0,ISNUMBER($K619),ISNUMBER($J619)),($K619*$J619)/$S619,"")</f>
        <v/>
      </c>
    </row>
    <row r="620">
      <c r="A620" s="62" t="n">
        <v>8</v>
      </c>
      <c r="B620" s="93" t="n">
        <v>612</v>
      </c>
      <c r="C620" s="68" t="inlineStr">
        <is>
          <t>2009Q</t>
        </is>
      </c>
      <c r="D620" s="59" t="inlineStr">
        <is>
          <t xml:space="preserve">01191-00-022-000 </t>
        </is>
      </c>
      <c r="E620" s="72" t="inlineStr">
        <is>
          <t>Actual</t>
        </is>
      </c>
      <c r="F620" s="73" t="inlineStr">
        <is>
          <t>4700   DAHLIA               ST</t>
        </is>
      </c>
      <c r="G620" s="708" t="n">
        <v>44.2</v>
      </c>
      <c r="H620" s="67" t="n">
        <v>9101</v>
      </c>
      <c r="I620" s="69" t="n">
        <v>0</v>
      </c>
      <c r="J620" s="714" t="n">
        <v>22808</v>
      </c>
      <c r="K620" s="715" t="n">
        <v>4.786566117151876</v>
      </c>
      <c r="L620" s="74" t="n">
        <v>0</v>
      </c>
      <c r="M620" s="76" t="n">
        <v>0</v>
      </c>
      <c r="N620" s="67" t="n">
        <v>1964</v>
      </c>
      <c r="P620" s="64" t="n">
        <v>2358</v>
      </c>
      <c r="Q620" s="59" t="n">
        <v>18</v>
      </c>
      <c r="R620" s="59" t="n">
        <v>3</v>
      </c>
      <c r="S620" s="59" t="n">
        <v>1</v>
      </c>
      <c r="T620" s="63" t="inlineStr">
        <is>
          <t xml:space="preserve">I2   </t>
        </is>
      </c>
      <c r="U620" s="63" t="n">
        <v>398</v>
      </c>
      <c r="V620" s="714" t="n">
        <v>133478</v>
      </c>
      <c r="W620" s="714" t="n">
        <v>130000</v>
      </c>
      <c r="X620" s="83" t="inlineStr">
        <is>
          <t>5.9:1</t>
        </is>
      </c>
      <c r="Y620" s="714">
        <f>ROUND(J620,-3)</f>
        <v/>
      </c>
      <c r="Z620" s="63" t="inlineStr">
        <is>
          <t xml:space="preserve">C </t>
        </is>
      </c>
      <c r="AA620" s="59" t="n">
        <v>3</v>
      </c>
      <c r="AB620" s="59" t="n">
        <v>3</v>
      </c>
      <c r="AC620" s="67" t="inlineStr">
        <is>
          <t>33</t>
        </is>
      </c>
      <c r="AD620" s="61" t="inlineStr">
        <is>
          <t xml:space="preserve">S-W KEENAN SUPPLY   </t>
        </is>
      </c>
      <c r="AE620" s="716" t="n"/>
      <c r="AF620" s="716" t="n"/>
      <c r="AG620" s="716" t="n"/>
      <c r="AH620" s="716" t="n"/>
      <c r="AI620" s="716" t="n"/>
      <c r="AJ620" s="716" t="n"/>
      <c r="AK620" s="716" t="inlineStr">
        <is>
          <t xml:space="preserve">S-T WHSE.                                                         </t>
        </is>
      </c>
      <c r="AL620">
        <f>IF(AND(ISNUMBER($S620),$S620&gt;0,ISNUMBER($K620),ISNUMBER($J620)),($K620*$J620)/$S620,"")</f>
        <v/>
      </c>
    </row>
    <row r="621">
      <c r="A621" s="62" t="n">
        <v>8</v>
      </c>
      <c r="B621" s="93" t="n">
        <v>613</v>
      </c>
      <c r="C621" s="68" t="inlineStr">
        <is>
          <t>2009Q</t>
        </is>
      </c>
      <c r="D621" s="59" t="inlineStr">
        <is>
          <t xml:space="preserve">01191-00-052-000 </t>
        </is>
      </c>
      <c r="E621" s="72" t="inlineStr">
        <is>
          <t>Actual</t>
        </is>
      </c>
      <c r="F621" s="73" t="inlineStr">
        <is>
          <t>5555   STAPLETON N          DR</t>
        </is>
      </c>
      <c r="G621" s="708" t="n">
        <v>44.1</v>
      </c>
      <c r="H621" s="67" t="n">
        <v>9101</v>
      </c>
      <c r="I621" s="69" t="n">
        <v>0</v>
      </c>
      <c r="J621" s="714" t="n">
        <v>25200</v>
      </c>
      <c r="K621" s="715" t="n">
        <v>4.815436507936508</v>
      </c>
      <c r="L621" s="74" t="n">
        <v>0</v>
      </c>
      <c r="M621" s="76" t="n">
        <v>0.0278453056885512</v>
      </c>
      <c r="N621" s="67" t="n">
        <v>1965</v>
      </c>
      <c r="O621" s="64" t="n">
        <v>890</v>
      </c>
      <c r="P621" s="64" t="n">
        <v>2400</v>
      </c>
      <c r="Q621" s="59" t="n">
        <v>26</v>
      </c>
      <c r="R621" s="59" t="n">
        <v>10</v>
      </c>
      <c r="S621" s="59" t="n">
        <v>1</v>
      </c>
      <c r="T621" s="63" t="inlineStr">
        <is>
          <t xml:space="preserve">I2   </t>
        </is>
      </c>
      <c r="U621" s="63" t="n">
        <v>398</v>
      </c>
      <c r="V621" s="714" t="n">
        <v>102727</v>
      </c>
      <c r="W621" s="714" t="n">
        <v>100000</v>
      </c>
      <c r="X621" s="83" t="inlineStr">
        <is>
          <t>4.1:1</t>
        </is>
      </c>
      <c r="Y621" s="714">
        <f>ROUND(J621,-3)</f>
        <v/>
      </c>
      <c r="Z621" s="63" t="inlineStr">
        <is>
          <t xml:space="preserve">C </t>
        </is>
      </c>
      <c r="AA621" s="59" t="n">
        <v>3</v>
      </c>
      <c r="AB621" s="59" t="n">
        <v>3</v>
      </c>
      <c r="AC621" s="67" t="inlineStr">
        <is>
          <t>33</t>
        </is>
      </c>
      <c r="AD621" s="61" t="inlineStr"/>
      <c r="AE621" s="716" t="n"/>
      <c r="AF621" s="716" t="n"/>
      <c r="AG621" s="716" t="n"/>
      <c r="AH621" s="716" t="n"/>
      <c r="AI621" s="716" t="n"/>
      <c r="AJ621" s="716" t="n"/>
      <c r="AK621" s="716" t="inlineStr">
        <is>
          <t xml:space="preserve">S-T WHSE.                                                         </t>
        </is>
      </c>
      <c r="AL621">
        <f>IF(AND(ISNUMBER($S621),$S621&gt;0,ISNUMBER($K621),ISNUMBER($J621)),($K621*$J621)/$S621,"")</f>
        <v/>
      </c>
    </row>
    <row r="622">
      <c r="A622" s="62" t="n">
        <v>8</v>
      </c>
      <c r="B622" s="93" t="n">
        <v>614</v>
      </c>
      <c r="C622" s="68" t="inlineStr">
        <is>
          <t>2009Q</t>
        </is>
      </c>
      <c r="D622" s="59" t="inlineStr">
        <is>
          <t xml:space="preserve">01192-00-042-000 </t>
        </is>
      </c>
      <c r="E622" s="72" t="inlineStr">
        <is>
          <t>Actual</t>
        </is>
      </c>
      <c r="F622" s="73" t="inlineStr">
        <is>
          <t>4600 E 48TH                 AV</t>
        </is>
      </c>
      <c r="G622" s="708" t="n">
        <v>44.1</v>
      </c>
      <c r="H622" s="67" t="n">
        <v>9101</v>
      </c>
      <c r="I622" s="69" t="n">
        <v>0</v>
      </c>
      <c r="J622" s="714" t="n">
        <v>82122</v>
      </c>
      <c r="K622" s="715" t="n">
        <v>3.331932977764789</v>
      </c>
      <c r="L622" s="74" t="n">
        <v>0</v>
      </c>
      <c r="M622" s="76" t="n">
        <v>0</v>
      </c>
      <c r="N622" s="67" t="n">
        <v>1957</v>
      </c>
      <c r="O622" s="64">
        <f>3330+16342</f>
        <v/>
      </c>
      <c r="Q622" s="59" t="n">
        <v>17</v>
      </c>
      <c r="R622" s="59" t="n">
        <v>1</v>
      </c>
      <c r="S622" s="59" t="n">
        <v>1</v>
      </c>
      <c r="T622" s="63" t="inlineStr">
        <is>
          <t xml:space="preserve">I2   </t>
        </is>
      </c>
      <c r="U622" s="63" t="n">
        <v>398</v>
      </c>
      <c r="V622" s="714" t="n">
        <v>133546</v>
      </c>
      <c r="W622" s="714" t="n">
        <v>130000</v>
      </c>
      <c r="X622" s="83" t="inlineStr">
        <is>
          <t>1.6:1</t>
        </is>
      </c>
      <c r="Y622" s="714">
        <f>ROUND(J622,-4)</f>
        <v/>
      </c>
      <c r="Z622" s="63" t="inlineStr">
        <is>
          <t xml:space="preserve">C </t>
        </is>
      </c>
      <c r="AA622" s="59" t="n">
        <v>3</v>
      </c>
      <c r="AB622" s="59" t="n">
        <v>3</v>
      </c>
      <c r="AC622" s="67" t="inlineStr">
        <is>
          <t>33</t>
        </is>
      </c>
      <c r="AD622" s="61" t="inlineStr"/>
      <c r="AE622" s="716" t="n"/>
      <c r="AF622" s="716" t="n"/>
      <c r="AG622" s="716" t="n"/>
      <c r="AH622" s="716" t="n"/>
      <c r="AI622" s="716" t="n"/>
      <c r="AJ622" s="716" t="n"/>
      <c r="AK622" s="716" t="inlineStr">
        <is>
          <t xml:space="preserve">S-T WHSE.; 2006 LEASE.                                            </t>
        </is>
      </c>
      <c r="AL622">
        <f>IF(AND(ISNUMBER($S622),$S622&gt;0,ISNUMBER($K622),ISNUMBER($J622)),($K622*$J622)/$S622,"")</f>
        <v/>
      </c>
    </row>
    <row r="623">
      <c r="A623" s="62" t="n">
        <v>8</v>
      </c>
      <c r="B623" s="93" t="n">
        <v>615</v>
      </c>
      <c r="C623" s="68" t="inlineStr">
        <is>
          <t>2009Q</t>
        </is>
      </c>
      <c r="D623" s="59" t="inlineStr">
        <is>
          <t xml:space="preserve">01192-00-062-000 </t>
        </is>
      </c>
      <c r="E623" s="72" t="inlineStr">
        <is>
          <t>Actual</t>
        </is>
      </c>
      <c r="F623" s="73" t="inlineStr">
        <is>
          <t>4401 E 46TH                 AV</t>
        </is>
      </c>
      <c r="G623" s="708" t="n">
        <v>44.2</v>
      </c>
      <c r="H623" s="67" t="n">
        <v>9101</v>
      </c>
      <c r="I623" s="69" t="n">
        <v>0</v>
      </c>
      <c r="J623" s="714" t="n">
        <v>87758</v>
      </c>
      <c r="K623" s="715" t="n">
        <v>3.466362041067481</v>
      </c>
      <c r="L623" s="74" t="n">
        <v>0</v>
      </c>
      <c r="M623" s="76" t="n">
        <v>0.4301366530682016</v>
      </c>
      <c r="N623" s="67" t="n">
        <v>1953</v>
      </c>
      <c r="O623" s="64">
        <f>3980+1982</f>
        <v/>
      </c>
      <c r="Q623" s="59" t="n">
        <v>18</v>
      </c>
      <c r="R623" s="59" t="n">
        <v>4</v>
      </c>
      <c r="S623" s="59" t="n">
        <v>1</v>
      </c>
      <c r="T623" s="63" t="inlineStr">
        <is>
          <t xml:space="preserve">I2   </t>
        </is>
      </c>
      <c r="U623" s="63" t="n">
        <v>398</v>
      </c>
      <c r="V623" s="714" t="n">
        <v>193278</v>
      </c>
      <c r="W623" s="714" t="n">
        <v>190000</v>
      </c>
      <c r="X623" s="83" t="inlineStr">
        <is>
          <t>2.2:1</t>
        </is>
      </c>
      <c r="Y623" s="714">
        <f>ROUND(J623,-4)</f>
        <v/>
      </c>
      <c r="Z623" s="63" t="inlineStr">
        <is>
          <t xml:space="preserve">C </t>
        </is>
      </c>
      <c r="AA623" s="59" t="n">
        <v>3</v>
      </c>
      <c r="AB623" s="59" t="n">
        <v>3</v>
      </c>
      <c r="AC623" s="67" t="inlineStr">
        <is>
          <t>33</t>
        </is>
      </c>
      <c r="AD623" s="61" t="inlineStr">
        <is>
          <t xml:space="preserve">M-W UNI-WEST        </t>
        </is>
      </c>
      <c r="AE623" s="716" t="n"/>
      <c r="AF623" s="716" t="n"/>
      <c r="AG623" s="716" t="n"/>
      <c r="AH623" s="716" t="n"/>
      <c r="AI623" s="716" t="n"/>
      <c r="AJ623" s="716" t="n"/>
      <c r="AK623" s="716" t="inlineStr">
        <is>
          <t xml:space="preserve">M-T WHSE; 4 TENANTS;LEASES 1994,1996,2000.                        </t>
        </is>
      </c>
      <c r="AL623">
        <f>IF(AND(ISNUMBER($S623),$S623&gt;0,ISNUMBER($K623),ISNUMBER($J623)),($K623*$J623)/$S623,"")</f>
        <v/>
      </c>
    </row>
    <row r="624">
      <c r="A624" s="62" t="n">
        <v>8</v>
      </c>
      <c r="B624" s="93" t="n">
        <v>616</v>
      </c>
      <c r="C624" s="68" t="inlineStr">
        <is>
          <t>2009Q</t>
        </is>
      </c>
      <c r="D624" s="59" t="inlineStr">
        <is>
          <t xml:space="preserve">01192-00-064-000 </t>
        </is>
      </c>
      <c r="E624" s="72" t="inlineStr">
        <is>
          <t>Actual</t>
        </is>
      </c>
      <c r="F624" s="73" t="inlineStr">
        <is>
          <t>4330 E 48TH                 AV</t>
        </is>
      </c>
      <c r="G624" s="708" t="n">
        <v>44.2</v>
      </c>
      <c r="H624" s="67" t="n">
        <v>9101</v>
      </c>
      <c r="I624" s="69" t="n">
        <v>0</v>
      </c>
      <c r="J624" s="714" t="n">
        <v>43824</v>
      </c>
      <c r="K624" s="715" t="n">
        <v>3.696581781672143</v>
      </c>
      <c r="L624" s="74" t="n">
        <v>0</v>
      </c>
      <c r="M624" s="76" t="n">
        <v>0.03388909808085235</v>
      </c>
      <c r="N624" s="67" t="n">
        <v>1973</v>
      </c>
      <c r="O624" s="64">
        <f>1474+1830</f>
        <v/>
      </c>
      <c r="Q624" s="59" t="n">
        <v>22</v>
      </c>
      <c r="R624" s="59" t="n">
        <v>10</v>
      </c>
      <c r="S624" s="59" t="n">
        <v>1</v>
      </c>
      <c r="T624" s="63" t="inlineStr">
        <is>
          <t xml:space="preserve">I2   </t>
        </is>
      </c>
      <c r="U624" s="63" t="n">
        <v>398</v>
      </c>
      <c r="V624" s="714" t="n">
        <v>117172</v>
      </c>
      <c r="W624" s="714" t="n">
        <v>120000</v>
      </c>
      <c r="X624" s="83" t="inlineStr">
        <is>
          <t>2.7:1</t>
        </is>
      </c>
      <c r="Y624" s="714">
        <f>ROUND(J624,-3)</f>
        <v/>
      </c>
      <c r="Z624" s="63" t="inlineStr">
        <is>
          <t xml:space="preserve">C </t>
        </is>
      </c>
      <c r="AA624" s="59" t="n">
        <v>3</v>
      </c>
      <c r="AB624" s="59" t="n">
        <v>3</v>
      </c>
      <c r="AC624" s="67" t="inlineStr">
        <is>
          <t>33</t>
        </is>
      </c>
      <c r="AD624" s="61" t="inlineStr">
        <is>
          <t xml:space="preserve">DIST WHSE           </t>
        </is>
      </c>
      <c r="AE624" s="716" t="n"/>
      <c r="AF624" s="716" t="n"/>
      <c r="AG624" s="716" t="n"/>
      <c r="AH624" s="716" t="n"/>
      <c r="AI624" s="716" t="n"/>
      <c r="AJ624" s="716" t="n"/>
      <c r="AK624" s="716" t="inlineStr">
        <is>
          <t xml:space="preserve">M-T WHSE; 2 TENANTS; ONE 2007 LEASE, ONE 2005 LEASE.              </t>
        </is>
      </c>
      <c r="AL624">
        <f>IF(AND(ISNUMBER($S624),$S624&gt;0,ISNUMBER($K624),ISNUMBER($J624)),($K624*$J624)/$S624,"")</f>
        <v/>
      </c>
    </row>
    <row r="625">
      <c r="A625" s="62" t="n">
        <v>8</v>
      </c>
      <c r="B625" s="93" t="n">
        <v>617</v>
      </c>
      <c r="C625" s="68" t="inlineStr">
        <is>
          <t>2009Q</t>
        </is>
      </c>
      <c r="D625" s="59" t="inlineStr">
        <is>
          <t xml:space="preserve">01192-03-006-000 </t>
        </is>
      </c>
      <c r="E625" s="72" t="inlineStr">
        <is>
          <t>Actual</t>
        </is>
      </c>
      <c r="F625" s="73" t="inlineStr">
        <is>
          <t>4555   STAPLETON N          DR</t>
        </is>
      </c>
      <c r="G625" s="708" t="n">
        <v>44.2</v>
      </c>
      <c r="H625" s="67" t="n">
        <v>9101</v>
      </c>
      <c r="I625" s="69" t="n">
        <v>0</v>
      </c>
      <c r="J625" s="714" t="n">
        <v>12559</v>
      </c>
      <c r="K625" s="715" t="n">
        <v>3.931443586272792</v>
      </c>
      <c r="L625" s="74" t="n">
        <v>1</v>
      </c>
      <c r="M625" s="76" t="n">
        <v>0.5213164556962026</v>
      </c>
      <c r="N625" s="67" t="n">
        <v>1953</v>
      </c>
      <c r="P625" s="64" t="n">
        <v>1233</v>
      </c>
      <c r="Q625" s="59" t="n">
        <v>15</v>
      </c>
      <c r="R625" s="59" t="n">
        <v>3</v>
      </c>
      <c r="S625" s="59" t="n">
        <v>1</v>
      </c>
      <c r="T625" s="63" t="inlineStr">
        <is>
          <t xml:space="preserve">I2   </t>
        </is>
      </c>
      <c r="U625" s="63" t="n">
        <v>398</v>
      </c>
      <c r="V625" s="714" t="n">
        <v>25000</v>
      </c>
      <c r="W625" s="714" t="n">
        <v>25000</v>
      </c>
      <c r="X625" s="83" t="inlineStr">
        <is>
          <t>2.0:1</t>
        </is>
      </c>
      <c r="Y625" s="714">
        <f>ROUND(J625,-3)</f>
        <v/>
      </c>
      <c r="Z625" s="63" t="inlineStr">
        <is>
          <t xml:space="preserve">C </t>
        </is>
      </c>
      <c r="AA625" s="59" t="n">
        <v>3</v>
      </c>
      <c r="AB625" s="59" t="n">
        <v>2</v>
      </c>
      <c r="AC625" s="67" t="inlineStr">
        <is>
          <t>32</t>
        </is>
      </c>
      <c r="AD625" s="61" t="inlineStr"/>
      <c r="AE625" s="716" t="n"/>
      <c r="AF625" s="716" t="n"/>
      <c r="AG625" s="716" t="n"/>
      <c r="AH625" s="716" t="n"/>
      <c r="AI625" s="716" t="n"/>
      <c r="AJ625" s="716" t="n"/>
      <c r="AK625" s="716" t="inlineStr">
        <is>
          <t xml:space="preserve">S-T WHSE.                                                         </t>
        </is>
      </c>
      <c r="AL625">
        <f>IF(AND(ISNUMBER($S625),$S625&gt;0,ISNUMBER($K625),ISNUMBER($J625)),($K625*$J625)/$S625,"")</f>
        <v/>
      </c>
    </row>
    <row r="626">
      <c r="A626" s="62" t="n">
        <v>8</v>
      </c>
      <c r="B626" s="93" t="n">
        <v>618</v>
      </c>
      <c r="C626" s="68" t="inlineStr">
        <is>
          <t>2009Q</t>
        </is>
      </c>
      <c r="D626" s="59" t="inlineStr">
        <is>
          <t xml:space="preserve">01192-03-007-000 </t>
        </is>
      </c>
      <c r="E626" s="72" t="inlineStr">
        <is>
          <t>Actual</t>
        </is>
      </c>
      <c r="F626" s="73" t="inlineStr">
        <is>
          <t>4595   STAPLETON N          DR</t>
        </is>
      </c>
      <c r="G626" s="708" t="n">
        <v>44.2</v>
      </c>
      <c r="H626" s="67" t="n">
        <v>9101</v>
      </c>
      <c r="I626" s="69" t="n">
        <v>0</v>
      </c>
      <c r="J626" s="714" t="n">
        <v>17600</v>
      </c>
      <c r="K626" s="715" t="n">
        <v>5.267045454545454</v>
      </c>
      <c r="L626" s="74" t="n">
        <v>0</v>
      </c>
      <c r="M626" s="76" t="n">
        <v>0.1680690399137001</v>
      </c>
      <c r="N626" s="67" t="n">
        <v>1973</v>
      </c>
      <c r="O626" s="64">
        <f>1900*2</f>
        <v/>
      </c>
      <c r="P626" s="64" t="inlineStr"/>
      <c r="Q626" s="59" t="n">
        <v>24</v>
      </c>
      <c r="R626" s="59" t="n">
        <v>14</v>
      </c>
      <c r="S626" s="59" t="n">
        <v>1</v>
      </c>
      <c r="T626" s="63" t="inlineStr">
        <is>
          <t xml:space="preserve">I2   </t>
        </is>
      </c>
      <c r="U626" s="63" t="n">
        <v>398</v>
      </c>
      <c r="V626" s="714" t="n">
        <v>43750</v>
      </c>
      <c r="W626" s="714" t="n">
        <v>44000</v>
      </c>
      <c r="X626" s="83" t="inlineStr">
        <is>
          <t>2.5:1</t>
        </is>
      </c>
      <c r="Y626" s="714">
        <f>ROUND(J626,-3)</f>
        <v/>
      </c>
      <c r="Z626" s="63" t="inlineStr">
        <is>
          <t xml:space="preserve">C </t>
        </is>
      </c>
      <c r="AA626" s="59" t="n">
        <v>3</v>
      </c>
      <c r="AB626" s="59" t="n">
        <v>3</v>
      </c>
      <c r="AC626" s="67" t="inlineStr">
        <is>
          <t>33</t>
        </is>
      </c>
      <c r="AD626" s="61" t="inlineStr">
        <is>
          <t xml:space="preserve">KAMAN TECH          </t>
        </is>
      </c>
      <c r="AE626" s="716" t="n"/>
      <c r="AF626" s="716" t="n"/>
      <c r="AG626" s="716" t="n"/>
      <c r="AH626" s="716" t="n"/>
      <c r="AI626" s="716" t="n"/>
      <c r="AJ626" s="716" t="n"/>
      <c r="AK626" s="716" t="inlineStr">
        <is>
          <t xml:space="preserve">S-T WHSE.; DATE OF LEASE UNKNOWN.                                 </t>
        </is>
      </c>
      <c r="AL626">
        <f>IF(AND(ISNUMBER($S626),$S626&gt;0,ISNUMBER($K626),ISNUMBER($J626)),($K626*$J626)/$S626,"")</f>
        <v/>
      </c>
    </row>
    <row r="627">
      <c r="A627" s="62" t="n">
        <v>8</v>
      </c>
      <c r="B627" s="93" t="n">
        <v>619</v>
      </c>
      <c r="C627" s="68" t="inlineStr">
        <is>
          <t>2009Q</t>
        </is>
      </c>
      <c r="D627" s="59" t="inlineStr">
        <is>
          <t xml:space="preserve">01194-00-044-000 </t>
        </is>
      </c>
      <c r="E627" s="72" t="inlineStr">
        <is>
          <t>Actual</t>
        </is>
      </c>
      <c r="F627" s="73" t="inlineStr">
        <is>
          <t>5145 E 38TH                 AV</t>
        </is>
      </c>
      <c r="G627" s="708" t="n">
        <v>44.1</v>
      </c>
      <c r="H627" s="67" t="n">
        <v>9101</v>
      </c>
      <c r="I627" s="69" t="n">
        <v>0</v>
      </c>
      <c r="J627" s="714" t="n">
        <v>3178</v>
      </c>
      <c r="K627" s="715" t="n">
        <v>4.601636249213342</v>
      </c>
      <c r="L627" s="74" t="n">
        <v>0</v>
      </c>
      <c r="M627" s="76" t="n">
        <v>0</v>
      </c>
      <c r="N627" s="67" t="n">
        <v>1963</v>
      </c>
      <c r="Q627" s="59" t="n">
        <v>14</v>
      </c>
      <c r="R627" s="59" t="n">
        <v>3</v>
      </c>
      <c r="S627" s="59" t="n">
        <v>1</v>
      </c>
      <c r="T627" s="63" t="inlineStr">
        <is>
          <t xml:space="preserve">I0   </t>
        </is>
      </c>
      <c r="U627" s="63" t="n">
        <v>398</v>
      </c>
      <c r="V627" s="714" t="n">
        <v>12500</v>
      </c>
      <c r="W627" s="714" t="n">
        <v>13000</v>
      </c>
      <c r="X627" s="83" t="inlineStr">
        <is>
          <t>3.9:1</t>
        </is>
      </c>
      <c r="Y627" s="714">
        <f>ROUND(J627,-3)</f>
        <v/>
      </c>
      <c r="Z627" s="63" t="inlineStr">
        <is>
          <t xml:space="preserve">C </t>
        </is>
      </c>
      <c r="AA627" s="59" t="n">
        <v>3</v>
      </c>
      <c r="AB627" s="59" t="n">
        <v>3</v>
      </c>
      <c r="AC627" s="67" t="inlineStr">
        <is>
          <t>33</t>
        </is>
      </c>
      <c r="AD627" s="61" t="inlineStr">
        <is>
          <t xml:space="preserve">S-W SPECTRUM        </t>
        </is>
      </c>
      <c r="AE627" s="716" t="n"/>
      <c r="AF627" s="716" t="n"/>
      <c r="AG627" s="716" t="n"/>
      <c r="AH627" s="716" t="n"/>
      <c r="AI627" s="716" t="n"/>
      <c r="AJ627" s="716" t="n"/>
      <c r="AK627" s="716" t="inlineStr">
        <is>
          <t xml:space="preserve">S-T WHSE.                                                         </t>
        </is>
      </c>
      <c r="AL627">
        <f>IF(AND(ISNUMBER($S627),$S627&gt;0,ISNUMBER($K627),ISNUMBER($J627)),($K627*$J627)/$S627,"")</f>
        <v/>
      </c>
    </row>
    <row r="628">
      <c r="A628" s="62" t="n">
        <v>8</v>
      </c>
      <c r="B628" s="93" t="n">
        <v>620</v>
      </c>
      <c r="C628" s="68" t="inlineStr">
        <is>
          <t>2009Q</t>
        </is>
      </c>
      <c r="D628" s="59" t="inlineStr">
        <is>
          <t xml:space="preserve">01194-00-051-000 </t>
        </is>
      </c>
      <c r="E628" s="72" t="inlineStr">
        <is>
          <t>Actual</t>
        </is>
      </c>
      <c r="F628" s="73" t="inlineStr">
        <is>
          <t>5135 E 38TH                 AV</t>
        </is>
      </c>
      <c r="G628" s="708" t="n">
        <v>44.1</v>
      </c>
      <c r="H628" s="67" t="n">
        <v>9101</v>
      </c>
      <c r="I628" s="69" t="n">
        <v>0</v>
      </c>
      <c r="J628" s="714" t="n">
        <v>5949</v>
      </c>
      <c r="K628" s="715" t="n">
        <v>4.601781812069255</v>
      </c>
      <c r="L628" s="74" t="n">
        <v>0</v>
      </c>
      <c r="M628" s="76" t="n">
        <v>0</v>
      </c>
      <c r="N628" s="67" t="n">
        <v>1967</v>
      </c>
      <c r="O628" s="64">
        <f>1067+1287</f>
        <v/>
      </c>
      <c r="Q628" s="59" t="n">
        <v>15</v>
      </c>
      <c r="R628" s="59" t="n">
        <v>3</v>
      </c>
      <c r="S628" s="59" t="n">
        <v>1</v>
      </c>
      <c r="T628" s="63" t="inlineStr">
        <is>
          <t xml:space="preserve">I0   </t>
        </is>
      </c>
      <c r="U628" s="63" t="n">
        <v>398</v>
      </c>
      <c r="V628" s="714" t="n">
        <v>11850</v>
      </c>
      <c r="W628" s="714" t="n">
        <v>12000</v>
      </c>
      <c r="X628" s="83" t="inlineStr">
        <is>
          <t>2.0:1</t>
        </is>
      </c>
      <c r="Y628" s="714">
        <f>ROUND(J628,-3)</f>
        <v/>
      </c>
      <c r="Z628" s="63" t="inlineStr">
        <is>
          <t xml:space="preserve">C </t>
        </is>
      </c>
      <c r="AA628" s="59" t="n">
        <v>3</v>
      </c>
      <c r="AB628" s="59" t="n">
        <v>3</v>
      </c>
      <c r="AC628" s="67" t="inlineStr">
        <is>
          <t>33</t>
        </is>
      </c>
      <c r="AD628" s="61" t="inlineStr">
        <is>
          <t>S-D-SPECTRUM GEN CON</t>
        </is>
      </c>
      <c r="AE628" s="716" t="n"/>
      <c r="AF628" s="716" t="n"/>
      <c r="AG628" s="716" t="n"/>
      <c r="AH628" s="716" t="n"/>
      <c r="AI628" s="716" t="n"/>
      <c r="AJ628" s="716" t="n"/>
      <c r="AK628" s="716" t="inlineStr">
        <is>
          <t xml:space="preserve">S-T WHSE.                                                         </t>
        </is>
      </c>
      <c r="AL628">
        <f>IF(AND(ISNUMBER($S628),$S628&gt;0,ISNUMBER($K628),ISNUMBER($J628)),($K628*$J628)/$S628,"")</f>
        <v/>
      </c>
    </row>
    <row r="629">
      <c r="A629" s="62" t="n">
        <v>8</v>
      </c>
      <c r="B629" s="93" t="n">
        <v>621</v>
      </c>
      <c r="C629" s="68" t="inlineStr">
        <is>
          <t>2009Q</t>
        </is>
      </c>
      <c r="D629" s="59" t="inlineStr">
        <is>
          <t xml:space="preserve">01194-00-076-000 </t>
        </is>
      </c>
      <c r="E629" s="72" t="inlineStr">
        <is>
          <t>Actual</t>
        </is>
      </c>
      <c r="F629" s="73" t="inlineStr">
        <is>
          <t>3855   ELM                  ST</t>
        </is>
      </c>
      <c r="G629" s="708" t="n">
        <v>44.2</v>
      </c>
      <c r="H629" s="67" t="n">
        <v>9101</v>
      </c>
      <c r="I629" s="69" t="n">
        <v>0</v>
      </c>
      <c r="J629" s="714" t="n">
        <v>2000</v>
      </c>
      <c r="K629" s="715" t="n">
        <v>3.9</v>
      </c>
      <c r="L629" s="74" t="n">
        <v>0</v>
      </c>
      <c r="M629" s="76" t="n">
        <v>0.2535897435897436</v>
      </c>
      <c r="N629" s="67" t="n">
        <v>1961</v>
      </c>
      <c r="O629" s="64">
        <f>756+2408</f>
        <v/>
      </c>
      <c r="Q629" s="59" t="n">
        <v>15</v>
      </c>
      <c r="R629" s="59" t="n">
        <v>3</v>
      </c>
      <c r="S629" s="59" t="n">
        <v>1</v>
      </c>
      <c r="T629" s="63" t="inlineStr">
        <is>
          <t xml:space="preserve">I0   </t>
        </is>
      </c>
      <c r="U629" s="63" t="n">
        <v>398</v>
      </c>
      <c r="V629" s="714" t="n">
        <v>14387</v>
      </c>
      <c r="W629" s="714" t="n">
        <v>14000</v>
      </c>
      <c r="X629" s="83" t="inlineStr">
        <is>
          <t>2.0:1</t>
        </is>
      </c>
      <c r="Y629" s="714">
        <f>ROUND(J629,-3)</f>
        <v/>
      </c>
      <c r="Z629" s="63" t="inlineStr">
        <is>
          <t xml:space="preserve">B </t>
        </is>
      </c>
      <c r="AA629" s="59" t="n">
        <v>3</v>
      </c>
      <c r="AB629" s="59" t="n">
        <v>3</v>
      </c>
      <c r="AC629" s="67" t="inlineStr">
        <is>
          <t>33</t>
        </is>
      </c>
      <c r="AD629" s="61" t="inlineStr"/>
      <c r="AE629" s="716" t="n"/>
      <c r="AF629" s="716" t="n"/>
      <c r="AG629" s="716" t="n"/>
      <c r="AH629" s="716" t="n"/>
      <c r="AI629" s="716" t="n"/>
      <c r="AJ629" s="716" t="n"/>
      <c r="AK629" s="716" t="inlineStr">
        <is>
          <t xml:space="preserve">M-T RETAIL; 2 UNITS; 1 OWNER-OCCUPIED.                            </t>
        </is>
      </c>
      <c r="AL629">
        <f>IF(AND(ISNUMBER($S629),$S629&gt;0,ISNUMBER($K629),ISNUMBER($J629)),($K629*$J629)/$S629,"")</f>
        <v/>
      </c>
    </row>
    <row r="630">
      <c r="A630" s="62" t="n">
        <v>8</v>
      </c>
      <c r="B630" s="93" t="n">
        <v>622</v>
      </c>
      <c r="C630" s="68" t="inlineStr">
        <is>
          <t>2009Q</t>
        </is>
      </c>
      <c r="D630" s="59" t="inlineStr">
        <is>
          <t xml:space="preserve">01194-00-110-000 </t>
        </is>
      </c>
      <c r="E630" s="72" t="inlineStr">
        <is>
          <t>Actual</t>
        </is>
      </c>
      <c r="F630" s="73" t="inlineStr">
        <is>
          <t>5195 E 39TH                 AV</t>
        </is>
      </c>
      <c r="G630" s="708" t="n">
        <v>45.1</v>
      </c>
      <c r="H630" s="67" t="n">
        <v>9101</v>
      </c>
      <c r="I630" s="69" t="n">
        <v>0</v>
      </c>
      <c r="J630" s="714" t="n">
        <v>10250</v>
      </c>
      <c r="K630" s="715" t="n">
        <v>8.341463414634147</v>
      </c>
      <c r="L630" s="74" t="n">
        <v>0</v>
      </c>
      <c r="M630" s="76" t="n">
        <v>0</v>
      </c>
      <c r="N630" s="67" t="n">
        <v>1965</v>
      </c>
      <c r="O630" s="64" t="n">
        <v>2584</v>
      </c>
      <c r="Q630" s="59" t="n">
        <v>18</v>
      </c>
      <c r="R630" s="59" t="n">
        <v>1</v>
      </c>
      <c r="S630" s="59" t="n">
        <v>1</v>
      </c>
      <c r="T630" s="63" t="inlineStr">
        <is>
          <t xml:space="preserve">I1   </t>
        </is>
      </c>
      <c r="U630" s="63" t="n">
        <v>401</v>
      </c>
      <c r="V630" s="714" t="n">
        <v>18500</v>
      </c>
      <c r="W630" s="714" t="n">
        <v>19000</v>
      </c>
      <c r="X630" s="83" t="inlineStr">
        <is>
          <t>1.8:1</t>
        </is>
      </c>
      <c r="Y630" s="714">
        <f>ROUND(J630,-3)</f>
        <v/>
      </c>
      <c r="Z630" s="63" t="inlineStr">
        <is>
          <t xml:space="preserve">C </t>
        </is>
      </c>
      <c r="AA630" s="59" t="n">
        <v>3</v>
      </c>
      <c r="AB630" s="59" t="n">
        <v>3</v>
      </c>
      <c r="AC630" s="67" t="inlineStr">
        <is>
          <t>33</t>
        </is>
      </c>
      <c r="AD630" s="61" t="inlineStr">
        <is>
          <t>S-W GRANDMA'S FROZEN</t>
        </is>
      </c>
      <c r="AE630" s="716" t="n"/>
      <c r="AF630" s="716" t="n"/>
      <c r="AG630" s="716" t="n"/>
      <c r="AH630" s="716" t="n"/>
      <c r="AI630" s="716" t="n"/>
      <c r="AJ630" s="716" t="n"/>
      <c r="AK630" s="716" t="inlineStr">
        <is>
          <t xml:space="preserve">M-T INDUSTRIAL; 2 TENANTS                                         </t>
        </is>
      </c>
      <c r="AL630">
        <f>IF(AND(ISNUMBER($S630),$S630&gt;0,ISNUMBER($K630),ISNUMBER($J630)),($K630*$J630)/$S630,"")</f>
        <v/>
      </c>
    </row>
    <row r="631">
      <c r="A631" s="62" t="n">
        <v>8</v>
      </c>
      <c r="B631" s="93" t="n">
        <v>623</v>
      </c>
      <c r="C631" s="68" t="inlineStr">
        <is>
          <t>2009Q</t>
        </is>
      </c>
      <c r="D631" s="59" t="inlineStr">
        <is>
          <t xml:space="preserve">01194-00-111-000 </t>
        </is>
      </c>
      <c r="E631" s="72" t="inlineStr">
        <is>
          <t>Actual</t>
        </is>
      </c>
      <c r="F631" s="73" t="inlineStr">
        <is>
          <t>5180   SMITH                RD</t>
        </is>
      </c>
      <c r="G631" s="708" t="n">
        <v>44.2</v>
      </c>
      <c r="H631" s="67" t="n">
        <v>9101</v>
      </c>
      <c r="I631" s="69" t="n">
        <v>0</v>
      </c>
      <c r="J631" s="714" t="n">
        <v>27495</v>
      </c>
      <c r="K631" s="715" t="n">
        <v>5.08139661756683</v>
      </c>
      <c r="L631" s="74" t="n">
        <v>0</v>
      </c>
      <c r="M631" s="76" t="n">
        <v>0.08616234709726367</v>
      </c>
      <c r="N631" s="67" t="n">
        <v>1974</v>
      </c>
      <c r="O631" s="64" t="n">
        <v>6743</v>
      </c>
      <c r="Q631" s="59" t="n">
        <v>17</v>
      </c>
      <c r="R631" s="59" t="n">
        <v>14</v>
      </c>
      <c r="S631" s="59" t="n">
        <v>6</v>
      </c>
      <c r="T631" s="63" t="inlineStr">
        <is>
          <t xml:space="preserve">I1   </t>
        </is>
      </c>
      <c r="U631" s="63" t="n">
        <v>398</v>
      </c>
      <c r="V631" s="714" t="n">
        <v>153000</v>
      </c>
      <c r="W631" s="714" t="n">
        <v>150000</v>
      </c>
      <c r="X631" s="83" t="inlineStr">
        <is>
          <t>2.0:1</t>
        </is>
      </c>
      <c r="Y631" s="714">
        <f>ROUND(J631,-3)</f>
        <v/>
      </c>
      <c r="Z631" s="63" t="inlineStr">
        <is>
          <t xml:space="preserve">C </t>
        </is>
      </c>
      <c r="AA631" s="59" t="n">
        <v>3</v>
      </c>
      <c r="AB631" s="59" t="n">
        <v>3</v>
      </c>
      <c r="AC631" s="67" t="inlineStr">
        <is>
          <t>33</t>
        </is>
      </c>
      <c r="AD631" s="61" t="inlineStr">
        <is>
          <t xml:space="preserve">DIST/OFC            </t>
        </is>
      </c>
      <c r="AE631" s="716" t="n"/>
      <c r="AF631" s="716" t="n"/>
      <c r="AG631" s="716" t="n"/>
      <c r="AH631" s="716" t="n"/>
      <c r="AI631" s="716" t="n"/>
      <c r="AJ631" s="716" t="n"/>
      <c r="AK631" s="716" t="inlineStr">
        <is>
          <t xml:space="preserve">M-T WHSE.; 4 TENANTS                                              </t>
        </is>
      </c>
      <c r="AL631">
        <f>IF(AND(ISNUMBER($S631),$S631&gt;0,ISNUMBER($K631),ISNUMBER($J631)),($K631*$J631)/$S631,"")</f>
        <v/>
      </c>
    </row>
    <row r="632">
      <c r="A632" s="62" t="n">
        <v>8</v>
      </c>
      <c r="B632" s="93" t="n">
        <v>624</v>
      </c>
      <c r="C632" s="68" t="inlineStr">
        <is>
          <t>2009Q</t>
        </is>
      </c>
      <c r="D632" s="59" t="inlineStr">
        <is>
          <t xml:space="preserve">01194-00-136-000 </t>
        </is>
      </c>
      <c r="E632" s="72" t="inlineStr">
        <is>
          <t>Actual</t>
        </is>
      </c>
      <c r="F632" s="73" t="inlineStr">
        <is>
          <t>3931   HOLLY                ST</t>
        </is>
      </c>
      <c r="G632" s="708" t="n">
        <v>44.2</v>
      </c>
      <c r="H632" s="67" t="n">
        <v>9101</v>
      </c>
      <c r="I632" s="69" t="n">
        <v>0</v>
      </c>
      <c r="J632" s="714" t="n">
        <v>16770</v>
      </c>
      <c r="K632" s="715" t="n">
        <v>5.849731663685152</v>
      </c>
      <c r="L632" s="74" t="n">
        <v>0</v>
      </c>
      <c r="M632" s="76" t="n">
        <v>0.2797757390417941</v>
      </c>
      <c r="N632" s="67" t="n">
        <v>1980</v>
      </c>
      <c r="O632" s="64" t="n">
        <v>3949</v>
      </c>
      <c r="Q632" s="59" t="n">
        <v>14</v>
      </c>
      <c r="R632" s="59" t="n">
        <v>1</v>
      </c>
      <c r="S632" s="59" t="n">
        <v>1</v>
      </c>
      <c r="T632" s="63" t="inlineStr">
        <is>
          <t xml:space="preserve">I1   </t>
        </is>
      </c>
      <c r="U632" s="63" t="n">
        <v>398</v>
      </c>
      <c r="V632" s="714" t="n">
        <v>39942</v>
      </c>
      <c r="W632" s="714" t="n">
        <v>40000</v>
      </c>
      <c r="X632" s="83" t="inlineStr">
        <is>
          <t>2.4:1</t>
        </is>
      </c>
      <c r="Y632" s="714">
        <f>ROUND(J632,-3)</f>
        <v/>
      </c>
      <c r="Z632" s="63" t="inlineStr">
        <is>
          <t xml:space="preserve">C </t>
        </is>
      </c>
      <c r="AA632" s="59" t="n">
        <v>3</v>
      </c>
      <c r="AB632" s="59" t="n">
        <v>3</v>
      </c>
      <c r="AC632" s="67" t="inlineStr">
        <is>
          <t>33</t>
        </is>
      </c>
      <c r="AD632" s="61" t="inlineStr">
        <is>
          <t xml:space="preserve">M-W                 </t>
        </is>
      </c>
      <c r="AE632" s="716" t="n"/>
      <c r="AF632" s="716" t="n"/>
      <c r="AG632" s="716" t="n"/>
      <c r="AH632" s="716" t="n"/>
      <c r="AI632" s="716" t="n"/>
      <c r="AJ632" s="716" t="n"/>
      <c r="AK632" s="716" t="inlineStr">
        <is>
          <t xml:space="preserve">M-T RETAIL; 2 TENANTS; 2006 LEASES.                               </t>
        </is>
      </c>
      <c r="AL632">
        <f>IF(AND(ISNUMBER($S632),$S632&gt;0,ISNUMBER($K632),ISNUMBER($J632)),($K632*$J632)/$S632,"")</f>
        <v/>
      </c>
    </row>
    <row r="633">
      <c r="A633" s="62" t="n">
        <v>8</v>
      </c>
      <c r="B633" s="93" t="n">
        <v>625</v>
      </c>
      <c r="C633" s="68" t="inlineStr">
        <is>
          <t>2009Q</t>
        </is>
      </c>
      <c r="D633" s="59" t="inlineStr">
        <is>
          <t xml:space="preserve">01194-00-182-000 </t>
        </is>
      </c>
      <c r="E633" s="72" t="inlineStr">
        <is>
          <t>Actual</t>
        </is>
      </c>
      <c r="F633" s="73" t="inlineStr">
        <is>
          <t>5150 E 39TH                 AV</t>
        </is>
      </c>
      <c r="G633" s="708" t="n">
        <v>44.1</v>
      </c>
      <c r="H633" s="67" t="n">
        <v>9101</v>
      </c>
      <c r="I633" s="69" t="n">
        <v>0</v>
      </c>
      <c r="J633" s="714" t="n">
        <v>18901</v>
      </c>
      <c r="K633" s="715" t="n">
        <v>5.713983387122375</v>
      </c>
      <c r="L633" s="74" t="n">
        <v>0</v>
      </c>
      <c r="M633" s="76" t="n">
        <v>0</v>
      </c>
      <c r="N633" s="67" t="n">
        <v>1959</v>
      </c>
      <c r="O633" s="64" t="n">
        <v>3532</v>
      </c>
      <c r="Q633" s="59" t="n">
        <v>12</v>
      </c>
      <c r="R633" s="59" t="n">
        <v>1</v>
      </c>
      <c r="S633" s="59" t="n">
        <v>1</v>
      </c>
      <c r="T633" s="63" t="inlineStr">
        <is>
          <t xml:space="preserve">I0   </t>
        </is>
      </c>
      <c r="U633" s="63" t="n">
        <v>398</v>
      </c>
      <c r="V633" s="714" t="n">
        <v>43080</v>
      </c>
      <c r="W633" s="714" t="n">
        <v>43000</v>
      </c>
      <c r="X633" s="83" t="inlineStr">
        <is>
          <t>2.3:1</t>
        </is>
      </c>
      <c r="Y633" s="714">
        <f>ROUND(J633,-3)</f>
        <v/>
      </c>
      <c r="Z633" s="63" t="inlineStr">
        <is>
          <t xml:space="preserve">C </t>
        </is>
      </c>
      <c r="AA633" s="59" t="n">
        <v>3</v>
      </c>
      <c r="AB633" s="59" t="n">
        <v>3</v>
      </c>
      <c r="AC633" s="67" t="inlineStr">
        <is>
          <t>33</t>
        </is>
      </c>
      <c r="AD633" s="61" t="inlineStr">
        <is>
          <t xml:space="preserve">DIST WHSE           </t>
        </is>
      </c>
      <c r="AE633" s="716" t="n"/>
      <c r="AF633" s="716" t="n"/>
      <c r="AG633" s="716" t="n"/>
      <c r="AH633" s="716" t="n"/>
      <c r="AI633" s="716" t="n"/>
      <c r="AJ633" s="716" t="n"/>
      <c r="AK633" s="716" t="inlineStr">
        <is>
          <t xml:space="preserve">S-T RETAIL; AGE OF LEASE UNKNOWN.                                 </t>
        </is>
      </c>
      <c r="AL633">
        <f>IF(AND(ISNUMBER($S633),$S633&gt;0,ISNUMBER($K633),ISNUMBER($J633)),($K633*$J633)/$S633,"")</f>
        <v/>
      </c>
    </row>
    <row r="634">
      <c r="A634" s="62" t="n">
        <v>8</v>
      </c>
      <c r="B634" s="93" t="n">
        <v>626</v>
      </c>
      <c r="C634" s="68" t="inlineStr">
        <is>
          <t>2009Q</t>
        </is>
      </c>
      <c r="D634" s="59" t="inlineStr">
        <is>
          <t xml:space="preserve">01194-00-210-000 </t>
        </is>
      </c>
      <c r="E634" s="72" t="inlineStr">
        <is>
          <t>Actual</t>
        </is>
      </c>
      <c r="F634" s="73" t="inlineStr">
        <is>
          <t>5225 E 38TH                 AV</t>
        </is>
      </c>
      <c r="G634" s="708" t="n">
        <v>44.1</v>
      </c>
      <c r="H634" s="67" t="n">
        <v>9101</v>
      </c>
      <c r="I634" s="69" t="n">
        <v>0</v>
      </c>
      <c r="J634" s="714" t="n">
        <v>8145</v>
      </c>
      <c r="K634" s="715" t="n">
        <v>3.867403314917127</v>
      </c>
      <c r="L634" s="74" t="n">
        <v>0</v>
      </c>
      <c r="M634" s="76" t="n">
        <v>0.1</v>
      </c>
      <c r="N634" s="67" t="n">
        <v>1969</v>
      </c>
      <c r="O634" s="64" t="n">
        <v>1780</v>
      </c>
      <c r="Q634" s="59" t="n">
        <v>17</v>
      </c>
      <c r="R634" s="59" t="n">
        <v>1</v>
      </c>
      <c r="S634" s="59" t="n">
        <v>1</v>
      </c>
      <c r="T634" s="63" t="inlineStr">
        <is>
          <t xml:space="preserve">I0   </t>
        </is>
      </c>
      <c r="U634" s="63" t="n">
        <v>398</v>
      </c>
      <c r="V634" s="714" t="n">
        <v>16700</v>
      </c>
      <c r="W634" s="714" t="n">
        <v>17000</v>
      </c>
      <c r="X634" s="83" t="inlineStr">
        <is>
          <t>2.1:1</t>
        </is>
      </c>
      <c r="Y634" s="714">
        <f>ROUND(J634,-3)</f>
        <v/>
      </c>
      <c r="Z634" s="63" t="inlineStr">
        <is>
          <t xml:space="preserve">C </t>
        </is>
      </c>
      <c r="AA634" s="59" t="n">
        <v>3</v>
      </c>
      <c r="AB634" s="59" t="n">
        <v>3</v>
      </c>
      <c r="AC634" s="67" t="inlineStr">
        <is>
          <t>33</t>
        </is>
      </c>
      <c r="AD634" s="61" t="inlineStr">
        <is>
          <t xml:space="preserve">SW MC2 ENTERPRISES  </t>
        </is>
      </c>
      <c r="AE634" s="716" t="n"/>
      <c r="AF634" s="716" t="n"/>
      <c r="AG634" s="716" t="n"/>
      <c r="AH634" s="716" t="n"/>
      <c r="AI634" s="716" t="n"/>
      <c r="AJ634" s="716" t="n"/>
      <c r="AK634" s="716" t="inlineStr">
        <is>
          <t xml:space="preserve">S-T WHSE.; DATE OF LEASE UNKNOWN.                                 </t>
        </is>
      </c>
      <c r="AL634">
        <f>IF(AND(ISNUMBER($S634),$S634&gt;0,ISNUMBER($K634),ISNUMBER($J634)),($K634*$J634)/$S634,"")</f>
        <v/>
      </c>
    </row>
    <row r="635">
      <c r="A635" s="62" t="n">
        <v>8</v>
      </c>
      <c r="B635" s="93" t="n">
        <v>627</v>
      </c>
      <c r="C635" s="68" t="inlineStr">
        <is>
          <t>2009Q</t>
        </is>
      </c>
      <c r="D635" s="59" t="inlineStr">
        <is>
          <t xml:space="preserve">01194-00-211-000 </t>
        </is>
      </c>
      <c r="E635" s="72" t="inlineStr">
        <is>
          <t>Actual</t>
        </is>
      </c>
      <c r="F635" s="73" t="inlineStr">
        <is>
          <t>4880 E 41ST                 AV</t>
        </is>
      </c>
      <c r="G635" s="708" t="n">
        <v>44.1</v>
      </c>
      <c r="H635" s="67" t="n">
        <v>9101</v>
      </c>
      <c r="I635" s="69" t="n">
        <v>0</v>
      </c>
      <c r="J635" s="714" t="n">
        <v>11308</v>
      </c>
      <c r="K635" s="715" t="n">
        <v>10.39971701450301</v>
      </c>
      <c r="L635" s="74" t="n">
        <v>0</v>
      </c>
      <c r="M635" s="76" t="n">
        <v>0</v>
      </c>
      <c r="N635" s="67" t="n">
        <v>1976</v>
      </c>
      <c r="O635" s="64" t="n">
        <v>1392</v>
      </c>
      <c r="Q635" s="59" t="n">
        <v>19</v>
      </c>
      <c r="R635" s="59" t="n">
        <v>10</v>
      </c>
      <c r="S635" s="59" t="n">
        <v>1</v>
      </c>
      <c r="T635" s="63" t="inlineStr">
        <is>
          <t xml:space="preserve">I1   </t>
        </is>
      </c>
      <c r="U635" s="63" t="n">
        <v>398</v>
      </c>
      <c r="V635" s="714" t="n">
        <v>35505</v>
      </c>
      <c r="W635" s="714" t="n">
        <v>36000</v>
      </c>
      <c r="X635" s="83" t="inlineStr">
        <is>
          <t>3.1:1</t>
        </is>
      </c>
      <c r="Y635" s="714">
        <f>ROUND(J635,-3)</f>
        <v/>
      </c>
      <c r="Z635" s="63" t="inlineStr">
        <is>
          <t xml:space="preserve">C </t>
        </is>
      </c>
      <c r="AA635" s="59" t="n">
        <v>3</v>
      </c>
      <c r="AB635" s="59" t="n">
        <v>3</v>
      </c>
      <c r="AC635" s="67" t="inlineStr">
        <is>
          <t>33</t>
        </is>
      </c>
      <c r="AD635" s="61" t="inlineStr"/>
      <c r="AE635" s="716" t="n"/>
      <c r="AF635" s="716" t="n"/>
      <c r="AG635" s="716" t="n"/>
      <c r="AH635" s="716" t="n"/>
      <c r="AI635" s="716" t="n"/>
      <c r="AJ635" s="716" t="n"/>
      <c r="AK635" s="716" t="inlineStr">
        <is>
          <t xml:space="preserve">S-T WHSE.                                                         </t>
        </is>
      </c>
      <c r="AL635">
        <f>IF(AND(ISNUMBER($S635),$S635&gt;0,ISNUMBER($K635),ISNUMBER($J635)),($K635*$J635)/$S635,"")</f>
        <v/>
      </c>
    </row>
    <row r="636">
      <c r="A636" s="62" t="n">
        <v>8</v>
      </c>
      <c r="B636" s="93" t="n">
        <v>628</v>
      </c>
      <c r="C636" s="68" t="inlineStr">
        <is>
          <t>2009Q</t>
        </is>
      </c>
      <c r="D636" s="59" t="inlineStr">
        <is>
          <t xml:space="preserve">01194-00-229-000 </t>
        </is>
      </c>
      <c r="E636" s="72" t="inlineStr">
        <is>
          <t>Actual</t>
        </is>
      </c>
      <c r="F636" s="73" t="inlineStr">
        <is>
          <t>3812   DAHLIA               ST</t>
        </is>
      </c>
      <c r="G636" s="708" t="n">
        <v>44.1</v>
      </c>
      <c r="H636" s="67" t="n">
        <v>9101</v>
      </c>
      <c r="I636" s="69" t="n">
        <v>0</v>
      </c>
      <c r="J636" s="714" t="n">
        <v>6579</v>
      </c>
      <c r="K636" s="715" t="n">
        <v>2.279981760145919</v>
      </c>
      <c r="L636" s="74" t="n">
        <v>0</v>
      </c>
      <c r="M636" s="76" t="n">
        <v>0.4306</v>
      </c>
      <c r="N636" s="67" t="n">
        <v>1926</v>
      </c>
      <c r="O636" s="64" t="n">
        <v>1620</v>
      </c>
      <c r="Q636" s="59" t="n">
        <v>10</v>
      </c>
      <c r="R636" s="59" t="n">
        <v>1</v>
      </c>
      <c r="S636" s="59" t="n">
        <v>1</v>
      </c>
      <c r="T636" s="63" t="inlineStr">
        <is>
          <t xml:space="preserve">I0   </t>
        </is>
      </c>
      <c r="U636" s="63" t="n">
        <v>398</v>
      </c>
      <c r="V636" s="714" t="n">
        <v>92437</v>
      </c>
      <c r="W636" s="714" t="n">
        <v>90000</v>
      </c>
      <c r="X636" s="83" t="inlineStr">
        <is>
          <t>14.1:1</t>
        </is>
      </c>
      <c r="Y636" s="714">
        <f>ROUND(J636,-3)</f>
        <v/>
      </c>
      <c r="Z636" s="63" t="inlineStr">
        <is>
          <t xml:space="preserve">C </t>
        </is>
      </c>
      <c r="AA636" s="59" t="n">
        <v>3</v>
      </c>
      <c r="AB636" s="59" t="n">
        <v>3</v>
      </c>
      <c r="AC636" s="67" t="inlineStr">
        <is>
          <t>33</t>
        </is>
      </c>
      <c r="AD636" s="61" t="inlineStr"/>
      <c r="AE636" s="716" t="n"/>
      <c r="AF636" s="716" t="n"/>
      <c r="AG636" s="716" t="n"/>
      <c r="AH636" s="716" t="n"/>
      <c r="AI636" s="716" t="n"/>
      <c r="AJ636" s="716" t="n"/>
      <c r="AK636" s="716" t="inlineStr">
        <is>
          <t xml:space="preserve">S-T WHSE.; 2005 LEASE.                                            </t>
        </is>
      </c>
      <c r="AL636">
        <f>IF(AND(ISNUMBER($S636),$S636&gt;0,ISNUMBER($K636),ISNUMBER($J636)),($K636*$J636)/$S636,"")</f>
        <v/>
      </c>
    </row>
    <row r="637">
      <c r="A637" s="62" t="n">
        <v>8</v>
      </c>
      <c r="B637" s="93" t="n">
        <v>629</v>
      </c>
      <c r="C637" s="68" t="inlineStr">
        <is>
          <t>2009Q</t>
        </is>
      </c>
      <c r="D637" s="59" t="inlineStr">
        <is>
          <t xml:space="preserve">01194-00-239-000 </t>
        </is>
      </c>
      <c r="E637" s="72" t="inlineStr">
        <is>
          <t>Actual</t>
        </is>
      </c>
      <c r="F637" s="73" t="inlineStr">
        <is>
          <t>5255 E 38TH                 AV</t>
        </is>
      </c>
      <c r="G637" s="708" t="n">
        <v>44.1</v>
      </c>
      <c r="H637" s="67" t="n">
        <v>9101</v>
      </c>
      <c r="I637" s="69" t="n">
        <v>0</v>
      </c>
      <c r="J637" s="714" t="n">
        <v>3540</v>
      </c>
      <c r="K637" s="715" t="n">
        <v>8.096892655367231</v>
      </c>
      <c r="L637" s="74" t="n">
        <v>0.11</v>
      </c>
      <c r="M637" s="76" t="n">
        <v>0.1233646164044238</v>
      </c>
      <c r="N637" s="67" t="n">
        <v>1958</v>
      </c>
      <c r="O637" s="64" t="n">
        <v>2612</v>
      </c>
      <c r="Q637" s="59" t="n">
        <v>13</v>
      </c>
      <c r="R637" s="59" t="n">
        <v>1</v>
      </c>
      <c r="S637" s="59" t="n">
        <v>1</v>
      </c>
      <c r="T637" s="63" t="inlineStr">
        <is>
          <t xml:space="preserve">I0   </t>
        </is>
      </c>
      <c r="U637" s="63" t="n">
        <v>398</v>
      </c>
      <c r="V637" s="714" t="n">
        <v>21300</v>
      </c>
      <c r="W637" s="714" t="n">
        <v>21000</v>
      </c>
      <c r="X637" s="83" t="inlineStr">
        <is>
          <t>2.1:1</t>
        </is>
      </c>
      <c r="Y637" s="714">
        <f>ROUND(J637,-3)</f>
        <v/>
      </c>
      <c r="Z637" s="63" t="inlineStr">
        <is>
          <t xml:space="preserve">C </t>
        </is>
      </c>
      <c r="AA637" s="59" t="n">
        <v>3</v>
      </c>
      <c r="AB637" s="59" t="n">
        <v>3</v>
      </c>
      <c r="AC637" s="67" t="inlineStr">
        <is>
          <t>33</t>
        </is>
      </c>
      <c r="AD637" s="61" t="inlineStr">
        <is>
          <t xml:space="preserve">LAWNTECH ENT'PRS    </t>
        </is>
      </c>
      <c r="AE637" s="716" t="n"/>
      <c r="AF637" s="716" t="n"/>
      <c r="AG637" s="716" t="n"/>
      <c r="AH637" s="716" t="n"/>
      <c r="AI637" s="716" t="n"/>
      <c r="AJ637" s="716" t="n"/>
      <c r="AK637" s="716" t="inlineStr">
        <is>
          <t xml:space="preserve">M-T WHSE; 4 UNITS.                                                </t>
        </is>
      </c>
      <c r="AL637">
        <f>IF(AND(ISNUMBER($S637),$S637&gt;0,ISNUMBER($K637),ISNUMBER($J637)),($K637*$J637)/$S637,"")</f>
        <v/>
      </c>
    </row>
    <row r="638">
      <c r="A638" s="62" t="n">
        <v>8</v>
      </c>
      <c r="B638" s="93" t="n">
        <v>630</v>
      </c>
      <c r="C638" s="68" t="inlineStr">
        <is>
          <t>2009Q</t>
        </is>
      </c>
      <c r="D638" s="59" t="inlineStr">
        <is>
          <t xml:space="preserve">01194-00-243-243 </t>
        </is>
      </c>
      <c r="E638" s="72" t="inlineStr">
        <is>
          <t>Actual</t>
        </is>
      </c>
      <c r="F638" s="73" t="inlineStr">
        <is>
          <t>5138 E 39TH                 AV</t>
        </is>
      </c>
      <c r="G638" s="708" t="n">
        <v>44.8</v>
      </c>
      <c r="H638" s="67" t="n">
        <v>9101</v>
      </c>
      <c r="I638" s="69" t="n">
        <v>0</v>
      </c>
      <c r="J638" s="714" t="n">
        <v>6719</v>
      </c>
      <c r="K638" s="715" t="n">
        <v>7.858312248846555</v>
      </c>
      <c r="L638" s="74" t="n">
        <v>0</v>
      </c>
      <c r="M638" s="76" t="n">
        <v>0</v>
      </c>
      <c r="N638" s="67" t="n">
        <v>1962</v>
      </c>
      <c r="O638" s="64" t="inlineStr"/>
      <c r="P638" s="64" t="n">
        <v>750</v>
      </c>
      <c r="Q638" s="59" t="n">
        <v>16</v>
      </c>
      <c r="R638" s="59" t="n">
        <v>1</v>
      </c>
      <c r="S638" s="59" t="n">
        <v>1</v>
      </c>
      <c r="T638" s="63" t="inlineStr">
        <is>
          <t xml:space="preserve">I0   </t>
        </is>
      </c>
      <c r="U638" s="63" t="n">
        <v>398</v>
      </c>
      <c r="V638" s="714" t="n">
        <v>14654</v>
      </c>
      <c r="W638" s="714" t="n">
        <v>15000</v>
      </c>
      <c r="X638" s="83" t="inlineStr">
        <is>
          <t>2.2:1</t>
        </is>
      </c>
      <c r="Y638" s="714">
        <f>ROUND(J638,-3)</f>
        <v/>
      </c>
      <c r="Z638" s="63" t="inlineStr">
        <is>
          <t xml:space="preserve">C </t>
        </is>
      </c>
      <c r="AA638" s="59" t="n">
        <v>3</v>
      </c>
      <c r="AB638" s="59" t="n">
        <v>3</v>
      </c>
      <c r="AC638" s="67" t="inlineStr">
        <is>
          <t>33</t>
        </is>
      </c>
      <c r="AD638" s="61" t="inlineStr">
        <is>
          <t>UNIT 1;39TH IND COND</t>
        </is>
      </c>
      <c r="AE638" s="716" t="n"/>
      <c r="AF638" s="716" t="n"/>
      <c r="AG638" s="716" t="n"/>
      <c r="AH638" s="716" t="n"/>
      <c r="AI638" s="716" t="n"/>
      <c r="AJ638" s="716" t="n"/>
      <c r="AK638" s="716" t="inlineStr">
        <is>
          <t xml:space="preserve">S-T WHSE.                                                         </t>
        </is>
      </c>
      <c r="AL638">
        <f>IF(AND(ISNUMBER($S638),$S638&gt;0,ISNUMBER($K638),ISNUMBER($J638)),($K638*$J638)/$S638,"")</f>
        <v/>
      </c>
    </row>
    <row r="639">
      <c r="A639" s="62" t="n">
        <v>8</v>
      </c>
      <c r="B639" s="93" t="n">
        <v>631</v>
      </c>
      <c r="C639" s="68" t="inlineStr">
        <is>
          <t>2009Q</t>
        </is>
      </c>
      <c r="D639" s="59" t="inlineStr">
        <is>
          <t xml:space="preserve">01194-00-246-000 </t>
        </is>
      </c>
      <c r="E639" s="72" t="inlineStr">
        <is>
          <t>Actual</t>
        </is>
      </c>
      <c r="F639" s="73" t="inlineStr">
        <is>
          <t>4902   SMITH                RD</t>
        </is>
      </c>
      <c r="G639" s="708" t="n">
        <v>44.2</v>
      </c>
      <c r="H639" s="67" t="n">
        <v>9101</v>
      </c>
      <c r="I639" s="69" t="n">
        <v>0</v>
      </c>
      <c r="J639" s="714" t="n">
        <v>29244</v>
      </c>
      <c r="K639" s="715" t="n">
        <v>4.048693749145124</v>
      </c>
      <c r="L639" s="74" t="n">
        <v>0.12</v>
      </c>
      <c r="M639" s="76" t="n">
        <v>0</v>
      </c>
      <c r="N639" s="67" t="n">
        <v>1973</v>
      </c>
      <c r="O639" s="64" t="n">
        <v>2590</v>
      </c>
      <c r="Q639" s="59" t="n">
        <v>21</v>
      </c>
      <c r="R639" s="59" t="n">
        <v>3</v>
      </c>
      <c r="S639" s="59" t="n">
        <v>4</v>
      </c>
      <c r="T639" s="63" t="inlineStr">
        <is>
          <t xml:space="preserve">I1   </t>
        </is>
      </c>
      <c r="U639" s="63" t="n">
        <v>398</v>
      </c>
      <c r="V639" s="714" t="n">
        <v>75985</v>
      </c>
      <c r="W639" s="714" t="n">
        <v>80000</v>
      </c>
      <c r="X639" s="83" t="inlineStr">
        <is>
          <t>2.6:1</t>
        </is>
      </c>
      <c r="Y639" s="714">
        <f>ROUND(J639,-3)</f>
        <v/>
      </c>
      <c r="Z639" s="63" t="inlineStr">
        <is>
          <t xml:space="preserve">C </t>
        </is>
      </c>
      <c r="AA639" s="59" t="n">
        <v>2</v>
      </c>
      <c r="AB639" s="59" t="n">
        <v>2</v>
      </c>
      <c r="AC639" s="67" t="inlineStr">
        <is>
          <t>22</t>
        </is>
      </c>
      <c r="AD639" s="61" t="inlineStr">
        <is>
          <t xml:space="preserve">M-W 2 TENANTS       </t>
        </is>
      </c>
      <c r="AE639" s="716" t="n"/>
      <c r="AF639" s="716" t="n"/>
      <c r="AG639" s="716" t="n"/>
      <c r="AH639" s="716" t="n"/>
      <c r="AI639" s="716" t="n"/>
      <c r="AJ639" s="716" t="n"/>
      <c r="AK639" s="716" t="inlineStr">
        <is>
          <t xml:space="preserve">M-T WHSE.; 2 TENANTS; DATE OF LEASE UNKNOWN.                      </t>
        </is>
      </c>
      <c r="AL639">
        <f>IF(AND(ISNUMBER($S639),$S639&gt;0,ISNUMBER($K639),ISNUMBER($J639)),($K639*$J639)/$S639,"")</f>
        <v/>
      </c>
    </row>
    <row r="640">
      <c r="A640" s="62" t="n">
        <v>8</v>
      </c>
      <c r="B640" s="93" t="n">
        <v>632</v>
      </c>
      <c r="C640" s="68" t="inlineStr">
        <is>
          <t>2009Q</t>
        </is>
      </c>
      <c r="D640" s="59" t="inlineStr">
        <is>
          <t xml:space="preserve">01194-03-002-000 </t>
        </is>
      </c>
      <c r="E640" s="72" t="inlineStr">
        <is>
          <t>Actual</t>
        </is>
      </c>
      <c r="F640" s="73" t="inlineStr">
        <is>
          <t>3875   ELM                  ST</t>
        </is>
      </c>
      <c r="G640" s="708" t="n">
        <v>44.1</v>
      </c>
      <c r="H640" s="67" t="n">
        <v>9101</v>
      </c>
      <c r="I640" s="69" t="n">
        <v>0</v>
      </c>
      <c r="J640" s="714" t="n">
        <v>7200</v>
      </c>
      <c r="K640" s="715" t="n">
        <v>5.833333333333333</v>
      </c>
      <c r="L640" s="74" t="n">
        <v>0</v>
      </c>
      <c r="M640" s="76" t="n">
        <v>0.2140714285714286</v>
      </c>
      <c r="N640" s="67" t="n">
        <v>1962</v>
      </c>
      <c r="O640" s="64" t="n">
        <v>2411</v>
      </c>
      <c r="Q640" s="59" t="n">
        <v>12</v>
      </c>
      <c r="R640" s="59" t="n">
        <v>3</v>
      </c>
      <c r="S640" s="59" t="n">
        <v>1</v>
      </c>
      <c r="T640" s="63" t="inlineStr">
        <is>
          <t xml:space="preserve">I0   </t>
        </is>
      </c>
      <c r="U640" s="63" t="n">
        <v>398</v>
      </c>
      <c r="V640" s="714" t="n">
        <v>19800</v>
      </c>
      <c r="W640" s="714" t="n">
        <v>20000</v>
      </c>
      <c r="X640" s="83" t="inlineStr">
        <is>
          <t>2.8:1</t>
        </is>
      </c>
      <c r="Y640" s="714">
        <f>ROUND(J640,-3)</f>
        <v/>
      </c>
      <c r="Z640" s="63" t="inlineStr">
        <is>
          <t xml:space="preserve">C </t>
        </is>
      </c>
      <c r="AA640" s="59" t="n">
        <v>3</v>
      </c>
      <c r="AB640" s="59" t="n">
        <v>3</v>
      </c>
      <c r="AC640" s="67" t="inlineStr">
        <is>
          <t>33</t>
        </is>
      </c>
      <c r="AD640" s="61" t="inlineStr">
        <is>
          <t xml:space="preserve">DIST    AIRPRO      </t>
        </is>
      </c>
      <c r="AE640" s="716" t="n"/>
      <c r="AF640" s="716" t="n"/>
      <c r="AG640" s="716" t="n"/>
      <c r="AH640" s="716" t="n"/>
      <c r="AI640" s="716" t="n"/>
      <c r="AJ640" s="716" t="n"/>
      <c r="AK640" s="716" t="inlineStr">
        <is>
          <t xml:space="preserve">S-T WHSE.                                                         </t>
        </is>
      </c>
      <c r="AL640">
        <f>IF(AND(ISNUMBER($S640),$S640&gt;0,ISNUMBER($K640),ISNUMBER($J640)),($K640*$J640)/$S640,"")</f>
        <v/>
      </c>
    </row>
    <row r="641">
      <c r="A641" s="62" t="n">
        <v>8</v>
      </c>
      <c r="B641" s="93" t="n">
        <v>633</v>
      </c>
      <c r="C641" s="68" t="inlineStr">
        <is>
          <t>2009Q</t>
        </is>
      </c>
      <c r="D641" s="59" t="inlineStr">
        <is>
          <t xml:space="preserve">01194-03-006-000 </t>
        </is>
      </c>
      <c r="E641" s="72" t="inlineStr">
        <is>
          <t>Actual</t>
        </is>
      </c>
      <c r="F641" s="73" t="inlineStr">
        <is>
          <t>4940 E 39TH                 AV</t>
        </is>
      </c>
      <c r="G641" s="708" t="n">
        <v>43.2</v>
      </c>
      <c r="H641" s="67" t="n">
        <v>9101</v>
      </c>
      <c r="I641" s="69" t="n">
        <v>0</v>
      </c>
      <c r="J641" s="714" t="n">
        <v>6272</v>
      </c>
      <c r="K641" s="715" t="n">
        <v>6.976084183673469</v>
      </c>
      <c r="L641" s="74" t="n">
        <v>0</v>
      </c>
      <c r="M641" s="76" t="n">
        <v>0.05277231795950085</v>
      </c>
      <c r="N641" s="67" t="n">
        <v>1966</v>
      </c>
      <c r="O641" s="64" t="n">
        <v>1040</v>
      </c>
      <c r="Q641" s="59" t="n">
        <v>12</v>
      </c>
      <c r="R641" s="59" t="n">
        <v>1</v>
      </c>
      <c r="S641" s="59" t="n">
        <v>1</v>
      </c>
      <c r="T641" s="63" t="inlineStr">
        <is>
          <t xml:space="preserve">I1   </t>
        </is>
      </c>
      <c r="U641" s="63" t="n">
        <v>401</v>
      </c>
      <c r="V641" s="714" t="n">
        <v>12951</v>
      </c>
      <c r="W641" s="714" t="n">
        <v>13000</v>
      </c>
      <c r="X641" s="83" t="inlineStr">
        <is>
          <t>2.1:1</t>
        </is>
      </c>
      <c r="Y641" s="714">
        <f>ROUND(J641,-3)</f>
        <v/>
      </c>
      <c r="Z641" s="63" t="inlineStr">
        <is>
          <t xml:space="preserve">C </t>
        </is>
      </c>
      <c r="AA641" s="59" t="n">
        <v>3</v>
      </c>
      <c r="AB641" s="59" t="n">
        <v>2</v>
      </c>
      <c r="AC641" s="67" t="inlineStr">
        <is>
          <t>32</t>
        </is>
      </c>
      <c r="AD641" s="61" t="inlineStr">
        <is>
          <t>S-M BC PRINTING INC.</t>
        </is>
      </c>
      <c r="AE641" s="716" t="n"/>
      <c r="AF641" s="716" t="n"/>
      <c r="AG641" s="716" t="n"/>
      <c r="AH641" s="716" t="n"/>
      <c r="AI641" s="716" t="n"/>
      <c r="AJ641" s="716" t="n"/>
      <c r="AK641" s="716" t="inlineStr">
        <is>
          <t xml:space="preserve">S-T WHSE.;LEASE DATES FROM 2001.                                  </t>
        </is>
      </c>
      <c r="AL641">
        <f>IF(AND(ISNUMBER($S641),$S641&gt;0,ISNUMBER($K641),ISNUMBER($J641)),($K641*$J641)/$S641,"")</f>
        <v/>
      </c>
    </row>
    <row r="642">
      <c r="A642" s="62" t="n">
        <v>8</v>
      </c>
      <c r="B642" s="93" t="n">
        <v>634</v>
      </c>
      <c r="C642" s="68" t="inlineStr">
        <is>
          <t>2009Q</t>
        </is>
      </c>
      <c r="D642" s="59" t="inlineStr">
        <is>
          <t xml:space="preserve">01194-03-007-000 </t>
        </is>
      </c>
      <c r="E642" s="72" t="inlineStr">
        <is>
          <t>Actual</t>
        </is>
      </c>
      <c r="F642" s="73" t="inlineStr">
        <is>
          <t>4900 E 39TH                 AV</t>
        </is>
      </c>
      <c r="G642" s="708" t="n">
        <v>44.1</v>
      </c>
      <c r="H642" s="67" t="n">
        <v>9101</v>
      </c>
      <c r="I642" s="69" t="n">
        <v>0</v>
      </c>
      <c r="J642" s="714" t="n">
        <v>5040</v>
      </c>
      <c r="K642" s="715" t="n">
        <v>7.142857142857143</v>
      </c>
      <c r="L642" s="74" t="n">
        <v>1</v>
      </c>
      <c r="M642" s="76" t="n">
        <v>0.1194444444444445</v>
      </c>
      <c r="N642" s="67" t="n">
        <v>1966</v>
      </c>
      <c r="O642" s="64" t="n">
        <v>4080</v>
      </c>
      <c r="Q642" s="59" t="n">
        <v>14</v>
      </c>
      <c r="R642" s="59" t="n">
        <v>10</v>
      </c>
      <c r="S642" s="59" t="n">
        <v>1</v>
      </c>
      <c r="T642" s="63" t="inlineStr">
        <is>
          <t xml:space="preserve">I1   </t>
        </is>
      </c>
      <c r="U642" s="63" t="n">
        <v>397</v>
      </c>
      <c r="V642" s="714" t="n">
        <v>12100</v>
      </c>
      <c r="W642" s="714" t="n">
        <v>12000</v>
      </c>
      <c r="X642" s="83" t="inlineStr">
        <is>
          <t>2.4:1</t>
        </is>
      </c>
      <c r="Y642" s="714">
        <f>ROUND(J642,-3)</f>
        <v/>
      </c>
      <c r="Z642" s="63" t="inlineStr">
        <is>
          <t xml:space="preserve">C </t>
        </is>
      </c>
      <c r="AA642" s="59" t="n">
        <v>3</v>
      </c>
      <c r="AB642" s="59" t="n">
        <v>3</v>
      </c>
      <c r="AC642" s="67" t="inlineStr">
        <is>
          <t>33</t>
        </is>
      </c>
      <c r="AD642" s="61" t="inlineStr"/>
      <c r="AE642" s="716" t="n"/>
      <c r="AF642" s="716" t="n"/>
      <c r="AG642" s="716" t="n"/>
      <c r="AH642" s="716" t="n"/>
      <c r="AI642" s="716" t="n"/>
      <c r="AJ642" s="716" t="n"/>
      <c r="AK642" s="716" t="inlineStr">
        <is>
          <t xml:space="preserve">S-T WHSE.; 2005 LEASE.                                            </t>
        </is>
      </c>
      <c r="AL642">
        <f>IF(AND(ISNUMBER($S642),$S642&gt;0,ISNUMBER($K642),ISNUMBER($J642)),($K642*$J642)/$S642,"")</f>
        <v/>
      </c>
    </row>
    <row r="643">
      <c r="A643" s="62" t="n">
        <v>8</v>
      </c>
      <c r="B643" s="93" t="n">
        <v>635</v>
      </c>
      <c r="C643" s="68" t="inlineStr">
        <is>
          <t>2009Q</t>
        </is>
      </c>
      <c r="D643" s="59" t="inlineStr">
        <is>
          <t xml:space="preserve">01194-04-001-000 </t>
        </is>
      </c>
      <c r="E643" s="72" t="inlineStr">
        <is>
          <t>Actual</t>
        </is>
      </c>
      <c r="F643" s="73" t="inlineStr">
        <is>
          <t>3835   ELM                  ST</t>
        </is>
      </c>
      <c r="G643" s="708" t="n">
        <v>44.2</v>
      </c>
      <c r="H643" s="67" t="n">
        <v>9101</v>
      </c>
      <c r="I643" s="69" t="n">
        <v>0</v>
      </c>
      <c r="J643" s="714" t="n">
        <v>18000</v>
      </c>
      <c r="K643" s="715" t="n">
        <v>5.223333333333334</v>
      </c>
      <c r="L643" s="74" t="n">
        <v>0</v>
      </c>
      <c r="M643" s="76" t="n">
        <v>0.1329398000425441</v>
      </c>
      <c r="N643" s="67" t="n">
        <v>1962</v>
      </c>
      <c r="O643" s="64" t="n">
        <v>9120</v>
      </c>
      <c r="Q643" s="59" t="n">
        <v>13</v>
      </c>
      <c r="R643" s="59" t="n">
        <v>3</v>
      </c>
      <c r="S643" s="59" t="n">
        <v>6</v>
      </c>
      <c r="T643" s="63" t="inlineStr">
        <is>
          <t xml:space="preserve">I0   </t>
        </is>
      </c>
      <c r="U643" s="63" t="n">
        <v>398</v>
      </c>
      <c r="V643" s="714" t="n">
        <v>41400</v>
      </c>
      <c r="W643" s="714" t="n">
        <v>41000</v>
      </c>
      <c r="X643" s="83" t="inlineStr">
        <is>
          <t>2.3:1</t>
        </is>
      </c>
      <c r="Y643" s="714">
        <f>ROUND(J643,-3)</f>
        <v/>
      </c>
      <c r="Z643" s="63" t="inlineStr">
        <is>
          <t xml:space="preserve">C </t>
        </is>
      </c>
      <c r="AA643" s="59" t="n">
        <v>3</v>
      </c>
      <c r="AB643" s="59" t="n">
        <v>3</v>
      </c>
      <c r="AC643" s="67" t="inlineStr">
        <is>
          <t>33</t>
        </is>
      </c>
      <c r="AD643" s="61" t="inlineStr">
        <is>
          <t xml:space="preserve">DIST/MULTI TENANT   </t>
        </is>
      </c>
      <c r="AE643" s="716" t="n"/>
      <c r="AF643" s="716" t="n"/>
      <c r="AG643" s="716" t="n"/>
      <c r="AH643" s="716" t="n"/>
      <c r="AI643" s="716" t="n"/>
      <c r="AJ643" s="716" t="n"/>
      <c r="AK643" s="716" t="inlineStr">
        <is>
          <t xml:space="preserve">M-T WHSE.; 4 TENANTS; LEASES 2005 - 2007.                         </t>
        </is>
      </c>
      <c r="AL643">
        <f>IF(AND(ISNUMBER($S643),$S643&gt;0,ISNUMBER($K643),ISNUMBER($J643)),($K643*$J643)/$S643,"")</f>
        <v/>
      </c>
    </row>
    <row r="644">
      <c r="A644" s="62" t="n">
        <v>8</v>
      </c>
      <c r="B644" s="93" t="n">
        <v>636</v>
      </c>
      <c r="C644" s="68" t="inlineStr">
        <is>
          <t>2009Q</t>
        </is>
      </c>
      <c r="D644" s="59" t="inlineStr">
        <is>
          <t xml:space="preserve">01194-04-002-000 </t>
        </is>
      </c>
      <c r="E644" s="72" t="inlineStr">
        <is>
          <t>Actual</t>
        </is>
      </c>
      <c r="F644" s="73" t="inlineStr">
        <is>
          <t>3831   EUDORA               WY</t>
        </is>
      </c>
      <c r="G644" s="708" t="n">
        <v>44.2</v>
      </c>
      <c r="H644" s="67" t="n">
        <v>9101</v>
      </c>
      <c r="I644" s="69" t="n">
        <v>0</v>
      </c>
      <c r="J644" s="714" t="n">
        <v>20221</v>
      </c>
      <c r="K644" s="715" t="n">
        <v>5.340982147272637</v>
      </c>
      <c r="L644" s="74" t="n">
        <v>0</v>
      </c>
      <c r="M644" s="76" t="n">
        <v>0.1138888888888889</v>
      </c>
      <c r="N644" s="67" t="n">
        <v>1964</v>
      </c>
      <c r="O644" s="64" t="n">
        <v>1508</v>
      </c>
      <c r="Q644" s="59" t="n">
        <v>18</v>
      </c>
      <c r="R644" s="59" t="n">
        <v>3</v>
      </c>
      <c r="S644" s="59" t="n">
        <v>2</v>
      </c>
      <c r="T644" s="63" t="inlineStr">
        <is>
          <t xml:space="preserve">I0   </t>
        </is>
      </c>
      <c r="U644" s="63" t="n">
        <v>398</v>
      </c>
      <c r="V644" s="714" t="n">
        <v>34330</v>
      </c>
      <c r="W644" s="714" t="n">
        <v>34000</v>
      </c>
      <c r="X644" s="83" t="inlineStr">
        <is>
          <t>1.7:1</t>
        </is>
      </c>
      <c r="Y644" s="714">
        <f>ROUND(J644,-3)</f>
        <v/>
      </c>
      <c r="Z644" s="63" t="inlineStr">
        <is>
          <t xml:space="preserve">C </t>
        </is>
      </c>
      <c r="AA644" s="59" t="n">
        <v>3</v>
      </c>
      <c r="AB644" s="59" t="n">
        <v>3</v>
      </c>
      <c r="AC644" s="67" t="inlineStr">
        <is>
          <t>33</t>
        </is>
      </c>
      <c r="AD644" s="61" t="inlineStr">
        <is>
          <t xml:space="preserve">PETRIDGE FARMS      </t>
        </is>
      </c>
      <c r="AE644" s="716" t="n"/>
      <c r="AF644" s="716" t="n"/>
      <c r="AG644" s="716" t="n"/>
      <c r="AH644" s="716" t="n"/>
      <c r="AI644" s="716" t="n"/>
      <c r="AJ644" s="716" t="n"/>
      <c r="AK644" s="716" t="inlineStr">
        <is>
          <t xml:space="preserve">M-T WHSE.; 2 TENANTS; LEASES 2005 &amp; 2007.                         </t>
        </is>
      </c>
      <c r="AL644">
        <f>IF(AND(ISNUMBER($S644),$S644&gt;0,ISNUMBER($K644),ISNUMBER($J644)),($K644*$J644)/$S644,"")</f>
        <v/>
      </c>
    </row>
    <row r="645">
      <c r="A645" s="62" t="n">
        <v>8</v>
      </c>
      <c r="B645" s="93" t="n">
        <v>637</v>
      </c>
      <c r="C645" s="68" t="inlineStr">
        <is>
          <t>2009Q</t>
        </is>
      </c>
      <c r="D645" s="59" t="inlineStr">
        <is>
          <t xml:space="preserve">01201-00-042-000 </t>
        </is>
      </c>
      <c r="E645" s="72" t="inlineStr">
        <is>
          <t>Actual</t>
        </is>
      </c>
      <c r="F645" s="73" t="inlineStr">
        <is>
          <t>4300   MONACO               PY</t>
        </is>
      </c>
      <c r="G645" s="708" t="n">
        <v>44.2</v>
      </c>
      <c r="H645" s="67" t="n">
        <v>9101</v>
      </c>
      <c r="I645" s="69" t="n">
        <v>0</v>
      </c>
      <c r="J645" s="714" t="n">
        <v>20000</v>
      </c>
      <c r="K645" s="715" t="n">
        <v>4.4182</v>
      </c>
      <c r="L645" s="74" t="n">
        <v>0</v>
      </c>
      <c r="M645" s="76" t="n">
        <v>0.08936897379023132</v>
      </c>
      <c r="N645" s="67" t="n">
        <v>1969</v>
      </c>
      <c r="O645" s="64">
        <f>2350+420</f>
        <v/>
      </c>
      <c r="Q645" s="59" t="n">
        <v>20</v>
      </c>
      <c r="R645" s="59" t="n">
        <v>3</v>
      </c>
      <c r="S645" s="59" t="n">
        <v>1</v>
      </c>
      <c r="T645" s="63" t="inlineStr">
        <is>
          <t xml:space="preserve">I2   </t>
        </is>
      </c>
      <c r="U645" s="63" t="n">
        <v>398</v>
      </c>
      <c r="V645" s="714" t="n">
        <v>63328</v>
      </c>
      <c r="W645" s="714" t="n">
        <v>60000</v>
      </c>
      <c r="X645" s="83" t="inlineStr">
        <is>
          <t>3.2:1</t>
        </is>
      </c>
      <c r="Y645" s="714">
        <f>ROUND(J645,-3)</f>
        <v/>
      </c>
      <c r="Z645" s="63" t="inlineStr">
        <is>
          <t xml:space="preserve">C </t>
        </is>
      </c>
      <c r="AA645" s="59" t="n">
        <v>3</v>
      </c>
      <c r="AB645" s="59" t="n">
        <v>3</v>
      </c>
      <c r="AC645" s="67" t="inlineStr">
        <is>
          <t>33</t>
        </is>
      </c>
      <c r="AD645" s="61" t="inlineStr"/>
      <c r="AE645" s="716" t="n"/>
      <c r="AF645" s="716" t="n"/>
      <c r="AG645" s="716" t="n"/>
      <c r="AH645" s="716" t="n"/>
      <c r="AI645" s="716" t="n"/>
      <c r="AJ645" s="716" t="n"/>
      <c r="AK645" s="716" t="inlineStr">
        <is>
          <t xml:space="preserve">S-T WHSE.                                                         </t>
        </is>
      </c>
      <c r="AL645">
        <f>IF(AND(ISNUMBER($S645),$S645&gt;0,ISNUMBER($K645),ISNUMBER($J645)),($K645*$J645)/$S645,"")</f>
        <v/>
      </c>
    </row>
    <row r="646">
      <c r="A646" s="62" t="n">
        <v>8</v>
      </c>
      <c r="B646" s="93" t="n">
        <v>638</v>
      </c>
      <c r="C646" s="68" t="inlineStr">
        <is>
          <t>2009Q</t>
        </is>
      </c>
      <c r="D646" s="59" t="inlineStr">
        <is>
          <t xml:space="preserve">01201-00-044-000 </t>
        </is>
      </c>
      <c r="E646" s="72" t="inlineStr">
        <is>
          <t>Actual</t>
        </is>
      </c>
      <c r="F646" s="73" t="inlineStr">
        <is>
          <t>4600   MONACO               PY</t>
        </is>
      </c>
      <c r="G646" s="708" t="n">
        <v>44.2</v>
      </c>
      <c r="H646" s="67" t="n">
        <v>9101</v>
      </c>
      <c r="I646" s="69" t="n">
        <v>0</v>
      </c>
      <c r="J646" s="714" t="n">
        <v>15492</v>
      </c>
      <c r="K646" s="715" t="n">
        <v>3.4856700232378</v>
      </c>
      <c r="L646" s="74" t="n">
        <v>0</v>
      </c>
      <c r="M646" s="76" t="n">
        <v>0</v>
      </c>
      <c r="N646" s="67" t="n">
        <v>1974</v>
      </c>
      <c r="P646" s="64" t="n">
        <v>1508</v>
      </c>
      <c r="Q646" s="59" t="n">
        <v>20</v>
      </c>
      <c r="R646" s="59" t="n">
        <v>14</v>
      </c>
      <c r="S646" s="59" t="n">
        <v>1</v>
      </c>
      <c r="T646" s="63" t="inlineStr">
        <is>
          <t xml:space="preserve">I2   </t>
        </is>
      </c>
      <c r="U646" s="63" t="n">
        <v>398</v>
      </c>
      <c r="V646" s="714" t="n">
        <v>87100</v>
      </c>
      <c r="W646" s="714" t="n">
        <v>90000</v>
      </c>
      <c r="X646" s="83" t="inlineStr">
        <is>
          <t>5.6:1</t>
        </is>
      </c>
      <c r="Y646" s="714">
        <f>ROUND(J646,-3)</f>
        <v/>
      </c>
      <c r="Z646" s="63" t="inlineStr">
        <is>
          <t xml:space="preserve">C </t>
        </is>
      </c>
      <c r="AA646" s="59" t="n">
        <v>3</v>
      </c>
      <c r="AB646" s="59" t="n">
        <v>3</v>
      </c>
      <c r="AC646" s="67" t="inlineStr">
        <is>
          <t>33</t>
        </is>
      </c>
      <c r="AD646" s="61" t="inlineStr"/>
      <c r="AE646" s="716" t="n"/>
      <c r="AF646" s="716" t="n"/>
      <c r="AG646" s="716" t="n"/>
      <c r="AH646" s="716" t="n"/>
      <c r="AI646" s="716" t="n"/>
      <c r="AJ646" s="716" t="n"/>
      <c r="AK646" s="716" t="inlineStr">
        <is>
          <t xml:space="preserve">S-T WHSE.                                                         </t>
        </is>
      </c>
      <c r="AL646">
        <f>IF(AND(ISNUMBER($S646),$S646&gt;0,ISNUMBER($K646),ISNUMBER($J646)),($K646*$J646)/$S646,"")</f>
        <v/>
      </c>
    </row>
    <row r="647">
      <c r="A647" s="62" t="n">
        <v>8</v>
      </c>
      <c r="B647" s="93" t="n">
        <v>639</v>
      </c>
      <c r="C647" s="68" t="inlineStr">
        <is>
          <t>2009Q</t>
        </is>
      </c>
      <c r="D647" s="59" t="inlineStr">
        <is>
          <t xml:space="preserve">01201-00-060-000 </t>
        </is>
      </c>
      <c r="E647" s="72" t="inlineStr">
        <is>
          <t>Actual</t>
        </is>
      </c>
      <c r="F647" s="73" t="inlineStr">
        <is>
          <t>6666   STAPLETON S          DR</t>
        </is>
      </c>
      <c r="G647" s="708" t="n">
        <v>47.1</v>
      </c>
      <c r="H647" s="67" t="n">
        <v>9101</v>
      </c>
      <c r="I647" s="69" t="n">
        <v>0</v>
      </c>
      <c r="J647" s="714" t="n">
        <v>19998</v>
      </c>
      <c r="K647" s="715" t="n">
        <v>8.23082308230823</v>
      </c>
      <c r="L647" s="74" t="n">
        <v>0</v>
      </c>
      <c r="M647" s="76" t="n">
        <v>0</v>
      </c>
      <c r="N647" s="67" t="n">
        <v>1970</v>
      </c>
      <c r="O647" s="64" t="n">
        <v>4632</v>
      </c>
      <c r="P647" s="64" t="inlineStr"/>
      <c r="Q647" s="59" t="n">
        <v>17</v>
      </c>
      <c r="R647" s="59" t="n">
        <v>1</v>
      </c>
      <c r="S647" s="59" t="n">
        <v>1</v>
      </c>
      <c r="T647" s="63" t="inlineStr">
        <is>
          <t xml:space="preserve">I2   </t>
        </is>
      </c>
      <c r="U647" s="63" t="n">
        <v>401</v>
      </c>
      <c r="V647" s="714" t="n">
        <v>51907</v>
      </c>
      <c r="W647" s="714" t="n">
        <v>50000</v>
      </c>
      <c r="X647" s="83" t="inlineStr">
        <is>
          <t>2.6:1</t>
        </is>
      </c>
      <c r="Y647" s="714">
        <f>ROUND(J647,-3)</f>
        <v/>
      </c>
      <c r="Z647" s="63" t="inlineStr">
        <is>
          <t xml:space="preserve">C </t>
        </is>
      </c>
      <c r="AA647" s="59" t="n">
        <v>3</v>
      </c>
      <c r="AB647" s="59" t="n">
        <v>3</v>
      </c>
      <c r="AC647" s="67" t="inlineStr">
        <is>
          <t>33</t>
        </is>
      </c>
      <c r="AD647" s="61" t="inlineStr">
        <is>
          <t xml:space="preserve">LIGHT MANUFACTURING </t>
        </is>
      </c>
      <c r="AE647" s="716" t="n"/>
      <c r="AF647" s="716" t="n"/>
      <c r="AG647" s="716" t="n"/>
      <c r="AH647" s="716" t="n"/>
      <c r="AI647" s="716" t="n"/>
      <c r="AJ647" s="716" t="n"/>
      <c r="AK647" s="716" t="inlineStr">
        <is>
          <t xml:space="preserve">S-T INDUSTRIAL BLDG.                                              </t>
        </is>
      </c>
      <c r="AL647">
        <f>IF(AND(ISNUMBER($S647),$S647&gt;0,ISNUMBER($K647),ISNUMBER($J647)),($K647*$J647)/$S647,"")</f>
        <v/>
      </c>
    </row>
    <row r="648">
      <c r="A648" s="62" t="n">
        <v>8</v>
      </c>
      <c r="B648" s="93" t="n">
        <v>640</v>
      </c>
      <c r="C648" s="68" t="inlineStr">
        <is>
          <t>2009Q</t>
        </is>
      </c>
      <c r="D648" s="59" t="inlineStr">
        <is>
          <t xml:space="preserve">01201-19-020-000 </t>
        </is>
      </c>
      <c r="E648" s="72" t="inlineStr">
        <is>
          <t>Actual</t>
        </is>
      </c>
      <c r="F648" s="73" t="inlineStr">
        <is>
          <t>6804 E 48TH                 AV</t>
        </is>
      </c>
      <c r="G648" s="708" t="n">
        <v>44.2</v>
      </c>
      <c r="H648" s="67" t="n">
        <v>9101</v>
      </c>
      <c r="I648" s="69" t="n">
        <v>0</v>
      </c>
      <c r="J648" s="714" t="n">
        <v>46464</v>
      </c>
      <c r="K648" s="715" t="n">
        <v>4.57074294077135</v>
      </c>
      <c r="L648" s="74" t="n">
        <v>0.125</v>
      </c>
      <c r="M648" s="76" t="n">
        <v>0.2297539729252502</v>
      </c>
      <c r="N648" s="67" t="n">
        <v>1973</v>
      </c>
      <c r="O648" s="64" t="n">
        <v>5987</v>
      </c>
      <c r="Q648" s="59" t="n">
        <v>15</v>
      </c>
      <c r="R648" s="59" t="n">
        <v>10</v>
      </c>
      <c r="S648" s="59" t="n">
        <v>8</v>
      </c>
      <c r="T648" s="63" t="inlineStr">
        <is>
          <t xml:space="preserve">I2   </t>
        </is>
      </c>
      <c r="U648" s="63" t="n">
        <v>398</v>
      </c>
      <c r="V648" s="714" t="n">
        <v>97473</v>
      </c>
      <c r="W648" s="714" t="n">
        <v>100000</v>
      </c>
      <c r="X648" s="83" t="inlineStr">
        <is>
          <t>2.1:1</t>
        </is>
      </c>
      <c r="Y648" s="714">
        <f>ROUND(J648,-3)</f>
        <v/>
      </c>
      <c r="Z648" s="63" t="inlineStr">
        <is>
          <t xml:space="preserve">C </t>
        </is>
      </c>
      <c r="AA648" s="59" t="n">
        <v>3</v>
      </c>
      <c r="AB648" s="59" t="n">
        <v>3</v>
      </c>
      <c r="AC648" s="67" t="inlineStr">
        <is>
          <t>33</t>
        </is>
      </c>
      <c r="AD648" s="61" t="inlineStr"/>
      <c r="AE648" s="716" t="n"/>
      <c r="AF648" s="716" t="n"/>
      <c r="AG648" s="716" t="n"/>
      <c r="AH648" s="716" t="n"/>
      <c r="AI648" s="716" t="n"/>
      <c r="AJ648" s="716" t="n"/>
      <c r="AK648" s="716" t="inlineStr">
        <is>
          <t xml:space="preserve">M-T WHSE.; 8 TENANTS; LEASES 1995 - 2007.                         </t>
        </is>
      </c>
      <c r="AL648">
        <f>IF(AND(ISNUMBER($S648),$S648&gt;0,ISNUMBER($K648),ISNUMBER($J648)),($K648*$J648)/$S648,"")</f>
        <v/>
      </c>
    </row>
    <row r="649">
      <c r="A649" s="62" t="n">
        <v>8</v>
      </c>
      <c r="B649" s="93" t="n">
        <v>641</v>
      </c>
      <c r="C649" s="68" t="inlineStr">
        <is>
          <t>2009Q</t>
        </is>
      </c>
      <c r="D649" s="59" t="inlineStr">
        <is>
          <t xml:space="preserve">01201-21-037-037 </t>
        </is>
      </c>
      <c r="E649" s="72" t="inlineStr">
        <is>
          <t>Actual</t>
        </is>
      </c>
      <c r="F649" s="73" t="inlineStr">
        <is>
          <t>4601   QUEBEC               ST</t>
        </is>
      </c>
      <c r="G649" s="708" t="n">
        <v>44.8</v>
      </c>
      <c r="H649" s="67" t="n">
        <v>9101</v>
      </c>
      <c r="I649" s="69" t="n">
        <v>0</v>
      </c>
      <c r="J649" s="714" t="n">
        <v>1510</v>
      </c>
      <c r="K649" s="715" t="n">
        <v>9.933774834437086</v>
      </c>
      <c r="L649" s="74" t="n">
        <v>0</v>
      </c>
      <c r="M649" s="76" t="n">
        <v>0.1384</v>
      </c>
      <c r="N649" s="67" t="n">
        <v>2004</v>
      </c>
      <c r="O649" s="64" t="n">
        <v>1510</v>
      </c>
      <c r="Q649" s="59" t="n">
        <v>18</v>
      </c>
      <c r="R649" s="59" t="n">
        <v>14</v>
      </c>
      <c r="S649" s="59" t="n">
        <v>1</v>
      </c>
      <c r="T649" s="63" t="inlineStr">
        <is>
          <t xml:space="preserve">I2   </t>
        </is>
      </c>
      <c r="U649" s="63" t="n">
        <v>398</v>
      </c>
      <c r="V649" s="714" t="n">
        <v>4552</v>
      </c>
      <c r="W649" s="714" t="n">
        <v>5000</v>
      </c>
      <c r="X649" s="83" t="inlineStr">
        <is>
          <t>3.0:1</t>
        </is>
      </c>
      <c r="Y649" s="714">
        <f>ROUND(J649,-2)</f>
        <v/>
      </c>
      <c r="Z649" s="63" t="inlineStr">
        <is>
          <t xml:space="preserve">C </t>
        </is>
      </c>
      <c r="AA649" s="59" t="n">
        <v>3</v>
      </c>
      <c r="AB649" s="59" t="n">
        <v>3</v>
      </c>
      <c r="AC649" s="67" t="inlineStr">
        <is>
          <t>33</t>
        </is>
      </c>
      <c r="AD649" s="61" t="inlineStr">
        <is>
          <t xml:space="preserve">C-2 (B) SOLSTICE    </t>
        </is>
      </c>
      <c r="AE649" s="716" t="n"/>
      <c r="AF649" s="716" t="n"/>
      <c r="AG649" s="716" t="n"/>
      <c r="AH649" s="716" t="n"/>
      <c r="AI649" s="716" t="n"/>
      <c r="AJ649" s="716" t="n"/>
      <c r="AK649" s="716" t="inlineStr">
        <is>
          <t xml:space="preserve">S-T WHSE. CONDO UNIT; AGE OF LEASE UNKNOWN.                       </t>
        </is>
      </c>
      <c r="AL649">
        <f>IF(AND(ISNUMBER($S649),$S649&gt;0,ISNUMBER($K649),ISNUMBER($J649)),($K649*$J649)/$S649,"")</f>
        <v/>
      </c>
    </row>
    <row r="650">
      <c r="A650" s="62" t="n">
        <v>8</v>
      </c>
      <c r="B650" s="93" t="n">
        <v>642</v>
      </c>
      <c r="C650" s="68" t="inlineStr">
        <is>
          <t>2009Q</t>
        </is>
      </c>
      <c r="D650" s="59" t="inlineStr">
        <is>
          <t xml:space="preserve">01202-00-129-000 </t>
        </is>
      </c>
      <c r="E650" s="72" t="inlineStr">
        <is>
          <t>Actual</t>
        </is>
      </c>
      <c r="F650" s="73" t="inlineStr">
        <is>
          <t>5601   STAPLETON N          DR</t>
        </is>
      </c>
      <c r="G650" s="708" t="n">
        <v>44.2</v>
      </c>
      <c r="H650" s="67" t="n">
        <v>9101</v>
      </c>
      <c r="I650" s="69" t="n">
        <v>0</v>
      </c>
      <c r="J650" s="714" t="n">
        <v>36000</v>
      </c>
      <c r="K650" s="715" t="n">
        <v>4.166666666666667</v>
      </c>
      <c r="L650" s="74" t="n">
        <v>0</v>
      </c>
      <c r="M650" s="76" t="n">
        <v>0</v>
      </c>
      <c r="N650" s="67" t="n">
        <v>1961</v>
      </c>
      <c r="O650" s="64" t="n">
        <v>6276</v>
      </c>
      <c r="Q650" s="59" t="n">
        <v>17</v>
      </c>
      <c r="R650" s="59" t="n">
        <v>10</v>
      </c>
      <c r="S650" s="59" t="n">
        <v>1</v>
      </c>
      <c r="T650" s="63" t="inlineStr">
        <is>
          <t xml:space="preserve">I2   </t>
        </is>
      </c>
      <c r="U650" s="63" t="n">
        <v>398</v>
      </c>
      <c r="V650" s="714" t="n">
        <v>56220</v>
      </c>
      <c r="W650" s="714" t="n">
        <v>60000</v>
      </c>
      <c r="X650" s="83" t="inlineStr">
        <is>
          <t>1.6:1</t>
        </is>
      </c>
      <c r="Y650" s="714">
        <f>ROUND(J650,-3)</f>
        <v/>
      </c>
      <c r="Z650" s="63" t="inlineStr">
        <is>
          <t xml:space="preserve">C </t>
        </is>
      </c>
      <c r="AA650" s="59" t="n">
        <v>3</v>
      </c>
      <c r="AB650" s="59" t="n">
        <v>3</v>
      </c>
      <c r="AC650" s="67" t="inlineStr">
        <is>
          <t>33</t>
        </is>
      </c>
      <c r="AD650" s="61" t="inlineStr"/>
      <c r="AE650" s="716" t="n"/>
      <c r="AF650" s="716" t="n"/>
      <c r="AG650" s="716" t="n"/>
      <c r="AH650" s="716" t="n"/>
      <c r="AI650" s="716" t="n"/>
      <c r="AJ650" s="716" t="n"/>
      <c r="AK650" s="716" t="inlineStr">
        <is>
          <t xml:space="preserve">S-T WHSE.; AGE OF LEASE UNKNOWN.                                  </t>
        </is>
      </c>
      <c r="AL650">
        <f>IF(AND(ISNUMBER($S650),$S650&gt;0,ISNUMBER($K650),ISNUMBER($J650)),($K650*$J650)/$S650,"")</f>
        <v/>
      </c>
    </row>
    <row r="651">
      <c r="A651" s="62" t="n">
        <v>8</v>
      </c>
      <c r="B651" s="93" t="n">
        <v>643</v>
      </c>
      <c r="C651" s="68" t="inlineStr">
        <is>
          <t>2009Q</t>
        </is>
      </c>
      <c r="D651" s="59" t="inlineStr">
        <is>
          <t xml:space="preserve">01202-00-131-000 </t>
        </is>
      </c>
      <c r="E651" s="72" t="inlineStr">
        <is>
          <t>Actual</t>
        </is>
      </c>
      <c r="F651" s="73" t="inlineStr">
        <is>
          <t>4621   MONACO               PK</t>
        </is>
      </c>
      <c r="G651" s="708" t="n">
        <v>44.1</v>
      </c>
      <c r="H651" s="67" t="n">
        <v>9101</v>
      </c>
      <c r="I651" s="69" t="n">
        <v>0</v>
      </c>
      <c r="J651" s="714" t="n">
        <v>99494</v>
      </c>
      <c r="K651" s="715" t="n">
        <v>4.293726254849538</v>
      </c>
      <c r="L651" s="74" t="n">
        <v>0</v>
      </c>
      <c r="M651" s="76" t="n">
        <v>0</v>
      </c>
      <c r="N651" s="67" t="n">
        <v>1962</v>
      </c>
      <c r="O651" s="64">
        <f>6063+5460</f>
        <v/>
      </c>
      <c r="Q651" s="59" t="n">
        <v>21</v>
      </c>
      <c r="R651" s="59" t="n">
        <v>1</v>
      </c>
      <c r="S651" s="59" t="n">
        <v>1</v>
      </c>
      <c r="T651" s="63" t="inlineStr">
        <is>
          <t xml:space="preserve">I2   </t>
        </is>
      </c>
      <c r="U651" s="63" t="n">
        <v>398</v>
      </c>
      <c r="V651" s="714" t="n">
        <v>235873</v>
      </c>
      <c r="W651" s="714" t="n">
        <v>240000</v>
      </c>
      <c r="X651" s="83" t="inlineStr">
        <is>
          <t>2.4:1</t>
        </is>
      </c>
      <c r="Y651" s="714">
        <f>ROUND(J651,-4)</f>
        <v/>
      </c>
      <c r="Z651" s="63" t="inlineStr">
        <is>
          <t xml:space="preserve">C </t>
        </is>
      </c>
      <c r="AA651" s="59" t="n">
        <v>3</v>
      </c>
      <c r="AB651" s="59" t="n">
        <v>3</v>
      </c>
      <c r="AC651" s="67" t="inlineStr">
        <is>
          <t>33</t>
        </is>
      </c>
      <c r="AD651" s="61" t="inlineStr">
        <is>
          <t xml:space="preserve">S-W ACME MANUF.     </t>
        </is>
      </c>
      <c r="AE651" s="716" t="n"/>
      <c r="AF651" s="716" t="n"/>
      <c r="AG651" s="716" t="n"/>
      <c r="AH651" s="716" t="n"/>
      <c r="AI651" s="716" t="n"/>
      <c r="AJ651" s="716" t="n"/>
      <c r="AK651" s="716" t="inlineStr">
        <is>
          <t xml:space="preserve">S-T WHSE.                                                         </t>
        </is>
      </c>
      <c r="AL651">
        <f>IF(AND(ISNUMBER($S651),$S651&gt;0,ISNUMBER($K651),ISNUMBER($J651)),($K651*$J651)/$S651,"")</f>
        <v/>
      </c>
    </row>
    <row r="652">
      <c r="A652" s="62" t="n">
        <v>8</v>
      </c>
      <c r="B652" s="93" t="n">
        <v>644</v>
      </c>
      <c r="C652" s="68" t="inlineStr">
        <is>
          <t>2009Q</t>
        </is>
      </c>
      <c r="D652" s="59" t="inlineStr">
        <is>
          <t xml:space="preserve">01203-00-048-000 </t>
        </is>
      </c>
      <c r="E652" s="72" t="inlineStr">
        <is>
          <t>Actual</t>
        </is>
      </c>
      <c r="F652" s="73" t="inlineStr">
        <is>
          <t>5700 E 39TH                 AV</t>
        </is>
      </c>
      <c r="G652" s="708" t="n">
        <v>44.2</v>
      </c>
      <c r="H652" s="67" t="n">
        <v>9101</v>
      </c>
      <c r="I652" s="69" t="n">
        <v>0</v>
      </c>
      <c r="J652" s="714" t="n">
        <v>36742</v>
      </c>
      <c r="K652" s="715" t="n">
        <v>4.899025638234173</v>
      </c>
      <c r="L652" s="74" t="n">
        <v>0</v>
      </c>
      <c r="M652" s="76" t="n">
        <v>0</v>
      </c>
      <c r="N652" s="67" t="n">
        <v>1983</v>
      </c>
      <c r="O652" s="64" t="n">
        <v>7524</v>
      </c>
      <c r="Q652" s="59" t="n">
        <v>18</v>
      </c>
      <c r="R652" s="59" t="n">
        <v>3</v>
      </c>
      <c r="S652" s="59" t="n">
        <v>1</v>
      </c>
      <c r="T652" s="63" t="inlineStr">
        <is>
          <t xml:space="preserve">I0   </t>
        </is>
      </c>
      <c r="U652" s="63" t="n">
        <v>398</v>
      </c>
      <c r="V652" s="714" t="n">
        <v>50800</v>
      </c>
      <c r="W652" s="714" t="n">
        <v>50000</v>
      </c>
      <c r="X652" s="83" t="inlineStr">
        <is>
          <t>1.4:1</t>
        </is>
      </c>
      <c r="Y652" s="714">
        <f>ROUND(J652,-3)</f>
        <v/>
      </c>
      <c r="Z652" s="63" t="inlineStr">
        <is>
          <t xml:space="preserve">C </t>
        </is>
      </c>
      <c r="AA652" s="59" t="n">
        <v>3</v>
      </c>
      <c r="AB652" s="59" t="n">
        <v>3</v>
      </c>
      <c r="AC652" s="67" t="inlineStr">
        <is>
          <t>33</t>
        </is>
      </c>
      <c r="AD652" s="61" t="inlineStr"/>
      <c r="AE652" s="716" t="n"/>
      <c r="AF652" s="716" t="n"/>
      <c r="AG652" s="716" t="n"/>
      <c r="AH652" s="716" t="n"/>
      <c r="AI652" s="716" t="n"/>
      <c r="AJ652" s="716" t="n"/>
      <c r="AK652" s="716" t="inlineStr">
        <is>
          <t xml:space="preserve">S-T WHSE.; MAY BE OWNER-OCCUPIED BUT HAS LEASE DATA STATED.       </t>
        </is>
      </c>
      <c r="AL652">
        <f>IF(AND(ISNUMBER($S652),$S652&gt;0,ISNUMBER($K652),ISNUMBER($J652)),($K652*$J652)/$S652,"")</f>
        <v/>
      </c>
    </row>
    <row r="653">
      <c r="A653" s="62" t="n">
        <v>8</v>
      </c>
      <c r="B653" s="93" t="n">
        <v>645</v>
      </c>
      <c r="C653" s="68" t="inlineStr">
        <is>
          <t>2009Q</t>
        </is>
      </c>
      <c r="D653" s="59" t="inlineStr">
        <is>
          <t xml:space="preserve">01203-00-081-000 </t>
        </is>
      </c>
      <c r="E653" s="72" t="inlineStr">
        <is>
          <t>Actual</t>
        </is>
      </c>
      <c r="F653" s="73" t="inlineStr">
        <is>
          <t>3930   HOLLY                ST</t>
        </is>
      </c>
      <c r="G653" s="708" t="n">
        <v>44.2</v>
      </c>
      <c r="H653" s="67" t="n">
        <v>9101</v>
      </c>
      <c r="I653" s="69" t="n">
        <v>0</v>
      </c>
      <c r="J653" s="714" t="n">
        <v>15454</v>
      </c>
      <c r="K653" s="715" t="n">
        <v>5.275139122557267</v>
      </c>
      <c r="L653" s="74" t="n">
        <v>0</v>
      </c>
      <c r="M653" s="76" t="n">
        <v>0.004980250729864331</v>
      </c>
      <c r="N653" s="67" t="n">
        <v>1972</v>
      </c>
      <c r="O653" s="64" t="n">
        <v>2179</v>
      </c>
      <c r="Q653" s="59" t="n">
        <v>15</v>
      </c>
      <c r="R653" s="59" t="n">
        <v>3</v>
      </c>
      <c r="S653" s="59" t="n">
        <v>1</v>
      </c>
      <c r="T653" s="63" t="inlineStr">
        <is>
          <t xml:space="preserve">I1   </t>
        </is>
      </c>
      <c r="U653" s="63" t="n">
        <v>398</v>
      </c>
      <c r="V653" s="714" t="n">
        <v>22080</v>
      </c>
      <c r="W653" s="714" t="n">
        <v>22000</v>
      </c>
      <c r="X653" s="83" t="inlineStr">
        <is>
          <t>1.4:1</t>
        </is>
      </c>
      <c r="Y653" s="714">
        <f>ROUND(J653,-3)</f>
        <v/>
      </c>
      <c r="Z653" s="63" t="inlineStr">
        <is>
          <t xml:space="preserve">C </t>
        </is>
      </c>
      <c r="AA653" s="59" t="n">
        <v>3</v>
      </c>
      <c r="AB653" s="59" t="n">
        <v>3</v>
      </c>
      <c r="AC653" s="67" t="inlineStr">
        <is>
          <t>33</t>
        </is>
      </c>
      <c r="AD653" s="61" t="inlineStr"/>
      <c r="AE653" s="716" t="n"/>
      <c r="AF653" s="716" t="n"/>
      <c r="AG653" s="716" t="n"/>
      <c r="AH653" s="716" t="n"/>
      <c r="AI653" s="716" t="n"/>
      <c r="AJ653" s="716" t="n"/>
      <c r="AK653" s="716" t="inlineStr">
        <is>
          <t xml:space="preserve">M-T WHSE; 2 TENANTS.                                              </t>
        </is>
      </c>
      <c r="AL653">
        <f>IF(AND(ISNUMBER($S653),$S653&gt;0,ISNUMBER($K653),ISNUMBER($J653)),($K653*$J653)/$S653,"")</f>
        <v/>
      </c>
    </row>
    <row r="654">
      <c r="A654" s="62" t="n">
        <v>8</v>
      </c>
      <c r="B654" s="93" t="n">
        <v>646</v>
      </c>
      <c r="C654" s="68" t="inlineStr">
        <is>
          <t>2009Q</t>
        </is>
      </c>
      <c r="D654" s="59" t="inlineStr">
        <is>
          <t xml:space="preserve">01203-00-100-000 </t>
        </is>
      </c>
      <c r="E654" s="72" t="inlineStr">
        <is>
          <t>Actual</t>
        </is>
      </c>
      <c r="F654" s="73" t="inlineStr">
        <is>
          <t>5775 E 39TH                 AV</t>
        </is>
      </c>
      <c r="G654" s="708" t="n">
        <v>44.1</v>
      </c>
      <c r="H654" s="67" t="n">
        <v>9101</v>
      </c>
      <c r="I654" s="69" t="n">
        <v>0</v>
      </c>
      <c r="J654" s="714" t="n">
        <v>25212</v>
      </c>
      <c r="K654" s="715" t="n">
        <v>3.710376011423132</v>
      </c>
      <c r="L654" s="74" t="n">
        <v>0</v>
      </c>
      <c r="M654" s="76" t="n">
        <v>0.03519124281102345</v>
      </c>
      <c r="N654" s="67" t="n">
        <v>1966</v>
      </c>
      <c r="O654" s="64">
        <f>2989</f>
        <v/>
      </c>
      <c r="Q654" s="59" t="n">
        <v>17</v>
      </c>
      <c r="R654" s="59" t="n">
        <v>1</v>
      </c>
      <c r="S654" s="59" t="n">
        <v>1</v>
      </c>
      <c r="T654" s="63" t="inlineStr">
        <is>
          <t xml:space="preserve">I1   </t>
        </is>
      </c>
      <c r="U654" s="63" t="n">
        <v>398</v>
      </c>
      <c r="V654" s="714" t="n">
        <v>38163</v>
      </c>
      <c r="W654" s="714" t="n">
        <v>38000</v>
      </c>
      <c r="X654" s="83" t="inlineStr">
        <is>
          <t>1.5:1</t>
        </is>
      </c>
      <c r="Y654" s="714">
        <f>ROUND(J654,-3)</f>
        <v/>
      </c>
      <c r="Z654" s="63" t="inlineStr">
        <is>
          <t xml:space="preserve">C </t>
        </is>
      </c>
      <c r="AA654" s="59" t="n">
        <v>3</v>
      </c>
      <c r="AB654" s="59" t="n">
        <v>3</v>
      </c>
      <c r="AC654" s="67" t="inlineStr">
        <is>
          <t>33</t>
        </is>
      </c>
      <c r="AD654" s="61" t="inlineStr"/>
      <c r="AE654" s="716" t="n"/>
      <c r="AF654" s="716" t="n"/>
      <c r="AG654" s="716" t="n"/>
      <c r="AH654" s="716" t="n"/>
      <c r="AI654" s="716" t="n"/>
      <c r="AJ654" s="716" t="n"/>
      <c r="AK654" s="716" t="inlineStr">
        <is>
          <t xml:space="preserve">S-T WHSE.; 2006 LEASE.                                            </t>
        </is>
      </c>
      <c r="AL654">
        <f>IF(AND(ISNUMBER($S654),$S654&gt;0,ISNUMBER($K654),ISNUMBER($J654)),($K654*$J654)/$S654,"")</f>
        <v/>
      </c>
    </row>
    <row r="655">
      <c r="A655" s="62" t="n">
        <v>8</v>
      </c>
      <c r="B655" s="93" t="n">
        <v>647</v>
      </c>
      <c r="C655" s="68" t="inlineStr">
        <is>
          <t>2009Q</t>
        </is>
      </c>
      <c r="D655" s="59" t="inlineStr">
        <is>
          <t xml:space="preserve">01203-00-126-000 </t>
        </is>
      </c>
      <c r="E655" s="72" t="inlineStr">
        <is>
          <t>Actual</t>
        </is>
      </c>
      <c r="F655" s="73" t="inlineStr">
        <is>
          <t>3837   MONACO               PY</t>
        </is>
      </c>
      <c r="G655" s="708" t="n">
        <v>44.1</v>
      </c>
      <c r="H655" s="67" t="n">
        <v>9101</v>
      </c>
      <c r="I655" s="69" t="n">
        <v>0</v>
      </c>
      <c r="J655" s="714" t="n">
        <v>60520</v>
      </c>
      <c r="K655" s="715" t="n">
        <v>4.163912756113682</v>
      </c>
      <c r="L655" s="74" t="n">
        <v>0</v>
      </c>
      <c r="M655" s="76" t="n">
        <v>0</v>
      </c>
      <c r="N655" s="67" t="n">
        <v>1969</v>
      </c>
      <c r="O655" s="64" t="n">
        <v>1566</v>
      </c>
      <c r="Q655" s="59" t="n">
        <v>22</v>
      </c>
      <c r="R655" s="59" t="n">
        <v>10</v>
      </c>
      <c r="S655" s="59" t="n">
        <v>1</v>
      </c>
      <c r="T655" s="63" t="inlineStr">
        <is>
          <t xml:space="preserve">I0   </t>
        </is>
      </c>
      <c r="U655" s="63" t="n">
        <v>398</v>
      </c>
      <c r="V655" s="714" t="n">
        <v>127296</v>
      </c>
      <c r="W655" s="714" t="n">
        <v>130000</v>
      </c>
      <c r="X655" s="83" t="inlineStr">
        <is>
          <t>2.1:1</t>
        </is>
      </c>
      <c r="Y655" s="714">
        <f>ROUND(J655,-4)</f>
        <v/>
      </c>
      <c r="Z655" s="63" t="inlineStr">
        <is>
          <t xml:space="preserve">C </t>
        </is>
      </c>
      <c r="AA655" s="59" t="n">
        <v>3</v>
      </c>
      <c r="AB655" s="59" t="n">
        <v>3</v>
      </c>
      <c r="AC655" s="67" t="inlineStr">
        <is>
          <t>33</t>
        </is>
      </c>
      <c r="AD655" s="61" t="inlineStr"/>
      <c r="AE655" s="716" t="n"/>
      <c r="AF655" s="716" t="n"/>
      <c r="AG655" s="716" t="n"/>
      <c r="AH655" s="716" t="n"/>
      <c r="AI655" s="716" t="n"/>
      <c r="AJ655" s="716" t="n"/>
      <c r="AK655" s="716" t="inlineStr">
        <is>
          <t xml:space="preserve">S-T WHSE.                                                         </t>
        </is>
      </c>
      <c r="AL655">
        <f>IF(AND(ISNUMBER($S655),$S655&gt;0,ISNUMBER($K655),ISNUMBER($J655)),($K655*$J655)/$S655,"")</f>
        <v/>
      </c>
    </row>
    <row r="656">
      <c r="A656" s="62" t="n">
        <v>8</v>
      </c>
      <c r="B656" s="93" t="n">
        <v>648</v>
      </c>
      <c r="C656" s="68" t="inlineStr">
        <is>
          <t>2009Q</t>
        </is>
      </c>
      <c r="D656" s="59" t="inlineStr">
        <is>
          <t xml:space="preserve">01203-00-127-000 </t>
        </is>
      </c>
      <c r="E656" s="72" t="inlineStr">
        <is>
          <t>Actual</t>
        </is>
      </c>
      <c r="F656" s="73" t="inlineStr">
        <is>
          <t>6363 E 38TH                 AV</t>
        </is>
      </c>
      <c r="G656" s="708" t="n">
        <v>44.1</v>
      </c>
      <c r="H656" s="67" t="n">
        <v>9101</v>
      </c>
      <c r="I656" s="69" t="n">
        <v>0</v>
      </c>
      <c r="J656" s="714" t="n">
        <v>38080</v>
      </c>
      <c r="K656" s="715" t="n">
        <v>3.927415966386555</v>
      </c>
      <c r="L656" s="74" t="n">
        <v>0</v>
      </c>
      <c r="M656" s="76" t="n">
        <v>0</v>
      </c>
      <c r="N656" s="67" t="n">
        <v>1971</v>
      </c>
      <c r="O656" s="64">
        <f>3600+616</f>
        <v/>
      </c>
      <c r="Q656" s="59" t="n">
        <v>22</v>
      </c>
      <c r="R656" s="59" t="n">
        <v>10</v>
      </c>
      <c r="S656" s="59" t="n">
        <v>1</v>
      </c>
      <c r="T656" s="63" t="inlineStr">
        <is>
          <t xml:space="preserve">I0   </t>
        </is>
      </c>
      <c r="U656" s="63" t="n">
        <v>398</v>
      </c>
      <c r="V656" s="714" t="n">
        <v>78900</v>
      </c>
      <c r="W656" s="714" t="n">
        <v>80000</v>
      </c>
      <c r="X656" s="83" t="inlineStr">
        <is>
          <t>2.1:1</t>
        </is>
      </c>
      <c r="Y656" s="714">
        <f>ROUND(J656,-3)</f>
        <v/>
      </c>
      <c r="Z656" s="63" t="inlineStr">
        <is>
          <t xml:space="preserve">C </t>
        </is>
      </c>
      <c r="AA656" s="59" t="n">
        <v>3</v>
      </c>
      <c r="AB656" s="59" t="n">
        <v>3</v>
      </c>
      <c r="AC656" s="67" t="inlineStr">
        <is>
          <t>33</t>
        </is>
      </c>
      <c r="AD656" s="61" t="inlineStr">
        <is>
          <t xml:space="preserve">S-W ABC DIE COMPANY </t>
        </is>
      </c>
      <c r="AE656" s="716" t="n"/>
      <c r="AF656" s="716" t="n"/>
      <c r="AG656" s="716" t="n"/>
      <c r="AH656" s="716" t="n"/>
      <c r="AI656" s="716" t="n"/>
      <c r="AJ656" s="716" t="n"/>
      <c r="AK656" s="716" t="inlineStr">
        <is>
          <t xml:space="preserve">M-T WHSE.                                                         </t>
        </is>
      </c>
      <c r="AL656">
        <f>IF(AND(ISNUMBER($S656),$S656&gt;0,ISNUMBER($K656),ISNUMBER($J656)),($K656*$J656)/$S656,"")</f>
        <v/>
      </c>
    </row>
    <row r="657">
      <c r="A657" s="62" t="n">
        <v>8</v>
      </c>
      <c r="B657" s="93" t="n">
        <v>649</v>
      </c>
      <c r="C657" s="68" t="inlineStr">
        <is>
          <t>2009Q</t>
        </is>
      </c>
      <c r="D657" s="59" t="inlineStr">
        <is>
          <t xml:space="preserve">01203-00-134-000 </t>
        </is>
      </c>
      <c r="E657" s="72" t="inlineStr">
        <is>
          <t>Actual</t>
        </is>
      </c>
      <c r="F657" s="73" t="inlineStr">
        <is>
          <t>6300 E 39TH                 AV</t>
        </is>
      </c>
      <c r="G657" s="708" t="n">
        <v>44.1</v>
      </c>
      <c r="H657" s="67" t="n">
        <v>9101</v>
      </c>
      <c r="I657" s="69" t="n">
        <v>0</v>
      </c>
      <c r="J657" s="714" t="n">
        <v>29376</v>
      </c>
      <c r="K657" s="715" t="n">
        <v>4.996493736383442</v>
      </c>
      <c r="L657" s="74" t="n">
        <v>0</v>
      </c>
      <c r="M657" s="76" t="n">
        <v>0</v>
      </c>
      <c r="N657" s="67" t="n">
        <v>1971</v>
      </c>
      <c r="O657" s="64">
        <f>5061+360</f>
        <v/>
      </c>
      <c r="Q657" s="59" t="n">
        <v>22</v>
      </c>
      <c r="R657" s="59" t="n">
        <v>10</v>
      </c>
      <c r="S657" s="59" t="n">
        <v>1</v>
      </c>
      <c r="T657" s="63" t="inlineStr">
        <is>
          <t xml:space="preserve">I0   </t>
        </is>
      </c>
      <c r="U657" s="63" t="n">
        <v>398</v>
      </c>
      <c r="V657" s="714" t="n">
        <v>61218</v>
      </c>
      <c r="W657" s="714" t="n">
        <v>60000</v>
      </c>
      <c r="X657" s="83" t="inlineStr">
        <is>
          <t>2.1:1</t>
        </is>
      </c>
      <c r="Y657" s="714">
        <f>ROUND(J657,-3)</f>
        <v/>
      </c>
      <c r="Z657" s="63" t="inlineStr">
        <is>
          <t xml:space="preserve">C </t>
        </is>
      </c>
      <c r="AA657" s="59" t="n">
        <v>3</v>
      </c>
      <c r="AB657" s="59" t="n">
        <v>3</v>
      </c>
      <c r="AC657" s="67" t="inlineStr">
        <is>
          <t>33</t>
        </is>
      </c>
      <c r="AD657" s="61" t="inlineStr"/>
      <c r="AE657" s="716" t="n"/>
      <c r="AF657" s="716" t="n"/>
      <c r="AG657" s="716" t="n"/>
      <c r="AH657" s="716" t="n"/>
      <c r="AI657" s="716" t="n"/>
      <c r="AJ657" s="716" t="n"/>
      <c r="AK657" s="716" t="inlineStr">
        <is>
          <t xml:space="preserve">S-T WHSE,; 2006 LEASE.                                            </t>
        </is>
      </c>
      <c r="AL657">
        <f>IF(AND(ISNUMBER($S657),$S657&gt;0,ISNUMBER($K657),ISNUMBER($J657)),($K657*$J657)/$S657,"")</f>
        <v/>
      </c>
    </row>
    <row r="658">
      <c r="A658" s="62" t="n">
        <v>8</v>
      </c>
      <c r="B658" s="93" t="n">
        <v>650</v>
      </c>
      <c r="C658" s="68" t="inlineStr">
        <is>
          <t>2009Q</t>
        </is>
      </c>
      <c r="D658" s="59" t="inlineStr">
        <is>
          <t xml:space="preserve">01203-00-174-000 </t>
        </is>
      </c>
      <c r="E658" s="72" t="inlineStr">
        <is>
          <t>Actual</t>
        </is>
      </c>
      <c r="F658" s="73" t="inlineStr">
        <is>
          <t>6490   SMITH                RD</t>
        </is>
      </c>
      <c r="G658" s="708" t="n">
        <v>44.2</v>
      </c>
      <c r="H658" s="67" t="n">
        <v>9101</v>
      </c>
      <c r="I658" s="69" t="n">
        <v>0</v>
      </c>
      <c r="J658" s="714" t="n">
        <v>49046</v>
      </c>
      <c r="K658" s="715" t="n">
        <v>4.238877788198834</v>
      </c>
      <c r="L658" s="74" t="n">
        <v>0</v>
      </c>
      <c r="M658" s="76" t="n">
        <v>0.06829244829244829</v>
      </c>
      <c r="N658" s="67" t="n">
        <v>2002</v>
      </c>
      <c r="O658" s="64" t="n">
        <v>3032</v>
      </c>
      <c r="Q658" s="59" t="n">
        <v>24</v>
      </c>
      <c r="R658" s="59" t="n">
        <v>14</v>
      </c>
      <c r="S658" s="59" t="n">
        <v>1</v>
      </c>
      <c r="T658" s="63" t="inlineStr">
        <is>
          <t xml:space="preserve">I1   </t>
        </is>
      </c>
      <c r="U658" s="63" t="n">
        <v>398</v>
      </c>
      <c r="V658" s="714" t="n">
        <v>107083</v>
      </c>
      <c r="W658" s="714" t="n">
        <v>110000</v>
      </c>
      <c r="X658" s="83" t="inlineStr">
        <is>
          <t>2.2:1</t>
        </is>
      </c>
      <c r="Y658" s="714">
        <f>ROUND(J658,-3)</f>
        <v/>
      </c>
      <c r="Z658" s="63" t="inlineStr">
        <is>
          <t xml:space="preserve">C </t>
        </is>
      </c>
      <c r="AA658" s="59" t="n">
        <v>3</v>
      </c>
      <c r="AB658" s="59" t="n">
        <v>3</v>
      </c>
      <c r="AC658" s="67" t="inlineStr">
        <is>
          <t>33</t>
        </is>
      </c>
      <c r="AD658" s="61" t="inlineStr"/>
      <c r="AE658" s="716" t="n"/>
      <c r="AF658" s="716" t="n"/>
      <c r="AG658" s="716" t="n"/>
      <c r="AH658" s="716" t="n"/>
      <c r="AI658" s="716" t="n"/>
      <c r="AJ658" s="716" t="n"/>
      <c r="AK658" s="716" t="inlineStr">
        <is>
          <t xml:space="preserve">S-T WHSE.; 2004 LEASE; SOME EXPENSES EXCLUDED - EXCESSIVE.        </t>
        </is>
      </c>
      <c r="AL658">
        <f>IF(AND(ISNUMBER($S658),$S658&gt;0,ISNUMBER($K658),ISNUMBER($J658)),($K658*$J658)/$S658,"")</f>
        <v/>
      </c>
    </row>
    <row r="659">
      <c r="A659" s="62" t="n">
        <v>8</v>
      </c>
      <c r="B659" s="93" t="n">
        <v>651</v>
      </c>
      <c r="C659" s="68" t="inlineStr">
        <is>
          <t>2009Q</t>
        </is>
      </c>
      <c r="D659" s="59" t="inlineStr">
        <is>
          <t xml:space="preserve">01203-00-175-000 </t>
        </is>
      </c>
      <c r="E659" s="72" t="inlineStr">
        <is>
          <t>Actual</t>
        </is>
      </c>
      <c r="F659" s="73" t="inlineStr">
        <is>
          <t>6489   39TH                 AV</t>
        </is>
      </c>
      <c r="G659" s="708" t="n">
        <v>44.2</v>
      </c>
      <c r="H659" s="67" t="n">
        <v>9101</v>
      </c>
      <c r="I659" s="69" t="n">
        <v>0</v>
      </c>
      <c r="J659" s="714" t="n">
        <v>49046</v>
      </c>
      <c r="K659" s="715" t="n">
        <v>4.024691106308364</v>
      </c>
      <c r="L659" s="74" t="n">
        <v>0</v>
      </c>
      <c r="M659" s="76" t="n">
        <v>0.06503710833607741</v>
      </c>
      <c r="N659" s="67" t="n">
        <v>1998</v>
      </c>
      <c r="O659" s="64" t="n">
        <v>6360</v>
      </c>
      <c r="Q659" s="59" t="n">
        <v>24</v>
      </c>
      <c r="R659" s="59" t="n">
        <v>14</v>
      </c>
      <c r="S659" s="59" t="n">
        <v>1</v>
      </c>
      <c r="T659" s="63" t="inlineStr">
        <is>
          <t xml:space="preserve">I1   </t>
        </is>
      </c>
      <c r="U659" s="63" t="n">
        <v>398</v>
      </c>
      <c r="V659" s="714" t="n">
        <v>104440</v>
      </c>
      <c r="W659" s="714" t="n">
        <v>100000</v>
      </c>
      <c r="X659" s="83" t="inlineStr">
        <is>
          <t>2.1:1</t>
        </is>
      </c>
      <c r="Y659" s="714">
        <f>ROUND(J659,-3)</f>
        <v/>
      </c>
      <c r="Z659" s="63" t="inlineStr">
        <is>
          <t xml:space="preserve">C </t>
        </is>
      </c>
      <c r="AA659" s="59" t="n">
        <v>3</v>
      </c>
      <c r="AB659" s="59" t="n">
        <v>3</v>
      </c>
      <c r="AC659" s="67" t="inlineStr">
        <is>
          <t>33</t>
        </is>
      </c>
      <c r="AD659" s="61" t="inlineStr">
        <is>
          <t xml:space="preserve">DENVER TENT COMPANY </t>
        </is>
      </c>
      <c r="AE659" s="716" t="n"/>
      <c r="AF659" s="716" t="n"/>
      <c r="AG659" s="716" t="n"/>
      <c r="AH659" s="716" t="n"/>
      <c r="AI659" s="716" t="n"/>
      <c r="AJ659" s="716" t="n"/>
      <c r="AK659" s="716" t="inlineStr">
        <is>
          <t>S-T WHSE.; 2005 LEASE; SOME EXPENSES EXCLUDED DUE TO EXCESSIVE AMT</t>
        </is>
      </c>
      <c r="AL659">
        <f>IF(AND(ISNUMBER($S659),$S659&gt;0,ISNUMBER($K659),ISNUMBER($J659)),($K659*$J659)/$S659,"")</f>
        <v/>
      </c>
    </row>
    <row r="660">
      <c r="A660" s="62" t="n">
        <v>8</v>
      </c>
      <c r="B660" s="93" t="n">
        <v>652</v>
      </c>
      <c r="C660" s="68" t="inlineStr">
        <is>
          <t>2009Q</t>
        </is>
      </c>
      <c r="D660" s="59" t="inlineStr">
        <is>
          <t xml:space="preserve">01203-00-176-000 </t>
        </is>
      </c>
      <c r="E660" s="72" t="inlineStr">
        <is>
          <t>Actual</t>
        </is>
      </c>
      <c r="F660" s="73" t="inlineStr">
        <is>
          <t>3925   MONACO               ST</t>
        </is>
      </c>
      <c r="G660" s="708" t="n">
        <v>44.2</v>
      </c>
      <c r="H660" s="67" t="n">
        <v>9101</v>
      </c>
      <c r="I660" s="69" t="n">
        <v>0</v>
      </c>
      <c r="J660" s="714" t="n">
        <v>42130</v>
      </c>
      <c r="K660" s="715" t="n">
        <v>4.863565155471161</v>
      </c>
      <c r="L660" s="74" t="n">
        <v>0</v>
      </c>
      <c r="M660" s="76" t="n">
        <v>0.108637299782335</v>
      </c>
      <c r="N660" s="67" t="n">
        <v>2000</v>
      </c>
      <c r="O660" s="64">
        <f>2485+6700</f>
        <v/>
      </c>
      <c r="Q660" s="59" t="n">
        <v>25</v>
      </c>
      <c r="R660" s="59" t="n">
        <v>14</v>
      </c>
      <c r="S660" s="59" t="n">
        <v>2</v>
      </c>
      <c r="T660" s="63" t="inlineStr">
        <is>
          <t xml:space="preserve">I1   </t>
        </is>
      </c>
      <c r="U660" s="63" t="n">
        <v>398</v>
      </c>
      <c r="V660" s="714" t="n">
        <v>98955</v>
      </c>
      <c r="W660" s="714" t="n">
        <v>100000</v>
      </c>
      <c r="X660" s="83" t="inlineStr">
        <is>
          <t>2.3:1</t>
        </is>
      </c>
      <c r="Y660" s="714">
        <f>ROUND(J660,-3)</f>
        <v/>
      </c>
      <c r="Z660" s="63" t="inlineStr">
        <is>
          <t xml:space="preserve">C </t>
        </is>
      </c>
      <c r="AA660" s="59" t="n">
        <v>3</v>
      </c>
      <c r="AB660" s="59" t="n">
        <v>3</v>
      </c>
      <c r="AC660" s="67" t="inlineStr">
        <is>
          <t>33</t>
        </is>
      </c>
      <c r="AD660" s="61" t="inlineStr">
        <is>
          <t>M-W ATLANTIC WEST FL</t>
        </is>
      </c>
      <c r="AE660" s="716" t="n"/>
      <c r="AF660" s="716" t="n"/>
      <c r="AG660" s="716" t="n"/>
      <c r="AH660" s="716" t="n"/>
      <c r="AI660" s="716" t="n"/>
      <c r="AJ660" s="716" t="n"/>
      <c r="AK660" s="716" t="inlineStr">
        <is>
          <t xml:space="preserve">M-T WHSE.; 2 TENANTS; SOME EXPENSES EXCLUDED DUE TO EXCESSIVE.    </t>
        </is>
      </c>
      <c r="AL660">
        <f>IF(AND(ISNUMBER($S660),$S660&gt;0,ISNUMBER($K660),ISNUMBER($J660)),($K660*$J660)/$S660,"")</f>
        <v/>
      </c>
    </row>
    <row r="661">
      <c r="A661" s="62" t="n">
        <v>8</v>
      </c>
      <c r="B661" s="93" t="n">
        <v>653</v>
      </c>
      <c r="C661" s="68" t="inlineStr">
        <is>
          <t>2009Q</t>
        </is>
      </c>
      <c r="D661" s="59" t="inlineStr">
        <is>
          <t xml:space="preserve">01204-15-005-000 </t>
        </is>
      </c>
      <c r="E661" s="72" t="inlineStr">
        <is>
          <t>Actual</t>
        </is>
      </c>
      <c r="F661" s="73" t="inlineStr">
        <is>
          <t>6880   SMITH                RD</t>
        </is>
      </c>
      <c r="G661" s="708" t="n">
        <v>44.1</v>
      </c>
      <c r="H661" s="67" t="n">
        <v>9101</v>
      </c>
      <c r="I661" s="69" t="n">
        <v>0</v>
      </c>
      <c r="J661" s="714" t="n">
        <v>2848</v>
      </c>
      <c r="K661" s="715" t="n">
        <v>3.792134831460674</v>
      </c>
      <c r="L661" s="74" t="n">
        <v>0</v>
      </c>
      <c r="M661" s="76" t="n">
        <v>0.1944444444444444</v>
      </c>
      <c r="N661" s="67" t="n">
        <v>1959</v>
      </c>
      <c r="O661" s="64" t="n">
        <v>1923</v>
      </c>
      <c r="Q661" s="59" t="n">
        <v>13</v>
      </c>
      <c r="R661" s="59" t="n">
        <v>7</v>
      </c>
      <c r="S661" s="59" t="n">
        <v>2</v>
      </c>
      <c r="T661" s="63" t="inlineStr">
        <is>
          <t xml:space="preserve">I1   </t>
        </is>
      </c>
      <c r="U661" s="63" t="n">
        <v>398</v>
      </c>
      <c r="V661" s="714" t="n">
        <v>11741</v>
      </c>
      <c r="W661" s="714" t="n">
        <v>12000</v>
      </c>
      <c r="X661" s="83" t="inlineStr">
        <is>
          <t>4.1:1</t>
        </is>
      </c>
      <c r="Y661" s="714">
        <f>ROUND(J661,-3)</f>
        <v/>
      </c>
      <c r="Z661" s="63" t="inlineStr">
        <is>
          <t xml:space="preserve">C </t>
        </is>
      </c>
      <c r="AA661" s="59" t="n">
        <v>3</v>
      </c>
      <c r="AB661" s="59" t="n">
        <v>3</v>
      </c>
      <c r="AC661" s="67" t="inlineStr">
        <is>
          <t>33</t>
        </is>
      </c>
      <c r="AD661" s="61" t="inlineStr">
        <is>
          <t xml:space="preserve">SHOWCASE LANDSCAPE  </t>
        </is>
      </c>
      <c r="AE661" s="716" t="n"/>
      <c r="AF661" s="716" t="n"/>
      <c r="AG661" s="716" t="n"/>
      <c r="AH661" s="716" t="n"/>
      <c r="AI661" s="716" t="n"/>
      <c r="AJ661" s="716" t="n"/>
      <c r="AK661" s="716" t="inlineStr">
        <is>
          <t xml:space="preserve">S-T WHSE.                                                         </t>
        </is>
      </c>
      <c r="AL661">
        <f>IF(AND(ISNUMBER($S661),$S661&gt;0,ISNUMBER($K661),ISNUMBER($J661)),($K661*$J661)/$S661,"")</f>
        <v/>
      </c>
    </row>
    <row r="662">
      <c r="A662" s="62" t="n">
        <v>8</v>
      </c>
      <c r="B662" s="93" t="n">
        <v>654</v>
      </c>
      <c r="C662" s="68" t="inlineStr">
        <is>
          <t>2009Q</t>
        </is>
      </c>
      <c r="D662" s="59" t="inlineStr">
        <is>
          <t xml:space="preserve">01213-00-077-000 </t>
        </is>
      </c>
      <c r="E662" s="72" t="inlineStr">
        <is>
          <t>Actual</t>
        </is>
      </c>
      <c r="F662" s="73" t="inlineStr">
        <is>
          <t>8025 E 40TH                 AV</t>
        </is>
      </c>
      <c r="G662" s="708" t="n">
        <v>44.2</v>
      </c>
      <c r="H662" s="67" t="n">
        <v>9101</v>
      </c>
      <c r="I662" s="69" t="n">
        <v>0</v>
      </c>
      <c r="J662" s="714" t="n">
        <v>25596</v>
      </c>
      <c r="K662" s="715" t="n">
        <v>7.911392405063292</v>
      </c>
      <c r="L662" s="74" t="n">
        <v>0.5</v>
      </c>
      <c r="M662" s="76" t="n">
        <v>0.07802469135802469</v>
      </c>
      <c r="N662" s="67" t="n">
        <v>1959</v>
      </c>
      <c r="O662" s="64" t="n">
        <v>10174</v>
      </c>
      <c r="Q662" s="59" t="n">
        <v>14</v>
      </c>
      <c r="R662" s="59" t="n">
        <v>1</v>
      </c>
      <c r="S662" s="59" t="n">
        <v>3</v>
      </c>
      <c r="T662" s="63" t="inlineStr">
        <is>
          <t xml:space="preserve">I2   </t>
        </is>
      </c>
      <c r="U662" s="63" t="n">
        <v>398</v>
      </c>
      <c r="V662" s="714" t="n">
        <v>80527</v>
      </c>
      <c r="W662" s="714" t="n">
        <v>80000</v>
      </c>
      <c r="X662" s="83" t="inlineStr">
        <is>
          <t>1.8:1</t>
        </is>
      </c>
      <c r="Y662" s="714">
        <f>ROUND(J662,-3)</f>
        <v/>
      </c>
      <c r="Z662" s="63" t="inlineStr">
        <is>
          <t xml:space="preserve">C </t>
        </is>
      </c>
      <c r="AA662" s="59" t="n">
        <v>3</v>
      </c>
      <c r="AB662" s="59" t="n">
        <v>3</v>
      </c>
      <c r="AC662" s="67" t="inlineStr">
        <is>
          <t>33</t>
        </is>
      </c>
      <c r="AD662" s="61" t="inlineStr">
        <is>
          <t xml:space="preserve">M-W ASPEN BAKERY    </t>
        </is>
      </c>
      <c r="AE662" s="716" t="n"/>
      <c r="AF662" s="716" t="n"/>
      <c r="AG662" s="716" t="n"/>
      <c r="AH662" s="716" t="n"/>
      <c r="AI662" s="716" t="n"/>
      <c r="AJ662" s="716" t="n"/>
      <c r="AK662" s="716" t="inlineStr">
        <is>
          <t xml:space="preserve">M-T WHSE; 3 UNITS; LEASES 1997 &amp; 2008.                            </t>
        </is>
      </c>
      <c r="AL662">
        <f>IF(AND(ISNUMBER($S662),$S662&gt;0,ISNUMBER($K662),ISNUMBER($J662)),($K662*$J662)/$S662,"")</f>
        <v/>
      </c>
    </row>
    <row r="663">
      <c r="A663" s="62" t="n">
        <v>8</v>
      </c>
      <c r="B663" s="93" t="n">
        <v>655</v>
      </c>
      <c r="C663" s="68" t="inlineStr">
        <is>
          <t>2009Q</t>
        </is>
      </c>
      <c r="D663" s="59" t="inlineStr">
        <is>
          <t xml:space="preserve">01231-00-056-000 </t>
        </is>
      </c>
      <c r="E663" s="72" t="inlineStr">
        <is>
          <t>Actual</t>
        </is>
      </c>
      <c r="F663" s="73" t="inlineStr">
        <is>
          <t>4665   PARIS                ST</t>
        </is>
      </c>
      <c r="G663" s="708" t="n">
        <v>44.2</v>
      </c>
      <c r="H663" s="67" t="n">
        <v>9102</v>
      </c>
      <c r="I663" s="69" t="n">
        <v>0</v>
      </c>
      <c r="J663" s="714" t="n">
        <v>62914</v>
      </c>
      <c r="K663" s="715" t="n">
        <v>8.828798041771307</v>
      </c>
      <c r="L663" s="74" t="n">
        <v>0.07000000000000001</v>
      </c>
      <c r="M663" s="76" t="n">
        <v>0.2971491840023044</v>
      </c>
      <c r="N663" s="67" t="n">
        <v>1984</v>
      </c>
      <c r="O663" s="64" t="n">
        <v>19937</v>
      </c>
      <c r="Q663" s="59" t="n">
        <v>15</v>
      </c>
      <c r="R663" s="59" t="n">
        <v>3</v>
      </c>
      <c r="S663" s="59" t="n">
        <v>3</v>
      </c>
      <c r="T663" s="63" t="inlineStr">
        <is>
          <t xml:space="preserve">B8   </t>
        </is>
      </c>
      <c r="U663" s="63" t="n">
        <v>398</v>
      </c>
      <c r="V663" s="714" t="n">
        <v>231935</v>
      </c>
      <c r="W663" s="714" t="n">
        <v>230000</v>
      </c>
      <c r="X663" s="83" t="inlineStr">
        <is>
          <t>3.7:1</t>
        </is>
      </c>
      <c r="Y663" s="714">
        <f>ROUND(J663,-4)</f>
        <v/>
      </c>
      <c r="Z663" s="63" t="inlineStr">
        <is>
          <t xml:space="preserve">C </t>
        </is>
      </c>
      <c r="AA663" s="59" t="n">
        <v>3</v>
      </c>
      <c r="AB663" s="59" t="n">
        <v>3</v>
      </c>
      <c r="AC663" s="67" t="inlineStr">
        <is>
          <t>33</t>
        </is>
      </c>
      <c r="AD663" s="61" t="inlineStr">
        <is>
          <t xml:space="preserve">CT&amp;E MAJOR TENANT   </t>
        </is>
      </c>
      <c r="AE663" s="716" t="n"/>
      <c r="AF663" s="716" t="n"/>
      <c r="AG663" s="716" t="n"/>
      <c r="AH663" s="716" t="n"/>
      <c r="AI663" s="716" t="n"/>
      <c r="AJ663" s="716" t="n"/>
      <c r="AK663" s="716" t="inlineStr">
        <is>
          <t xml:space="preserve">M-T WHSE.; 8 TENANTS; LEASES 1998 - 2007.                         </t>
        </is>
      </c>
      <c r="AL663">
        <f>IF(AND(ISNUMBER($S663),$S663&gt;0,ISNUMBER($K663),ISNUMBER($J663)),($K663*$J663)/$S663,"")</f>
        <v/>
      </c>
    </row>
    <row r="664">
      <c r="A664" s="62" t="n">
        <v>8</v>
      </c>
      <c r="B664" s="93" t="n">
        <v>656</v>
      </c>
      <c r="C664" s="68" t="inlineStr">
        <is>
          <t>2009Q</t>
        </is>
      </c>
      <c r="D664" s="59" t="inlineStr">
        <is>
          <t xml:space="preserve">01231-05-002-000 </t>
        </is>
      </c>
      <c r="E664" s="72" t="inlineStr">
        <is>
          <t>Actual</t>
        </is>
      </c>
      <c r="F664" s="73" t="inlineStr">
        <is>
          <t>4701   MOLINE               ST</t>
        </is>
      </c>
      <c r="G664" s="708" t="n">
        <v>44.4</v>
      </c>
      <c r="H664" s="67" t="n">
        <v>9102</v>
      </c>
      <c r="I664" s="69" t="n">
        <v>0</v>
      </c>
      <c r="J664" s="714" t="n">
        <v>104891</v>
      </c>
      <c r="K664" s="715" t="n">
        <v>5.618289462394295</v>
      </c>
      <c r="L664" s="74" t="n">
        <v>0</v>
      </c>
      <c r="M664" s="76" t="n">
        <v>0.1132548684219457</v>
      </c>
      <c r="N664" s="67" t="n">
        <v>1985</v>
      </c>
      <c r="O664" s="64" t="n">
        <v>14479</v>
      </c>
      <c r="Q664" s="59" t="n">
        <v>24</v>
      </c>
      <c r="R664" s="59" t="n">
        <v>14</v>
      </c>
      <c r="S664" s="59" t="n">
        <v>8</v>
      </c>
      <c r="T664" s="63" t="inlineStr">
        <is>
          <t xml:space="preserve">I2   </t>
        </is>
      </c>
      <c r="U664" s="63" t="n">
        <v>398</v>
      </c>
      <c r="V664" s="714" t="n">
        <v>219619</v>
      </c>
      <c r="W664" s="714" t="n">
        <v>220000</v>
      </c>
      <c r="X664" s="83" t="inlineStr">
        <is>
          <t>2.1:1</t>
        </is>
      </c>
      <c r="Y664" s="714">
        <f>ROUND(J664,-4)</f>
        <v/>
      </c>
      <c r="Z664" s="63" t="inlineStr">
        <is>
          <t xml:space="preserve">C </t>
        </is>
      </c>
      <c r="AA664" s="59" t="n">
        <v>3</v>
      </c>
      <c r="AB664" s="59" t="n">
        <v>3</v>
      </c>
      <c r="AC664" s="67" t="inlineStr">
        <is>
          <t>33</t>
        </is>
      </c>
      <c r="AD664" s="61" t="inlineStr">
        <is>
          <t xml:space="preserve">M-W DIST WAREHOUSE  </t>
        </is>
      </c>
      <c r="AE664" s="716" t="n"/>
      <c r="AF664" s="716" t="n"/>
      <c r="AG664" s="716" t="n"/>
      <c r="AH664" s="716" t="n"/>
      <c r="AI664" s="716" t="n"/>
      <c r="AJ664" s="716" t="n"/>
      <c r="AK664" s="716" t="inlineStr">
        <is>
          <t xml:space="preserve">M-T WHSE.; 4 TENANTS; LEASES 2006 - 2008.                         </t>
        </is>
      </c>
      <c r="AL664">
        <f>IF(AND(ISNUMBER($S664),$S664&gt;0,ISNUMBER($K664),ISNUMBER($J664)),($K664*$J664)/$S664,"")</f>
        <v/>
      </c>
    </row>
    <row r="665">
      <c r="A665" s="62" t="n">
        <v>8</v>
      </c>
      <c r="B665" s="93" t="n">
        <v>657</v>
      </c>
      <c r="C665" s="61" t="inlineStr">
        <is>
          <t>2009W</t>
        </is>
      </c>
      <c r="D665" s="59" t="inlineStr">
        <is>
          <t>01232-00-054-000</t>
        </is>
      </c>
      <c r="E665" s="63" t="inlineStr">
        <is>
          <t>Actual</t>
        </is>
      </c>
      <c r="F665" s="59" t="inlineStr">
        <is>
          <t>4600 HAVANA               ST</t>
        </is>
      </c>
      <c r="G665" s="708" t="n">
        <v>44.3</v>
      </c>
      <c r="H665" s="59" t="n">
        <v>9102</v>
      </c>
      <c r="I665" s="63" t="n">
        <v>0</v>
      </c>
      <c r="J665" s="64" t="n">
        <v>146721</v>
      </c>
      <c r="K665" s="722" t="n">
        <v>3.34</v>
      </c>
      <c r="L665" s="88" t="n">
        <v>0</v>
      </c>
      <c r="M665" s="88" t="n">
        <v>0.01</v>
      </c>
      <c r="N665" s="59" t="n">
        <v>1977</v>
      </c>
      <c r="O665" s="59" t="n">
        <v>4338</v>
      </c>
      <c r="P665" s="59" t="n"/>
      <c r="Q665" s="59" t="n">
        <v>29</v>
      </c>
      <c r="R665" s="59" t="n">
        <v>10</v>
      </c>
      <c r="S665" s="59" t="n">
        <v>1</v>
      </c>
      <c r="T665" s="63" t="inlineStr">
        <is>
          <t>I2</t>
        </is>
      </c>
      <c r="U665" s="59" t="n">
        <v>398</v>
      </c>
      <c r="V665" s="64" t="n">
        <v>307313</v>
      </c>
      <c r="W665" s="64" t="n">
        <v>300000</v>
      </c>
      <c r="X665" s="67" t="inlineStr">
        <is>
          <t>2.0:1</t>
        </is>
      </c>
      <c r="Y665" s="64" t="n">
        <v>150000</v>
      </c>
      <c r="Z665" s="63" t="inlineStr">
        <is>
          <t>C</t>
        </is>
      </c>
      <c r="AA665" s="59" t="n">
        <v>3</v>
      </c>
      <c r="AB665" s="59" t="n">
        <v>3</v>
      </c>
      <c r="AC665" s="59" t="n">
        <v>33</v>
      </c>
      <c r="AD665" s="59" t="inlineStr">
        <is>
          <t>Office Depot Whse.</t>
        </is>
      </c>
      <c r="AE665" s="701" t="n"/>
      <c r="AF665" s="723" t="n"/>
      <c r="AG665" s="723" t="n"/>
      <c r="AH665" s="701" t="n"/>
      <c r="AI665" s="716" t="n"/>
      <c r="AJ665" s="716" t="n"/>
      <c r="AK665" s="716" t="n"/>
      <c r="AL665">
        <f>IF(AND(ISNUMBER($S665),$S665&gt;0,ISNUMBER($K665),ISNUMBER($J665)),($K665*$J665)/$S665,"")</f>
        <v/>
      </c>
    </row>
    <row r="666">
      <c r="A666" s="62" t="n">
        <v>8</v>
      </c>
      <c r="B666" s="93" t="n">
        <v>658</v>
      </c>
      <c r="C666" s="68" t="inlineStr">
        <is>
          <t>2009Q</t>
        </is>
      </c>
      <c r="D666" s="59" t="inlineStr">
        <is>
          <t xml:space="preserve">01232-02-007-000 </t>
        </is>
      </c>
      <c r="E666" s="72" t="inlineStr">
        <is>
          <t>Actual</t>
        </is>
      </c>
      <c r="F666" s="73" t="inlineStr">
        <is>
          <t>11075 E 47TH                 AV</t>
        </is>
      </c>
      <c r="G666" s="708" t="n">
        <v>44.1</v>
      </c>
      <c r="H666" s="67" t="n">
        <v>9102</v>
      </c>
      <c r="I666" s="69" t="n">
        <v>0</v>
      </c>
      <c r="J666" s="714" t="n">
        <v>10000</v>
      </c>
      <c r="K666" s="715" t="n">
        <v>4.24</v>
      </c>
      <c r="L666" s="74" t="n">
        <v>0</v>
      </c>
      <c r="M666" s="76" t="n">
        <v>0</v>
      </c>
      <c r="N666" s="67" t="n">
        <v>1969</v>
      </c>
      <c r="O666" s="64" t="n">
        <v>1120</v>
      </c>
      <c r="Q666" s="59" t="n">
        <v>22</v>
      </c>
      <c r="R666" s="59" t="n">
        <v>1</v>
      </c>
      <c r="S666" s="59" t="n">
        <v>1</v>
      </c>
      <c r="T666" s="63" t="inlineStr">
        <is>
          <t xml:space="preserve">I2   </t>
        </is>
      </c>
      <c r="U666" s="63" t="n">
        <v>398</v>
      </c>
      <c r="V666" s="714" t="n">
        <v>25000</v>
      </c>
      <c r="W666" s="714" t="n">
        <v>25000</v>
      </c>
      <c r="X666" s="83" t="inlineStr">
        <is>
          <t>2.5:1</t>
        </is>
      </c>
      <c r="Y666" s="714">
        <f>ROUND(J666,-3)</f>
        <v/>
      </c>
      <c r="Z666" s="63" t="inlineStr">
        <is>
          <t xml:space="preserve">C </t>
        </is>
      </c>
      <c r="AA666" s="59" t="n">
        <v>3</v>
      </c>
      <c r="AB666" s="59" t="n">
        <v>3</v>
      </c>
      <c r="AC666" s="67" t="inlineStr">
        <is>
          <t>33</t>
        </is>
      </c>
      <c r="AD666" s="61" t="inlineStr">
        <is>
          <t xml:space="preserve">DAFFY APPLES        </t>
        </is>
      </c>
      <c r="AE666" s="716" t="n"/>
      <c r="AF666" s="716" t="n"/>
      <c r="AG666" s="716" t="n"/>
      <c r="AH666" s="716" t="n"/>
      <c r="AI666" s="716" t="n"/>
      <c r="AJ666" s="716" t="n"/>
      <c r="AK666" s="716" t="inlineStr">
        <is>
          <t xml:space="preserve">S-T WHSE; LEASE DATES FROM 2004.                                  </t>
        </is>
      </c>
      <c r="AL666">
        <f>IF(AND(ISNUMBER($S666),$S666&gt;0,ISNUMBER($K666),ISNUMBER($J666)),($K666*$J666)/$S666,"")</f>
        <v/>
      </c>
    </row>
    <row r="667">
      <c r="A667" s="62" t="n">
        <v>8</v>
      </c>
      <c r="B667" s="93" t="n">
        <v>659</v>
      </c>
      <c r="C667" s="68" t="inlineStr">
        <is>
          <t>2009Q</t>
        </is>
      </c>
      <c r="D667" s="59" t="inlineStr">
        <is>
          <t xml:space="preserve">01232-03-003-000 </t>
        </is>
      </c>
      <c r="E667" s="72" t="inlineStr">
        <is>
          <t>Actual</t>
        </is>
      </c>
      <c r="F667" s="73" t="inlineStr">
        <is>
          <t>11095 E 45TH                 AV</t>
        </is>
      </c>
      <c r="G667" s="708" t="n">
        <v>44.2</v>
      </c>
      <c r="H667" s="67" t="n">
        <v>9102</v>
      </c>
      <c r="I667" s="69" t="n">
        <v>0</v>
      </c>
      <c r="J667" s="714" t="n">
        <v>24750</v>
      </c>
      <c r="K667" s="715" t="n">
        <v>6.666666666666667</v>
      </c>
      <c r="L667" s="74" t="n">
        <v>0</v>
      </c>
      <c r="M667" s="76" t="n">
        <v>0</v>
      </c>
      <c r="N667" s="67" t="n">
        <v>1970</v>
      </c>
      <c r="O667" s="64">
        <f>3905+3631</f>
        <v/>
      </c>
      <c r="Q667" s="59" t="n">
        <v>16</v>
      </c>
      <c r="R667" s="59" t="n">
        <v>14</v>
      </c>
      <c r="S667" s="59" t="n">
        <v>3</v>
      </c>
      <c r="T667" s="63" t="inlineStr">
        <is>
          <t xml:space="preserve">I2   </t>
        </is>
      </c>
      <c r="U667" s="63" t="n">
        <v>398</v>
      </c>
      <c r="V667" s="714" t="n">
        <v>44000</v>
      </c>
      <c r="W667" s="714" t="n">
        <v>44000</v>
      </c>
      <c r="X667" s="83" t="inlineStr">
        <is>
          <t>1.8:1</t>
        </is>
      </c>
      <c r="Y667" s="714">
        <f>ROUND(J667,-3)</f>
        <v/>
      </c>
      <c r="Z667" s="63" t="inlineStr">
        <is>
          <t xml:space="preserve">C </t>
        </is>
      </c>
      <c r="AA667" s="59" t="n">
        <v>3</v>
      </c>
      <c r="AB667" s="59" t="n">
        <v>3</v>
      </c>
      <c r="AC667" s="67" t="inlineStr">
        <is>
          <t>33</t>
        </is>
      </c>
      <c r="AD667" s="61" t="inlineStr"/>
      <c r="AE667" s="716" t="n"/>
      <c r="AF667" s="716" t="n"/>
      <c r="AG667" s="716" t="n"/>
      <c r="AH667" s="716" t="n"/>
      <c r="AI667" s="716" t="n"/>
      <c r="AJ667" s="716" t="n"/>
      <c r="AK667" s="716" t="inlineStr">
        <is>
          <t xml:space="preserve">S-T WHSE.; AGE OF LEASE UNKNOWN.                                  </t>
        </is>
      </c>
      <c r="AL667">
        <f>IF(AND(ISNUMBER($S667),$S667&gt;0,ISNUMBER($K667),ISNUMBER($J667)),($K667*$J667)/$S667,"")</f>
        <v/>
      </c>
    </row>
    <row r="668">
      <c r="A668" s="62" t="n">
        <v>8</v>
      </c>
      <c r="B668" s="93" t="n">
        <v>660</v>
      </c>
      <c r="C668" s="68" t="inlineStr">
        <is>
          <t>2009Q</t>
        </is>
      </c>
      <c r="D668" s="59" t="inlineStr">
        <is>
          <t xml:space="preserve">01232-04-007-000 </t>
        </is>
      </c>
      <c r="E668" s="72" t="inlineStr">
        <is>
          <t>Actual</t>
        </is>
      </c>
      <c r="F668" s="73" t="inlineStr">
        <is>
          <t>4690   KINGSTON             ST</t>
        </is>
      </c>
      <c r="G668" s="708" t="n">
        <v>44.2</v>
      </c>
      <c r="H668" s="67" t="n">
        <v>9102</v>
      </c>
      <c r="I668" s="69" t="n">
        <v>0</v>
      </c>
      <c r="J668" s="714" t="n">
        <v>1800</v>
      </c>
      <c r="K668" s="715" t="n">
        <v>7.666666666666667</v>
      </c>
      <c r="L668" s="74" t="n">
        <v>0</v>
      </c>
      <c r="M668" s="76" t="n">
        <v>0.163768115942029</v>
      </c>
      <c r="N668" s="67" t="n">
        <v>1968</v>
      </c>
      <c r="O668" s="64" t="n">
        <v>1936</v>
      </c>
      <c r="Q668" s="59" t="n">
        <v>14</v>
      </c>
      <c r="R668" s="59" t="n">
        <v>1</v>
      </c>
      <c r="S668" s="59" t="n">
        <v>2</v>
      </c>
      <c r="T668" s="63" t="inlineStr">
        <is>
          <t xml:space="preserve">I2   </t>
        </is>
      </c>
      <c r="U668" s="63" t="n">
        <v>398</v>
      </c>
      <c r="V668" s="714" t="n">
        <v>14025</v>
      </c>
      <c r="W668" s="714" t="n">
        <v>14000</v>
      </c>
      <c r="X668" s="83" t="inlineStr">
        <is>
          <t>2.8:1</t>
        </is>
      </c>
      <c r="Y668" s="714">
        <f>ROUND(J668,-2)</f>
        <v/>
      </c>
      <c r="Z668" s="63" t="inlineStr">
        <is>
          <t xml:space="preserve">C </t>
        </is>
      </c>
      <c r="AA668" s="59" t="n">
        <v>3</v>
      </c>
      <c r="AB668" s="59" t="n">
        <v>3</v>
      </c>
      <c r="AC668" s="67" t="inlineStr">
        <is>
          <t>33</t>
        </is>
      </c>
      <c r="AD668" s="61" t="inlineStr"/>
      <c r="AE668" s="716" t="n"/>
      <c r="AF668" s="716" t="n"/>
      <c r="AG668" s="716" t="n"/>
      <c r="AH668" s="716" t="n"/>
      <c r="AI668" s="716" t="n"/>
      <c r="AJ668" s="716" t="n"/>
      <c r="AK668" s="716" t="inlineStr">
        <is>
          <t xml:space="preserve">S-T WHSE.; REFERENCE TO HOA FEES BUT NOT SHOWN AS CONDO.          </t>
        </is>
      </c>
      <c r="AL668">
        <f>IF(AND(ISNUMBER($S668),$S668&gt;0,ISNUMBER($K668),ISNUMBER($J668)),($K668*$J668)/$S668,"")</f>
        <v/>
      </c>
    </row>
    <row r="669">
      <c r="A669" s="62" t="n">
        <v>8</v>
      </c>
      <c r="B669" s="93" t="n">
        <v>661</v>
      </c>
      <c r="C669" s="68" t="inlineStr">
        <is>
          <t>2009Q</t>
        </is>
      </c>
      <c r="D669" s="59" t="inlineStr">
        <is>
          <t xml:space="preserve">01232-07-007-000 </t>
        </is>
      </c>
      <c r="E669" s="72" t="inlineStr">
        <is>
          <t>Actual</t>
        </is>
      </c>
      <c r="F669" s="73" t="inlineStr">
        <is>
          <t>4675   JOLIET               ST</t>
        </is>
      </c>
      <c r="G669" s="708" t="n">
        <v>44.1</v>
      </c>
      <c r="H669" s="67" t="n">
        <v>9102</v>
      </c>
      <c r="I669" s="69" t="n">
        <v>0</v>
      </c>
      <c r="J669" s="714" t="n">
        <v>14848</v>
      </c>
      <c r="K669" s="715" t="n">
        <v>5.450700431034483</v>
      </c>
      <c r="L669" s="74" t="n">
        <v>0</v>
      </c>
      <c r="M669" s="76" t="n">
        <v>0</v>
      </c>
      <c r="N669" s="67" t="n">
        <v>1969</v>
      </c>
      <c r="O669" s="64" t="n">
        <v>1239</v>
      </c>
      <c r="P669" s="64" t="n">
        <v>2528</v>
      </c>
      <c r="Q669" s="59" t="n">
        <v>22</v>
      </c>
      <c r="R669" s="59" t="n">
        <v>8</v>
      </c>
      <c r="S669" s="59" t="n">
        <v>1</v>
      </c>
      <c r="T669" s="63" t="inlineStr">
        <is>
          <t xml:space="preserve">I2   </t>
        </is>
      </c>
      <c r="U669" s="63" t="n">
        <v>398</v>
      </c>
      <c r="V669" s="714" t="n">
        <v>44000</v>
      </c>
      <c r="W669" s="714" t="n">
        <v>44000</v>
      </c>
      <c r="X669" s="83" t="inlineStr">
        <is>
          <t>3.0:1</t>
        </is>
      </c>
      <c r="Y669" s="714">
        <f>ROUND(J669,-3)</f>
        <v/>
      </c>
      <c r="Z669" s="63" t="inlineStr">
        <is>
          <t xml:space="preserve">C </t>
        </is>
      </c>
      <c r="AA669" s="59" t="n">
        <v>3</v>
      </c>
      <c r="AB669" s="59" t="n">
        <v>3</v>
      </c>
      <c r="AC669" s="67" t="inlineStr">
        <is>
          <t>33</t>
        </is>
      </c>
      <c r="AD669" s="61" t="inlineStr">
        <is>
          <t xml:space="preserve">RED-D-ARC (AIRGAS)  </t>
        </is>
      </c>
      <c r="AE669" s="716" t="n"/>
      <c r="AF669" s="716" t="n"/>
      <c r="AG669" s="716" t="n"/>
      <c r="AH669" s="716" t="n"/>
      <c r="AI669" s="716" t="n"/>
      <c r="AJ669" s="716" t="n"/>
      <c r="AK669" s="716" t="inlineStr">
        <is>
          <t xml:space="preserve">S-T WHSE.; DATE OF LEASE UNKNOWN.                                 </t>
        </is>
      </c>
      <c r="AL669">
        <f>IF(AND(ISNUMBER($S669),$S669&gt;0,ISNUMBER($K669),ISNUMBER($J669)),($K669*$J669)/$S669,"")</f>
        <v/>
      </c>
    </row>
    <row r="670">
      <c r="A670" s="62" t="n">
        <v>8</v>
      </c>
      <c r="B670" s="93" t="n">
        <v>662</v>
      </c>
      <c r="C670" s="68" t="inlineStr">
        <is>
          <t>2009Q</t>
        </is>
      </c>
      <c r="D670" s="59" t="inlineStr">
        <is>
          <t xml:space="preserve">01232-07-018-000 </t>
        </is>
      </c>
      <c r="E670" s="72" t="inlineStr">
        <is>
          <t>Actual</t>
        </is>
      </c>
      <c r="F670" s="73" t="inlineStr">
        <is>
          <t>10777 E 45TH                 AV</t>
        </is>
      </c>
      <c r="G670" s="708" t="n">
        <v>47.2</v>
      </c>
      <c r="H670" s="67" t="n">
        <v>9102</v>
      </c>
      <c r="I670" s="69" t="n">
        <v>0</v>
      </c>
      <c r="J670" s="714" t="n">
        <v>56296</v>
      </c>
      <c r="K670" s="715" t="n">
        <v>3.512682961489271</v>
      </c>
      <c r="L670" s="74" t="n">
        <v>0</v>
      </c>
      <c r="M670" s="76" t="n">
        <v>0.0606826801517067</v>
      </c>
      <c r="N670" s="67" t="n">
        <v>1968</v>
      </c>
      <c r="O670" s="64" t="n">
        <v>17654</v>
      </c>
      <c r="Q670" s="59" t="n">
        <v>21</v>
      </c>
      <c r="R670" s="59" t="n">
        <v>3</v>
      </c>
      <c r="S670" s="59" t="n">
        <v>1</v>
      </c>
      <c r="T670" s="63" t="inlineStr">
        <is>
          <t xml:space="preserve">I2   </t>
        </is>
      </c>
      <c r="U670" s="63" t="n">
        <v>401</v>
      </c>
      <c r="V670" s="714" t="n">
        <v>183748</v>
      </c>
      <c r="W670" s="714" t="n">
        <v>180000</v>
      </c>
      <c r="X670" s="83" t="inlineStr">
        <is>
          <t>3.2:1</t>
        </is>
      </c>
      <c r="Y670" s="714">
        <f>ROUND(J670,-4)</f>
        <v/>
      </c>
      <c r="Z670" s="63" t="inlineStr">
        <is>
          <t xml:space="preserve">C </t>
        </is>
      </c>
      <c r="AA670" s="59" t="n">
        <v>3</v>
      </c>
      <c r="AB670" s="59" t="n">
        <v>3</v>
      </c>
      <c r="AC670" s="67" t="inlineStr">
        <is>
          <t>33</t>
        </is>
      </c>
      <c r="AD670" s="61" t="inlineStr">
        <is>
          <t xml:space="preserve">SCOTT SYSTEMS       </t>
        </is>
      </c>
      <c r="AE670" s="716" t="n"/>
      <c r="AF670" s="716" t="n"/>
      <c r="AG670" s="716" t="n"/>
      <c r="AH670" s="716" t="n"/>
      <c r="AI670" s="716" t="n"/>
      <c r="AJ670" s="716" t="n"/>
      <c r="AK670" s="716" t="inlineStr">
        <is>
          <t xml:space="preserve">M-T INDUSTRIAL BLDG.; LEASES 2004-2007; 3 TENANTS.                </t>
        </is>
      </c>
      <c r="AL670">
        <f>IF(AND(ISNUMBER($S670),$S670&gt;0,ISNUMBER($K670),ISNUMBER($J670)),($K670*$J670)/$S670,"")</f>
        <v/>
      </c>
    </row>
    <row r="671">
      <c r="A671" s="62" t="n">
        <v>8</v>
      </c>
      <c r="B671" s="93" t="n">
        <v>663</v>
      </c>
      <c r="C671" s="68" t="inlineStr">
        <is>
          <t>2009Q</t>
        </is>
      </c>
      <c r="D671" s="59" t="inlineStr">
        <is>
          <t xml:space="preserve">01233-00-016-000 </t>
        </is>
      </c>
      <c r="E671" s="72" t="inlineStr">
        <is>
          <t>Actual</t>
        </is>
      </c>
      <c r="F671" s="73" t="inlineStr">
        <is>
          <t>10700 E 40TH                 AV</t>
        </is>
      </c>
      <c r="G671" s="708" t="n">
        <v>44.2</v>
      </c>
      <c r="H671" s="67" t="n">
        <v>9104</v>
      </c>
      <c r="I671" s="69" t="n">
        <v>0</v>
      </c>
      <c r="J671" s="714" t="n">
        <v>68916</v>
      </c>
      <c r="K671" s="715" t="n">
        <v>4.956831505020605</v>
      </c>
      <c r="L671" s="74" t="n">
        <v>0</v>
      </c>
      <c r="M671" s="76" t="n">
        <v>0.04806721213096998</v>
      </c>
      <c r="N671" s="67" t="n">
        <v>1969</v>
      </c>
      <c r="O671" s="64">
        <f>7652+780+226</f>
        <v/>
      </c>
      <c r="Q671" s="59" t="n">
        <v>25</v>
      </c>
      <c r="R671" s="59" t="n">
        <v>3</v>
      </c>
      <c r="S671" s="59" t="n">
        <v>1</v>
      </c>
      <c r="T671" s="63" t="inlineStr">
        <is>
          <t xml:space="preserve">I2   </t>
        </is>
      </c>
      <c r="U671" s="63" t="n">
        <v>398</v>
      </c>
      <c r="V671" s="714" t="n">
        <v>272263</v>
      </c>
      <c r="W671" s="714" t="n">
        <v>270000</v>
      </c>
      <c r="X671" s="83" t="inlineStr">
        <is>
          <t>4.0:1</t>
        </is>
      </c>
      <c r="Y671" s="714">
        <f>ROUND(J671,-4)</f>
        <v/>
      </c>
      <c r="Z671" s="63" t="inlineStr">
        <is>
          <t xml:space="preserve">C </t>
        </is>
      </c>
      <c r="AA671" s="59" t="n">
        <v>3</v>
      </c>
      <c r="AB671" s="59" t="n">
        <v>3</v>
      </c>
      <c r="AC671" s="67" t="inlineStr">
        <is>
          <t>33</t>
        </is>
      </c>
      <c r="AD671" s="61" t="inlineStr">
        <is>
          <t>DENVER INTERMODAL EX</t>
        </is>
      </c>
      <c r="AE671" s="716" t="n"/>
      <c r="AF671" s="716" t="n"/>
      <c r="AG671" s="716" t="n"/>
      <c r="AH671" s="716" t="n"/>
      <c r="AI671" s="716" t="n"/>
      <c r="AJ671" s="716" t="n"/>
      <c r="AK671" s="716" t="inlineStr">
        <is>
          <t xml:space="preserve">S-T WHSE; 2006 LEASE.                                             </t>
        </is>
      </c>
      <c r="AL671">
        <f>IF(AND(ISNUMBER($S671),$S671&gt;0,ISNUMBER($K671),ISNUMBER($J671)),($K671*$J671)/$S671,"")</f>
        <v/>
      </c>
    </row>
    <row r="672">
      <c r="A672" s="62" t="n">
        <v>8</v>
      </c>
      <c r="B672" s="93" t="n">
        <v>664</v>
      </c>
      <c r="C672" s="68" t="inlineStr">
        <is>
          <t>2009Q</t>
        </is>
      </c>
      <c r="D672" s="59" t="inlineStr">
        <is>
          <t xml:space="preserve">01233-00-026-000 </t>
        </is>
      </c>
      <c r="E672" s="72" t="inlineStr">
        <is>
          <t>Actual</t>
        </is>
      </c>
      <c r="F672" s="73" t="inlineStr">
        <is>
          <t>11200 E 40TH                 AV</t>
        </is>
      </c>
      <c r="G672" s="708" t="n">
        <v>44.2</v>
      </c>
      <c r="H672" s="67" t="n">
        <v>9104</v>
      </c>
      <c r="I672" s="69" t="n">
        <v>0</v>
      </c>
      <c r="J672" s="714" t="n">
        <v>86060</v>
      </c>
      <c r="K672" s="715" t="n">
        <v>4.426690680920288</v>
      </c>
      <c r="L672" s="74" t="n">
        <v>0</v>
      </c>
      <c r="M672" s="76" t="n">
        <v>0</v>
      </c>
      <c r="N672" s="67" t="n">
        <v>1973</v>
      </c>
      <c r="O672" s="64">
        <f>6420+6543</f>
        <v/>
      </c>
      <c r="P672" s="64" t="n">
        <v>15020</v>
      </c>
      <c r="Q672" s="59" t="n">
        <v>20</v>
      </c>
      <c r="R672" s="59" t="n">
        <v>8</v>
      </c>
      <c r="S672" s="59" t="n">
        <v>1</v>
      </c>
      <c r="T672" s="63" t="inlineStr">
        <is>
          <t xml:space="preserve">I2   </t>
        </is>
      </c>
      <c r="U672" s="63" t="n">
        <v>398</v>
      </c>
      <c r="V672" s="714" t="n">
        <v>304924</v>
      </c>
      <c r="W672" s="714" t="n">
        <v>300000</v>
      </c>
      <c r="X672" s="83" t="inlineStr">
        <is>
          <t>3.5:1</t>
        </is>
      </c>
      <c r="Y672" s="714">
        <f>ROUND(J672,-4)</f>
        <v/>
      </c>
      <c r="Z672" s="63" t="inlineStr">
        <is>
          <t xml:space="preserve">C </t>
        </is>
      </c>
      <c r="AA672" s="59" t="n">
        <v>3</v>
      </c>
      <c r="AB672" s="59" t="n">
        <v>3</v>
      </c>
      <c r="AC672" s="67" t="inlineStr">
        <is>
          <t>33</t>
        </is>
      </c>
      <c r="AD672" s="61" t="inlineStr">
        <is>
          <t xml:space="preserve">CENTER RENTAL/SALES </t>
        </is>
      </c>
      <c r="AE672" s="716" t="n"/>
      <c r="AF672" s="716" t="n"/>
      <c r="AG672" s="716" t="n"/>
      <c r="AH672" s="716" t="n"/>
      <c r="AI672" s="716" t="n"/>
      <c r="AJ672" s="716" t="n"/>
      <c r="AK672" s="716" t="inlineStr">
        <is>
          <t xml:space="preserve">S-T WHSE.                                                         </t>
        </is>
      </c>
      <c r="AL672">
        <f>IF(AND(ISNUMBER($S672),$S672&gt;0,ISNUMBER($K672),ISNUMBER($J672)),($K672*$J672)/$S672,"")</f>
        <v/>
      </c>
    </row>
    <row r="673">
      <c r="A673" s="62" t="n">
        <v>8</v>
      </c>
      <c r="B673" s="93" t="n">
        <v>665</v>
      </c>
      <c r="C673" s="68" t="inlineStr">
        <is>
          <t>2009Q</t>
        </is>
      </c>
      <c r="D673" s="59" t="inlineStr">
        <is>
          <t xml:space="preserve">01233-00-046-000 </t>
        </is>
      </c>
      <c r="E673" s="72" t="inlineStr">
        <is>
          <t>Actual</t>
        </is>
      </c>
      <c r="F673" s="73" t="inlineStr">
        <is>
          <t>3990   HAVANA               ST</t>
        </is>
      </c>
      <c r="G673" s="708" t="n">
        <v>47.1</v>
      </c>
      <c r="H673" s="67" t="n">
        <v>9104</v>
      </c>
      <c r="I673" s="69" t="n">
        <v>0</v>
      </c>
      <c r="J673" s="714" t="n">
        <v>85908</v>
      </c>
      <c r="K673" s="715" t="n">
        <v>4.205254458257671</v>
      </c>
      <c r="L673" s="74" t="n">
        <v>0</v>
      </c>
      <c r="M673" s="76" t="n">
        <v>0</v>
      </c>
      <c r="N673" s="67" t="n">
        <v>1967</v>
      </c>
      <c r="O673" s="64">
        <f>1611+6300</f>
        <v/>
      </c>
      <c r="Q673" s="59" t="n">
        <v>20</v>
      </c>
      <c r="R673" s="59" t="n">
        <v>8</v>
      </c>
      <c r="S673" s="59" t="n">
        <v>1</v>
      </c>
      <c r="T673" s="63" t="inlineStr">
        <is>
          <t xml:space="preserve">I2   </t>
        </is>
      </c>
      <c r="U673" s="63" t="n">
        <v>401</v>
      </c>
      <c r="V673" s="714" t="n">
        <v>191876</v>
      </c>
      <c r="W673" s="714" t="n">
        <v>190000</v>
      </c>
      <c r="X673" s="83" t="inlineStr">
        <is>
          <t>2.2:1</t>
        </is>
      </c>
      <c r="Y673" s="714">
        <f>ROUND(J673,-4)</f>
        <v/>
      </c>
      <c r="Z673" s="63" t="inlineStr">
        <is>
          <t xml:space="preserve">C </t>
        </is>
      </c>
      <c r="AA673" s="59" t="n">
        <v>2</v>
      </c>
      <c r="AB673" s="59" t="n">
        <v>1</v>
      </c>
      <c r="AC673" s="67" t="inlineStr">
        <is>
          <t>21</t>
        </is>
      </c>
      <c r="AD673" s="61" t="inlineStr">
        <is>
          <t xml:space="preserve">RIO GRANDE BLDG MAT </t>
        </is>
      </c>
      <c r="AE673" s="716" t="n"/>
      <c r="AF673" s="716" t="n"/>
      <c r="AG673" s="716" t="n"/>
      <c r="AH673" s="716" t="n"/>
      <c r="AI673" s="716" t="n"/>
      <c r="AJ673" s="716" t="n"/>
      <c r="AK673" s="716" t="inlineStr">
        <is>
          <t xml:space="preserve">S-T INDUSTRIAL BLDG.; LEASE DATES FROM 2003.                      </t>
        </is>
      </c>
      <c r="AL673">
        <f>IF(AND(ISNUMBER($S673),$S673&gt;0,ISNUMBER($K673),ISNUMBER($J673)),($K673*$J673)/$S673,"")</f>
        <v/>
      </c>
    </row>
    <row r="674">
      <c r="A674" s="62" t="n">
        <v>8</v>
      </c>
      <c r="B674" s="93" t="n">
        <v>666</v>
      </c>
      <c r="C674" s="68" t="inlineStr">
        <is>
          <t>2009Q</t>
        </is>
      </c>
      <c r="D674" s="59" t="inlineStr">
        <is>
          <t xml:space="preserve">01234-01-009-000 </t>
        </is>
      </c>
      <c r="E674" s="72" t="inlineStr">
        <is>
          <t>Actual</t>
        </is>
      </c>
      <c r="F674" s="73" t="inlineStr">
        <is>
          <t>3891   PARIS                ST</t>
        </is>
      </c>
      <c r="G674" s="708" t="n">
        <v>44.2</v>
      </c>
      <c r="H674" s="67" t="n">
        <v>9104</v>
      </c>
      <c r="I674" s="69" t="n">
        <v>0</v>
      </c>
      <c r="J674" s="714" t="n">
        <v>14149</v>
      </c>
      <c r="K674" s="715" t="n">
        <v>7.832921054491483</v>
      </c>
      <c r="L674" s="74" t="n">
        <v>0</v>
      </c>
      <c r="M674" s="76" t="n">
        <v>0.1539863572382431</v>
      </c>
      <c r="N674" s="67" t="n">
        <v>2000</v>
      </c>
      <c r="O674" s="64" t="n">
        <v>1629</v>
      </c>
      <c r="Q674" s="59" t="n">
        <v>19</v>
      </c>
      <c r="R674" s="59" t="n">
        <v>14</v>
      </c>
      <c r="S674" s="59" t="n">
        <v>1</v>
      </c>
      <c r="T674" s="63" t="inlineStr">
        <is>
          <t xml:space="preserve">I1   </t>
        </is>
      </c>
      <c r="U674" s="63" t="n">
        <v>398</v>
      </c>
      <c r="V674" s="714" t="n">
        <v>36116</v>
      </c>
      <c r="W674" s="714" t="n">
        <v>36000</v>
      </c>
      <c r="X674" s="83" t="inlineStr">
        <is>
          <t>2.6:1</t>
        </is>
      </c>
      <c r="Y674" s="714">
        <f>ROUND(J674,-3)</f>
        <v/>
      </c>
      <c r="Z674" s="63" t="inlineStr">
        <is>
          <t xml:space="preserve">C </t>
        </is>
      </c>
      <c r="AA674" s="59" t="n">
        <v>3</v>
      </c>
      <c r="AB674" s="59" t="n">
        <v>3</v>
      </c>
      <c r="AC674" s="67" t="inlineStr">
        <is>
          <t>33</t>
        </is>
      </c>
      <c r="AD674" s="61" t="inlineStr"/>
      <c r="AE674" s="716" t="n"/>
      <c r="AF674" s="716" t="n"/>
      <c r="AG674" s="716" t="n"/>
      <c r="AH674" s="716" t="n"/>
      <c r="AI674" s="716" t="n"/>
      <c r="AJ674" s="716" t="n"/>
      <c r="AK674" s="716" t="inlineStr">
        <is>
          <t xml:space="preserve">S-T WHSE.; LEASE DATES FROM 2004                                  </t>
        </is>
      </c>
      <c r="AL674">
        <f>IF(AND(ISNUMBER($S674),$S674&gt;0,ISNUMBER($K674),ISNUMBER($J674)),($K674*$J674)/$S674,"")</f>
        <v/>
      </c>
    </row>
    <row r="675">
      <c r="A675" s="62" t="n">
        <v>8</v>
      </c>
      <c r="B675" s="93" t="n">
        <v>667</v>
      </c>
      <c r="C675" s="68" t="inlineStr">
        <is>
          <t>2009Q</t>
        </is>
      </c>
      <c r="D675" s="59" t="inlineStr">
        <is>
          <t xml:space="preserve">01234-01-014-000 </t>
        </is>
      </c>
      <c r="E675" s="72" t="inlineStr">
        <is>
          <t>Actual</t>
        </is>
      </c>
      <c r="F675" s="73" t="inlineStr">
        <is>
          <t>3841   PARIS                ST</t>
        </is>
      </c>
      <c r="G675" s="708" t="n">
        <v>44.2</v>
      </c>
      <c r="H675" s="67" t="n">
        <v>9104</v>
      </c>
      <c r="I675" s="69" t="n">
        <v>0</v>
      </c>
      <c r="J675" s="714" t="n">
        <v>20046</v>
      </c>
      <c r="K675" s="715" t="n">
        <v>6.315474408859623</v>
      </c>
      <c r="L675" s="74" t="n">
        <v>0</v>
      </c>
      <c r="M675" s="76" t="n">
        <v>0.1250157977883096</v>
      </c>
      <c r="N675" s="67" t="n">
        <v>1978</v>
      </c>
      <c r="O675" s="64" t="n">
        <v>2278</v>
      </c>
      <c r="Q675" s="59" t="n">
        <v>20</v>
      </c>
      <c r="R675" s="59" t="n">
        <v>10</v>
      </c>
      <c r="S675" s="59" t="n">
        <v>1</v>
      </c>
      <c r="T675" s="63" t="inlineStr">
        <is>
          <t xml:space="preserve">I2   </t>
        </is>
      </c>
      <c r="U675" s="63" t="n">
        <v>398</v>
      </c>
      <c r="V675" s="714" t="n">
        <v>43000</v>
      </c>
      <c r="W675" s="714" t="n">
        <v>43000</v>
      </c>
      <c r="X675" s="83" t="inlineStr">
        <is>
          <t>2.1:1</t>
        </is>
      </c>
      <c r="Y675" s="714">
        <f>ROUND(J675,-3)</f>
        <v/>
      </c>
      <c r="Z675" s="63" t="inlineStr">
        <is>
          <t xml:space="preserve">C </t>
        </is>
      </c>
      <c r="AA675" s="59" t="n">
        <v>3</v>
      </c>
      <c r="AB675" s="59" t="n">
        <v>3</v>
      </c>
      <c r="AC675" s="67" t="inlineStr">
        <is>
          <t>33</t>
        </is>
      </c>
      <c r="AD675" s="61" t="inlineStr"/>
      <c r="AE675" s="716" t="n"/>
      <c r="AF675" s="716" t="n"/>
      <c r="AG675" s="716" t="n"/>
      <c r="AH675" s="716" t="n"/>
      <c r="AI675" s="716" t="n"/>
      <c r="AJ675" s="716" t="n"/>
      <c r="AK675" s="716" t="inlineStr">
        <is>
          <t xml:space="preserve">M-T WHSE.; 3 TENANTS; LEASES 2005 - 2007.                         </t>
        </is>
      </c>
      <c r="AL675">
        <f>IF(AND(ISNUMBER($S675),$S675&gt;0,ISNUMBER($K675),ISNUMBER($J675)),($K675*$J675)/$S675,"")</f>
        <v/>
      </c>
    </row>
    <row r="676">
      <c r="A676" s="62" t="n">
        <v>8</v>
      </c>
      <c r="B676" s="93" t="n">
        <v>668</v>
      </c>
      <c r="C676" s="68" t="inlineStr">
        <is>
          <t>2009Q</t>
        </is>
      </c>
      <c r="D676" s="59" t="inlineStr">
        <is>
          <t xml:space="preserve">01234-01-015-000 </t>
        </is>
      </c>
      <c r="E676" s="72" t="inlineStr">
        <is>
          <t>Actual</t>
        </is>
      </c>
      <c r="F676" s="73" t="inlineStr">
        <is>
          <t>3835   PARIS                ST</t>
        </is>
      </c>
      <c r="G676" s="708" t="n">
        <v>44.2</v>
      </c>
      <c r="H676" s="67" t="n">
        <v>9104</v>
      </c>
      <c r="I676" s="69" t="n">
        <v>0</v>
      </c>
      <c r="J676" s="714" t="n">
        <v>6214</v>
      </c>
      <c r="K676" s="715" t="n">
        <v>6.034760218860638</v>
      </c>
      <c r="L676" s="74" t="n">
        <v>0</v>
      </c>
      <c r="M676" s="76" t="n">
        <v>0.1066666666666667</v>
      </c>
      <c r="N676" s="67" t="n">
        <v>1984</v>
      </c>
      <c r="O676" s="64" t="n">
        <v>1775</v>
      </c>
      <c r="Q676" s="59" t="n">
        <v>20</v>
      </c>
      <c r="R676" s="59" t="n">
        <v>3</v>
      </c>
      <c r="S676" s="59" t="n">
        <v>2</v>
      </c>
      <c r="T676" s="63" t="inlineStr">
        <is>
          <t xml:space="preserve">I2   </t>
        </is>
      </c>
      <c r="U676" s="63" t="n">
        <v>398</v>
      </c>
      <c r="V676" s="714" t="n">
        <v>22683</v>
      </c>
      <c r="W676" s="714" t="n">
        <v>23000</v>
      </c>
      <c r="X676" s="83" t="inlineStr">
        <is>
          <t>1.8:1</t>
        </is>
      </c>
      <c r="Y676" s="714">
        <f>ROUND(J676,-3)</f>
        <v/>
      </c>
      <c r="Z676" s="63" t="inlineStr">
        <is>
          <t xml:space="preserve">C </t>
        </is>
      </c>
      <c r="AA676" s="59" t="n">
        <v>3</v>
      </c>
      <c r="AB676" s="59" t="n">
        <v>3</v>
      </c>
      <c r="AC676" s="67" t="inlineStr">
        <is>
          <t>33</t>
        </is>
      </c>
      <c r="AD676" s="61" t="inlineStr"/>
      <c r="AE676" s="716" t="n"/>
      <c r="AF676" s="716" t="n"/>
      <c r="AG676" s="716" t="n"/>
      <c r="AH676" s="716" t="n"/>
      <c r="AI676" s="716" t="n"/>
      <c r="AJ676" s="716" t="n"/>
      <c r="AK676" s="716" t="inlineStr">
        <is>
          <t xml:space="preserve">M-T WHSE; 2 TENANTS; AGE OF LEASE UNKNOWN.                        </t>
        </is>
      </c>
      <c r="AL676">
        <f>IF(AND(ISNUMBER($S676),$S676&gt;0,ISNUMBER($K676),ISNUMBER($J676)),($K676*$J676)/$S676,"")</f>
        <v/>
      </c>
    </row>
    <row r="677">
      <c r="A677" s="62" t="n">
        <v>8</v>
      </c>
      <c r="B677" s="93" t="n">
        <v>669</v>
      </c>
      <c r="C677" s="61" t="inlineStr">
        <is>
          <t>2009W</t>
        </is>
      </c>
      <c r="D677" s="59" t="inlineStr">
        <is>
          <t>01242-02-001-000</t>
        </is>
      </c>
      <c r="E677" s="63" t="inlineStr">
        <is>
          <t>Actual</t>
        </is>
      </c>
      <c r="F677" s="59" t="inlineStr">
        <is>
          <t>12330-360 E 46TH AV</t>
        </is>
      </c>
      <c r="G677" s="708" t="n">
        <v>44.4</v>
      </c>
      <c r="H677" s="59" t="n">
        <v>9102</v>
      </c>
      <c r="I677" s="63" t="n">
        <v>0</v>
      </c>
      <c r="J677" s="64" t="n">
        <v>587487</v>
      </c>
      <c r="K677" s="722" t="n">
        <v>4.31</v>
      </c>
      <c r="L677" s="88" t="n">
        <v>0.02</v>
      </c>
      <c r="M677" s="88" t="n"/>
      <c r="N677" s="59" t="n">
        <v>1999</v>
      </c>
      <c r="O677" s="59" t="n">
        <v>18645</v>
      </c>
      <c r="P677" s="59" t="n"/>
      <c r="Q677" s="59" t="n">
        <v>30</v>
      </c>
      <c r="R677" s="59" t="n">
        <v>14</v>
      </c>
      <c r="S677" s="59" t="n">
        <v>8</v>
      </c>
      <c r="T677" s="63" t="inlineStr">
        <is>
          <t>B4</t>
        </is>
      </c>
      <c r="U677" s="59" t="n">
        <v>398</v>
      </c>
      <c r="V677" s="64" t="n">
        <v>1400794</v>
      </c>
      <c r="W677" s="64" t="n">
        <v>1500000</v>
      </c>
      <c r="X677" s="67" t="inlineStr">
        <is>
          <t>2.5:1</t>
        </is>
      </c>
      <c r="Y677" s="64" t="n">
        <v>600000</v>
      </c>
      <c r="Z677" s="63" t="inlineStr">
        <is>
          <t>B</t>
        </is>
      </c>
      <c r="AA677" s="59" t="n">
        <v>3</v>
      </c>
      <c r="AB677" s="59" t="n">
        <v>3</v>
      </c>
      <c r="AC677" s="59" t="n">
        <v>33</v>
      </c>
      <c r="AD677" s="59" t="inlineStr">
        <is>
          <t>Peoria Business Park</t>
        </is>
      </c>
      <c r="AE677" s="701" t="n"/>
      <c r="AF677" s="723" t="n"/>
      <c r="AG677" s="723" t="n"/>
      <c r="AH677" s="701" t="n"/>
      <c r="AI677" s="716" t="n"/>
      <c r="AJ677" s="716" t="n"/>
      <c r="AK677" s="59" t="inlineStr">
        <is>
          <t>Includes parcels -002,003</t>
        </is>
      </c>
      <c r="AL677">
        <f>IF(AND(ISNUMBER($S677),$S677&gt;0,ISNUMBER($K677),ISNUMBER($J677)),($K677*$J677)/$S677,"")</f>
        <v/>
      </c>
    </row>
    <row r="678">
      <c r="A678" s="62" t="n">
        <v>8</v>
      </c>
      <c r="B678" s="93" t="n">
        <v>670</v>
      </c>
      <c r="C678" s="68" t="inlineStr">
        <is>
          <t>2009Q</t>
        </is>
      </c>
      <c r="D678" s="59" t="inlineStr">
        <is>
          <t xml:space="preserve">01242-02-011-000 </t>
        </is>
      </c>
      <c r="E678" s="72" t="inlineStr">
        <is>
          <t>Actual</t>
        </is>
      </c>
      <c r="F678" s="73" t="inlineStr">
        <is>
          <t>12275 E 45TH                 AV</t>
        </is>
      </c>
      <c r="G678" s="708" t="n">
        <v>44.1</v>
      </c>
      <c r="H678" s="67" t="n">
        <v>9102</v>
      </c>
      <c r="I678" s="69" t="n">
        <v>0</v>
      </c>
      <c r="J678" s="714" t="n">
        <v>27584</v>
      </c>
      <c r="K678" s="715" t="n">
        <v>6.499854988399072</v>
      </c>
      <c r="L678" s="74" t="n">
        <v>0</v>
      </c>
      <c r="M678" s="76" t="n">
        <v>0</v>
      </c>
      <c r="N678" s="67" t="n">
        <v>2005</v>
      </c>
      <c r="O678" s="64" t="n">
        <v>6709</v>
      </c>
      <c r="Q678" s="59" t="n">
        <v>24</v>
      </c>
      <c r="R678" s="59" t="n">
        <v>2</v>
      </c>
      <c r="S678" s="59" t="n">
        <v>1</v>
      </c>
      <c r="T678" s="63" t="inlineStr">
        <is>
          <t xml:space="preserve">B4   </t>
        </is>
      </c>
      <c r="U678" s="63" t="n">
        <v>398</v>
      </c>
      <c r="V678" s="714" t="n">
        <v>111372</v>
      </c>
      <c r="W678" s="714" t="n">
        <v>110000</v>
      </c>
      <c r="X678" s="83" t="inlineStr">
        <is>
          <t>4.0:1</t>
        </is>
      </c>
      <c r="Y678" s="714">
        <f>ROUND(J678,-3)</f>
        <v/>
      </c>
      <c r="Z678" s="63" t="inlineStr">
        <is>
          <t xml:space="preserve">C </t>
        </is>
      </c>
      <c r="AA678" s="59" t="n">
        <v>3</v>
      </c>
      <c r="AB678" s="59" t="n">
        <v>3</v>
      </c>
      <c r="AC678" s="67" t="inlineStr">
        <is>
          <t>33</t>
        </is>
      </c>
      <c r="AD678" s="61" t="inlineStr"/>
      <c r="AE678" s="716" t="n"/>
      <c r="AF678" s="716" t="n"/>
      <c r="AG678" s="716" t="n"/>
      <c r="AH678" s="716" t="n"/>
      <c r="AI678" s="716" t="n"/>
      <c r="AJ678" s="716" t="n"/>
      <c r="AK678" s="716" t="inlineStr">
        <is>
          <t xml:space="preserve">S-T WHSE.; AGE OF LEASE UNKNOWN.                                  </t>
        </is>
      </c>
      <c r="AL678">
        <f>IF(AND(ISNUMBER($S678),$S678&gt;0,ISNUMBER($K678),ISNUMBER($J678)),($K678*$J678)/$S678,"")</f>
        <v/>
      </c>
    </row>
    <row r="679">
      <c r="A679" s="62" t="n">
        <v>8</v>
      </c>
      <c r="B679" s="93" t="n">
        <v>671</v>
      </c>
      <c r="C679" s="61" t="inlineStr">
        <is>
          <t>2009W</t>
        </is>
      </c>
      <c r="D679" s="59" t="inlineStr">
        <is>
          <t>01243-00-021-000</t>
        </is>
      </c>
      <c r="E679" s="63" t="inlineStr">
        <is>
          <t>Actual</t>
        </is>
      </c>
      <c r="F679" s="59" t="inlineStr">
        <is>
          <t>12435-875 E. 42ND AV</t>
        </is>
      </c>
      <c r="G679" s="708" t="n">
        <v>44.4</v>
      </c>
      <c r="H679" s="59" t="n">
        <v>9102</v>
      </c>
      <c r="I679" s="63" t="n">
        <v>0</v>
      </c>
      <c r="J679" s="64" t="n">
        <v>400000</v>
      </c>
      <c r="K679" s="722" t="n">
        <v>4.59</v>
      </c>
      <c r="L679" s="88" t="n">
        <v>0.09</v>
      </c>
      <c r="M679" s="88" t="n">
        <v>0.07000000000000001</v>
      </c>
      <c r="N679" s="59" t="n">
        <v>1998</v>
      </c>
      <c r="O679" s="59" t="n">
        <v>59469</v>
      </c>
      <c r="P679" s="59" t="n"/>
      <c r="Q679" s="59" t="n">
        <v>28</v>
      </c>
      <c r="R679" s="59" t="n">
        <v>14</v>
      </c>
      <c r="S679" s="59" t="n">
        <v>16</v>
      </c>
      <c r="T679" s="63" t="inlineStr">
        <is>
          <t>I0</t>
        </is>
      </c>
      <c r="U679" s="59" t="n">
        <v>398</v>
      </c>
      <c r="V679" s="64" t="n">
        <v>998049</v>
      </c>
      <c r="W679" s="64" t="n">
        <v>1000000</v>
      </c>
      <c r="X679" s="67" t="inlineStr">
        <is>
          <t>2.5:1</t>
        </is>
      </c>
      <c r="Y679" s="64" t="n">
        <v>400000</v>
      </c>
      <c r="Z679" s="63" t="inlineStr">
        <is>
          <t>B</t>
        </is>
      </c>
      <c r="AA679" s="59" t="n">
        <v>3</v>
      </c>
      <c r="AB679" s="59" t="n">
        <v>3</v>
      </c>
      <c r="AC679" s="59" t="n">
        <v>33</v>
      </c>
      <c r="AE679" s="701" t="n"/>
      <c r="AF679" s="723" t="n"/>
      <c r="AG679" s="723" t="n"/>
      <c r="AH679" s="701" t="n"/>
      <c r="AI679" s="723" t="n"/>
      <c r="AJ679" s="701" t="n"/>
      <c r="AL679">
        <f>IF(AND(ISNUMBER($S679),$S679&gt;0,ISNUMBER($K679),ISNUMBER($J679)),($K679*$J679)/$S679,"")</f>
        <v/>
      </c>
    </row>
    <row r="680">
      <c r="A680" s="62" t="n">
        <v>8</v>
      </c>
      <c r="B680" s="93" t="n">
        <v>672</v>
      </c>
      <c r="C680" s="68" t="inlineStr">
        <is>
          <t>2009Q</t>
        </is>
      </c>
      <c r="D680" s="59" t="inlineStr">
        <is>
          <t xml:space="preserve">01252-00-034-000 </t>
        </is>
      </c>
      <c r="E680" s="72" t="inlineStr">
        <is>
          <t>Actual</t>
        </is>
      </c>
      <c r="F680" s="73" t="inlineStr">
        <is>
          <t>12770 E 39TH                 AV</t>
        </is>
      </c>
      <c r="G680" s="708" t="n">
        <v>44.4</v>
      </c>
      <c r="H680" s="67" t="n">
        <v>9104</v>
      </c>
      <c r="I680" s="69" t="n">
        <v>0</v>
      </c>
      <c r="J680" s="714" t="n">
        <v>121360</v>
      </c>
      <c r="K680" s="715" t="n">
        <v>3.68457481872116</v>
      </c>
      <c r="L680" s="74" t="n">
        <v>0</v>
      </c>
      <c r="M680" s="76" t="n">
        <v>0.2166830664639055</v>
      </c>
      <c r="N680" s="67" t="n">
        <v>1971</v>
      </c>
      <c r="O680" s="64" t="n">
        <v>6439</v>
      </c>
      <c r="P680" s="64" t="n">
        <v>1570</v>
      </c>
      <c r="Q680" s="59" t="n">
        <v>14</v>
      </c>
      <c r="R680" s="59" t="n">
        <v>3</v>
      </c>
      <c r="S680" s="59" t="n">
        <v>2</v>
      </c>
      <c r="T680" s="63" t="inlineStr">
        <is>
          <t xml:space="preserve">I2   </t>
        </is>
      </c>
      <c r="U680" s="63" t="n">
        <v>398</v>
      </c>
      <c r="V680" s="714" t="n">
        <v>255000</v>
      </c>
      <c r="W680" s="714" t="n">
        <v>260000</v>
      </c>
      <c r="X680" s="83" t="inlineStr">
        <is>
          <t>2.1:1</t>
        </is>
      </c>
      <c r="Y680" s="714">
        <f>ROUND(J680,-4)</f>
        <v/>
      </c>
      <c r="Z680" s="63" t="inlineStr">
        <is>
          <t xml:space="preserve">C </t>
        </is>
      </c>
      <c r="AA680" s="59" t="n">
        <v>3</v>
      </c>
      <c r="AB680" s="59" t="n">
        <v>3</v>
      </c>
      <c r="AC680" s="67" t="inlineStr">
        <is>
          <t>33</t>
        </is>
      </c>
      <c r="AD680" s="61" t="inlineStr">
        <is>
          <t xml:space="preserve">M-W UNISOURCE       </t>
        </is>
      </c>
      <c r="AE680" s="716" t="n"/>
      <c r="AF680" s="716" t="n"/>
      <c r="AG680" s="716" t="n"/>
      <c r="AH680" s="716" t="n"/>
      <c r="AI680" s="716" t="n"/>
      <c r="AJ680" s="716" t="n"/>
      <c r="AK680" s="716" t="inlineStr">
        <is>
          <t xml:space="preserve">M-T WHSE; 3 TENANTS; LEASES 2005 - 2008.                          </t>
        </is>
      </c>
      <c r="AL680">
        <f>IF(AND(ISNUMBER($S680),$S680&gt;0,ISNUMBER($K680),ISNUMBER($J680)),($K680*$J680)/$S680,"")</f>
        <v/>
      </c>
    </row>
    <row r="681">
      <c r="A681" s="62" t="n">
        <v>8</v>
      </c>
      <c r="B681" s="93" t="n">
        <v>673</v>
      </c>
      <c r="C681" s="68" t="inlineStr">
        <is>
          <t>2009Q</t>
        </is>
      </c>
      <c r="D681" s="59" t="inlineStr">
        <is>
          <t xml:space="preserve">01252-00-056-000 </t>
        </is>
      </c>
      <c r="E681" s="72" t="inlineStr">
        <is>
          <t>Actual</t>
        </is>
      </c>
      <c r="F681" s="73" t="inlineStr">
        <is>
          <t>3800   QUENTIN              ST</t>
        </is>
      </c>
      <c r="G681" s="708" t="n">
        <v>44.1</v>
      </c>
      <c r="H681" s="67" t="n">
        <v>9104</v>
      </c>
      <c r="I681" s="69" t="n">
        <v>0</v>
      </c>
      <c r="J681" s="714" t="n">
        <v>25095</v>
      </c>
      <c r="K681" s="715" t="n">
        <v>4.303646144650329</v>
      </c>
      <c r="L681" s="74" t="n">
        <v>1</v>
      </c>
      <c r="M681" s="76" t="n">
        <v>0</v>
      </c>
      <c r="N681" s="67" t="n">
        <v>1990</v>
      </c>
      <c r="O681" s="64" t="n">
        <v>3274</v>
      </c>
      <c r="Q681" s="59" t="n">
        <v>24</v>
      </c>
      <c r="R681" s="59" t="n">
        <v>3</v>
      </c>
      <c r="S681" s="59" t="n">
        <v>1</v>
      </c>
      <c r="T681" s="63" t="inlineStr">
        <is>
          <t xml:space="preserve">I2   </t>
        </is>
      </c>
      <c r="U681" s="63" t="n">
        <v>401</v>
      </c>
      <c r="V681" s="714" t="n">
        <v>45240</v>
      </c>
      <c r="W681" s="714" t="n">
        <v>45000</v>
      </c>
      <c r="X681" s="83" t="inlineStr">
        <is>
          <t>1.8:1</t>
        </is>
      </c>
      <c r="Y681" s="714">
        <f>ROUND(J681,-3)</f>
        <v/>
      </c>
      <c r="Z681" s="63" t="inlineStr">
        <is>
          <t xml:space="preserve">C </t>
        </is>
      </c>
      <c r="AA681" s="59" t="n">
        <v>3</v>
      </c>
      <c r="AB681" s="59" t="n">
        <v>3</v>
      </c>
      <c r="AC681" s="67" t="inlineStr">
        <is>
          <t>33</t>
        </is>
      </c>
      <c r="AD681" s="61" t="inlineStr">
        <is>
          <t xml:space="preserve">PRINTING PLANT      </t>
        </is>
      </c>
      <c r="AE681" s="716" t="n"/>
      <c r="AF681" s="716" t="n"/>
      <c r="AG681" s="716" t="n"/>
      <c r="AH681" s="716" t="n"/>
      <c r="AI681" s="716" t="n"/>
      <c r="AJ681" s="716" t="n"/>
      <c r="AK681" s="716" t="inlineStr"/>
      <c r="AL681">
        <f>IF(AND(ISNUMBER($S681),$S681&gt;0,ISNUMBER($K681),ISNUMBER($J681)),($K681*$J681)/$S681,"")</f>
        <v/>
      </c>
    </row>
    <row r="682">
      <c r="A682" s="62" t="n">
        <v>8</v>
      </c>
      <c r="B682" s="93" t="n">
        <v>674</v>
      </c>
      <c r="C682" s="68" t="inlineStr">
        <is>
          <t>2009Q</t>
        </is>
      </c>
      <c r="D682" s="59" t="inlineStr">
        <is>
          <t xml:space="preserve">01252-00-088-000 </t>
        </is>
      </c>
      <c r="E682" s="72" t="inlineStr">
        <is>
          <t>Actual</t>
        </is>
      </c>
      <c r="F682" s="73" t="inlineStr">
        <is>
          <t>3777   QUENTIN              ST</t>
        </is>
      </c>
      <c r="G682" s="708" t="n">
        <v>44.2</v>
      </c>
      <c r="H682" s="67" t="n">
        <v>9104</v>
      </c>
      <c r="I682" s="69" t="n">
        <v>0</v>
      </c>
      <c r="J682" s="714" t="n">
        <v>6000</v>
      </c>
      <c r="K682" s="715" t="n">
        <v>4</v>
      </c>
      <c r="L682" s="74" t="n">
        <v>0</v>
      </c>
      <c r="M682" s="76" t="n">
        <v>0</v>
      </c>
      <c r="N682" s="67" t="n">
        <v>2000</v>
      </c>
      <c r="O682" s="64">
        <f>3823+3055</f>
        <v/>
      </c>
      <c r="Q682" s="59" t="n">
        <v>24</v>
      </c>
      <c r="R682" s="59" t="n">
        <v>3</v>
      </c>
      <c r="S682" s="59" t="n">
        <v>5</v>
      </c>
      <c r="T682" s="63" t="inlineStr">
        <is>
          <t xml:space="preserve">I2   </t>
        </is>
      </c>
      <c r="U682" s="63" t="n">
        <v>398</v>
      </c>
      <c r="V682" s="714" t="n">
        <v>38408</v>
      </c>
      <c r="W682" s="714" t="n">
        <v>38000</v>
      </c>
      <c r="X682" s="83" t="inlineStr">
        <is>
          <t>3.2:1</t>
        </is>
      </c>
      <c r="Y682" s="714">
        <f>ROUND(J682,-3)</f>
        <v/>
      </c>
      <c r="Z682" s="63" t="inlineStr">
        <is>
          <t xml:space="preserve">C </t>
        </is>
      </c>
      <c r="AA682" s="59" t="n">
        <v>3</v>
      </c>
      <c r="AB682" s="59" t="n">
        <v>3</v>
      </c>
      <c r="AC682" s="67" t="inlineStr">
        <is>
          <t>33</t>
        </is>
      </c>
      <c r="AD682" s="61" t="inlineStr">
        <is>
          <t xml:space="preserve">M-W                 </t>
        </is>
      </c>
      <c r="AE682" s="716" t="n"/>
      <c r="AF682" s="716" t="n"/>
      <c r="AG682" s="716" t="n"/>
      <c r="AH682" s="716" t="n"/>
      <c r="AI682" s="716" t="n"/>
      <c r="AJ682" s="716" t="n"/>
      <c r="AK682" s="716" t="inlineStr">
        <is>
          <t xml:space="preserve">M-T WHSE.; 2 TENANTS; LEASES 2006 &amp; 2007.                         </t>
        </is>
      </c>
      <c r="AL682">
        <f>IF(AND(ISNUMBER($S682),$S682&gt;0,ISNUMBER($K682),ISNUMBER($J682)),($K682*$J682)/$S682,"")</f>
        <v/>
      </c>
    </row>
    <row r="683">
      <c r="A683" s="62" t="n">
        <v>8</v>
      </c>
      <c r="B683" s="93" t="n">
        <v>675</v>
      </c>
      <c r="C683" s="68" t="inlineStr">
        <is>
          <t>2009Q</t>
        </is>
      </c>
      <c r="D683" s="59" t="inlineStr">
        <is>
          <t xml:space="preserve">01252-00-089-000 </t>
        </is>
      </c>
      <c r="E683" s="72" t="inlineStr">
        <is>
          <t>Actual</t>
        </is>
      </c>
      <c r="F683" s="73" t="inlineStr">
        <is>
          <t>12295 E 37TH                 AV</t>
        </is>
      </c>
      <c r="G683" s="708" t="n">
        <v>44.1</v>
      </c>
      <c r="H683" s="67" t="n">
        <v>9104</v>
      </c>
      <c r="I683" s="69" t="n">
        <v>0</v>
      </c>
      <c r="J683" s="714" t="n">
        <v>15000</v>
      </c>
      <c r="K683" s="715" t="n">
        <v>9</v>
      </c>
      <c r="L683" s="74" t="n">
        <v>0</v>
      </c>
      <c r="M683" s="76" t="n">
        <v>0</v>
      </c>
      <c r="N683" s="67" t="n">
        <v>1997</v>
      </c>
      <c r="O683" s="64" t="n">
        <v>1953</v>
      </c>
      <c r="Q683" s="59" t="n">
        <v>20</v>
      </c>
      <c r="R683" s="59" t="n">
        <v>3</v>
      </c>
      <c r="S683" s="59" t="n">
        <v>1</v>
      </c>
      <c r="T683" s="63" t="inlineStr">
        <is>
          <t xml:space="preserve">I2   </t>
        </is>
      </c>
      <c r="U683" s="63" t="n">
        <v>399</v>
      </c>
      <c r="V683" s="714" t="n">
        <v>111770</v>
      </c>
      <c r="W683" s="714" t="n">
        <v>110000</v>
      </c>
      <c r="X683" s="83" t="inlineStr">
        <is>
          <t>7.5:1</t>
        </is>
      </c>
      <c r="Y683" s="714">
        <f>ROUND(J683,-3)</f>
        <v/>
      </c>
      <c r="Z683" s="63" t="inlineStr">
        <is>
          <t xml:space="preserve">C </t>
        </is>
      </c>
      <c r="AA683" s="59" t="n">
        <v>3</v>
      </c>
      <c r="AB683" s="59" t="n">
        <v>3</v>
      </c>
      <c r="AC683" s="67" t="inlineStr">
        <is>
          <t>33</t>
        </is>
      </c>
      <c r="AD683" s="61" t="inlineStr">
        <is>
          <t xml:space="preserve">ARROW STAGE LINES   </t>
        </is>
      </c>
      <c r="AE683" s="716" t="n"/>
      <c r="AF683" s="716" t="n"/>
      <c r="AG683" s="716" t="n"/>
      <c r="AH683" s="716" t="n"/>
      <c r="AI683" s="716" t="n"/>
      <c r="AJ683" s="716" t="n"/>
      <c r="AK683" s="716" t="inlineStr">
        <is>
          <t xml:space="preserve">S-T WHSE.; YR-TO-YR LEASE.                                        </t>
        </is>
      </c>
      <c r="AL683">
        <f>IF(AND(ISNUMBER($S683),$S683&gt;0,ISNUMBER($K683),ISNUMBER($J683)),($K683*$J683)/$S683,"")</f>
        <v/>
      </c>
    </row>
    <row r="684">
      <c r="A684" s="62" t="n">
        <v>8</v>
      </c>
      <c r="B684" s="93" t="n">
        <v>676</v>
      </c>
      <c r="C684" s="68" t="inlineStr">
        <is>
          <t>2009Q</t>
        </is>
      </c>
      <c r="D684" s="59" t="inlineStr">
        <is>
          <t xml:space="preserve">01252-00-095-000 </t>
        </is>
      </c>
      <c r="E684" s="72" t="inlineStr">
        <is>
          <t>Actual</t>
        </is>
      </c>
      <c r="F684" s="73" t="inlineStr">
        <is>
          <t>3751   REVERE               ST</t>
        </is>
      </c>
      <c r="G684" s="708" t="n">
        <v>44.1</v>
      </c>
      <c r="H684" s="67" t="n">
        <v>9104</v>
      </c>
      <c r="I684" s="69" t="n">
        <v>0</v>
      </c>
      <c r="J684" s="714" t="n">
        <v>54662</v>
      </c>
      <c r="K684" s="715" t="n">
        <v>5.10189894259266</v>
      </c>
      <c r="L684" s="74" t="n">
        <v>0</v>
      </c>
      <c r="M684" s="76" t="n">
        <v>0.1307515777395296</v>
      </c>
      <c r="N684" s="67" t="n">
        <v>1980</v>
      </c>
      <c r="O684" s="64" t="n">
        <v>3736</v>
      </c>
      <c r="Q684" s="59" t="n">
        <v>27</v>
      </c>
      <c r="R684" s="59" t="n">
        <v>14</v>
      </c>
      <c r="S684" s="59" t="n">
        <v>1</v>
      </c>
      <c r="T684" s="63" t="inlineStr">
        <is>
          <t xml:space="preserve">I2   </t>
        </is>
      </c>
      <c r="U684" s="63" t="n">
        <v>398</v>
      </c>
      <c r="V684" s="714" t="n">
        <v>99319</v>
      </c>
      <c r="W684" s="714" t="n">
        <v>100000</v>
      </c>
      <c r="X684" s="83" t="inlineStr">
        <is>
          <t>1.8:1</t>
        </is>
      </c>
      <c r="Y684" s="714">
        <f>ROUND(J684,-4)</f>
        <v/>
      </c>
      <c r="Z684" s="63" t="inlineStr">
        <is>
          <t xml:space="preserve">C </t>
        </is>
      </c>
      <c r="AA684" s="59" t="n">
        <v>3</v>
      </c>
      <c r="AB684" s="59" t="n">
        <v>3</v>
      </c>
      <c r="AC684" s="67" t="inlineStr">
        <is>
          <t>33</t>
        </is>
      </c>
      <c r="AD684" s="61" t="inlineStr">
        <is>
          <t xml:space="preserve">CONLEY              </t>
        </is>
      </c>
      <c r="AE684" s="716" t="n"/>
      <c r="AF684" s="716" t="n"/>
      <c r="AG684" s="716" t="n"/>
      <c r="AH684" s="716" t="n"/>
      <c r="AI684" s="716" t="n"/>
      <c r="AJ684" s="716" t="n"/>
      <c r="AK684" s="716" t="inlineStr">
        <is>
          <t xml:space="preserve">M-T WHSE.; 2 TENANTS; LEASES 2006-2007.                           </t>
        </is>
      </c>
      <c r="AL684">
        <f>IF(AND(ISNUMBER($S684),$S684&gt;0,ISNUMBER($K684),ISNUMBER($J684)),($K684*$J684)/$S684,"")</f>
        <v/>
      </c>
    </row>
    <row r="685">
      <c r="A685" s="62" t="n">
        <v>8</v>
      </c>
      <c r="B685" s="93" t="n">
        <v>677</v>
      </c>
      <c r="C685" s="61" t="inlineStr">
        <is>
          <t>2009W</t>
        </is>
      </c>
      <c r="D685" s="59" t="inlineStr">
        <is>
          <t>01252-03-008-000</t>
        </is>
      </c>
      <c r="E685" s="63" t="inlineStr">
        <is>
          <t>Actual</t>
        </is>
      </c>
      <c r="F685" s="59" t="inlineStr">
        <is>
          <t>12695 E 39th Ave</t>
        </is>
      </c>
      <c r="G685" s="708" t="n">
        <v>44.3</v>
      </c>
      <c r="H685" s="59" t="n">
        <v>9104</v>
      </c>
      <c r="I685" s="63" t="n">
        <v>0</v>
      </c>
      <c r="J685" s="64" t="n">
        <v>153815</v>
      </c>
      <c r="K685" s="722" t="n">
        <v>3.27</v>
      </c>
      <c r="L685" s="88" t="n">
        <v>0</v>
      </c>
      <c r="M685" s="88" t="n">
        <v>0</v>
      </c>
      <c r="N685" s="59" t="n">
        <v>1973</v>
      </c>
      <c r="O685" s="64" t="n">
        <v>6892</v>
      </c>
      <c r="P685" s="59" t="n"/>
      <c r="Q685" s="59" t="n">
        <v>22</v>
      </c>
      <c r="R685" s="59" t="n">
        <v>10</v>
      </c>
      <c r="S685" s="59" t="n">
        <v>3</v>
      </c>
      <c r="T685" s="63" t="inlineStr">
        <is>
          <t>i2</t>
        </is>
      </c>
      <c r="U685" s="59" t="n">
        <v>398</v>
      </c>
      <c r="V685" s="64" t="n">
        <v>270532</v>
      </c>
      <c r="W685" s="64" t="n">
        <v>300000</v>
      </c>
      <c r="X685" s="67" t="inlineStr">
        <is>
          <t>2.0:1</t>
        </is>
      </c>
      <c r="Y685" s="64" t="n">
        <v>150000</v>
      </c>
      <c r="Z685" s="63" t="inlineStr">
        <is>
          <t>C</t>
        </is>
      </c>
      <c r="AA685" s="59" t="n">
        <v>3</v>
      </c>
      <c r="AB685" s="59" t="n">
        <v>3</v>
      </c>
      <c r="AC685" s="59" t="n">
        <v>33</v>
      </c>
      <c r="AD685" s="59" t="inlineStr">
        <is>
          <t>CERTAIN TEED</t>
        </is>
      </c>
      <c r="AE685" s="701" t="n">
        <v>3.27</v>
      </c>
      <c r="AF685" s="723" t="n">
        <v>3.27</v>
      </c>
      <c r="AG685" s="723" t="n">
        <v>3.27</v>
      </c>
      <c r="AH685" s="701" t="n">
        <v>0</v>
      </c>
      <c r="AI685" s="723" t="n">
        <v>0</v>
      </c>
      <c r="AJ685" s="701" t="n"/>
      <c r="AK685" s="59" t="inlineStr">
        <is>
          <t>BASE LEASE ON 54K SQFT AT $3.25</t>
        </is>
      </c>
      <c r="AL685">
        <f>IF(AND(ISNUMBER($S685),$S685&gt;0,ISNUMBER($K685),ISNUMBER($J685)),($K685*$J685)/$S685,"")</f>
        <v/>
      </c>
    </row>
    <row r="686">
      <c r="A686" s="62" t="n">
        <v>8</v>
      </c>
      <c r="B686" s="93" t="n">
        <v>678</v>
      </c>
      <c r="C686" s="61" t="inlineStr">
        <is>
          <t>2009W</t>
        </is>
      </c>
      <c r="D686" s="59" t="inlineStr">
        <is>
          <t>01252-03-009-000</t>
        </is>
      </c>
      <c r="E686" s="63" t="inlineStr">
        <is>
          <t>Actual</t>
        </is>
      </c>
      <c r="F686" s="59" t="inlineStr">
        <is>
          <t>12850 E. 40th Ave</t>
        </is>
      </c>
      <c r="G686" s="708" t="n">
        <v>44.3</v>
      </c>
      <c r="H686" s="59" t="n">
        <v>9104</v>
      </c>
      <c r="I686" s="63" t="n">
        <v>0</v>
      </c>
      <c r="J686" s="64" t="n">
        <v>200000</v>
      </c>
      <c r="K686" s="722" t="n">
        <v>3.34</v>
      </c>
      <c r="L686" s="88" t="n">
        <v>0.04</v>
      </c>
      <c r="M686" s="88" t="n">
        <v>0</v>
      </c>
      <c r="N686" s="59" t="n">
        <v>1974</v>
      </c>
      <c r="O686" s="64" t="n">
        <v>16178</v>
      </c>
      <c r="P686" s="59" t="n"/>
      <c r="Q686" s="59" t="n">
        <v>22</v>
      </c>
      <c r="R686" s="59" t="n">
        <v>10</v>
      </c>
      <c r="S686" s="59" t="n">
        <v>3</v>
      </c>
      <c r="T686" s="63" t="inlineStr">
        <is>
          <t>I2</t>
        </is>
      </c>
      <c r="U686" s="59" t="n">
        <v>398</v>
      </c>
      <c r="V686" s="64" t="n">
        <v>442561</v>
      </c>
      <c r="W686" s="64" t="n">
        <v>500000</v>
      </c>
      <c r="X686" s="67" t="inlineStr">
        <is>
          <t>2.2:1</t>
        </is>
      </c>
      <c r="Y686" s="64" t="n">
        <v>200000</v>
      </c>
      <c r="Z686" s="63" t="inlineStr">
        <is>
          <t>C</t>
        </is>
      </c>
      <c r="AA686" s="59" t="n">
        <v>2</v>
      </c>
      <c r="AB686" s="59" t="n">
        <v>3</v>
      </c>
      <c r="AC686" s="59" t="n">
        <v>23</v>
      </c>
      <c r="AD686" s="59" t="inlineStr">
        <is>
          <t>Intertech</t>
        </is>
      </c>
      <c r="AE686" s="701" t="n">
        <v>3.34</v>
      </c>
      <c r="AF686" s="723">
        <f>AE686*0.96</f>
        <v/>
      </c>
      <c r="AG686" s="723" t="n">
        <v>3.21</v>
      </c>
      <c r="AH686" s="701" t="n">
        <v>0</v>
      </c>
      <c r="AI686" s="723" t="n">
        <v>0</v>
      </c>
      <c r="AJ686" s="701" t="n">
        <v>0</v>
      </c>
      <c r="AK686" s="59" t="inlineStr">
        <is>
          <t>10 to 15 year old long term leases</t>
        </is>
      </c>
      <c r="AL686">
        <f>IF(AND(ISNUMBER($S686),$S686&gt;0,ISNUMBER($K686),ISNUMBER($J686)),($K686*$J686)/$S686,"")</f>
        <v/>
      </c>
    </row>
    <row r="687">
      <c r="A687" s="62" t="n">
        <v>8</v>
      </c>
      <c r="B687" s="93" t="n">
        <v>679</v>
      </c>
      <c r="C687" s="68" t="inlineStr">
        <is>
          <t>2009Q</t>
        </is>
      </c>
      <c r="D687" s="59" t="inlineStr">
        <is>
          <t xml:space="preserve">01261-00-013-000 </t>
        </is>
      </c>
      <c r="E687" s="72" t="inlineStr">
        <is>
          <t>Actual</t>
        </is>
      </c>
      <c r="F687" s="73" t="inlineStr">
        <is>
          <t>3737   PEORIA               ST</t>
        </is>
      </c>
      <c r="G687" s="708" t="n">
        <v>44.2</v>
      </c>
      <c r="H687" s="67" t="n">
        <v>9104</v>
      </c>
      <c r="I687" s="69" t="n">
        <v>3</v>
      </c>
      <c r="J687" s="714" t="n">
        <v>16875</v>
      </c>
      <c r="K687" s="715" t="n">
        <v>8.177777777777777</v>
      </c>
      <c r="L687" s="74" t="n">
        <v>0.6340740740740741</v>
      </c>
      <c r="M687" s="76" t="n">
        <v>0.07546376811594203</v>
      </c>
      <c r="N687" s="67" t="n">
        <v>1973</v>
      </c>
      <c r="O687" s="64">
        <f>1172*2</f>
        <v/>
      </c>
      <c r="Q687" s="59" t="n">
        <v>20</v>
      </c>
      <c r="R687" s="59" t="n">
        <v>10</v>
      </c>
      <c r="S687" s="59" t="n">
        <v>2</v>
      </c>
      <c r="T687" s="63" t="inlineStr">
        <is>
          <t xml:space="preserve">I2   </t>
        </is>
      </c>
      <c r="U687" s="63" t="n">
        <v>398</v>
      </c>
      <c r="V687" s="714" t="n">
        <v>31803</v>
      </c>
      <c r="W687" s="714" t="n">
        <v>32000</v>
      </c>
      <c r="X687" s="83" t="inlineStr">
        <is>
          <t>1.9:1</t>
        </is>
      </c>
      <c r="Y687" s="714">
        <f>ROUND(J687,-3)</f>
        <v/>
      </c>
      <c r="Z687" s="63" t="inlineStr">
        <is>
          <t xml:space="preserve">C </t>
        </is>
      </c>
      <c r="AA687" s="59" t="n">
        <v>3</v>
      </c>
      <c r="AB687" s="59" t="n">
        <v>3</v>
      </c>
      <c r="AC687" s="67" t="inlineStr">
        <is>
          <t>33</t>
        </is>
      </c>
      <c r="AD687" s="61" t="inlineStr">
        <is>
          <t xml:space="preserve">GOODYEAR            </t>
        </is>
      </c>
      <c r="AE687" s="716" t="n"/>
      <c r="AF687" s="716" t="n"/>
      <c r="AG687" s="716" t="n"/>
      <c r="AH687" s="716" t="n"/>
      <c r="AI687" s="716" t="n"/>
      <c r="AJ687" s="716" t="n"/>
      <c r="AK687" s="716" t="inlineStr">
        <is>
          <t xml:space="preserve">S-T WHSE.                                                         </t>
        </is>
      </c>
      <c r="AL687">
        <f>IF(AND(ISNUMBER($S687),$S687&gt;0,ISNUMBER($K687),ISNUMBER($J687)),($K687*$J687)/$S687,"")</f>
        <v/>
      </c>
    </row>
    <row r="688">
      <c r="A688" s="62" t="n">
        <v>8</v>
      </c>
      <c r="B688" s="93" t="n">
        <v>680</v>
      </c>
      <c r="C688" s="68" t="inlineStr">
        <is>
          <t>2009Q</t>
        </is>
      </c>
      <c r="D688" s="59" t="inlineStr">
        <is>
          <t xml:space="preserve">01261-00-023-000 </t>
        </is>
      </c>
      <c r="E688" s="72" t="inlineStr">
        <is>
          <t>Actual</t>
        </is>
      </c>
      <c r="F688" s="73" t="inlineStr">
        <is>
          <t>3700   LIMA                 ST</t>
        </is>
      </c>
      <c r="G688" s="708" t="n">
        <v>44.3</v>
      </c>
      <c r="H688" s="67" t="n">
        <v>9104</v>
      </c>
      <c r="I688" s="69" t="n">
        <v>0</v>
      </c>
      <c r="J688" s="714" t="n">
        <v>152503</v>
      </c>
      <c r="K688" s="715" t="n">
        <v>3.25606709376209</v>
      </c>
      <c r="L688" s="74" t="n">
        <v>0</v>
      </c>
      <c r="M688" s="76" t="n">
        <v>0</v>
      </c>
      <c r="N688" s="67" t="n">
        <v>1986</v>
      </c>
      <c r="O688" s="64">
        <f>1428+419</f>
        <v/>
      </c>
      <c r="P688" s="64">
        <f>(2592*2)</f>
        <v/>
      </c>
      <c r="Q688" s="59" t="n">
        <v>22</v>
      </c>
      <c r="R688" s="59" t="n">
        <v>14</v>
      </c>
      <c r="S688" s="59" t="n">
        <v>1</v>
      </c>
      <c r="T688" s="63" t="inlineStr">
        <is>
          <t xml:space="preserve">I2   </t>
        </is>
      </c>
      <c r="U688" s="63" t="n">
        <v>398</v>
      </c>
      <c r="V688" s="714" t="n">
        <v>192587</v>
      </c>
      <c r="W688" s="714" t="n">
        <v>190000</v>
      </c>
      <c r="X688" s="83" t="inlineStr">
        <is>
          <t>1.3:1</t>
        </is>
      </c>
      <c r="Y688" s="714">
        <f>ROUND(J688,-4)</f>
        <v/>
      </c>
      <c r="Z688" s="63" t="inlineStr">
        <is>
          <t xml:space="preserve">C </t>
        </is>
      </c>
      <c r="AA688" s="59" t="n">
        <v>3</v>
      </c>
      <c r="AB688" s="59" t="n">
        <v>3</v>
      </c>
      <c r="AC688" s="67" t="inlineStr">
        <is>
          <t>33</t>
        </is>
      </c>
      <c r="AD688" s="61" t="inlineStr">
        <is>
          <t xml:space="preserve">S-W DELINE BOX      </t>
        </is>
      </c>
      <c r="AE688" s="716" t="n"/>
      <c r="AF688" s="716" t="n"/>
      <c r="AG688" s="716" t="n"/>
      <c r="AH688" s="716" t="n"/>
      <c r="AI688" s="716" t="n"/>
      <c r="AJ688" s="716" t="n"/>
      <c r="AK688" s="716" t="inlineStr">
        <is>
          <t xml:space="preserve">S-T WHSE.; 2006 LEASE.                                            </t>
        </is>
      </c>
      <c r="AL688">
        <f>IF(AND(ISNUMBER($S688),$S688&gt;0,ISNUMBER($K688),ISNUMBER($J688)),($K688*$J688)/$S688,"")</f>
        <v/>
      </c>
    </row>
    <row r="689">
      <c r="A689" s="62" t="n">
        <v>8</v>
      </c>
      <c r="B689" s="93" t="n">
        <v>681</v>
      </c>
      <c r="C689" s="68" t="inlineStr">
        <is>
          <t>2009Q</t>
        </is>
      </c>
      <c r="D689" s="59" t="inlineStr">
        <is>
          <t xml:space="preserve">01333-27-011-000 </t>
        </is>
      </c>
      <c r="E689" s="72" t="inlineStr">
        <is>
          <t>Actual</t>
        </is>
      </c>
      <c r="F689" s="73" t="inlineStr">
        <is>
          <t>1521   SYRACUSE             ST</t>
        </is>
      </c>
      <c r="G689" s="708" t="n">
        <v>44.1</v>
      </c>
      <c r="H689" s="67" t="n">
        <v>9101</v>
      </c>
      <c r="I689" s="69" t="n">
        <v>0</v>
      </c>
      <c r="J689" s="714" t="n">
        <v>983</v>
      </c>
      <c r="K689" s="715" t="n">
        <v>5.595116988809766</v>
      </c>
      <c r="L689" s="74" t="n">
        <v>0</v>
      </c>
      <c r="M689" s="76" t="n">
        <v>0.1470909090909091</v>
      </c>
      <c r="N689" s="67" t="n">
        <v>1990</v>
      </c>
      <c r="Q689" s="59" t="n">
        <v>15</v>
      </c>
      <c r="R689" s="59" t="n">
        <v>3</v>
      </c>
      <c r="S689" s="59" t="n">
        <v>1</v>
      </c>
      <c r="T689" s="63" t="inlineStr">
        <is>
          <t xml:space="preserve">R1   </t>
        </is>
      </c>
      <c r="U689" s="63" t="n">
        <v>398</v>
      </c>
      <c r="V689" s="714" t="n">
        <v>5050</v>
      </c>
      <c r="W689" s="714" t="n">
        <v>5000</v>
      </c>
      <c r="X689" s="83" t="inlineStr">
        <is>
          <t>5.1:1</t>
        </is>
      </c>
      <c r="Y689" s="714">
        <f>ROUND(J689,-2)</f>
        <v/>
      </c>
      <c r="Z689" s="63" t="inlineStr">
        <is>
          <t xml:space="preserve">C </t>
        </is>
      </c>
      <c r="AA689" s="59" t="n">
        <v>3</v>
      </c>
      <c r="AB689" s="59" t="n">
        <v>3</v>
      </c>
      <c r="AC689" s="67" t="inlineStr">
        <is>
          <t>33</t>
        </is>
      </c>
      <c r="AD689" s="61" t="inlineStr">
        <is>
          <t xml:space="preserve">S-D AUTO STORAGE    </t>
        </is>
      </c>
      <c r="AE689" s="716" t="n"/>
      <c r="AF689" s="716" t="n"/>
      <c r="AG689" s="716" t="n"/>
      <c r="AH689" s="716" t="n"/>
      <c r="AI689" s="716" t="n"/>
      <c r="AJ689" s="716" t="n"/>
      <c r="AK689" s="716" t="inlineStr"/>
      <c r="AL689">
        <f>IF(AND(ISNUMBER($S689),$S689&gt;0,ISNUMBER($K689),ISNUMBER($J689)),($K689*$J689)/$S689,"")</f>
        <v/>
      </c>
    </row>
    <row r="690">
      <c r="A690" s="62" t="n">
        <v>8</v>
      </c>
      <c r="B690" s="93" t="n">
        <v>682</v>
      </c>
      <c r="C690" s="68" t="inlineStr">
        <is>
          <t>2009Q</t>
        </is>
      </c>
      <c r="D690" s="59" t="inlineStr">
        <is>
          <t xml:space="preserve">02131-04-003-000 </t>
        </is>
      </c>
      <c r="E690" s="72" t="inlineStr">
        <is>
          <t>Actual</t>
        </is>
      </c>
      <c r="F690" s="73" t="inlineStr">
        <is>
          <t>5300   MONROE               ST</t>
        </is>
      </c>
      <c r="G690" s="708" t="n">
        <v>44.1</v>
      </c>
      <c r="H690" s="67" t="n">
        <v>9201</v>
      </c>
      <c r="I690" s="69" t="n">
        <v>0</v>
      </c>
      <c r="J690" s="714" t="n">
        <v>15699</v>
      </c>
      <c r="K690" s="715" t="n">
        <v>4.35696541180967</v>
      </c>
      <c r="L690" s="74" t="n">
        <v>0</v>
      </c>
      <c r="M690" s="76" t="n">
        <v>0.4841374269005848</v>
      </c>
      <c r="N690" s="67" t="n">
        <v>1964</v>
      </c>
      <c r="O690" s="714" t="n">
        <v>778</v>
      </c>
      <c r="P690" s="714" t="n"/>
      <c r="Q690" s="59" t="n">
        <v>17</v>
      </c>
      <c r="R690" s="59" t="n">
        <v>3</v>
      </c>
      <c r="S690" s="59" t="n">
        <v>1</v>
      </c>
      <c r="T690" s="63" t="inlineStr">
        <is>
          <t xml:space="preserve">I1   </t>
        </is>
      </c>
      <c r="U690" s="63" t="n">
        <v>332</v>
      </c>
      <c r="V690" s="714" t="n">
        <v>25000</v>
      </c>
      <c r="W690" s="714" t="n">
        <v>25000</v>
      </c>
      <c r="X690" s="83" t="inlineStr">
        <is>
          <t>1.6:1</t>
        </is>
      </c>
      <c r="Y690" s="714">
        <f>ROUND(J690,-3)</f>
        <v/>
      </c>
      <c r="Z690" s="63" t="inlineStr">
        <is>
          <t xml:space="preserve">C </t>
        </is>
      </c>
      <c r="AA690" s="59" t="n">
        <v>3</v>
      </c>
      <c r="AB690" s="59" t="n">
        <v>3</v>
      </c>
      <c r="AC690" s="67" t="n">
        <v>33</v>
      </c>
      <c r="AD690" s="61" t="inlineStr"/>
      <c r="AE690" s="716" t="n"/>
      <c r="AF690" s="716" t="n"/>
      <c r="AG690" s="716" t="n"/>
      <c r="AH690" s="716" t="n"/>
      <c r="AI690" s="716" t="n"/>
      <c r="AJ690" s="716" t="n"/>
      <c r="AK690" s="716" t="inlineStr"/>
      <c r="AL690">
        <f>IF(AND(ISNUMBER($S690),$S690&gt;0,ISNUMBER($K690),ISNUMBER($J690)),($K690*$J690)/$S690,"")</f>
        <v/>
      </c>
    </row>
    <row r="691">
      <c r="A691" s="62" t="n">
        <v>8</v>
      </c>
      <c r="B691" s="93" t="n">
        <v>683</v>
      </c>
      <c r="C691" s="68" t="inlineStr">
        <is>
          <t>2009Q</t>
        </is>
      </c>
      <c r="D691" s="59" t="inlineStr">
        <is>
          <t xml:space="preserve">02131-06-008-000 </t>
        </is>
      </c>
      <c r="E691" s="72" t="inlineStr">
        <is>
          <t>Actual</t>
        </is>
      </c>
      <c r="F691" s="73" t="inlineStr">
        <is>
          <t>5305   ADAMS                ST</t>
        </is>
      </c>
      <c r="G691" s="708" t="n">
        <v>44.1</v>
      </c>
      <c r="H691" s="67" t="n">
        <v>9201</v>
      </c>
      <c r="I691" s="69" t="n">
        <v>0</v>
      </c>
      <c r="J691" s="714" t="n">
        <v>1007</v>
      </c>
      <c r="K691" s="715" t="n">
        <v>13.10824230387289</v>
      </c>
      <c r="L691" s="74" t="n">
        <v>0</v>
      </c>
      <c r="M691" s="76" t="n">
        <v>0.08333333333333333</v>
      </c>
      <c r="N691" s="67" t="n">
        <v>1932</v>
      </c>
      <c r="O691" s="64" t="inlineStr"/>
      <c r="Q691" s="59" t="n">
        <v>8</v>
      </c>
      <c r="R691" s="59" t="n">
        <v>2</v>
      </c>
      <c r="S691" s="59" t="n">
        <v>1</v>
      </c>
      <c r="T691" s="63" t="inlineStr">
        <is>
          <t xml:space="preserve">I1   </t>
        </is>
      </c>
      <c r="U691" s="63" t="n">
        <v>398</v>
      </c>
      <c r="V691" s="714" t="n">
        <v>31875</v>
      </c>
      <c r="W691" s="714" t="n">
        <v>32000</v>
      </c>
      <c r="X691" s="83" t="inlineStr">
        <is>
          <t>31.7:1</t>
        </is>
      </c>
      <c r="Y691" s="714">
        <f>ROUND(J691,-2)</f>
        <v/>
      </c>
      <c r="Z691" s="63" t="inlineStr">
        <is>
          <t xml:space="preserve">C </t>
        </is>
      </c>
      <c r="AA691" s="59" t="n">
        <v>3</v>
      </c>
      <c r="AB691" s="59" t="n">
        <v>1</v>
      </c>
      <c r="AC691" s="67" t="inlineStr">
        <is>
          <t>31</t>
        </is>
      </c>
      <c r="AD691" s="61" t="inlineStr">
        <is>
          <t xml:space="preserve">DIST/CONVERSION     </t>
        </is>
      </c>
      <c r="AE691" s="716" t="n"/>
      <c r="AF691" s="716" t="n"/>
      <c r="AG691" s="716" t="n"/>
      <c r="AH691" s="716" t="n"/>
      <c r="AI691" s="716" t="n"/>
      <c r="AJ691" s="716" t="n"/>
      <c r="AK691" s="716" t="inlineStr">
        <is>
          <t xml:space="preserve">S-T WHSE.                                                         </t>
        </is>
      </c>
      <c r="AL691">
        <f>IF(AND(ISNUMBER($S691),$S691&gt;0,ISNUMBER($K691),ISNUMBER($J691)),($K691*$J691)/$S691,"")</f>
        <v/>
      </c>
    </row>
    <row r="692">
      <c r="A692" s="62" t="n">
        <v>8</v>
      </c>
      <c r="B692" s="93" t="n">
        <v>684</v>
      </c>
      <c r="C692" s="68" t="inlineStr">
        <is>
          <t>2009Q</t>
        </is>
      </c>
      <c r="D692" s="59" t="inlineStr">
        <is>
          <t xml:space="preserve">02131-07-019-000 </t>
        </is>
      </c>
      <c r="E692" s="72" t="inlineStr">
        <is>
          <t>Actual</t>
        </is>
      </c>
      <c r="F692" s="73" t="inlineStr">
        <is>
          <t>5270   STEELE               ST</t>
        </is>
      </c>
      <c r="G692" s="708" t="n">
        <v>44.1</v>
      </c>
      <c r="H692" s="67" t="n">
        <v>9201</v>
      </c>
      <c r="I692" s="69" t="n">
        <v>0</v>
      </c>
      <c r="J692" s="714" t="n">
        <v>6400</v>
      </c>
      <c r="K692" s="715" t="n">
        <v>3.46875</v>
      </c>
      <c r="L692" s="74" t="n">
        <v>0</v>
      </c>
      <c r="M692" s="76" t="n">
        <v>0.07229729729729729</v>
      </c>
      <c r="N692" s="67" t="n">
        <v>1972</v>
      </c>
      <c r="O692" s="64" t="n">
        <v>360</v>
      </c>
      <c r="Q692" s="59" t="n">
        <v>15</v>
      </c>
      <c r="R692" s="59" t="n">
        <v>7</v>
      </c>
      <c r="S692" s="59" t="n">
        <v>1</v>
      </c>
      <c r="T692" s="63" t="inlineStr">
        <is>
          <t xml:space="preserve">I1   </t>
        </is>
      </c>
      <c r="U692" s="63" t="n">
        <v>398</v>
      </c>
      <c r="V692" s="714" t="n">
        <v>12750</v>
      </c>
      <c r="W692" s="714" t="n">
        <v>13000</v>
      </c>
      <c r="X692" s="83" t="inlineStr">
        <is>
          <t>2.0:1</t>
        </is>
      </c>
      <c r="Y692" s="714">
        <f>ROUND(J692,-3)</f>
        <v/>
      </c>
      <c r="Z692" s="63" t="inlineStr">
        <is>
          <t xml:space="preserve">C </t>
        </is>
      </c>
      <c r="AA692" s="59" t="n">
        <v>3</v>
      </c>
      <c r="AB692" s="59" t="n">
        <v>3</v>
      </c>
      <c r="AC692" s="67" t="inlineStr">
        <is>
          <t>33</t>
        </is>
      </c>
      <c r="AD692" s="61" t="inlineStr"/>
      <c r="AE692" s="716" t="n"/>
      <c r="AF692" s="716" t="n"/>
      <c r="AG692" s="716" t="n"/>
      <c r="AH692" s="716" t="n"/>
      <c r="AI692" s="716" t="n"/>
      <c r="AJ692" s="716" t="n"/>
      <c r="AK692" s="716" t="inlineStr">
        <is>
          <t xml:space="preserve">S-T WHSE.; MO-TO-MO LEASE                                         </t>
        </is>
      </c>
      <c r="AL692">
        <f>IF(AND(ISNUMBER($S692),$S692&gt;0,ISNUMBER($K692),ISNUMBER($J692)),($K692*$J692)/$S692,"")</f>
        <v/>
      </c>
    </row>
    <row r="693">
      <c r="A693" s="62" t="n">
        <v>8</v>
      </c>
      <c r="B693" s="93" t="n">
        <v>685</v>
      </c>
      <c r="C693" s="68" t="inlineStr">
        <is>
          <t>2009Q</t>
        </is>
      </c>
      <c r="D693" s="59" t="inlineStr">
        <is>
          <t xml:space="preserve">02132-00-039-000 </t>
        </is>
      </c>
      <c r="E693" s="72" t="inlineStr">
        <is>
          <t>Actual</t>
        </is>
      </c>
      <c r="F693" s="73" t="inlineStr">
        <is>
          <t>3055 E 52ND                 AV</t>
        </is>
      </c>
      <c r="G693" s="708" t="n">
        <v>44.2</v>
      </c>
      <c r="H693" s="67" t="n">
        <v>9201</v>
      </c>
      <c r="I693" s="69" t="n">
        <v>0</v>
      </c>
      <c r="J693" s="714" t="n">
        <v>24250</v>
      </c>
      <c r="K693" s="715" t="n">
        <v>4.072577319587629</v>
      </c>
      <c r="L693" s="74" t="n">
        <v>0</v>
      </c>
      <c r="M693" s="76" t="n">
        <v>0.1206460105305792</v>
      </c>
      <c r="N693" s="67" t="n">
        <v>1963</v>
      </c>
      <c r="O693" s="64" t="n">
        <v>2784</v>
      </c>
      <c r="Q693" s="59" t="n">
        <v>14</v>
      </c>
      <c r="R693" s="59" t="n">
        <v>3</v>
      </c>
      <c r="S693" s="59" t="n">
        <v>5</v>
      </c>
      <c r="T693" s="63" t="inlineStr">
        <is>
          <t xml:space="preserve">I1   </t>
        </is>
      </c>
      <c r="U693" s="63" t="n">
        <v>398</v>
      </c>
      <c r="V693" s="714" t="n">
        <v>58000</v>
      </c>
      <c r="W693" s="714" t="n">
        <v>60000</v>
      </c>
      <c r="X693" s="83" t="inlineStr">
        <is>
          <t>2.4:1</t>
        </is>
      </c>
      <c r="Y693" s="714">
        <f>ROUND(J693,-3)</f>
        <v/>
      </c>
      <c r="Z693" s="63" t="inlineStr">
        <is>
          <t xml:space="preserve">C </t>
        </is>
      </c>
      <c r="AA693" s="59" t="n">
        <v>3</v>
      </c>
      <c r="AB693" s="59" t="n">
        <v>3</v>
      </c>
      <c r="AC693" s="67" t="inlineStr">
        <is>
          <t>33</t>
        </is>
      </c>
      <c r="AD693" s="61" t="inlineStr">
        <is>
          <t xml:space="preserve">DIST/STRGE WHSE     </t>
        </is>
      </c>
      <c r="AE693" s="716" t="n"/>
      <c r="AF693" s="716" t="n"/>
      <c r="AG693" s="716" t="n"/>
      <c r="AH693" s="716" t="n"/>
      <c r="AI693" s="716" t="n"/>
      <c r="AJ693" s="716" t="n"/>
      <c r="AK693" s="716" t="inlineStr">
        <is>
          <t xml:space="preserve">M-T WHSE; 3 TENANTS; LEASES 2006 &amp; 2007.                          </t>
        </is>
      </c>
      <c r="AL693">
        <f>IF(AND(ISNUMBER($S693),$S693&gt;0,ISNUMBER($K693),ISNUMBER($J693)),($K693*$J693)/$S693,"")</f>
        <v/>
      </c>
    </row>
    <row r="694">
      <c r="A694" s="62" t="n">
        <v>8</v>
      </c>
      <c r="B694" s="93" t="n">
        <v>686</v>
      </c>
      <c r="C694" s="68" t="inlineStr">
        <is>
          <t>2009Q</t>
        </is>
      </c>
      <c r="D694" s="59" t="inlineStr">
        <is>
          <t xml:space="preserve">02134-00-023-000 </t>
        </is>
      </c>
      <c r="E694" s="72" t="inlineStr">
        <is>
          <t>Actual</t>
        </is>
      </c>
      <c r="F694" s="73" t="inlineStr">
        <is>
          <t>5000   VASQUEZ              BV</t>
        </is>
      </c>
      <c r="G694" s="708" t="n">
        <v>44.2</v>
      </c>
      <c r="H694" s="67" t="n">
        <v>9201</v>
      </c>
      <c r="I694" s="69" t="n">
        <v>0</v>
      </c>
      <c r="J694" s="714" t="n">
        <v>43087</v>
      </c>
      <c r="K694" s="715" t="n">
        <v>7.805695453385011</v>
      </c>
      <c r="L694" s="74" t="n">
        <v>0</v>
      </c>
      <c r="M694" s="76" t="n">
        <v>0</v>
      </c>
      <c r="N694" s="67" t="n">
        <v>1950</v>
      </c>
      <c r="O694" s="64" t="n">
        <v>12200</v>
      </c>
      <c r="Q694" s="59" t="n">
        <v>17</v>
      </c>
      <c r="R694" s="59" t="n">
        <v>1</v>
      </c>
      <c r="S694" s="59" t="n">
        <v>1</v>
      </c>
      <c r="T694" s="63" t="inlineStr">
        <is>
          <t xml:space="preserve">I1   </t>
        </is>
      </c>
      <c r="U694" s="63" t="n">
        <v>398</v>
      </c>
      <c r="V694" s="714" t="n">
        <v>195500</v>
      </c>
      <c r="W694" s="714" t="n">
        <v>200000</v>
      </c>
      <c r="X694" s="83" t="inlineStr">
        <is>
          <t>4.5:1</t>
        </is>
      </c>
      <c r="Y694" s="714">
        <f>ROUND(J694,-3)</f>
        <v/>
      </c>
      <c r="Z694" s="63" t="inlineStr">
        <is>
          <t xml:space="preserve">C </t>
        </is>
      </c>
      <c r="AA694" s="59" t="n">
        <v>3</v>
      </c>
      <c r="AB694" s="59" t="n">
        <v>3</v>
      </c>
      <c r="AC694" s="67" t="inlineStr">
        <is>
          <t>33</t>
        </is>
      </c>
      <c r="AD694" s="61" t="inlineStr">
        <is>
          <t xml:space="preserve">POWER MOTIVE        </t>
        </is>
      </c>
      <c r="AE694" s="716" t="n"/>
      <c r="AF694" s="716" t="n"/>
      <c r="AG694" s="716" t="n"/>
      <c r="AH694" s="716" t="n"/>
      <c r="AI694" s="716" t="n"/>
      <c r="AJ694" s="716" t="n"/>
      <c r="AK694" s="716" t="inlineStr">
        <is>
          <t xml:space="preserve">S-T WHSE.; 2005 LEASE                                             </t>
        </is>
      </c>
      <c r="AL694">
        <f>IF(AND(ISNUMBER($S694),$S694&gt;0,ISNUMBER($K694),ISNUMBER($J694)),($K694*$J694)/$S694,"")</f>
        <v/>
      </c>
    </row>
    <row r="695">
      <c r="A695" s="62" t="n">
        <v>8</v>
      </c>
      <c r="B695" s="93" t="n">
        <v>687</v>
      </c>
      <c r="C695" s="68" t="inlineStr">
        <is>
          <t>2009Q</t>
        </is>
      </c>
      <c r="D695" s="59" t="inlineStr">
        <is>
          <t xml:space="preserve">02134-00-090-000 </t>
        </is>
      </c>
      <c r="E695" s="72" t="inlineStr">
        <is>
          <t>Actual</t>
        </is>
      </c>
      <c r="F695" s="73" t="inlineStr">
        <is>
          <t>4901   VASQUEZ              BV</t>
        </is>
      </c>
      <c r="G695" s="708" t="n">
        <v>44.2</v>
      </c>
      <c r="H695" s="67" t="n">
        <v>9201</v>
      </c>
      <c r="I695" s="69" t="n">
        <v>0</v>
      </c>
      <c r="J695" s="714" t="n">
        <v>28581</v>
      </c>
      <c r="K695" s="715" t="n">
        <v>3.51978587173297</v>
      </c>
      <c r="L695" s="74" t="n">
        <v>0</v>
      </c>
      <c r="M695" s="76" t="n">
        <v>0.04572610065706419</v>
      </c>
      <c r="N695" s="67" t="n">
        <v>1967</v>
      </c>
      <c r="O695" s="714" t="n">
        <v>4984</v>
      </c>
      <c r="P695" s="714" t="n"/>
      <c r="Q695" s="59" t="n">
        <v>15</v>
      </c>
      <c r="R695" s="59" t="n">
        <v>4</v>
      </c>
      <c r="S695" s="59" t="n">
        <v>2</v>
      </c>
      <c r="T695" s="63" t="inlineStr">
        <is>
          <t xml:space="preserve">I0   </t>
        </is>
      </c>
      <c r="U695" s="63" t="n">
        <v>332</v>
      </c>
      <c r="V695" s="714" t="n">
        <v>104879</v>
      </c>
      <c r="W695" s="714" t="n">
        <v>100000</v>
      </c>
      <c r="X695" s="83" t="inlineStr">
        <is>
          <t>3.7:1</t>
        </is>
      </c>
      <c r="Y695" s="714">
        <f>ROUND(J695,-3)</f>
        <v/>
      </c>
      <c r="Z695" s="63" t="inlineStr">
        <is>
          <t xml:space="preserve">C </t>
        </is>
      </c>
      <c r="AA695" s="59" t="n">
        <v>3</v>
      </c>
      <c r="AB695" s="59" t="n">
        <v>3</v>
      </c>
      <c r="AC695" s="67" t="n">
        <v>33</v>
      </c>
      <c r="AD695" s="61" t="inlineStr">
        <is>
          <t xml:space="preserve">GOODYEAR TRK ALNMT  </t>
        </is>
      </c>
      <c r="AE695" s="716" t="n"/>
      <c r="AF695" s="716" t="n"/>
      <c r="AG695" s="716" t="n"/>
      <c r="AH695" s="716" t="n"/>
      <c r="AI695" s="716" t="n"/>
      <c r="AJ695" s="716" t="n"/>
      <c r="AK695" s="716" t="inlineStr"/>
      <c r="AL695">
        <f>IF(AND(ISNUMBER($S695),$S695&gt;0,ISNUMBER($K695),ISNUMBER($J695)),($K695*$J695)/$S695,"")</f>
        <v/>
      </c>
    </row>
    <row r="696">
      <c r="A696" s="62" t="n">
        <v>8</v>
      </c>
      <c r="B696" s="93" t="n">
        <v>688</v>
      </c>
      <c r="C696" s="68" t="inlineStr">
        <is>
          <t>2009Q</t>
        </is>
      </c>
      <c r="D696" s="59" t="inlineStr">
        <is>
          <t xml:space="preserve">02134-00-158-000 </t>
        </is>
      </c>
      <c r="E696" s="72" t="inlineStr">
        <is>
          <t>Actual</t>
        </is>
      </c>
      <c r="F696" s="73" t="inlineStr">
        <is>
          <t>5105   COOK                 ST</t>
        </is>
      </c>
      <c r="G696" s="708" t="n">
        <v>44.1</v>
      </c>
      <c r="H696" s="67" t="n">
        <v>9201</v>
      </c>
      <c r="I696" s="69" t="n">
        <v>0</v>
      </c>
      <c r="J696" s="714" t="n">
        <v>29787</v>
      </c>
      <c r="K696" s="715" t="n">
        <v>5.237184006445765</v>
      </c>
      <c r="L696" s="74" t="n">
        <v>0</v>
      </c>
      <c r="M696" s="76" t="n">
        <v>0</v>
      </c>
      <c r="N696" s="67" t="n">
        <v>1983</v>
      </c>
      <c r="O696" s="64" t="n">
        <v>1063</v>
      </c>
      <c r="Q696" s="59" t="n">
        <v>18</v>
      </c>
      <c r="R696" s="59" t="n">
        <v>10</v>
      </c>
      <c r="S696" s="59" t="n">
        <v>1</v>
      </c>
      <c r="T696" s="63" t="inlineStr">
        <is>
          <t xml:space="preserve">I1   </t>
        </is>
      </c>
      <c r="U696" s="63" t="n">
        <v>398</v>
      </c>
      <c r="V696" s="714" t="n">
        <v>130639</v>
      </c>
      <c r="W696" s="714" t="n">
        <v>130000</v>
      </c>
      <c r="X696" s="83" t="inlineStr">
        <is>
          <t>4.4:1</t>
        </is>
      </c>
      <c r="Y696" s="714">
        <f>ROUND(J696,-3)</f>
        <v/>
      </c>
      <c r="Z696" s="63" t="inlineStr">
        <is>
          <t xml:space="preserve">C </t>
        </is>
      </c>
      <c r="AA696" s="59" t="n">
        <v>3</v>
      </c>
      <c r="AB696" s="59" t="n">
        <v>3</v>
      </c>
      <c r="AC696" s="67" t="inlineStr">
        <is>
          <t>33</t>
        </is>
      </c>
      <c r="AD696" s="61" t="inlineStr">
        <is>
          <t xml:space="preserve">SAMS PRODUCE        </t>
        </is>
      </c>
      <c r="AE696" s="716" t="n"/>
      <c r="AF696" s="716" t="n"/>
      <c r="AG696" s="716" t="n"/>
      <c r="AH696" s="716" t="n"/>
      <c r="AI696" s="716" t="n"/>
      <c r="AJ696" s="716" t="n"/>
      <c r="AK696" s="716" t="inlineStr">
        <is>
          <t xml:space="preserve">S-T WHSE.; AGE OF LEASE UNKNOWN.                                  </t>
        </is>
      </c>
      <c r="AL696">
        <f>IF(AND(ISNUMBER($S696),$S696&gt;0,ISNUMBER($K696),ISNUMBER($J696)),($K696*$J696)/$S696,"")</f>
        <v/>
      </c>
    </row>
    <row r="697">
      <c r="A697" s="62" t="n">
        <v>8</v>
      </c>
      <c r="B697" s="93" t="n">
        <v>689</v>
      </c>
      <c r="C697" s="68" t="inlineStr">
        <is>
          <t>2009Q</t>
        </is>
      </c>
      <c r="D697" s="59" t="inlineStr">
        <is>
          <t xml:space="preserve">02134-02-035-000 </t>
        </is>
      </c>
      <c r="E697" s="72" t="inlineStr">
        <is>
          <t>Actual</t>
        </is>
      </c>
      <c r="F697" s="73" t="inlineStr">
        <is>
          <t>3650 E 50TH                 AV</t>
        </is>
      </c>
      <c r="G697" s="708" t="n">
        <v>44.2</v>
      </c>
      <c r="H697" s="67" t="n">
        <v>9201</v>
      </c>
      <c r="I697" s="69" t="n">
        <v>0</v>
      </c>
      <c r="J697" s="714" t="n">
        <v>10014</v>
      </c>
      <c r="K697" s="715" t="n">
        <v>5.751947273816657</v>
      </c>
      <c r="L697" s="74" t="n">
        <v>0</v>
      </c>
      <c r="M697" s="76" t="n">
        <v>0</v>
      </c>
      <c r="N697" s="67" t="n">
        <v>1958</v>
      </c>
      <c r="O697" s="64" t="n">
        <v>1620</v>
      </c>
      <c r="Q697" s="59" t="n">
        <v>15</v>
      </c>
      <c r="R697" s="59" t="n">
        <v>1</v>
      </c>
      <c r="S697" s="59" t="n">
        <v>1</v>
      </c>
      <c r="T697" s="63" t="inlineStr">
        <is>
          <t xml:space="preserve">I1   </t>
        </is>
      </c>
      <c r="U697" s="63" t="n">
        <v>398</v>
      </c>
      <c r="V697" s="714" t="n">
        <v>23865</v>
      </c>
      <c r="W697" s="714" t="n">
        <v>24000</v>
      </c>
      <c r="X697" s="83" t="inlineStr">
        <is>
          <t>2.4:1</t>
        </is>
      </c>
      <c r="Y697" s="714">
        <f>ROUND(J697,-3)</f>
        <v/>
      </c>
      <c r="Z697" s="63" t="inlineStr">
        <is>
          <t xml:space="preserve">C </t>
        </is>
      </c>
      <c r="AA697" s="59" t="n">
        <v>3</v>
      </c>
      <c r="AB697" s="59" t="n">
        <v>3</v>
      </c>
      <c r="AC697" s="67" t="inlineStr">
        <is>
          <t>33</t>
        </is>
      </c>
      <c r="AD697" s="61" t="inlineStr"/>
      <c r="AE697" s="716" t="n"/>
      <c r="AF697" s="716" t="n"/>
      <c r="AG697" s="716" t="n"/>
      <c r="AH697" s="716" t="n"/>
      <c r="AI697" s="716" t="n"/>
      <c r="AJ697" s="716" t="n"/>
      <c r="AK697" s="716" t="inlineStr">
        <is>
          <t xml:space="preserve">S-T WHSE; CHECKED OWNER-OCC BUT HAS 2008 LEASE DATA.              </t>
        </is>
      </c>
      <c r="AL697">
        <f>IF(AND(ISNUMBER($S697),$S697&gt;0,ISNUMBER($K697),ISNUMBER($J697)),($K697*$J697)/$S697,"")</f>
        <v/>
      </c>
    </row>
    <row r="698">
      <c r="A698" s="62" t="n">
        <v>8</v>
      </c>
      <c r="B698" s="93" t="n">
        <v>690</v>
      </c>
      <c r="C698" s="68" t="inlineStr">
        <is>
          <t>2009Q</t>
        </is>
      </c>
      <c r="D698" s="59" t="inlineStr">
        <is>
          <t xml:space="preserve">02134-02-036-000 </t>
        </is>
      </c>
      <c r="E698" s="72" t="inlineStr">
        <is>
          <t>Actual</t>
        </is>
      </c>
      <c r="F698" s="73" t="inlineStr">
        <is>
          <t>3625 E 48TH                 AV</t>
        </is>
      </c>
      <c r="G698" s="708" t="n">
        <v>44.2</v>
      </c>
      <c r="H698" s="67" t="n">
        <v>9201</v>
      </c>
      <c r="I698" s="69" t="n">
        <v>0</v>
      </c>
      <c r="J698" s="714" t="n">
        <v>62114</v>
      </c>
      <c r="K698" s="715" t="n">
        <v>1.738738448658917</v>
      </c>
      <c r="L698" s="74" t="n">
        <v>0</v>
      </c>
      <c r="M698" s="76" t="n">
        <v>0.01666666666666667</v>
      </c>
      <c r="N698" s="67" t="n">
        <v>1968</v>
      </c>
      <c r="O698" s="64" t="n">
        <v>7962</v>
      </c>
      <c r="Q698" s="59" t="n">
        <v>17</v>
      </c>
      <c r="R698" s="59" t="n">
        <v>3</v>
      </c>
      <c r="S698" s="59" t="n">
        <v>1</v>
      </c>
      <c r="T698" s="63" t="inlineStr">
        <is>
          <t xml:space="preserve">I1   </t>
        </is>
      </c>
      <c r="U698" s="63" t="n">
        <v>398</v>
      </c>
      <c r="V698" s="714" t="n">
        <v>141100</v>
      </c>
      <c r="W698" s="714" t="n">
        <v>140000</v>
      </c>
      <c r="X698" s="83" t="inlineStr">
        <is>
          <t>2.3:1</t>
        </is>
      </c>
      <c r="Y698" s="714">
        <f>ROUND(J698,-4)</f>
        <v/>
      </c>
      <c r="Z698" s="63" t="inlineStr">
        <is>
          <t xml:space="preserve">C </t>
        </is>
      </c>
      <c r="AA698" s="59" t="n">
        <v>2</v>
      </c>
      <c r="AB698" s="59" t="n">
        <v>2</v>
      </c>
      <c r="AC698" s="67" t="inlineStr">
        <is>
          <t>22</t>
        </is>
      </c>
      <c r="AD698" s="61" t="inlineStr"/>
      <c r="AE698" s="716" t="n"/>
      <c r="AF698" s="716" t="n"/>
      <c r="AG698" s="716" t="n"/>
      <c r="AH698" s="716" t="n"/>
      <c r="AI698" s="716" t="n"/>
      <c r="AJ698" s="716" t="n"/>
      <c r="AK698" s="716" t="inlineStr">
        <is>
          <t xml:space="preserve">S-T WHSE.                                                         </t>
        </is>
      </c>
      <c r="AL698">
        <f>IF(AND(ISNUMBER($S698),$S698&gt;0,ISNUMBER($K698),ISNUMBER($J698)),($K698*$J698)/$S698,"")</f>
        <v/>
      </c>
    </row>
    <row r="699">
      <c r="A699" s="62" t="n">
        <v>8</v>
      </c>
      <c r="B699" s="93" t="n">
        <v>691</v>
      </c>
      <c r="C699" s="68" t="inlineStr">
        <is>
          <t>2009Q</t>
        </is>
      </c>
      <c r="D699" s="59" t="inlineStr">
        <is>
          <t xml:space="preserve">02143-00-032-000 </t>
        </is>
      </c>
      <c r="E699" s="72" t="inlineStr">
        <is>
          <t>Actual</t>
        </is>
      </c>
      <c r="F699" s="73" t="inlineStr">
        <is>
          <t>707 E 50TH                 AV</t>
        </is>
      </c>
      <c r="G699" s="708" t="n">
        <v>45.6</v>
      </c>
      <c r="H699" s="67" t="n">
        <v>9201</v>
      </c>
      <c r="I699" s="69" t="n">
        <v>0</v>
      </c>
      <c r="J699" s="714" t="n">
        <v>15977</v>
      </c>
      <c r="K699" s="715" t="n">
        <v>10.64029542467297</v>
      </c>
      <c r="L699" s="74" t="n">
        <v>0</v>
      </c>
      <c r="M699" s="76" t="n">
        <v>0.02713529411764706</v>
      </c>
      <c r="N699" s="67" t="n">
        <v>1956</v>
      </c>
      <c r="O699" s="64" t="n">
        <v>851</v>
      </c>
      <c r="Q699" s="59" t="n">
        <v>15</v>
      </c>
      <c r="R699" s="59" t="n">
        <v>1</v>
      </c>
      <c r="S699" s="59" t="n">
        <v>1</v>
      </c>
      <c r="T699" s="63" t="inlineStr">
        <is>
          <t xml:space="preserve">I1   </t>
        </is>
      </c>
      <c r="U699" s="63" t="n">
        <v>401</v>
      </c>
      <c r="V699" s="714" t="n">
        <v>31600</v>
      </c>
      <c r="W699" s="714" t="n">
        <v>32000</v>
      </c>
      <c r="X699" s="83" t="inlineStr">
        <is>
          <t>2.0:1</t>
        </is>
      </c>
      <c r="Y699" s="714">
        <f>ROUND(J699,-3)</f>
        <v/>
      </c>
      <c r="Z699" s="63" t="inlineStr">
        <is>
          <t xml:space="preserve">C </t>
        </is>
      </c>
      <c r="AA699" s="59" t="n">
        <v>3</v>
      </c>
      <c r="AB699" s="59" t="n">
        <v>3</v>
      </c>
      <c r="AC699" s="67" t="inlineStr">
        <is>
          <t>33</t>
        </is>
      </c>
      <c r="AD699" s="61" t="inlineStr">
        <is>
          <t xml:space="preserve">CASTLE ROCK MEATS   </t>
        </is>
      </c>
      <c r="AE699" s="716" t="n"/>
      <c r="AF699" s="716" t="n"/>
      <c r="AG699" s="716" t="n"/>
      <c r="AH699" s="716" t="n"/>
      <c r="AI699" s="716" t="n"/>
      <c r="AJ699" s="716" t="n"/>
      <c r="AK699" s="716" t="inlineStr">
        <is>
          <t xml:space="preserve">S-T INDUSTRIAL BLDG; LEASE DATES FROM 2002.                       </t>
        </is>
      </c>
      <c r="AL699">
        <f>IF(AND(ISNUMBER($S699),$S699&gt;0,ISNUMBER($K699),ISNUMBER($J699)),($K699*$J699)/$S699,"")</f>
        <v/>
      </c>
    </row>
    <row r="700">
      <c r="A700" s="62" t="n">
        <v>8</v>
      </c>
      <c r="B700" s="93" t="n">
        <v>692</v>
      </c>
      <c r="C700" s="68" t="inlineStr">
        <is>
          <t>2009Q</t>
        </is>
      </c>
      <c r="D700" s="59" t="inlineStr">
        <is>
          <t xml:space="preserve">02143-00-149-000 </t>
        </is>
      </c>
      <c r="E700" s="72" t="inlineStr">
        <is>
          <t>Actual</t>
        </is>
      </c>
      <c r="F700" s="73" t="inlineStr">
        <is>
          <t>4950   WASHINGTON           ST</t>
        </is>
      </c>
      <c r="G700" s="708" t="n">
        <v>44.1</v>
      </c>
      <c r="H700" s="67" t="n">
        <v>9201</v>
      </c>
      <c r="I700" s="69" t="n">
        <v>0</v>
      </c>
      <c r="J700" s="714" t="n">
        <v>19989</v>
      </c>
      <c r="K700" s="715" t="n">
        <v>4.322377307519136</v>
      </c>
      <c r="L700" s="74" t="n">
        <v>0</v>
      </c>
      <c r="M700" s="76" t="n">
        <v>0</v>
      </c>
      <c r="N700" s="67" t="n">
        <v>1948</v>
      </c>
      <c r="O700" s="64">
        <f>2865*2</f>
        <v/>
      </c>
      <c r="Q700" s="59" t="n">
        <v>18</v>
      </c>
      <c r="R700" s="59" t="n">
        <v>1</v>
      </c>
      <c r="S700" s="59" t="n">
        <v>1</v>
      </c>
      <c r="T700" s="63" t="inlineStr">
        <is>
          <t xml:space="preserve">I2   </t>
        </is>
      </c>
      <c r="U700" s="63" t="n">
        <v>398</v>
      </c>
      <c r="V700" s="714" t="n">
        <v>100554</v>
      </c>
      <c r="W700" s="714" t="n">
        <v>100000</v>
      </c>
      <c r="X700" s="83" t="inlineStr">
        <is>
          <t>5.0:1</t>
        </is>
      </c>
      <c r="Y700" s="714">
        <f>ROUND(J700,-3)</f>
        <v/>
      </c>
      <c r="Z700" s="63" t="inlineStr">
        <is>
          <t xml:space="preserve">C </t>
        </is>
      </c>
      <c r="AA700" s="59" t="n">
        <v>2</v>
      </c>
      <c r="AB700" s="59" t="n">
        <v>2</v>
      </c>
      <c r="AC700" s="67" t="inlineStr">
        <is>
          <t>22</t>
        </is>
      </c>
      <c r="AD700" s="61" t="inlineStr"/>
      <c r="AE700" s="716" t="n"/>
      <c r="AF700" s="716" t="n"/>
      <c r="AG700" s="716" t="n"/>
      <c r="AH700" s="716" t="n"/>
      <c r="AI700" s="716" t="n"/>
      <c r="AJ700" s="716" t="n"/>
      <c r="AK700" s="716" t="inlineStr">
        <is>
          <t xml:space="preserve">PORTION OF OWNER-OCC WHSE; ASSUMED TO BE NET                      </t>
        </is>
      </c>
      <c r="AL700">
        <f>IF(AND(ISNUMBER($S700),$S700&gt;0,ISNUMBER($K700),ISNUMBER($J700)),($K700*$J700)/$S700,"")</f>
        <v/>
      </c>
    </row>
    <row r="701">
      <c r="A701" s="62" t="n">
        <v>8</v>
      </c>
      <c r="B701" s="93" t="n">
        <v>693</v>
      </c>
      <c r="C701" s="68" t="inlineStr">
        <is>
          <t>2009Q</t>
        </is>
      </c>
      <c r="D701" s="59" t="inlineStr">
        <is>
          <t xml:space="preserve">02143-05-061-000 </t>
        </is>
      </c>
      <c r="E701" s="72" t="inlineStr">
        <is>
          <t>Actual</t>
        </is>
      </c>
      <c r="F701" s="73" t="inlineStr">
        <is>
          <t>5169   CLARKSON             ST</t>
        </is>
      </c>
      <c r="G701" s="708" t="n">
        <v>44.2</v>
      </c>
      <c r="H701" s="67" t="n">
        <v>9201</v>
      </c>
      <c r="I701" s="69" t="n">
        <v>0</v>
      </c>
      <c r="J701" s="714" t="n">
        <v>3247</v>
      </c>
      <c r="K701" s="715" t="n">
        <v>22.17431475207884</v>
      </c>
      <c r="L701" s="74" t="n">
        <v>0</v>
      </c>
      <c r="M701" s="76" t="n">
        <v>0</v>
      </c>
      <c r="N701" s="67" t="n">
        <v>1979</v>
      </c>
      <c r="O701" s="64" t="n">
        <v>1224</v>
      </c>
      <c r="P701" s="64" t="n">
        <v>697</v>
      </c>
      <c r="Q701" s="59" t="n">
        <v>10</v>
      </c>
      <c r="R701" s="59" t="n">
        <v>1</v>
      </c>
      <c r="S701" s="59" t="n">
        <v>1</v>
      </c>
      <c r="T701" s="63" t="inlineStr">
        <is>
          <t xml:space="preserve">I1   </t>
        </is>
      </c>
      <c r="U701" s="63" t="n">
        <v>397</v>
      </c>
      <c r="V701" s="714" t="n">
        <v>9380</v>
      </c>
      <c r="W701" s="714" t="n">
        <v>9000</v>
      </c>
      <c r="X701" s="83" t="inlineStr">
        <is>
          <t>2.9:1</t>
        </is>
      </c>
      <c r="Y701" s="714">
        <f>ROUND(J701,-3)</f>
        <v/>
      </c>
      <c r="Z701" s="63" t="inlineStr">
        <is>
          <t xml:space="preserve">C </t>
        </is>
      </c>
      <c r="AA701" s="59" t="n">
        <v>3</v>
      </c>
      <c r="AB701" s="59" t="n">
        <v>3</v>
      </c>
      <c r="AC701" s="67" t="inlineStr">
        <is>
          <t>33</t>
        </is>
      </c>
      <c r="AD701" s="61" t="inlineStr">
        <is>
          <t xml:space="preserve">MEZA CONSTRUCTION   </t>
        </is>
      </c>
      <c r="AE701" s="716" t="n"/>
      <c r="AF701" s="716" t="n"/>
      <c r="AG701" s="716" t="n"/>
      <c r="AH701" s="716" t="n"/>
      <c r="AI701" s="716" t="n"/>
      <c r="AJ701" s="716" t="n"/>
      <c r="AK701" s="716" t="inlineStr">
        <is>
          <t xml:space="preserve">S-T WHSE.                                                         </t>
        </is>
      </c>
      <c r="AL701">
        <f>IF(AND(ISNUMBER($S701),$S701&gt;0,ISNUMBER($K701),ISNUMBER($J701)),($K701*$J701)/$S701,"")</f>
        <v/>
      </c>
    </row>
    <row r="702">
      <c r="A702" s="62" t="n">
        <v>8</v>
      </c>
      <c r="B702" s="93" t="n">
        <v>694</v>
      </c>
      <c r="C702" s="68" t="inlineStr">
        <is>
          <t>2009Q</t>
        </is>
      </c>
      <c r="D702" s="59" t="inlineStr">
        <is>
          <t xml:space="preserve">02144-00-098-000 </t>
        </is>
      </c>
      <c r="E702" s="72" t="inlineStr">
        <is>
          <t>Actual</t>
        </is>
      </c>
      <c r="F702" s="73" t="inlineStr">
        <is>
          <t>5150   RACE                 CT</t>
        </is>
      </c>
      <c r="G702" s="708" t="n">
        <v>44.2</v>
      </c>
      <c r="H702" s="67" t="n">
        <v>9201</v>
      </c>
      <c r="I702" s="69" t="n">
        <v>0</v>
      </c>
      <c r="J702" s="714" t="n">
        <v>27624</v>
      </c>
      <c r="K702" s="715" t="n">
        <v>7.62380538662033</v>
      </c>
      <c r="L702" s="74" t="n">
        <v>0</v>
      </c>
      <c r="M702" s="76" t="n">
        <v>0</v>
      </c>
      <c r="N702" s="67" t="n">
        <v>1999</v>
      </c>
      <c r="O702" s="64" t="n">
        <v>4027</v>
      </c>
      <c r="P702" s="64" t="n">
        <v>1052</v>
      </c>
      <c r="Q702" s="59" t="n">
        <v>19</v>
      </c>
      <c r="R702" s="59" t="n">
        <v>3</v>
      </c>
      <c r="S702" s="59" t="n">
        <v>1</v>
      </c>
      <c r="T702" s="63" t="inlineStr">
        <is>
          <t xml:space="preserve">I2   </t>
        </is>
      </c>
      <c r="U702" s="63" t="n">
        <v>398</v>
      </c>
      <c r="V702" s="714" t="n">
        <v>144374</v>
      </c>
      <c r="W702" s="714" t="n">
        <v>140000</v>
      </c>
      <c r="X702" s="83" t="inlineStr">
        <is>
          <t>5.2:1</t>
        </is>
      </c>
      <c r="Y702" s="714">
        <f>ROUND(J702,-3)</f>
        <v/>
      </c>
      <c r="Z702" s="63" t="inlineStr">
        <is>
          <t xml:space="preserve">C </t>
        </is>
      </c>
      <c r="AA702" s="59" t="n">
        <v>3</v>
      </c>
      <c r="AB702" s="59" t="n">
        <v>3</v>
      </c>
      <c r="AC702" s="67" t="inlineStr">
        <is>
          <t>33</t>
        </is>
      </c>
      <c r="AD702" s="61" t="inlineStr">
        <is>
          <t xml:space="preserve">S-W                 </t>
        </is>
      </c>
      <c r="AE702" s="716" t="n"/>
      <c r="AF702" s="716" t="n"/>
      <c r="AG702" s="716" t="n"/>
      <c r="AH702" s="716" t="n"/>
      <c r="AI702" s="716" t="n"/>
      <c r="AJ702" s="716" t="n"/>
      <c r="AK702" s="716" t="inlineStr">
        <is>
          <t xml:space="preserve">S-T WHSE; 2006 LEASE.                                             </t>
        </is>
      </c>
      <c r="AL702">
        <f>IF(AND(ISNUMBER($S702),$S702&gt;0,ISNUMBER($K702),ISNUMBER($J702)),($K702*$J702)/$S702,"")</f>
        <v/>
      </c>
    </row>
    <row r="703">
      <c r="A703" s="62" t="n">
        <v>8</v>
      </c>
      <c r="B703" s="93" t="n">
        <v>695</v>
      </c>
      <c r="C703" s="68" t="inlineStr">
        <is>
          <t>2009Q</t>
        </is>
      </c>
      <c r="D703" s="59" t="inlineStr">
        <is>
          <t xml:space="preserve">02144-00-110-000 </t>
        </is>
      </c>
      <c r="E703" s="72" t="inlineStr">
        <is>
          <t>Actual</t>
        </is>
      </c>
      <c r="F703" s="73" t="inlineStr">
        <is>
          <t>5130   FRANKLIN             ST</t>
        </is>
      </c>
      <c r="G703" s="708" t="n">
        <v>44.1</v>
      </c>
      <c r="H703" s="67" t="n">
        <v>9201</v>
      </c>
      <c r="I703" s="69" t="n">
        <v>0</v>
      </c>
      <c r="J703" s="714" t="n">
        <v>21422</v>
      </c>
      <c r="K703" s="715" t="n">
        <v>4.184483241527402</v>
      </c>
      <c r="L703" s="74" t="n">
        <v>0</v>
      </c>
      <c r="M703" s="76" t="n">
        <v>0</v>
      </c>
      <c r="N703" s="67" t="n">
        <v>1983</v>
      </c>
      <c r="O703" s="64" t="n">
        <v>2148</v>
      </c>
      <c r="Q703" s="59" t="n">
        <v>20</v>
      </c>
      <c r="R703" s="59" t="n">
        <v>1</v>
      </c>
      <c r="S703" s="59" t="n">
        <v>1</v>
      </c>
      <c r="T703" s="63" t="inlineStr">
        <is>
          <t xml:space="preserve">I2   </t>
        </is>
      </c>
      <c r="U703" s="63" t="n">
        <v>398</v>
      </c>
      <c r="V703" s="714" t="n">
        <v>59113</v>
      </c>
      <c r="W703" s="714" t="n">
        <v>60000</v>
      </c>
      <c r="X703" s="83" t="inlineStr">
        <is>
          <t>2.8:1</t>
        </is>
      </c>
      <c r="Y703" s="714">
        <f>ROUND(J703,-3)</f>
        <v/>
      </c>
      <c r="Z703" s="63" t="inlineStr">
        <is>
          <t xml:space="preserve">C </t>
        </is>
      </c>
      <c r="AA703" s="59" t="n">
        <v>3</v>
      </c>
      <c r="AB703" s="59" t="n">
        <v>3</v>
      </c>
      <c r="AC703" s="67" t="inlineStr">
        <is>
          <t>33</t>
        </is>
      </c>
      <c r="AD703" s="61" t="inlineStr"/>
      <c r="AE703" s="716" t="n"/>
      <c r="AF703" s="716" t="n"/>
      <c r="AG703" s="716" t="n"/>
      <c r="AH703" s="716" t="n"/>
      <c r="AI703" s="716" t="n"/>
      <c r="AJ703" s="716" t="n"/>
      <c r="AK703" s="716" t="inlineStr">
        <is>
          <t xml:space="preserve">S-T WHSE; 2006 LEASE.                                             </t>
        </is>
      </c>
      <c r="AL703">
        <f>IF(AND(ISNUMBER($S703),$S703&gt;0,ISNUMBER($K703),ISNUMBER($J703)),($K703*$J703)/$S703,"")</f>
        <v/>
      </c>
    </row>
    <row r="704">
      <c r="A704" s="62" t="n">
        <v>8</v>
      </c>
      <c r="B704" s="93" t="n">
        <v>696</v>
      </c>
      <c r="C704" s="61" t="inlineStr">
        <is>
          <t>2009W</t>
        </is>
      </c>
      <c r="D704" s="59" t="inlineStr">
        <is>
          <t>02144-04-005-T/B</t>
        </is>
      </c>
      <c r="E704" s="63" t="inlineStr">
        <is>
          <t>Actual</t>
        </is>
      </c>
      <c r="F704" s="59" t="inlineStr">
        <is>
          <t>4800 RACE ST</t>
        </is>
      </c>
      <c r="G704" s="708" t="n">
        <v>44.2</v>
      </c>
      <c r="H704" s="59" t="n">
        <v>9201</v>
      </c>
      <c r="I704" s="63" t="n">
        <v>0</v>
      </c>
      <c r="J704" s="64" t="n">
        <v>56859</v>
      </c>
      <c r="K704" s="722" t="n">
        <v>3.96</v>
      </c>
      <c r="L704" s="88" t="n">
        <v>0</v>
      </c>
      <c r="M704" s="88" t="inlineStr">
        <is>
          <t xml:space="preserve">    NNN</t>
        </is>
      </c>
      <c r="N704" s="59" t="n">
        <v>1962</v>
      </c>
      <c r="O704" s="59" t="n">
        <v>6097</v>
      </c>
      <c r="P704" s="59" t="n">
        <v>8921</v>
      </c>
      <c r="Q704" s="59" t="n">
        <v>20</v>
      </c>
      <c r="R704" s="59" t="n">
        <v>3</v>
      </c>
      <c r="S704" s="59" t="n">
        <v>1</v>
      </c>
      <c r="T704" s="63" t="inlineStr">
        <is>
          <t>I2</t>
        </is>
      </c>
      <c r="U704" s="59" t="n">
        <v>398</v>
      </c>
      <c r="V704" s="64" t="n">
        <v>139000</v>
      </c>
      <c r="W704" s="64" t="n">
        <v>140000</v>
      </c>
      <c r="X704" s="67" t="inlineStr">
        <is>
          <t>2.3:1</t>
        </is>
      </c>
      <c r="Y704" s="64" t="n">
        <v>60000</v>
      </c>
      <c r="Z704" s="63" t="inlineStr">
        <is>
          <t>C</t>
        </is>
      </c>
      <c r="AA704" s="59" t="n">
        <v>3</v>
      </c>
      <c r="AB704" s="59" t="n">
        <v>3</v>
      </c>
      <c r="AC704" s="59" t="n">
        <v>33</v>
      </c>
      <c r="AE704" s="701" t="n"/>
      <c r="AF704" s="723" t="n"/>
      <c r="AG704" s="723" t="n"/>
      <c r="AH704" s="701" t="n"/>
      <c r="AI704" s="723" t="n"/>
      <c r="AJ704" s="701" t="n"/>
      <c r="AL704">
        <f>IF(AND(ISNUMBER($S704),$S704&gt;0,ISNUMBER($K704),ISNUMBER($J704)),($K704*$J704)/$S704,"")</f>
        <v/>
      </c>
      <c r="AM704" s="716" t="n"/>
      <c r="AN704" s="716" t="n"/>
    </row>
    <row r="705">
      <c r="A705" s="62" t="n">
        <v>8</v>
      </c>
      <c r="B705" s="93" t="n">
        <v>697</v>
      </c>
      <c r="C705" s="68" t="inlineStr">
        <is>
          <t>2009Q</t>
        </is>
      </c>
      <c r="D705" s="59" t="inlineStr">
        <is>
          <t xml:space="preserve">02153-00-047-000 </t>
        </is>
      </c>
      <c r="E705" s="72" t="inlineStr">
        <is>
          <t>Actual</t>
        </is>
      </c>
      <c r="F705" s="73" t="inlineStr">
        <is>
          <t>601 W 50TH                 AV</t>
        </is>
      </c>
      <c r="G705" s="708" t="n">
        <v>44.1</v>
      </c>
      <c r="H705" s="67" t="n">
        <v>9208</v>
      </c>
      <c r="I705" s="69" t="n">
        <v>0</v>
      </c>
      <c r="J705" s="714" t="n">
        <v>95263</v>
      </c>
      <c r="K705" s="715" t="n">
        <v>4.512255545174937</v>
      </c>
      <c r="L705" s="74" t="n">
        <v>0</v>
      </c>
      <c r="M705" s="76" t="n">
        <v>0.03456546570788482</v>
      </c>
      <c r="N705" s="67" t="n">
        <v>1977</v>
      </c>
      <c r="O705" s="64">
        <f>225+1313+397</f>
        <v/>
      </c>
      <c r="Q705" s="59" t="n">
        <v>24</v>
      </c>
      <c r="R705" s="59" t="n">
        <v>1</v>
      </c>
      <c r="S705" s="59" t="n">
        <v>1</v>
      </c>
      <c r="T705" s="63" t="inlineStr">
        <is>
          <t xml:space="preserve">I2   </t>
        </is>
      </c>
      <c r="U705" s="63" t="n">
        <v>398</v>
      </c>
      <c r="V705" s="714" t="n">
        <v>153950</v>
      </c>
      <c r="W705" s="714" t="n">
        <v>150000</v>
      </c>
      <c r="X705" s="83" t="inlineStr">
        <is>
          <t>1.6:1</t>
        </is>
      </c>
      <c r="Y705" s="714">
        <f>ROUND(J705,-4)</f>
        <v/>
      </c>
      <c r="Z705" s="63" t="inlineStr">
        <is>
          <t xml:space="preserve">C </t>
        </is>
      </c>
      <c r="AA705" s="59" t="n">
        <v>3</v>
      </c>
      <c r="AB705" s="59" t="n">
        <v>3</v>
      </c>
      <c r="AC705" s="67" t="inlineStr">
        <is>
          <t>33</t>
        </is>
      </c>
      <c r="AD705" s="61" t="inlineStr">
        <is>
          <t xml:space="preserve">DIST WAREHOUSE      </t>
        </is>
      </c>
      <c r="AE705" s="716" t="n"/>
      <c r="AF705" s="716" t="n"/>
      <c r="AG705" s="716" t="n"/>
      <c r="AH705" s="716" t="n"/>
      <c r="AI705" s="716" t="n"/>
      <c r="AJ705" s="716" t="n"/>
      <c r="AK705" s="716" t="inlineStr">
        <is>
          <t xml:space="preserve">S-T WHSE.; AGE OF LEASE UNKNOWN.                                  </t>
        </is>
      </c>
      <c r="AL705">
        <f>IF(AND(ISNUMBER($S705),$S705&gt;0,ISNUMBER($K705),ISNUMBER($J705)),($K705*$J705)/$S705,"")</f>
        <v/>
      </c>
    </row>
    <row r="706">
      <c r="A706" s="62" t="n">
        <v>8</v>
      </c>
      <c r="B706" s="93" t="n">
        <v>698</v>
      </c>
      <c r="C706" s="68" t="inlineStr">
        <is>
          <t>2009Q</t>
        </is>
      </c>
      <c r="D706" s="59" t="inlineStr">
        <is>
          <t xml:space="preserve">02153-09-014-000 </t>
        </is>
      </c>
      <c r="E706" s="72" t="inlineStr">
        <is>
          <t>Actual</t>
        </is>
      </c>
      <c r="F706" s="73" t="inlineStr">
        <is>
          <t>4855   BROADWAY             ST</t>
        </is>
      </c>
      <c r="G706" s="708" t="n">
        <v>44.2</v>
      </c>
      <c r="H706" s="67" t="n">
        <v>9201</v>
      </c>
      <c r="I706" s="69" t="n">
        <v>0</v>
      </c>
      <c r="J706" s="714" t="n">
        <v>14000</v>
      </c>
      <c r="K706" s="715" t="n">
        <v>5.271428571428571</v>
      </c>
      <c r="L706" s="74" t="n">
        <v>0</v>
      </c>
      <c r="M706" s="76" t="n">
        <v>0.1157046070460705</v>
      </c>
      <c r="N706" s="67" t="n">
        <v>1968</v>
      </c>
      <c r="O706" s="64" t="n">
        <v>1143</v>
      </c>
      <c r="Q706" s="59" t="n">
        <v>18</v>
      </c>
      <c r="R706" s="59" t="n">
        <v>1</v>
      </c>
      <c r="S706" s="59" t="n">
        <v>2</v>
      </c>
      <c r="T706" s="63" t="inlineStr">
        <is>
          <t xml:space="preserve">I1   </t>
        </is>
      </c>
      <c r="U706" s="63" t="n">
        <v>398</v>
      </c>
      <c r="V706" s="714" t="n">
        <v>24000</v>
      </c>
      <c r="W706" s="714" t="n">
        <v>24000</v>
      </c>
      <c r="X706" s="83" t="inlineStr">
        <is>
          <t>1.7:1</t>
        </is>
      </c>
      <c r="Y706" s="714">
        <f>ROUND(J706,-3)</f>
        <v/>
      </c>
      <c r="Z706" s="63" t="inlineStr">
        <is>
          <t xml:space="preserve">C </t>
        </is>
      </c>
      <c r="AA706" s="59" t="n">
        <v>3</v>
      </c>
      <c r="AB706" s="59" t="n">
        <v>3</v>
      </c>
      <c r="AC706" s="67" t="inlineStr">
        <is>
          <t>33</t>
        </is>
      </c>
      <c r="AD706" s="61" t="inlineStr"/>
      <c r="AE706" s="716" t="n"/>
      <c r="AF706" s="716" t="n"/>
      <c r="AG706" s="716" t="n"/>
      <c r="AH706" s="716" t="n"/>
      <c r="AI706" s="716" t="n"/>
      <c r="AJ706" s="716" t="n"/>
      <c r="AK706" s="716" t="inlineStr">
        <is>
          <t xml:space="preserve">S-T WHSE.; 2005 LEASE.                                            </t>
        </is>
      </c>
      <c r="AL706">
        <f>IF(AND(ISNUMBER($S706),$S706&gt;0,ISNUMBER($K706),ISNUMBER($J706)),($K706*$J706)/$S706,"")</f>
        <v/>
      </c>
    </row>
    <row r="707">
      <c r="A707" s="62" t="n">
        <v>8</v>
      </c>
      <c r="B707" s="93" t="n">
        <v>699</v>
      </c>
      <c r="C707" s="68" t="inlineStr">
        <is>
          <t>2009Q</t>
        </is>
      </c>
      <c r="D707" s="59" t="inlineStr">
        <is>
          <t xml:space="preserve">02154-00-045-000 </t>
        </is>
      </c>
      <c r="E707" s="72" t="inlineStr">
        <is>
          <t>Actual</t>
        </is>
      </c>
      <c r="F707" s="73" t="inlineStr">
        <is>
          <t>5055   WASHINGTON           ST</t>
        </is>
      </c>
      <c r="G707" s="708" t="n">
        <v>44.1</v>
      </c>
      <c r="H707" s="67" t="n">
        <v>9201</v>
      </c>
      <c r="I707" s="69" t="n">
        <v>0</v>
      </c>
      <c r="J707" s="714" t="n">
        <v>16140</v>
      </c>
      <c r="K707" s="715" t="n">
        <v>5.576208178438661</v>
      </c>
      <c r="L707" s="74" t="n">
        <v>0</v>
      </c>
      <c r="M707" s="76" t="n">
        <v>0</v>
      </c>
      <c r="N707" s="67" t="n">
        <v>1951</v>
      </c>
      <c r="Q707" s="59" t="n">
        <v>17</v>
      </c>
      <c r="R707" s="59" t="n">
        <v>2</v>
      </c>
      <c r="S707" s="59" t="n">
        <v>1</v>
      </c>
      <c r="T707" s="63" t="inlineStr">
        <is>
          <t xml:space="preserve">I1   </t>
        </is>
      </c>
      <c r="U707" s="63" t="n">
        <v>398</v>
      </c>
      <c r="V707" s="714" t="n">
        <v>47915</v>
      </c>
      <c r="W707" s="714" t="n">
        <v>48000</v>
      </c>
      <c r="X707" s="83" t="inlineStr">
        <is>
          <t>3.0:1</t>
        </is>
      </c>
      <c r="Y707" s="714">
        <f>ROUND(J707,-3)</f>
        <v/>
      </c>
      <c r="Z707" s="63" t="inlineStr">
        <is>
          <t xml:space="preserve">C </t>
        </is>
      </c>
      <c r="AA707" s="59" t="n">
        <v>1</v>
      </c>
      <c r="AB707" s="59" t="n">
        <v>3</v>
      </c>
      <c r="AC707" s="67" t="inlineStr">
        <is>
          <t>13</t>
        </is>
      </c>
      <c r="AD707" s="61" t="inlineStr">
        <is>
          <t>WESTERN WATERPROOFIN</t>
        </is>
      </c>
      <c r="AE707" s="716" t="n"/>
      <c r="AF707" s="716" t="n"/>
      <c r="AG707" s="716" t="n"/>
      <c r="AH707" s="716" t="n"/>
      <c r="AI707" s="716" t="n"/>
      <c r="AJ707" s="716" t="n"/>
      <c r="AK707" s="716" t="inlineStr">
        <is>
          <t xml:space="preserve">S-T WHSE.; 2005 LEASE; WESTERN WATERPROOFING CO.                  </t>
        </is>
      </c>
      <c r="AL707">
        <f>IF(AND(ISNUMBER($S707),$S707&gt;0,ISNUMBER($K707),ISNUMBER($J707)),($K707*$J707)/$S707,"")</f>
        <v/>
      </c>
    </row>
    <row r="708">
      <c r="A708" s="62" t="n">
        <v>8</v>
      </c>
      <c r="B708" s="93" t="n">
        <v>700</v>
      </c>
      <c r="C708" s="68" t="inlineStr">
        <is>
          <t>2009Q</t>
        </is>
      </c>
      <c r="D708" s="59" t="inlineStr">
        <is>
          <t xml:space="preserve">02154-17-014-000 </t>
        </is>
      </c>
      <c r="E708" s="72" t="inlineStr">
        <is>
          <t>Actual</t>
        </is>
      </c>
      <c r="F708" s="73" t="inlineStr">
        <is>
          <t>4850   BROADWAY             ST</t>
        </is>
      </c>
      <c r="G708" s="708" t="n">
        <v>46.2</v>
      </c>
      <c r="H708" s="67" t="n">
        <v>9201</v>
      </c>
      <c r="I708" s="69" t="n">
        <v>0</v>
      </c>
      <c r="J708" s="714" t="n">
        <v>10354</v>
      </c>
      <c r="K708" s="715" t="n">
        <v>5.273324319103728</v>
      </c>
      <c r="L708" s="74" t="n">
        <v>0</v>
      </c>
      <c r="M708" s="76" t="n">
        <v>0.1352014652014652</v>
      </c>
      <c r="N708" s="67" t="n">
        <v>1967</v>
      </c>
      <c r="O708" s="64">
        <f>3174+200</f>
        <v/>
      </c>
      <c r="Q708" s="59" t="n">
        <v>17</v>
      </c>
      <c r="R708" s="59" t="n">
        <v>14</v>
      </c>
      <c r="S708" s="59" t="n">
        <v>3</v>
      </c>
      <c r="T708" s="63" t="inlineStr">
        <is>
          <t xml:space="preserve">I1   </t>
        </is>
      </c>
      <c r="U708" s="63" t="n">
        <v>401</v>
      </c>
      <c r="V708" s="714" t="n">
        <v>21063</v>
      </c>
      <c r="W708" s="714" t="n">
        <v>21000</v>
      </c>
      <c r="X708" s="83" t="inlineStr">
        <is>
          <t>2.0:1</t>
        </is>
      </c>
      <c r="Y708" s="714">
        <f>ROUND(J708,-3)</f>
        <v/>
      </c>
      <c r="Z708" s="63" t="inlineStr">
        <is>
          <t xml:space="preserve">C </t>
        </is>
      </c>
      <c r="AA708" s="59" t="n">
        <v>3</v>
      </c>
      <c r="AB708" s="59" t="n">
        <v>3</v>
      </c>
      <c r="AC708" s="67" t="inlineStr">
        <is>
          <t>33</t>
        </is>
      </c>
      <c r="AD708" s="61" t="inlineStr"/>
      <c r="AE708" s="716" t="n"/>
      <c r="AF708" s="716" t="n"/>
      <c r="AG708" s="716" t="n"/>
      <c r="AH708" s="716" t="n"/>
      <c r="AI708" s="716" t="n"/>
      <c r="AJ708" s="716" t="n"/>
      <c r="AK708" s="716" t="inlineStr">
        <is>
          <t xml:space="preserve">M-T WHSE.; 2 TENANTS; LEASES 2005 &amp; 2008.                         </t>
        </is>
      </c>
      <c r="AL708">
        <f>IF(AND(ISNUMBER($S708),$S708&gt;0,ISNUMBER($K708),ISNUMBER($J708)),($K708*$J708)/$S708,"")</f>
        <v/>
      </c>
    </row>
    <row r="709">
      <c r="A709" s="62" t="n">
        <v>8</v>
      </c>
      <c r="B709" s="93" t="n">
        <v>701</v>
      </c>
      <c r="C709" s="68" t="inlineStr">
        <is>
          <t>2009Q</t>
        </is>
      </c>
      <c r="D709" s="59" t="inlineStr">
        <is>
          <t xml:space="preserve">02154-18-021-000 </t>
        </is>
      </c>
      <c r="E709" s="72" t="inlineStr">
        <is>
          <t>Actual</t>
        </is>
      </c>
      <c r="F709" s="73" t="inlineStr">
        <is>
          <t>4836   LEAF                 CT</t>
        </is>
      </c>
      <c r="G709" s="708" t="n">
        <v>44.1</v>
      </c>
      <c r="H709" s="67" t="n">
        <v>9201</v>
      </c>
      <c r="I709" s="69" t="n">
        <v>0</v>
      </c>
      <c r="J709" s="714" t="n">
        <v>23874</v>
      </c>
      <c r="K709" s="715" t="n">
        <v>5.302839909525006</v>
      </c>
      <c r="L709" s="74" t="n">
        <v>0</v>
      </c>
      <c r="M709" s="76" t="n">
        <v>0.1517772511848341</v>
      </c>
      <c r="N709" s="67" t="n">
        <v>1969</v>
      </c>
      <c r="O709" s="64">
        <f>2173+432</f>
        <v/>
      </c>
      <c r="Q709" s="59" t="n">
        <v>23</v>
      </c>
      <c r="R709" s="59" t="n">
        <v>14</v>
      </c>
      <c r="S709" s="59" t="n">
        <v>2</v>
      </c>
      <c r="T709" s="63" t="inlineStr">
        <is>
          <t xml:space="preserve">I0   </t>
        </is>
      </c>
      <c r="U709" s="63" t="n">
        <v>398</v>
      </c>
      <c r="V709" s="714" t="n">
        <v>47500</v>
      </c>
      <c r="W709" s="714" t="n">
        <v>48000</v>
      </c>
      <c r="X709" s="83" t="inlineStr">
        <is>
          <t>2.0:1</t>
        </is>
      </c>
      <c r="Y709" s="714">
        <f>ROUND(J709,-3)</f>
        <v/>
      </c>
      <c r="Z709" s="63" t="inlineStr">
        <is>
          <t xml:space="preserve">C </t>
        </is>
      </c>
      <c r="AA709" s="59" t="n">
        <v>3</v>
      </c>
      <c r="AB709" s="59" t="n">
        <v>3</v>
      </c>
      <c r="AC709" s="67" t="inlineStr">
        <is>
          <t>33</t>
        </is>
      </c>
      <c r="AD709" s="61" t="inlineStr">
        <is>
          <t xml:space="preserve">WAREHOUSE DIST.     </t>
        </is>
      </c>
      <c r="AE709" s="716" t="n"/>
      <c r="AF709" s="716" t="n"/>
      <c r="AG709" s="716" t="n"/>
      <c r="AH709" s="716" t="n"/>
      <c r="AI709" s="716" t="n"/>
      <c r="AJ709" s="716" t="n"/>
      <c r="AK709" s="716" t="inlineStr">
        <is>
          <t xml:space="preserve">S-T WHSE.; 2005 LEASE.                                            </t>
        </is>
      </c>
      <c r="AL709">
        <f>IF(AND(ISNUMBER($S709),$S709&gt;0,ISNUMBER($K709),ISNUMBER($J709)),($K709*$J709)/$S709,"")</f>
        <v/>
      </c>
    </row>
    <row r="710">
      <c r="A710" s="62" t="n">
        <v>8</v>
      </c>
      <c r="B710" s="93" t="n">
        <v>702</v>
      </c>
      <c r="C710" s="68" t="inlineStr">
        <is>
          <t>2009Q</t>
        </is>
      </c>
      <c r="D710" s="59" t="inlineStr">
        <is>
          <t xml:space="preserve">02154-23-035-000 </t>
        </is>
      </c>
      <c r="E710" s="72" t="inlineStr">
        <is>
          <t>Actual</t>
        </is>
      </c>
      <c r="F710" s="73" t="inlineStr">
        <is>
          <t>4881   WASHINGTON           ST</t>
        </is>
      </c>
      <c r="G710" s="708" t="n">
        <v>47.1</v>
      </c>
      <c r="H710" s="67" t="n">
        <v>9201</v>
      </c>
      <c r="I710" s="69" t="n">
        <v>0</v>
      </c>
      <c r="J710" s="714" t="n">
        <v>1778</v>
      </c>
      <c r="K710" s="715" t="n">
        <v>7.424071991001125</v>
      </c>
      <c r="L710" s="74" t="n">
        <v>0</v>
      </c>
      <c r="M710" s="76" t="n">
        <v>0.04674242424242425</v>
      </c>
      <c r="N710" s="67" t="n">
        <v>1890</v>
      </c>
      <c r="P710" s="64" t="n">
        <v>893</v>
      </c>
      <c r="Q710" s="59" t="n">
        <v>10</v>
      </c>
      <c r="R710" s="59" t="n">
        <v>7</v>
      </c>
      <c r="S710" s="59" t="n">
        <v>1</v>
      </c>
      <c r="T710" s="63" t="inlineStr">
        <is>
          <t xml:space="preserve">I1   </t>
        </is>
      </c>
      <c r="U710" s="63" t="n">
        <v>401</v>
      </c>
      <c r="V710" s="714" t="n">
        <v>9810</v>
      </c>
      <c r="W710" s="714" t="n">
        <v>10000</v>
      </c>
      <c r="X710" s="83" t="inlineStr">
        <is>
          <t>5.5:1</t>
        </is>
      </c>
      <c r="Y710" s="714">
        <f>ROUND(J710,-2)</f>
        <v/>
      </c>
      <c r="Z710" s="63" t="inlineStr">
        <is>
          <t xml:space="preserve">C </t>
        </is>
      </c>
      <c r="AA710" s="59" t="n">
        <v>3</v>
      </c>
      <c r="AB710" s="59" t="n">
        <v>3</v>
      </c>
      <c r="AC710" s="67" t="inlineStr">
        <is>
          <t>33</t>
        </is>
      </c>
      <c r="AD710" s="61" t="inlineStr"/>
      <c r="AE710" s="716" t="n"/>
      <c r="AF710" s="716" t="n"/>
      <c r="AG710" s="716" t="n"/>
      <c r="AH710" s="716" t="n"/>
      <c r="AI710" s="716" t="n"/>
      <c r="AJ710" s="716" t="n"/>
      <c r="AK710" s="716" t="inlineStr">
        <is>
          <t xml:space="preserve">S-T INDUSTRIAL; MO-TO-MO LEASE.                                   </t>
        </is>
      </c>
      <c r="AL710">
        <f>IF(AND(ISNUMBER($S710),$S710&gt;0,ISNUMBER($K710),ISNUMBER($J710)),($K710*$J710)/$S710,"")</f>
        <v/>
      </c>
    </row>
    <row r="711">
      <c r="A711" s="62" t="n">
        <v>8</v>
      </c>
      <c r="B711" s="93" t="n">
        <v>703</v>
      </c>
      <c r="C711" s="68" t="inlineStr">
        <is>
          <t>2009Q</t>
        </is>
      </c>
      <c r="D711" s="59" t="inlineStr">
        <is>
          <t xml:space="preserve">02154-23-038-000 </t>
        </is>
      </c>
      <c r="E711" s="72" t="inlineStr">
        <is>
          <t>Actual</t>
        </is>
      </c>
      <c r="F711" s="73" t="inlineStr">
        <is>
          <t>650 E 49TH                 AV</t>
        </is>
      </c>
      <c r="G711" s="708" t="n">
        <v>44.1</v>
      </c>
      <c r="H711" s="67" t="n">
        <v>9201</v>
      </c>
      <c r="I711" s="69" t="n">
        <v>0</v>
      </c>
      <c r="J711" s="714" t="n">
        <v>6000</v>
      </c>
      <c r="K711" s="715" t="n">
        <v>6.1475</v>
      </c>
      <c r="L711" s="74" t="n">
        <v>0.5</v>
      </c>
      <c r="M711" s="76" t="n">
        <v>0.08133387555917039</v>
      </c>
      <c r="N711" s="67" t="n">
        <v>1980</v>
      </c>
      <c r="O711" s="64" t="n">
        <v>702</v>
      </c>
      <c r="Q711" s="59" t="n">
        <v>14</v>
      </c>
      <c r="R711" s="59" t="n">
        <v>7</v>
      </c>
      <c r="S711" s="59" t="n">
        <v>1</v>
      </c>
      <c r="T711" s="63" t="inlineStr">
        <is>
          <t xml:space="preserve">I1   </t>
        </is>
      </c>
      <c r="U711" s="63" t="n">
        <v>398</v>
      </c>
      <c r="V711" s="714" t="n">
        <v>19115</v>
      </c>
      <c r="W711" s="714" t="n">
        <v>19000</v>
      </c>
      <c r="X711" s="83" t="inlineStr">
        <is>
          <t>3.2:1</t>
        </is>
      </c>
      <c r="Y711" s="714">
        <f>ROUND(J711,-3)</f>
        <v/>
      </c>
      <c r="Z711" s="63" t="inlineStr">
        <is>
          <t xml:space="preserve">C </t>
        </is>
      </c>
      <c r="AA711" s="59" t="n">
        <v>3</v>
      </c>
      <c r="AB711" s="59" t="n">
        <v>3</v>
      </c>
      <c r="AC711" s="67" t="inlineStr">
        <is>
          <t>33</t>
        </is>
      </c>
      <c r="AD711" s="61" t="inlineStr"/>
      <c r="AE711" s="716" t="n"/>
      <c r="AF711" s="716" t="n"/>
      <c r="AG711" s="716" t="n"/>
      <c r="AH711" s="716" t="n"/>
      <c r="AI711" s="716" t="n"/>
      <c r="AJ711" s="716" t="n"/>
      <c r="AK711" s="716" t="inlineStr">
        <is>
          <t xml:space="preserve">S-T WHSE.                                                         </t>
        </is>
      </c>
      <c r="AL711">
        <f>IF(AND(ISNUMBER($S711),$S711&gt;0,ISNUMBER($K711),ISNUMBER($J711)),($K711*$J711)/$S711,"")</f>
        <v/>
      </c>
    </row>
    <row r="712">
      <c r="A712" s="62" t="n">
        <v>8</v>
      </c>
      <c r="B712" s="93" t="n">
        <v>704</v>
      </c>
      <c r="C712" s="68" t="inlineStr">
        <is>
          <t>2009Q</t>
        </is>
      </c>
      <c r="D712" s="59" t="inlineStr">
        <is>
          <t xml:space="preserve">02164-09-026-000 </t>
        </is>
      </c>
      <c r="E712" s="72" t="inlineStr">
        <is>
          <t>Actual</t>
        </is>
      </c>
      <c r="F712" s="73" t="inlineStr">
        <is>
          <t>1440 W 52ND                 AV</t>
        </is>
      </c>
      <c r="G712" s="708" t="n">
        <v>44.2</v>
      </c>
      <c r="H712" s="67" t="n">
        <v>9208</v>
      </c>
      <c r="I712" s="69" t="n">
        <v>0</v>
      </c>
      <c r="J712" s="714" t="n">
        <v>35940</v>
      </c>
      <c r="K712" s="715" t="n">
        <v>4.674457429048414</v>
      </c>
      <c r="L712" s="74" t="n">
        <v>0</v>
      </c>
      <c r="M712" s="76" t="n">
        <v>0.01836904761904762</v>
      </c>
      <c r="N712" s="67" t="n">
        <v>1975</v>
      </c>
      <c r="O712" s="64">
        <f>4481+2571</f>
        <v/>
      </c>
      <c r="S712" s="59" t="n">
        <v>1</v>
      </c>
      <c r="T712" s="63" t="inlineStr">
        <is>
          <t xml:space="preserve">I0   </t>
        </is>
      </c>
      <c r="U712" s="63" t="n">
        <v>398</v>
      </c>
      <c r="V712" s="714" t="n">
        <v>97490</v>
      </c>
      <c r="W712" s="714" t="n">
        <v>100000</v>
      </c>
      <c r="X712" s="83" t="inlineStr">
        <is>
          <t>2.7:1</t>
        </is>
      </c>
      <c r="Y712" s="714">
        <f>ROUND(J712,-3)</f>
        <v/>
      </c>
      <c r="Z712" s="63" t="inlineStr">
        <is>
          <t xml:space="preserve">C </t>
        </is>
      </c>
      <c r="AA712" s="59" t="n">
        <v>3</v>
      </c>
      <c r="AB712" s="59" t="n">
        <v>3</v>
      </c>
      <c r="AC712" s="67" t="inlineStr">
        <is>
          <t>33</t>
        </is>
      </c>
      <c r="AD712" s="61" t="inlineStr"/>
      <c r="AE712" s="716" t="n"/>
      <c r="AF712" s="716" t="n"/>
      <c r="AG712" s="716" t="n"/>
      <c r="AH712" s="716" t="n"/>
      <c r="AI712" s="716" t="n"/>
      <c r="AJ712" s="716" t="n"/>
      <c r="AK712" s="716" t="inlineStr">
        <is>
          <t xml:space="preserve">M-T WHSE.; 2 TENANTS.                                             </t>
        </is>
      </c>
      <c r="AL712">
        <f>IF(AND(ISNUMBER($S712),$S712&gt;0,ISNUMBER($K712),ISNUMBER($J712)),($K712*$J712)/$S712,"")</f>
        <v/>
      </c>
    </row>
    <row r="713">
      <c r="A713" s="62" t="n">
        <v>8</v>
      </c>
      <c r="B713" s="93" t="n">
        <v>705</v>
      </c>
      <c r="C713" s="68" t="inlineStr">
        <is>
          <t>2009Q</t>
        </is>
      </c>
      <c r="D713" s="59" t="inlineStr">
        <is>
          <t xml:space="preserve">02164-09-027-000 </t>
        </is>
      </c>
      <c r="E713" s="72" t="inlineStr">
        <is>
          <t>Actual</t>
        </is>
      </c>
      <c r="F713" s="73" t="inlineStr">
        <is>
          <t>5120   OSAGE                ST</t>
        </is>
      </c>
      <c r="G713" s="708" t="n">
        <v>44.2</v>
      </c>
      <c r="H713" s="67" t="n">
        <v>9208</v>
      </c>
      <c r="I713" s="69" t="n">
        <v>0</v>
      </c>
      <c r="J713" s="714" t="n">
        <v>25864</v>
      </c>
      <c r="K713" s="715" t="n">
        <v>10.4045777915249</v>
      </c>
      <c r="L713" s="74" t="n">
        <v>0</v>
      </c>
      <c r="M713" s="76" t="n">
        <v>0.05744990784232119</v>
      </c>
      <c r="N713" s="67" t="n">
        <v>2005</v>
      </c>
      <c r="O713" s="64">
        <f>6421+2871</f>
        <v/>
      </c>
      <c r="S713" s="59" t="n">
        <v>4</v>
      </c>
      <c r="T713" s="63" t="inlineStr">
        <is>
          <t xml:space="preserve">I0   </t>
        </is>
      </c>
      <c r="U713" s="63" t="n">
        <v>398</v>
      </c>
      <c r="V713" s="714" t="n">
        <v>87400</v>
      </c>
      <c r="W713" s="714" t="n">
        <v>90000</v>
      </c>
      <c r="X713" s="83" t="inlineStr">
        <is>
          <t>3.4:1</t>
        </is>
      </c>
      <c r="Y713" s="714">
        <f>ROUND(J713,-3)</f>
        <v/>
      </c>
      <c r="Z713" s="63" t="inlineStr">
        <is>
          <t xml:space="preserve">C </t>
        </is>
      </c>
      <c r="AA713" s="59" t="n">
        <v>3</v>
      </c>
      <c r="AB713" s="59" t="n">
        <v>3</v>
      </c>
      <c r="AC713" s="67" t="inlineStr">
        <is>
          <t>33</t>
        </is>
      </c>
      <c r="AD713" s="61" t="inlineStr">
        <is>
          <t xml:space="preserve">4-UNIT WAREHOUSE    </t>
        </is>
      </c>
      <c r="AE713" s="716" t="n"/>
      <c r="AF713" s="716" t="n"/>
      <c r="AG713" s="716" t="n"/>
      <c r="AH713" s="716" t="n"/>
      <c r="AI713" s="716" t="n"/>
      <c r="AJ713" s="716" t="n"/>
      <c r="AK713" s="716" t="inlineStr">
        <is>
          <t xml:space="preserve">M-T WHSE; 2 TENANTS; 2005 LEASES.                                 </t>
        </is>
      </c>
      <c r="AL713">
        <f>IF(AND(ISNUMBER($S713),$S713&gt;0,ISNUMBER($K713),ISNUMBER($J713)),($K713*$J713)/$S713,"")</f>
        <v/>
      </c>
    </row>
    <row r="714">
      <c r="A714" s="62" t="n">
        <v>8</v>
      </c>
      <c r="B714" s="93" t="n">
        <v>706</v>
      </c>
      <c r="C714" s="68" t="inlineStr">
        <is>
          <t>2009Q</t>
        </is>
      </c>
      <c r="D714" s="59" t="inlineStr">
        <is>
          <t xml:space="preserve">02184-17-033-000 </t>
        </is>
      </c>
      <c r="E714" s="72" t="inlineStr">
        <is>
          <t>Actual</t>
        </is>
      </c>
      <c r="F714" s="73" t="inlineStr">
        <is>
          <t>4955   LOWELL               BV</t>
        </is>
      </c>
      <c r="G714" s="708" t="inlineStr">
        <is>
          <t>44.M</t>
        </is>
      </c>
      <c r="H714" s="67" t="n">
        <v>9208</v>
      </c>
      <c r="I714" s="69" t="n">
        <v>0</v>
      </c>
      <c r="J714" s="714" t="n">
        <v>5029</v>
      </c>
      <c r="K714" s="715" t="n">
        <v>7.158480811294492</v>
      </c>
      <c r="L714" s="74" t="n">
        <v>0.21</v>
      </c>
      <c r="M714" s="76" t="n">
        <v>0.2489166666666667</v>
      </c>
      <c r="N714" s="67" t="n">
        <v>1936</v>
      </c>
      <c r="O714" s="64" t="inlineStr"/>
      <c r="P714" s="64" t="n">
        <v>515</v>
      </c>
      <c r="Q714" s="59" t="n">
        <v>12</v>
      </c>
      <c r="R714" s="59" t="n">
        <v>1</v>
      </c>
      <c r="S714" s="59" t="n">
        <v>1</v>
      </c>
      <c r="T714" s="63" t="inlineStr">
        <is>
          <t xml:space="preserve">B2   </t>
        </is>
      </c>
      <c r="U714" s="63" t="n">
        <v>398</v>
      </c>
      <c r="V714" s="714" t="n">
        <v>12500</v>
      </c>
      <c r="W714" s="714" t="n">
        <v>13000</v>
      </c>
      <c r="X714" s="83" t="inlineStr">
        <is>
          <t>3.8:1</t>
        </is>
      </c>
      <c r="Y714" s="714">
        <f>ROUND(J714,-3)</f>
        <v/>
      </c>
      <c r="Z714" s="63" t="inlineStr">
        <is>
          <t xml:space="preserve">C </t>
        </is>
      </c>
      <c r="AA714" s="59" t="n">
        <v>3</v>
      </c>
      <c r="AB714" s="59" t="n">
        <v>3</v>
      </c>
      <c r="AC714" s="67" t="inlineStr">
        <is>
          <t>33</t>
        </is>
      </c>
      <c r="AD714" s="61" t="inlineStr">
        <is>
          <t>S-W SHAWN'S SQUEEGEE</t>
        </is>
      </c>
      <c r="AE714" s="716" t="n"/>
      <c r="AF714" s="716" t="n"/>
      <c r="AG714" s="716" t="n"/>
      <c r="AH714" s="716" t="n"/>
      <c r="AI714" s="716" t="n"/>
      <c r="AJ714" s="716" t="n"/>
      <c r="AK714" s="716" t="inlineStr">
        <is>
          <t xml:space="preserve">M-T WHSE.; 3 TENANTS; AGE OF LEASES UNKNOWN.                      </t>
        </is>
      </c>
      <c r="AL714">
        <f>IF(AND(ISNUMBER($S714),$S714&gt;0,ISNUMBER($K714),ISNUMBER($J714)),($K714*$J714)/$S714,"")</f>
        <v/>
      </c>
    </row>
    <row r="715">
      <c r="A715" s="62" t="n">
        <v>8</v>
      </c>
      <c r="B715" s="93" t="n">
        <v>707</v>
      </c>
      <c r="C715" s="68" t="inlineStr">
        <is>
          <t>2009Q</t>
        </is>
      </c>
      <c r="D715" s="59" t="inlineStr">
        <is>
          <t xml:space="preserve">02211-00-059-059 </t>
        </is>
      </c>
      <c r="E715" s="72" t="inlineStr">
        <is>
          <t>Actual</t>
        </is>
      </c>
      <c r="F715" s="73" t="inlineStr">
        <is>
          <t>4640   PECOS                ST</t>
        </is>
      </c>
      <c r="G715" s="708" t="n">
        <v>44.8</v>
      </c>
      <c r="H715" s="67" t="n">
        <v>9208</v>
      </c>
      <c r="I715" s="69" t="n">
        <v>0</v>
      </c>
      <c r="J715" s="714" t="n">
        <v>1449</v>
      </c>
      <c r="K715" s="715" t="n">
        <v>7.453416149068323</v>
      </c>
      <c r="L715" s="74" t="n">
        <v>0</v>
      </c>
      <c r="M715" s="76" t="n">
        <v>0</v>
      </c>
      <c r="N715" s="67" t="n">
        <v>2005</v>
      </c>
      <c r="Q715" s="59" t="n">
        <v>9</v>
      </c>
      <c r="R715" s="59" t="n">
        <v>1</v>
      </c>
      <c r="S715" s="59" t="n">
        <v>1</v>
      </c>
      <c r="T715" s="63" t="inlineStr">
        <is>
          <t xml:space="preserve">I0   </t>
        </is>
      </c>
      <c r="U715" s="63" t="n">
        <v>356</v>
      </c>
      <c r="V715" s="714" t="n">
        <v>3521</v>
      </c>
      <c r="W715" s="714" t="n">
        <v>4000</v>
      </c>
      <c r="X715" s="83" t="inlineStr">
        <is>
          <t>2.4:1</t>
        </is>
      </c>
      <c r="Y715" s="714">
        <f>ROUND(J715,-2)</f>
        <v/>
      </c>
      <c r="Z715" s="63" t="inlineStr">
        <is>
          <t xml:space="preserve">C </t>
        </is>
      </c>
      <c r="AA715" s="59" t="n">
        <v>3</v>
      </c>
      <c r="AB715" s="59" t="n">
        <v>3</v>
      </c>
      <c r="AC715" s="67" t="inlineStr">
        <is>
          <t>33</t>
        </is>
      </c>
      <c r="AD715" s="61" t="inlineStr">
        <is>
          <t>PECOS BUSINESS PLAZA</t>
        </is>
      </c>
      <c r="AE715" s="716" t="n"/>
      <c r="AF715" s="716" t="n"/>
      <c r="AG715" s="716" t="n"/>
      <c r="AH715" s="716" t="n"/>
      <c r="AI715" s="716" t="n"/>
      <c r="AJ715" s="716" t="n"/>
      <c r="AK715" s="716" t="inlineStr">
        <is>
          <t xml:space="preserve">WHS CONDO UNIT - S.T.; LEASE 2005?                                </t>
        </is>
      </c>
      <c r="AL715">
        <f>IF(AND(ISNUMBER($S715),$S715&gt;0,ISNUMBER($K715),ISNUMBER($J715)),($K715*$J715)/$S715,"")</f>
        <v/>
      </c>
    </row>
    <row r="716">
      <c r="A716" s="62" t="n">
        <v>8</v>
      </c>
      <c r="B716" s="93" t="n">
        <v>708</v>
      </c>
      <c r="C716" s="68" t="inlineStr">
        <is>
          <t>2009Q</t>
        </is>
      </c>
      <c r="D716" s="59" t="inlineStr">
        <is>
          <t xml:space="preserve">02211-13-016-000 </t>
        </is>
      </c>
      <c r="E716" s="72" t="inlineStr">
        <is>
          <t>Actual</t>
        </is>
      </c>
      <c r="F716" s="73" t="inlineStr">
        <is>
          <t>4640   LIPAN                ST</t>
        </is>
      </c>
      <c r="G716" s="708" t="n">
        <v>47.1</v>
      </c>
      <c r="H716" s="67" t="n">
        <v>9208</v>
      </c>
      <c r="I716" s="69" t="n">
        <v>0</v>
      </c>
      <c r="J716" s="714" t="n">
        <v>12000</v>
      </c>
      <c r="K716" s="715" t="n">
        <v>10</v>
      </c>
      <c r="L716" s="74" t="n">
        <v>0</v>
      </c>
      <c r="M716" s="76" t="n">
        <v>0.07563333333333333</v>
      </c>
      <c r="N716" s="67" t="n">
        <v>1971</v>
      </c>
      <c r="P716" s="64" t="n">
        <v>2470</v>
      </c>
      <c r="Q716" s="59" t="n">
        <v>16</v>
      </c>
      <c r="R716" s="59" t="n">
        <v>1</v>
      </c>
      <c r="S716" s="59" t="n">
        <v>1</v>
      </c>
      <c r="T716" s="63" t="inlineStr">
        <is>
          <t xml:space="preserve">I1   </t>
        </is>
      </c>
      <c r="U716" s="63" t="n">
        <v>401</v>
      </c>
      <c r="V716" s="714" t="n">
        <v>42630</v>
      </c>
      <c r="W716" s="714" t="n">
        <v>43000</v>
      </c>
      <c r="X716" s="83" t="inlineStr">
        <is>
          <t>3.6:1</t>
        </is>
      </c>
      <c r="Y716" s="714">
        <f>ROUND(J716,-3)</f>
        <v/>
      </c>
      <c r="Z716" s="63" t="inlineStr">
        <is>
          <t xml:space="preserve">C </t>
        </is>
      </c>
      <c r="AA716" s="59" t="n">
        <v>3</v>
      </c>
      <c r="AB716" s="59" t="n">
        <v>3</v>
      </c>
      <c r="AC716" s="67" t="inlineStr">
        <is>
          <t>33</t>
        </is>
      </c>
      <c r="AD716" s="61" t="inlineStr"/>
      <c r="AE716" s="716" t="n"/>
      <c r="AF716" s="716" t="n"/>
      <c r="AG716" s="716" t="n"/>
      <c r="AH716" s="716" t="n"/>
      <c r="AI716" s="716" t="n"/>
      <c r="AJ716" s="716" t="n"/>
      <c r="AK716" s="716" t="inlineStr">
        <is>
          <t xml:space="preserve">S-T WHSE; 2006 LEASE.                                             </t>
        </is>
      </c>
      <c r="AL716">
        <f>IF(AND(ISNUMBER($S716),$S716&gt;0,ISNUMBER($K716),ISNUMBER($J716)),($K716*$J716)/$S716,"")</f>
        <v/>
      </c>
    </row>
    <row r="717">
      <c r="A717" s="62" t="n">
        <v>8</v>
      </c>
      <c r="B717" s="93" t="n">
        <v>709</v>
      </c>
      <c r="C717" s="68" t="inlineStr">
        <is>
          <t>2009Q</t>
        </is>
      </c>
      <c r="D717" s="59" t="inlineStr">
        <is>
          <t xml:space="preserve">02211-13-022-000 </t>
        </is>
      </c>
      <c r="E717" s="72" t="inlineStr">
        <is>
          <t>Actual</t>
        </is>
      </c>
      <c r="F717" s="73" t="inlineStr">
        <is>
          <t>1051 W 46TH                 AV</t>
        </is>
      </c>
      <c r="G717" s="708" t="n">
        <v>44.1</v>
      </c>
      <c r="H717" s="67" t="n">
        <v>9208</v>
      </c>
      <c r="I717" s="69" t="n">
        <v>0</v>
      </c>
      <c r="J717" s="714" t="n">
        <v>4008</v>
      </c>
      <c r="K717" s="715" t="n">
        <v>6.736526946107785</v>
      </c>
      <c r="L717" s="74" t="n">
        <v>0.42</v>
      </c>
      <c r="M717" s="76" t="n">
        <v>0</v>
      </c>
      <c r="N717" s="67" t="n">
        <v>1980</v>
      </c>
      <c r="O717" s="64" t="n">
        <v>484</v>
      </c>
      <c r="Q717" s="59" t="n">
        <v>17</v>
      </c>
      <c r="R717" s="59" t="n">
        <v>3</v>
      </c>
      <c r="S717" s="59" t="n">
        <v>1</v>
      </c>
      <c r="T717" s="63" t="inlineStr">
        <is>
          <t xml:space="preserve">I1   </t>
        </is>
      </c>
      <c r="U717" s="63" t="n">
        <v>398</v>
      </c>
      <c r="V717" s="714" t="n">
        <v>6625</v>
      </c>
      <c r="W717" s="714" t="n">
        <v>7000</v>
      </c>
      <c r="X717" s="83" t="inlineStr">
        <is>
          <t>1.7:1</t>
        </is>
      </c>
      <c r="Y717" s="714">
        <f>ROUND(J717,-3)</f>
        <v/>
      </c>
      <c r="Z717" s="63" t="inlineStr">
        <is>
          <t xml:space="preserve">C </t>
        </is>
      </c>
      <c r="AA717" s="59" t="n">
        <v>3</v>
      </c>
      <c r="AB717" s="59" t="n">
        <v>3</v>
      </c>
      <c r="AC717" s="67" t="inlineStr">
        <is>
          <t>33</t>
        </is>
      </c>
      <c r="AD717" s="61" t="inlineStr">
        <is>
          <t xml:space="preserve">MILE HIGH DOOR SEAL </t>
        </is>
      </c>
      <c r="AE717" s="716" t="n"/>
      <c r="AF717" s="716" t="n"/>
      <c r="AG717" s="716" t="n"/>
      <c r="AH717" s="716" t="n"/>
      <c r="AI717" s="716" t="n"/>
      <c r="AJ717" s="716" t="n"/>
      <c r="AK717" s="716" t="inlineStr">
        <is>
          <t xml:space="preserve">S-T WHSE.; MO-TO-MO LEASE.                                        </t>
        </is>
      </c>
      <c r="AL717">
        <f>IF(AND(ISNUMBER($S717),$S717&gt;0,ISNUMBER($K717),ISNUMBER($J717)),($K717*$J717)/$S717,"")</f>
        <v/>
      </c>
    </row>
    <row r="718">
      <c r="A718" s="62" t="n">
        <v>8</v>
      </c>
      <c r="B718" s="93" t="n">
        <v>710</v>
      </c>
      <c r="C718" s="68" t="inlineStr">
        <is>
          <t>2009Q</t>
        </is>
      </c>
      <c r="D718" s="59" t="inlineStr">
        <is>
          <t xml:space="preserve">02211-16-021-000 </t>
        </is>
      </c>
      <c r="E718" s="72" t="inlineStr">
        <is>
          <t>Actual</t>
        </is>
      </c>
      <c r="F718" s="73" t="inlineStr">
        <is>
          <t>4535   JASON                ST</t>
        </is>
      </c>
      <c r="G718" s="708" t="n">
        <v>44.1</v>
      </c>
      <c r="H718" s="67" t="n">
        <v>9208</v>
      </c>
      <c r="I718" s="69" t="n">
        <v>0</v>
      </c>
      <c r="J718" s="714" t="n">
        <v>15319</v>
      </c>
      <c r="K718" s="715" t="n">
        <v>3.133363796592467</v>
      </c>
      <c r="L718" s="74" t="n">
        <v>0</v>
      </c>
      <c r="M718" s="76" t="n">
        <v>0.2472291666666667</v>
      </c>
      <c r="N718" s="67" t="n">
        <v>1955</v>
      </c>
      <c r="P718" s="64" t="n">
        <v>903</v>
      </c>
      <c r="Q718" s="59" t="n">
        <v>15</v>
      </c>
      <c r="R718" s="59" t="n">
        <v>1</v>
      </c>
      <c r="S718" s="59" t="n">
        <v>1</v>
      </c>
      <c r="T718" s="63" t="inlineStr">
        <is>
          <t xml:space="preserve">I1   </t>
        </is>
      </c>
      <c r="U718" s="63" t="n">
        <v>398</v>
      </c>
      <c r="V718" s="714" t="n">
        <v>42100</v>
      </c>
      <c r="W718" s="714" t="n">
        <v>42000</v>
      </c>
      <c r="X718" s="83" t="inlineStr">
        <is>
          <t>2.7:1</t>
        </is>
      </c>
      <c r="Y718" s="714">
        <f>ROUND(J718,-3)</f>
        <v/>
      </c>
      <c r="Z718" s="63" t="inlineStr">
        <is>
          <t xml:space="preserve">C </t>
        </is>
      </c>
      <c r="AA718" s="59" t="n">
        <v>3</v>
      </c>
      <c r="AB718" s="59" t="n">
        <v>3</v>
      </c>
      <c r="AC718" s="67" t="inlineStr">
        <is>
          <t>33</t>
        </is>
      </c>
      <c r="AD718" s="61" t="inlineStr">
        <is>
          <t>FRONTRANGE REST.SUPP</t>
        </is>
      </c>
      <c r="AE718" s="716" t="n"/>
      <c r="AF718" s="716" t="n"/>
      <c r="AG718" s="716" t="n"/>
      <c r="AH718" s="716" t="n"/>
      <c r="AI718" s="716" t="n"/>
      <c r="AJ718" s="716" t="n"/>
      <c r="AK718" s="716" t="inlineStr">
        <is>
          <t xml:space="preserve">S-T WHSE; AGE OF LEASE UNKNOWN.                                   </t>
        </is>
      </c>
      <c r="AL718">
        <f>IF(AND(ISNUMBER($S718),$S718&gt;0,ISNUMBER($K718),ISNUMBER($J718)),($K718*$J718)/$S718,"")</f>
        <v/>
      </c>
    </row>
    <row r="719">
      <c r="A719" s="62" t="n">
        <v>8</v>
      </c>
      <c r="B719" s="93" t="n">
        <v>711</v>
      </c>
      <c r="C719" s="68" t="inlineStr">
        <is>
          <t>2009Q</t>
        </is>
      </c>
      <c r="D719" s="59" t="inlineStr">
        <is>
          <t xml:space="preserve">02211-21-014-000 </t>
        </is>
      </c>
      <c r="E719" s="72" t="inlineStr">
        <is>
          <t>Actual</t>
        </is>
      </c>
      <c r="F719" s="73" t="inlineStr">
        <is>
          <t>4455   JASON                ST</t>
        </is>
      </c>
      <c r="G719" s="708" t="n">
        <v>44.1</v>
      </c>
      <c r="H719" s="67" t="n">
        <v>9208</v>
      </c>
      <c r="I719" s="69" t="n">
        <v>0</v>
      </c>
      <c r="J719" s="714" t="n">
        <v>10000</v>
      </c>
      <c r="K719" s="715" t="n">
        <v>5.1716</v>
      </c>
      <c r="L719" s="74" t="n">
        <v>0</v>
      </c>
      <c r="M719" s="76" t="n">
        <v>0</v>
      </c>
      <c r="N719" s="67" t="n">
        <v>1980</v>
      </c>
      <c r="O719" s="64">
        <f>926*2</f>
        <v/>
      </c>
      <c r="Q719" s="59" t="n">
        <v>34</v>
      </c>
      <c r="R719" s="59" t="n">
        <v>1</v>
      </c>
      <c r="S719" s="59" t="n">
        <v>2</v>
      </c>
      <c r="T719" s="63" t="inlineStr">
        <is>
          <t xml:space="preserve">I1   </t>
        </is>
      </c>
      <c r="U719" s="63" t="n">
        <v>398</v>
      </c>
      <c r="V719" s="714" t="n">
        <v>128774</v>
      </c>
      <c r="W719" s="714" t="n">
        <v>130000</v>
      </c>
      <c r="X719" s="83" t="inlineStr">
        <is>
          <t>2.8:1</t>
        </is>
      </c>
      <c r="Y719" s="714">
        <f>ROUND(J719,-3)</f>
        <v/>
      </c>
      <c r="Z719" s="63" t="inlineStr">
        <is>
          <t xml:space="preserve">C </t>
        </is>
      </c>
      <c r="AA719" s="59" t="n">
        <v>3</v>
      </c>
      <c r="AB719" s="59" t="n">
        <v>3</v>
      </c>
      <c r="AC719" s="67" t="inlineStr">
        <is>
          <t>33</t>
        </is>
      </c>
      <c r="AD719" s="61" t="inlineStr">
        <is>
          <t xml:space="preserve">IMAGO GLOBAL COMM   </t>
        </is>
      </c>
      <c r="AE719" s="716" t="n"/>
      <c r="AF719" s="716" t="n"/>
      <c r="AG719" s="716" t="n"/>
      <c r="AH719" s="716" t="n"/>
      <c r="AI719" s="716" t="n"/>
      <c r="AJ719" s="716" t="n"/>
      <c r="AK719" s="716" t="inlineStr">
        <is>
          <t xml:space="preserve">M-T RETAIL; 2 TENANTS; YR-TO-YR LEASE.                            </t>
        </is>
      </c>
      <c r="AL719">
        <f>IF(AND(ISNUMBER($S719),$S719&gt;0,ISNUMBER($K719),ISNUMBER($J719)),($K719*$J719)/$S719,"")</f>
        <v/>
      </c>
    </row>
    <row r="720">
      <c r="A720" s="62" t="n">
        <v>8</v>
      </c>
      <c r="B720" s="93" t="n">
        <v>712</v>
      </c>
      <c r="C720" s="68" t="inlineStr">
        <is>
          <t>2009Q</t>
        </is>
      </c>
      <c r="D720" s="59" t="inlineStr">
        <is>
          <t xml:space="preserve">02211-22-014-000 </t>
        </is>
      </c>
      <c r="E720" s="72" t="inlineStr">
        <is>
          <t>Actual</t>
        </is>
      </c>
      <c r="F720" s="73" t="inlineStr">
        <is>
          <t>4414   JASON                ST</t>
        </is>
      </c>
      <c r="G720" s="708" t="n">
        <v>44.1</v>
      </c>
      <c r="H720" s="67" t="n">
        <v>9208</v>
      </c>
      <c r="I720" s="69" t="n">
        <v>0</v>
      </c>
      <c r="J720" s="714" t="n">
        <v>4130</v>
      </c>
      <c r="K720" s="715" t="n">
        <v>11.62227602905569</v>
      </c>
      <c r="L720" s="74" t="n">
        <v>0</v>
      </c>
      <c r="M720" s="76" t="n">
        <v>0</v>
      </c>
      <c r="N720" s="67" t="n">
        <v>1973</v>
      </c>
      <c r="O720" s="64">
        <f>590+885</f>
        <v/>
      </c>
      <c r="Q720" s="59" t="n">
        <v>14</v>
      </c>
      <c r="R720" s="59" t="n">
        <v>3</v>
      </c>
      <c r="S720" s="59" t="n">
        <v>1</v>
      </c>
      <c r="T720" s="63" t="inlineStr">
        <is>
          <t xml:space="preserve">I1   </t>
        </is>
      </c>
      <c r="U720" s="63" t="n">
        <v>401</v>
      </c>
      <c r="V720" s="714" t="n">
        <v>6250</v>
      </c>
      <c r="W720" s="714" t="n">
        <v>6000</v>
      </c>
      <c r="X720" s="83" t="inlineStr">
        <is>
          <t>1.5:1</t>
        </is>
      </c>
      <c r="Y720" s="714">
        <f>ROUND(J720,-3)</f>
        <v/>
      </c>
      <c r="Z720" s="63" t="inlineStr">
        <is>
          <t xml:space="preserve">C </t>
        </is>
      </c>
      <c r="AA720" s="59" t="n">
        <v>3</v>
      </c>
      <c r="AB720" s="59" t="n">
        <v>3</v>
      </c>
      <c r="AC720" s="67" t="inlineStr">
        <is>
          <t>33</t>
        </is>
      </c>
      <c r="AD720" s="61" t="inlineStr">
        <is>
          <t xml:space="preserve">S-W                 </t>
        </is>
      </c>
      <c r="AE720" s="716" t="n"/>
      <c r="AF720" s="716" t="n"/>
      <c r="AG720" s="716" t="n"/>
      <c r="AH720" s="716" t="n"/>
      <c r="AI720" s="716" t="n"/>
      <c r="AJ720" s="716" t="n"/>
      <c r="AK720" s="716" t="inlineStr">
        <is>
          <t xml:space="preserve">S-T WHSE.                                                         </t>
        </is>
      </c>
      <c r="AL720">
        <f>IF(AND(ISNUMBER($S720),$S720&gt;0,ISNUMBER($K720),ISNUMBER($J720)),($K720*$J720)/$S720,"")</f>
        <v/>
      </c>
    </row>
    <row r="721">
      <c r="A721" s="62" t="n">
        <v>8</v>
      </c>
      <c r="B721" s="93" t="n">
        <v>713</v>
      </c>
      <c r="C721" s="68" t="inlineStr">
        <is>
          <t>2009Q</t>
        </is>
      </c>
      <c r="D721" s="59" t="inlineStr">
        <is>
          <t xml:space="preserve">02214-18-011-000 </t>
        </is>
      </c>
      <c r="E721" s="72" t="inlineStr">
        <is>
          <t>Actual</t>
        </is>
      </c>
      <c r="F721" s="73" t="inlineStr">
        <is>
          <t>4101   INCA                 ST</t>
        </is>
      </c>
      <c r="G721" s="708" t="n">
        <v>44.1</v>
      </c>
      <c r="H721" s="67" t="n">
        <v>9208</v>
      </c>
      <c r="I721" s="69" t="n">
        <v>0</v>
      </c>
      <c r="J721" s="714" t="n">
        <v>2320</v>
      </c>
      <c r="K721" s="715" t="n">
        <v>7.758620689655173</v>
      </c>
      <c r="L721" s="74" t="n">
        <v>0</v>
      </c>
      <c r="M721" s="76" t="n">
        <v>0</v>
      </c>
      <c r="N721" s="67" t="n">
        <v>1935</v>
      </c>
      <c r="O721" s="64" t="n">
        <v>1021</v>
      </c>
      <c r="Q721" s="59" t="n">
        <v>17</v>
      </c>
      <c r="R721" s="59" t="n">
        <v>1</v>
      </c>
      <c r="S721" s="59" t="n">
        <v>1</v>
      </c>
      <c r="T721" s="63" t="inlineStr">
        <is>
          <t xml:space="preserve">I1   </t>
        </is>
      </c>
      <c r="U721" s="63" t="n">
        <v>398</v>
      </c>
      <c r="V721" s="714" t="n">
        <v>12500</v>
      </c>
      <c r="W721" s="714" t="n">
        <v>13000</v>
      </c>
      <c r="X721" s="83" t="inlineStr">
        <is>
          <t>5.4:1</t>
        </is>
      </c>
      <c r="Y721" s="714">
        <f>ROUND(J721,-3)</f>
        <v/>
      </c>
      <c r="Z721" s="63" t="inlineStr">
        <is>
          <t xml:space="preserve">C </t>
        </is>
      </c>
      <c r="AA721" s="59" t="n">
        <v>3</v>
      </c>
      <c r="AB721" s="59" t="n">
        <v>3</v>
      </c>
      <c r="AC721" s="67" t="inlineStr">
        <is>
          <t>33</t>
        </is>
      </c>
      <c r="AD721" s="61" t="inlineStr">
        <is>
          <t>S-W COM CITY ELECTRC</t>
        </is>
      </c>
      <c r="AE721" s="716" t="n"/>
      <c r="AF721" s="716" t="n"/>
      <c r="AG721" s="716" t="n"/>
      <c r="AH721" s="716" t="n"/>
      <c r="AI721" s="716" t="n"/>
      <c r="AJ721" s="716" t="n"/>
      <c r="AK721" s="716" t="inlineStr">
        <is>
          <t xml:space="preserve">S-T WHSE.; AGE OF LEASE UNKNOWN.                                  </t>
        </is>
      </c>
      <c r="AL721">
        <f>IF(AND(ISNUMBER($S721),$S721&gt;0,ISNUMBER($K721),ISNUMBER($J721)),($K721*$J721)/$S721,"")</f>
        <v/>
      </c>
    </row>
    <row r="722">
      <c r="A722" s="62" t="n">
        <v>8</v>
      </c>
      <c r="B722" s="93" t="n">
        <v>714</v>
      </c>
      <c r="C722" s="68" t="inlineStr">
        <is>
          <t>2009Q</t>
        </is>
      </c>
      <c r="D722" s="59" t="inlineStr">
        <is>
          <t xml:space="preserve">02214-41-006-000 </t>
        </is>
      </c>
      <c r="E722" s="72" t="inlineStr">
        <is>
          <t>Actual</t>
        </is>
      </c>
      <c r="F722" s="73" t="inlineStr">
        <is>
          <t>1627 W 38TH                 AV</t>
        </is>
      </c>
      <c r="G722" s="708" t="n">
        <v>44.1</v>
      </c>
      <c r="H722" s="67" t="n">
        <v>9208</v>
      </c>
      <c r="I722" s="69" t="n">
        <v>9</v>
      </c>
      <c r="J722" s="714" t="n">
        <v>6599</v>
      </c>
      <c r="K722" s="715" t="n">
        <v>7.311713896044855</v>
      </c>
      <c r="L722" s="74" t="n">
        <v>0</v>
      </c>
      <c r="M722" s="76" t="n">
        <v>0.07050777202072539</v>
      </c>
      <c r="N722" s="67" t="n">
        <v>1952</v>
      </c>
      <c r="Q722" s="59" t="n">
        <v>12</v>
      </c>
      <c r="R722" s="59" t="n">
        <v>3</v>
      </c>
      <c r="S722" s="59" t="n">
        <v>1</v>
      </c>
      <c r="T722" s="63" t="inlineStr">
        <is>
          <t xml:space="preserve">R2   </t>
        </is>
      </c>
      <c r="U722" s="63" t="n">
        <v>401</v>
      </c>
      <c r="V722" s="714" t="n">
        <v>9440</v>
      </c>
      <c r="W722" s="714" t="n">
        <v>9000</v>
      </c>
      <c r="X722" s="83" t="inlineStr">
        <is>
          <t>1.4:1</t>
        </is>
      </c>
      <c r="Y722" s="714">
        <f>ROUND(J722,-3)</f>
        <v/>
      </c>
      <c r="Z722" s="63" t="inlineStr">
        <is>
          <t xml:space="preserve">C </t>
        </is>
      </c>
      <c r="AA722" s="59" t="n">
        <v>3</v>
      </c>
      <c r="AB722" s="59" t="n">
        <v>3</v>
      </c>
      <c r="AC722" s="67" t="inlineStr">
        <is>
          <t>33</t>
        </is>
      </c>
      <c r="AD722" s="61" t="inlineStr"/>
      <c r="AE722" s="716" t="n"/>
      <c r="AF722" s="716" t="n"/>
      <c r="AG722" s="716" t="n"/>
      <c r="AH722" s="716" t="n"/>
      <c r="AI722" s="716" t="n"/>
      <c r="AJ722" s="716" t="n"/>
      <c r="AK722" s="716" t="inlineStr">
        <is>
          <t xml:space="preserve">M-T WHSE; 3 TENANTS; YR-TO-YR LEASES.                             </t>
        </is>
      </c>
      <c r="AL722">
        <f>IF(AND(ISNUMBER($S722),$S722&gt;0,ISNUMBER($K722),ISNUMBER($J722)),($K722*$J722)/$S722,"")</f>
        <v/>
      </c>
    </row>
    <row r="723">
      <c r="A723" s="62" t="n">
        <v>8</v>
      </c>
      <c r="B723" s="93" t="n">
        <v>715</v>
      </c>
      <c r="C723" s="68" t="inlineStr">
        <is>
          <t>2009Q</t>
        </is>
      </c>
      <c r="D723" s="59" t="inlineStr">
        <is>
          <t xml:space="preserve">02214-44-001-000 </t>
        </is>
      </c>
      <c r="E723" s="72" t="inlineStr">
        <is>
          <t>Actual</t>
        </is>
      </c>
      <c r="F723" s="73" t="inlineStr">
        <is>
          <t>3850   MARIPOSA             ST</t>
        </is>
      </c>
      <c r="G723" s="708" t="n">
        <v>44.1</v>
      </c>
      <c r="H723" s="67" t="n">
        <v>9208</v>
      </c>
      <c r="I723" s="69" t="n">
        <v>0</v>
      </c>
      <c r="J723" s="714" t="n">
        <v>5980</v>
      </c>
      <c r="K723" s="715" t="n">
        <v>8.695652173913043</v>
      </c>
      <c r="L723" s="74" t="n">
        <v>0</v>
      </c>
      <c r="M723" s="76" t="n">
        <v>0.03165384615384615</v>
      </c>
      <c r="N723" s="67" t="n">
        <v>1955</v>
      </c>
      <c r="O723" s="64" t="n">
        <v>1552</v>
      </c>
      <c r="Q723" s="59" t="n">
        <v>13</v>
      </c>
      <c r="R723" s="59" t="n">
        <v>1</v>
      </c>
      <c r="S723" s="59" t="n">
        <v>1</v>
      </c>
      <c r="T723" s="63" t="inlineStr">
        <is>
          <t xml:space="preserve">B4   </t>
        </is>
      </c>
      <c r="U723" s="63" t="n">
        <v>398</v>
      </c>
      <c r="V723" s="714" t="n">
        <v>12535</v>
      </c>
      <c r="W723" s="714" t="n">
        <v>13000</v>
      </c>
      <c r="X723" s="83" t="inlineStr">
        <is>
          <t>2.1:1</t>
        </is>
      </c>
      <c r="Y723" s="714">
        <f>ROUND(J723,-3)</f>
        <v/>
      </c>
      <c r="Z723" s="63" t="inlineStr">
        <is>
          <t xml:space="preserve">C </t>
        </is>
      </c>
      <c r="AA723" s="59" t="n">
        <v>3</v>
      </c>
      <c r="AB723" s="59" t="n">
        <v>3</v>
      </c>
      <c r="AC723" s="67" t="inlineStr">
        <is>
          <t>33</t>
        </is>
      </c>
      <c r="AD723" s="61" t="inlineStr"/>
      <c r="AE723" s="716" t="n"/>
      <c r="AF723" s="716" t="n"/>
      <c r="AG723" s="716" t="n"/>
      <c r="AH723" s="716" t="n"/>
      <c r="AI723" s="716" t="n"/>
      <c r="AJ723" s="716" t="n"/>
      <c r="AK723" s="716" t="inlineStr">
        <is>
          <t xml:space="preserve">M-T WHSE. 3 TENANTS; LEASES 2004 - 2008.                          </t>
        </is>
      </c>
      <c r="AL723">
        <f>IF(AND(ISNUMBER($S723),$S723&gt;0,ISNUMBER($K723),ISNUMBER($J723)),($K723*$J723)/$S723,"")</f>
        <v/>
      </c>
    </row>
    <row r="724">
      <c r="A724" s="62" t="n">
        <v>8</v>
      </c>
      <c r="B724" s="93" t="n">
        <v>716</v>
      </c>
      <c r="C724" s="68" t="inlineStr">
        <is>
          <t>2009Q</t>
        </is>
      </c>
      <c r="D724" s="59" t="inlineStr">
        <is>
          <t xml:space="preserve">02214-47-016-000 </t>
        </is>
      </c>
      <c r="E724" s="72" t="inlineStr">
        <is>
          <t>Actual</t>
        </is>
      </c>
      <c r="F724" s="73" t="inlineStr">
        <is>
          <t>3819   INCA                 ST</t>
        </is>
      </c>
      <c r="G724" s="708" t="n">
        <v>44.1</v>
      </c>
      <c r="H724" s="67" t="n">
        <v>9208</v>
      </c>
      <c r="I724" s="69" t="n">
        <v>0</v>
      </c>
      <c r="J724" s="714" t="n">
        <v>7360</v>
      </c>
      <c r="K724" s="715" t="n">
        <v>5.298913043478261</v>
      </c>
      <c r="L724" s="74" t="n">
        <v>0</v>
      </c>
      <c r="M724" s="76" t="n">
        <v>0.05435897435897436</v>
      </c>
      <c r="N724" s="67" t="n">
        <v>1972</v>
      </c>
      <c r="O724" s="64" t="n">
        <v>430</v>
      </c>
      <c r="Q724" s="59" t="n">
        <v>23</v>
      </c>
      <c r="R724" s="59" t="n">
        <v>3</v>
      </c>
      <c r="S724" s="59" t="n">
        <v>1</v>
      </c>
      <c r="T724" s="63" t="inlineStr">
        <is>
          <t xml:space="preserve">I0   </t>
        </is>
      </c>
      <c r="U724" s="63" t="n">
        <v>398</v>
      </c>
      <c r="V724" s="714" t="n">
        <v>18750</v>
      </c>
      <c r="W724" s="714" t="n">
        <v>19000</v>
      </c>
      <c r="X724" s="83" t="inlineStr">
        <is>
          <t>2.5:1</t>
        </is>
      </c>
      <c r="Y724" s="714">
        <f>ROUND(J724,-3)</f>
        <v/>
      </c>
      <c r="Z724" s="63" t="inlineStr">
        <is>
          <t xml:space="preserve">C </t>
        </is>
      </c>
      <c r="AA724" s="59" t="n">
        <v>3</v>
      </c>
      <c r="AB724" s="59" t="n">
        <v>3</v>
      </c>
      <c r="AC724" s="67" t="inlineStr">
        <is>
          <t>33</t>
        </is>
      </c>
      <c r="AD724" s="61" t="inlineStr"/>
      <c r="AE724" s="716" t="n"/>
      <c r="AF724" s="716" t="n"/>
      <c r="AG724" s="716" t="n"/>
      <c r="AH724" s="716" t="n"/>
      <c r="AI724" s="716" t="n"/>
      <c r="AJ724" s="716" t="n"/>
      <c r="AK724" s="716" t="inlineStr">
        <is>
          <t xml:space="preserve">M-T WHSE; 2 TENANTS; LEASES 2000,2004.                            </t>
        </is>
      </c>
      <c r="AL724">
        <f>IF(AND(ISNUMBER($S724),$S724&gt;0,ISNUMBER($K724),ISNUMBER($J724)),($K724*$J724)/$S724,"")</f>
        <v/>
      </c>
    </row>
    <row r="725">
      <c r="A725" s="62" t="n">
        <v>8</v>
      </c>
      <c r="B725" s="93" t="n">
        <v>717</v>
      </c>
      <c r="C725" s="68" t="inlineStr">
        <is>
          <t>2009Q</t>
        </is>
      </c>
      <c r="D725" s="59" t="inlineStr">
        <is>
          <t xml:space="preserve">02221-01-012-000 </t>
        </is>
      </c>
      <c r="E725" s="72" t="inlineStr">
        <is>
          <t>Actual</t>
        </is>
      </c>
      <c r="F725" s="73" t="inlineStr">
        <is>
          <t>4801   WASHINGTON           ST</t>
        </is>
      </c>
      <c r="G725" s="708" t="n">
        <v>44.1</v>
      </c>
      <c r="H725" s="67" t="n">
        <v>9201</v>
      </c>
      <c r="I725" s="69" t="n">
        <v>0</v>
      </c>
      <c r="J725" s="714" t="n">
        <v>1497</v>
      </c>
      <c r="K725" s="715" t="n">
        <v>24.04809619238477</v>
      </c>
      <c r="L725" s="74" t="n">
        <v>0</v>
      </c>
      <c r="M725" s="76" t="n">
        <v>0</v>
      </c>
      <c r="N725" s="67" t="n">
        <v>1886</v>
      </c>
      <c r="O725" s="64" t="n">
        <v>600</v>
      </c>
      <c r="Q725" s="59" t="n">
        <v>12</v>
      </c>
      <c r="R725" s="59" t="n">
        <v>7</v>
      </c>
      <c r="S725" s="59" t="n">
        <v>1</v>
      </c>
      <c r="T725" s="63" t="inlineStr">
        <is>
          <t xml:space="preserve">I1   </t>
        </is>
      </c>
      <c r="U725" s="63" t="n">
        <v>398</v>
      </c>
      <c r="V725" s="714" t="n">
        <v>6834</v>
      </c>
      <c r="W725" s="714" t="n">
        <v>7000</v>
      </c>
      <c r="X725" s="83" t="inlineStr">
        <is>
          <t>4.6:1</t>
        </is>
      </c>
      <c r="Y725" s="714">
        <f>ROUND(J725,-2)</f>
        <v/>
      </c>
      <c r="Z725" s="63" t="inlineStr">
        <is>
          <t xml:space="preserve">C </t>
        </is>
      </c>
      <c r="AA725" s="59" t="n">
        <v>3</v>
      </c>
      <c r="AB725" s="59" t="n">
        <v>3</v>
      </c>
      <c r="AC725" s="67" t="inlineStr">
        <is>
          <t>33</t>
        </is>
      </c>
      <c r="AD725" s="61" t="inlineStr">
        <is>
          <t xml:space="preserve">S-W POOR BOY AUTO   </t>
        </is>
      </c>
      <c r="AE725" s="716" t="n"/>
      <c r="AF725" s="716" t="n"/>
      <c r="AG725" s="716" t="n"/>
      <c r="AH725" s="716" t="n"/>
      <c r="AI725" s="716" t="n"/>
      <c r="AJ725" s="716" t="n"/>
      <c r="AK725" s="716" t="inlineStr">
        <is>
          <t xml:space="preserve">S-T WHSE.                                                         </t>
        </is>
      </c>
      <c r="AL725">
        <f>IF(AND(ISNUMBER($S725),$S725&gt;0,ISNUMBER($K725),ISNUMBER($J725)),($K725*$J725)/$S725,"")</f>
        <v/>
      </c>
    </row>
    <row r="726">
      <c r="A726" s="62" t="n">
        <v>8</v>
      </c>
      <c r="B726" s="93" t="n">
        <v>718</v>
      </c>
      <c r="C726" s="68" t="inlineStr">
        <is>
          <t>2009Q</t>
        </is>
      </c>
      <c r="D726" s="59" t="inlineStr">
        <is>
          <t xml:space="preserve">02222-00-048-000 </t>
        </is>
      </c>
      <c r="E726" s="72" t="inlineStr">
        <is>
          <t>Actual</t>
        </is>
      </c>
      <c r="F726" s="73" t="inlineStr">
        <is>
          <t>301 W 45TH                 AV</t>
        </is>
      </c>
      <c r="G726" s="708" t="n">
        <v>44.1</v>
      </c>
      <c r="H726" s="67" t="n">
        <v>9208</v>
      </c>
      <c r="I726" s="69" t="n">
        <v>0</v>
      </c>
      <c r="J726" s="714" t="n">
        <v>13678</v>
      </c>
      <c r="K726" s="715" t="n">
        <v>15.35312180143296</v>
      </c>
      <c r="L726" s="74" t="n">
        <v>0</v>
      </c>
      <c r="M726" s="76" t="n">
        <v>0.01935714285714286</v>
      </c>
      <c r="N726" s="67" t="n">
        <v>1963</v>
      </c>
      <c r="O726" s="64" t="n">
        <v>3272</v>
      </c>
      <c r="Q726" s="59" t="n">
        <v>13</v>
      </c>
      <c r="R726" s="59" t="n">
        <v>1</v>
      </c>
      <c r="S726" s="59" t="n">
        <v>1</v>
      </c>
      <c r="T726" s="63" t="inlineStr">
        <is>
          <t xml:space="preserve">I2   </t>
        </is>
      </c>
      <c r="U726" s="63" t="n">
        <v>398</v>
      </c>
      <c r="V726" s="714" t="n">
        <v>29006</v>
      </c>
      <c r="W726" s="714" t="n">
        <v>29000</v>
      </c>
      <c r="X726" s="83" t="inlineStr">
        <is>
          <t>2.1:1</t>
        </is>
      </c>
      <c r="Y726" s="714">
        <f>ROUND(J726,-3)</f>
        <v/>
      </c>
      <c r="Z726" s="63" t="inlineStr">
        <is>
          <t xml:space="preserve">C </t>
        </is>
      </c>
      <c r="AA726" s="59" t="n">
        <v>3</v>
      </c>
      <c r="AB726" s="59" t="n">
        <v>3</v>
      </c>
      <c r="AC726" s="67" t="inlineStr">
        <is>
          <t>33</t>
        </is>
      </c>
      <c r="AD726" s="61" t="inlineStr">
        <is>
          <t>ENV'RNMNTAL DEMO'LTN</t>
        </is>
      </c>
      <c r="AE726" s="716" t="n"/>
      <c r="AF726" s="716" t="n"/>
      <c r="AG726" s="716" t="n"/>
      <c r="AH726" s="716" t="n"/>
      <c r="AI726" s="716" t="n"/>
      <c r="AJ726" s="716" t="n"/>
      <c r="AK726" s="716" t="inlineStr">
        <is>
          <t xml:space="preserve">S-T WHSE.; 2006 LEASE.                                            </t>
        </is>
      </c>
      <c r="AL726">
        <f>IF(AND(ISNUMBER($S726),$S726&gt;0,ISNUMBER($K726),ISNUMBER($J726)),($K726*$J726)/$S726,"")</f>
        <v/>
      </c>
    </row>
    <row r="727">
      <c r="A727" s="62" t="n">
        <v>8</v>
      </c>
      <c r="B727" s="93" t="n">
        <v>719</v>
      </c>
      <c r="C727" s="68" t="inlineStr">
        <is>
          <t>2009Q</t>
        </is>
      </c>
      <c r="D727" s="59" t="inlineStr">
        <is>
          <t xml:space="preserve">02222-00-063-000 </t>
        </is>
      </c>
      <c r="E727" s="72" t="inlineStr">
        <is>
          <t>Actual</t>
        </is>
      </c>
      <c r="F727" s="73" t="inlineStr">
        <is>
          <t>750 W 48TH                 AV</t>
        </is>
      </c>
      <c r="G727" s="708" t="n">
        <v>44.2</v>
      </c>
      <c r="H727" s="67" t="n">
        <v>9208</v>
      </c>
      <c r="I727" s="69" t="n">
        <v>0</v>
      </c>
      <c r="J727" s="714" t="n">
        <v>11507</v>
      </c>
      <c r="K727" s="715" t="n">
        <v>9.401234031459111</v>
      </c>
      <c r="L727" s="74" t="n">
        <v>0</v>
      </c>
      <c r="M727" s="76" t="n">
        <v>0</v>
      </c>
      <c r="N727" s="67" t="n">
        <v>1967</v>
      </c>
      <c r="O727" s="64" t="n">
        <v>4376</v>
      </c>
      <c r="Q727" s="59" t="n">
        <v>13</v>
      </c>
      <c r="R727" s="59" t="n">
        <v>3</v>
      </c>
      <c r="S727" s="59" t="n">
        <v>1</v>
      </c>
      <c r="T727" s="63" t="inlineStr">
        <is>
          <t xml:space="preserve">I2   </t>
        </is>
      </c>
      <c r="U727" s="63" t="n">
        <v>398</v>
      </c>
      <c r="V727" s="714" t="n">
        <v>72660</v>
      </c>
      <c r="W727" s="714" t="n">
        <v>70000</v>
      </c>
      <c r="X727" s="83" t="inlineStr">
        <is>
          <t>6.3:1</t>
        </is>
      </c>
      <c r="Y727" s="714">
        <f>ROUND(J727,-3)</f>
        <v/>
      </c>
      <c r="Z727" s="63" t="inlineStr">
        <is>
          <t xml:space="preserve">C </t>
        </is>
      </c>
      <c r="AA727" s="59" t="n">
        <v>3</v>
      </c>
      <c r="AB727" s="59" t="n">
        <v>3</v>
      </c>
      <c r="AC727" s="67" t="inlineStr">
        <is>
          <t>33</t>
        </is>
      </c>
      <c r="AD727" s="61" t="inlineStr">
        <is>
          <t>S-D AAA WATERPROOFNG</t>
        </is>
      </c>
      <c r="AE727" s="716" t="n"/>
      <c r="AF727" s="716" t="n"/>
      <c r="AG727" s="716" t="n"/>
      <c r="AH727" s="716" t="n"/>
      <c r="AI727" s="716" t="n"/>
      <c r="AJ727" s="716" t="n"/>
      <c r="AK727" s="716" t="inlineStr">
        <is>
          <t xml:space="preserve">S-T WHSE.                                                         </t>
        </is>
      </c>
      <c r="AL727">
        <f>IF(AND(ISNUMBER($S727),$S727&gt;0,ISNUMBER($K727),ISNUMBER($J727)),($K727*$J727)/$S727,"")</f>
        <v/>
      </c>
    </row>
    <row r="728">
      <c r="A728" s="62" t="n">
        <v>8</v>
      </c>
      <c r="B728" s="93" t="n">
        <v>720</v>
      </c>
      <c r="C728" s="68" t="inlineStr">
        <is>
          <t>2009Q</t>
        </is>
      </c>
      <c r="D728" s="59" t="inlineStr">
        <is>
          <t xml:space="preserve">02223-12-018-000 </t>
        </is>
      </c>
      <c r="E728" s="72" t="inlineStr">
        <is>
          <t>Actual</t>
        </is>
      </c>
      <c r="F728" s="73" t="inlineStr">
        <is>
          <t>4200   FOX                  ST</t>
        </is>
      </c>
      <c r="G728" s="708" t="n">
        <v>44.1</v>
      </c>
      <c r="H728" s="67" t="n">
        <v>9208</v>
      </c>
      <c r="I728" s="69" t="n">
        <v>0</v>
      </c>
      <c r="J728" s="714" t="n">
        <v>1305</v>
      </c>
      <c r="K728" s="715" t="n">
        <v>5.517241379310345</v>
      </c>
      <c r="L728" s="74" t="n">
        <v>0</v>
      </c>
      <c r="M728" s="76" t="n">
        <v>0.1693055555555555</v>
      </c>
      <c r="N728" s="67" t="n">
        <v>1953</v>
      </c>
      <c r="O728" s="64" t="n">
        <v>392</v>
      </c>
      <c r="Q728" s="59" t="n">
        <v>11</v>
      </c>
      <c r="R728" s="59" t="n">
        <v>3</v>
      </c>
      <c r="S728" s="59" t="n">
        <v>1</v>
      </c>
      <c r="T728" s="63" t="inlineStr">
        <is>
          <t xml:space="preserve">I1   </t>
        </is>
      </c>
      <c r="U728" s="63" t="n">
        <v>398</v>
      </c>
      <c r="V728" s="714" t="n">
        <v>7519</v>
      </c>
      <c r="W728" s="714" t="n">
        <v>8000</v>
      </c>
      <c r="X728" s="83" t="inlineStr">
        <is>
          <t>2.4:1</t>
        </is>
      </c>
      <c r="Y728" s="714">
        <f>ROUND(J728,-2)</f>
        <v/>
      </c>
      <c r="Z728" s="63" t="inlineStr">
        <is>
          <t xml:space="preserve">C </t>
        </is>
      </c>
      <c r="AA728" s="59" t="n">
        <v>3</v>
      </c>
      <c r="AB728" s="59" t="n">
        <v>3</v>
      </c>
      <c r="AC728" s="67" t="inlineStr">
        <is>
          <t>33</t>
        </is>
      </c>
      <c r="AD728" s="61" t="inlineStr">
        <is>
          <t xml:space="preserve">S-W                 </t>
        </is>
      </c>
      <c r="AE728" s="716" t="n"/>
      <c r="AF728" s="716" t="n"/>
      <c r="AG728" s="716" t="n"/>
      <c r="AH728" s="716" t="n"/>
      <c r="AI728" s="716" t="n"/>
      <c r="AJ728" s="716" t="n"/>
      <c r="AK728" s="716" t="inlineStr">
        <is>
          <t xml:space="preserve">M-T WHSE.; 2 TENANTS; 2006 LEASE.                                 </t>
        </is>
      </c>
      <c r="AL728">
        <f>IF(AND(ISNUMBER($S728),$S728&gt;0,ISNUMBER($K728),ISNUMBER($J728)),($K728*$J728)/$S728,"")</f>
        <v/>
      </c>
    </row>
    <row r="729">
      <c r="A729" s="62" t="n">
        <v>8</v>
      </c>
      <c r="B729" s="93" t="n">
        <v>721</v>
      </c>
      <c r="C729" s="68" t="inlineStr">
        <is>
          <t>2009Q</t>
        </is>
      </c>
      <c r="D729" s="59" t="inlineStr">
        <is>
          <t xml:space="preserve">02223-13-024-000 </t>
        </is>
      </c>
      <c r="E729" s="72" t="inlineStr">
        <is>
          <t>Actual</t>
        </is>
      </c>
      <c r="F729" s="73" t="inlineStr">
        <is>
          <t>4256   ELATI                ST</t>
        </is>
      </c>
      <c r="G729" s="708" t="inlineStr">
        <is>
          <t>44.M</t>
        </is>
      </c>
      <c r="H729" s="67" t="n">
        <v>9208</v>
      </c>
      <c r="I729" s="69" t="n">
        <v>0</v>
      </c>
      <c r="J729" s="714" t="n">
        <v>2000</v>
      </c>
      <c r="K729" s="715" t="n">
        <v>4.2</v>
      </c>
      <c r="L729" s="74" t="n">
        <v>1</v>
      </c>
      <c r="M729" s="76" t="n">
        <v>0.1045238095238095</v>
      </c>
      <c r="N729" s="67" t="n">
        <v>1978</v>
      </c>
      <c r="O729" s="64" t="n">
        <v>150</v>
      </c>
      <c r="Q729" s="59" t="n">
        <v>10</v>
      </c>
      <c r="R729" s="59" t="n">
        <v>7</v>
      </c>
      <c r="S729" s="59" t="n">
        <v>1</v>
      </c>
      <c r="T729" s="63" t="inlineStr">
        <is>
          <t xml:space="preserve">I1   </t>
        </is>
      </c>
      <c r="U729" s="63" t="n">
        <v>398</v>
      </c>
      <c r="V729" s="714" t="n">
        <v>7175</v>
      </c>
      <c r="W729" s="714" t="n">
        <v>7000</v>
      </c>
      <c r="X729" s="83" t="inlineStr">
        <is>
          <t>3.6:1</t>
        </is>
      </c>
      <c r="Y729" s="714">
        <f>ROUND(J729,-3)</f>
        <v/>
      </c>
      <c r="Z729" s="63" t="inlineStr">
        <is>
          <t xml:space="preserve">C </t>
        </is>
      </c>
      <c r="AA729" s="59" t="n">
        <v>3</v>
      </c>
      <c r="AB729" s="59" t="n">
        <v>3</v>
      </c>
      <c r="AC729" s="67" t="inlineStr">
        <is>
          <t>33</t>
        </is>
      </c>
      <c r="AD729" s="61" t="inlineStr">
        <is>
          <t>S-W ALEX MANUFACTURG</t>
        </is>
      </c>
      <c r="AE729" s="716" t="n"/>
      <c r="AF729" s="716" t="n"/>
      <c r="AG729" s="716" t="n"/>
      <c r="AH729" s="716" t="n"/>
      <c r="AI729" s="716" t="n"/>
      <c r="AJ729" s="716" t="n"/>
      <c r="AK729" s="716" t="inlineStr">
        <is>
          <t xml:space="preserve">S-T WHSE.; AGE OF LEASE UNKNOWN.                                  </t>
        </is>
      </c>
      <c r="AL729">
        <f>IF(AND(ISNUMBER($S729),$S729&gt;0,ISNUMBER($K729),ISNUMBER($J729)),($K729*$J729)/$S729,"")</f>
        <v/>
      </c>
    </row>
    <row r="730">
      <c r="A730" s="62" t="n">
        <v>8</v>
      </c>
      <c r="B730" s="93" t="n">
        <v>722</v>
      </c>
      <c r="C730" s="68" t="inlineStr">
        <is>
          <t>2009Q</t>
        </is>
      </c>
      <c r="D730" s="59" t="inlineStr">
        <is>
          <t xml:space="preserve">02223-19-009-000 </t>
        </is>
      </c>
      <c r="E730" s="72" t="inlineStr">
        <is>
          <t>Actual</t>
        </is>
      </c>
      <c r="F730" s="73" t="inlineStr">
        <is>
          <t>450 W 42ND                 AV</t>
        </is>
      </c>
      <c r="G730" s="708" t="n">
        <v>44.1</v>
      </c>
      <c r="H730" s="67" t="n">
        <v>9208</v>
      </c>
      <c r="I730" s="69" t="n">
        <v>0</v>
      </c>
      <c r="J730" s="714" t="n">
        <v>6144</v>
      </c>
      <c r="K730" s="715" t="n">
        <v>6.429036458333333</v>
      </c>
      <c r="L730" s="74" t="n">
        <v>0</v>
      </c>
      <c r="M730" s="76" t="n">
        <v>0.04810126582278481</v>
      </c>
      <c r="N730" s="67" t="n">
        <v>1973</v>
      </c>
      <c r="O730" s="64" t="n">
        <v>1593</v>
      </c>
      <c r="Q730" s="59" t="n">
        <v>14</v>
      </c>
      <c r="R730" s="59" t="n">
        <v>14</v>
      </c>
      <c r="S730" s="59" t="n">
        <v>1</v>
      </c>
      <c r="T730" s="63" t="inlineStr">
        <is>
          <t xml:space="preserve">I1   </t>
        </is>
      </c>
      <c r="U730" s="63" t="n">
        <v>398</v>
      </c>
      <c r="V730" s="714" t="n">
        <v>30805</v>
      </c>
      <c r="W730" s="714" t="n">
        <v>31000</v>
      </c>
      <c r="X730" s="83" t="inlineStr">
        <is>
          <t>5.0:1</t>
        </is>
      </c>
      <c r="Y730" s="714">
        <f>ROUND(J730,-3)</f>
        <v/>
      </c>
      <c r="Z730" s="63" t="inlineStr">
        <is>
          <t xml:space="preserve">C </t>
        </is>
      </c>
      <c r="AA730" s="59" t="n">
        <v>3</v>
      </c>
      <c r="AB730" s="59" t="n">
        <v>3</v>
      </c>
      <c r="AC730" s="67" t="inlineStr">
        <is>
          <t>33</t>
        </is>
      </c>
      <c r="AD730" s="61" t="inlineStr">
        <is>
          <t xml:space="preserve">SHERMAN WILLIAMS    </t>
        </is>
      </c>
      <c r="AE730" s="716" t="n"/>
      <c r="AF730" s="716" t="n"/>
      <c r="AG730" s="716" t="n"/>
      <c r="AH730" s="716" t="n"/>
      <c r="AI730" s="716" t="n"/>
      <c r="AJ730" s="716" t="n"/>
      <c r="AK730" s="716" t="inlineStr">
        <is>
          <t xml:space="preserve">S-T WHSE.; 2005 LEASE.                                            </t>
        </is>
      </c>
      <c r="AL730">
        <f>IF(AND(ISNUMBER($S730),$S730&gt;0,ISNUMBER($K730),ISNUMBER($J730)),($K730*$J730)/$S730,"")</f>
        <v/>
      </c>
    </row>
    <row r="731">
      <c r="A731" s="62" t="n">
        <v>8</v>
      </c>
      <c r="B731" s="93" t="n">
        <v>723</v>
      </c>
      <c r="C731" s="68" t="inlineStr">
        <is>
          <t>2009Q</t>
        </is>
      </c>
      <c r="D731" s="59" t="inlineStr">
        <is>
          <t xml:space="preserve">02223-25-012-012 </t>
        </is>
      </c>
      <c r="E731" s="72" t="inlineStr">
        <is>
          <t>Actual</t>
        </is>
      </c>
      <c r="F731" s="73" t="inlineStr">
        <is>
          <t>4001   ELATI                ST</t>
        </is>
      </c>
      <c r="G731" s="708" t="n">
        <v>44.8</v>
      </c>
      <c r="H731" s="67" t="n">
        <v>9208</v>
      </c>
      <c r="I731" s="69" t="n">
        <v>0</v>
      </c>
      <c r="J731" s="714" t="n">
        <v>2406</v>
      </c>
      <c r="K731" s="715" t="n">
        <v>12.42394014962593</v>
      </c>
      <c r="L731" s="74" t="n">
        <v>0</v>
      </c>
      <c r="M731" s="76" t="n">
        <v>0</v>
      </c>
      <c r="N731" s="67" t="n">
        <v>1962</v>
      </c>
      <c r="O731" s="64" t="n">
        <v>2149</v>
      </c>
      <c r="Q731" s="59" t="n">
        <v>13</v>
      </c>
      <c r="R731" s="59" t="n">
        <v>1</v>
      </c>
      <c r="S731" s="59" t="n">
        <v>1</v>
      </c>
      <c r="T731" s="63" t="inlineStr">
        <is>
          <t xml:space="preserve">I1   </t>
        </is>
      </c>
      <c r="U731" s="63" t="n">
        <v>398</v>
      </c>
      <c r="V731" s="714" t="n">
        <v>4537</v>
      </c>
      <c r="W731" s="714" t="n">
        <v>5000</v>
      </c>
      <c r="X731" s="83" t="inlineStr">
        <is>
          <t>1.9:1</t>
        </is>
      </c>
      <c r="Y731" s="714">
        <f>ROUND(J731,-3)</f>
        <v/>
      </c>
      <c r="Z731" s="63" t="inlineStr">
        <is>
          <t xml:space="preserve">C </t>
        </is>
      </c>
      <c r="AA731" s="59" t="n">
        <v>3</v>
      </c>
      <c r="AB731" s="59" t="n">
        <v>3</v>
      </c>
      <c r="AC731" s="67" t="inlineStr">
        <is>
          <t>33</t>
        </is>
      </c>
      <c r="AD731" s="61" t="inlineStr">
        <is>
          <t xml:space="preserve">CLINICA TEPEYAC     </t>
        </is>
      </c>
      <c r="AE731" s="716" t="n"/>
      <c r="AF731" s="716" t="n"/>
      <c r="AG731" s="716" t="n"/>
      <c r="AH731" s="716" t="n"/>
      <c r="AI731" s="716" t="n"/>
      <c r="AJ731" s="716" t="n"/>
      <c r="AK731" s="716" t="inlineStr">
        <is>
          <t xml:space="preserve">S-T WHSE CONDO UNIT.                                              </t>
        </is>
      </c>
      <c r="AL731">
        <f>IF(AND(ISNUMBER($S731),$S731&gt;0,ISNUMBER($K731),ISNUMBER($J731)),($K731*$J731)/$S731,"")</f>
        <v/>
      </c>
    </row>
    <row r="732">
      <c r="A732" s="62" t="n">
        <v>8</v>
      </c>
      <c r="B732" s="93" t="n">
        <v>724</v>
      </c>
      <c r="C732" s="68" t="inlineStr">
        <is>
          <t>2009Q</t>
        </is>
      </c>
      <c r="D732" s="59" t="inlineStr">
        <is>
          <t xml:space="preserve">02223-26-019-000 </t>
        </is>
      </c>
      <c r="E732" s="72" t="inlineStr">
        <is>
          <t>Actual</t>
        </is>
      </c>
      <c r="F732" s="73" t="inlineStr">
        <is>
          <t>3990   FOX                  ST</t>
        </is>
      </c>
      <c r="G732" s="708" t="n">
        <v>44.1</v>
      </c>
      <c r="H732" s="67" t="n">
        <v>9208</v>
      </c>
      <c r="I732" s="69" t="n">
        <v>0</v>
      </c>
      <c r="J732" s="714" t="n">
        <v>4608</v>
      </c>
      <c r="K732" s="715" t="n">
        <v>9.114583333333334</v>
      </c>
      <c r="L732" s="74" t="n">
        <v>0</v>
      </c>
      <c r="M732" s="76" t="n">
        <v>0</v>
      </c>
      <c r="N732" s="67" t="n">
        <v>1973</v>
      </c>
      <c r="O732" s="64" t="n">
        <v>960</v>
      </c>
      <c r="Q732" s="59" t="n">
        <v>14</v>
      </c>
      <c r="R732" s="59" t="n">
        <v>14</v>
      </c>
      <c r="S732" s="59" t="n">
        <v>1</v>
      </c>
      <c r="T732" s="63" t="inlineStr">
        <is>
          <t xml:space="preserve">I1   </t>
        </is>
      </c>
      <c r="U732" s="63" t="n">
        <v>398</v>
      </c>
      <c r="V732" s="714" t="n">
        <v>6250</v>
      </c>
      <c r="W732" s="714" t="n">
        <v>6000</v>
      </c>
      <c r="X732" s="83" t="inlineStr">
        <is>
          <t>1.4:1</t>
        </is>
      </c>
      <c r="Y732" s="714">
        <f>ROUND(J732,-3)</f>
        <v/>
      </c>
      <c r="Z732" s="63" t="inlineStr">
        <is>
          <t xml:space="preserve">C </t>
        </is>
      </c>
      <c r="AA732" s="59" t="n">
        <v>3</v>
      </c>
      <c r="AB732" s="59" t="n">
        <v>3</v>
      </c>
      <c r="AC732" s="67" t="inlineStr">
        <is>
          <t>33</t>
        </is>
      </c>
      <c r="AD732" s="61" t="inlineStr">
        <is>
          <t>S-W HUWA SALES &amp; SER</t>
        </is>
      </c>
      <c r="AE732" s="716" t="n"/>
      <c r="AF732" s="716" t="n"/>
      <c r="AG732" s="716" t="n"/>
      <c r="AH732" s="716" t="n"/>
      <c r="AI732" s="716" t="n"/>
      <c r="AJ732" s="716" t="n"/>
      <c r="AK732" s="716" t="inlineStr">
        <is>
          <t xml:space="preserve">S-T WHSE; ONE YEAR LEASE FOR 2007, APPARENTLY OWNER-OCC 2008.     </t>
        </is>
      </c>
      <c r="AL732">
        <f>IF(AND(ISNUMBER($S732),$S732&gt;0,ISNUMBER($K732),ISNUMBER($J732)),($K732*$J732)/$S732,"")</f>
        <v/>
      </c>
    </row>
    <row r="733">
      <c r="A733" s="62" t="n">
        <v>8</v>
      </c>
      <c r="B733" s="93" t="n">
        <v>725</v>
      </c>
      <c r="C733" s="68" t="inlineStr">
        <is>
          <t>2009Q</t>
        </is>
      </c>
      <c r="D733" s="59" t="inlineStr">
        <is>
          <t xml:space="preserve">02224-03-017-000 </t>
        </is>
      </c>
      <c r="E733" s="72" t="inlineStr">
        <is>
          <t>Actual</t>
        </is>
      </c>
      <c r="F733" s="73" t="inlineStr">
        <is>
          <t>4398   BROADWAY             ST</t>
        </is>
      </c>
      <c r="G733" s="708" t="n">
        <v>44.1</v>
      </c>
      <c r="H733" s="67" t="n">
        <v>9201</v>
      </c>
      <c r="I733" s="69" t="n">
        <v>0</v>
      </c>
      <c r="J733" s="714" t="n">
        <v>10464</v>
      </c>
      <c r="K733" s="715" t="n">
        <v>5.897075688073395</v>
      </c>
      <c r="L733" s="74" t="n">
        <v>0</v>
      </c>
      <c r="M733" s="76" t="n">
        <v>0</v>
      </c>
      <c r="N733" s="67" t="n">
        <v>1983</v>
      </c>
      <c r="Q733" s="59" t="n">
        <v>20</v>
      </c>
      <c r="R733" s="59" t="n">
        <v>3</v>
      </c>
      <c r="S733" s="59" t="n">
        <v>1</v>
      </c>
      <c r="T733" s="63" t="inlineStr">
        <is>
          <t xml:space="preserve">I1   </t>
        </is>
      </c>
      <c r="U733" s="63" t="n">
        <v>398</v>
      </c>
      <c r="V733" s="714" t="n">
        <v>12750</v>
      </c>
      <c r="W733" s="714" t="n">
        <v>13000</v>
      </c>
      <c r="X733" s="83" t="inlineStr">
        <is>
          <t>1.2:1</t>
        </is>
      </c>
      <c r="Y733" s="714">
        <f>ROUND(J733,-3)</f>
        <v/>
      </c>
      <c r="Z733" s="63" t="inlineStr">
        <is>
          <t xml:space="preserve">C </t>
        </is>
      </c>
      <c r="AA733" s="59" t="n">
        <v>3</v>
      </c>
      <c r="AB733" s="59" t="n">
        <v>3</v>
      </c>
      <c r="AC733" s="67" t="inlineStr">
        <is>
          <t>33</t>
        </is>
      </c>
      <c r="AD733" s="61" t="inlineStr">
        <is>
          <t>DAN'S W'LDNG &amp;REPAIR</t>
        </is>
      </c>
      <c r="AE733" s="716" t="n"/>
      <c r="AF733" s="716" t="n"/>
      <c r="AG733" s="716" t="n"/>
      <c r="AH733" s="716" t="n"/>
      <c r="AI733" s="716" t="n"/>
      <c r="AJ733" s="716" t="n"/>
      <c r="AK733" s="716" t="inlineStr"/>
      <c r="AL733">
        <f>IF(AND(ISNUMBER($S733),$S733&gt;0,ISNUMBER($K733),ISNUMBER($J733)),($K733*$J733)/$S733,"")</f>
        <v/>
      </c>
    </row>
    <row r="734">
      <c r="A734" s="62" t="n">
        <v>8</v>
      </c>
      <c r="B734" s="93" t="n">
        <v>726</v>
      </c>
      <c r="C734" s="68" t="inlineStr">
        <is>
          <t>2009Q</t>
        </is>
      </c>
      <c r="D734" s="59" t="inlineStr">
        <is>
          <t xml:space="preserve">02224-03-026-000 </t>
        </is>
      </c>
      <c r="E734" s="72" t="inlineStr">
        <is>
          <t>Actual</t>
        </is>
      </c>
      <c r="F734" s="73" t="inlineStr">
        <is>
          <t>4330   BROADWAY             ST</t>
        </is>
      </c>
      <c r="G734" s="708" t="n">
        <v>44.1</v>
      </c>
      <c r="H734" s="67" t="n">
        <v>9201</v>
      </c>
      <c r="I734" s="69" t="n">
        <v>0</v>
      </c>
      <c r="J734" s="714" t="n">
        <v>10009</v>
      </c>
      <c r="K734" s="715" t="n">
        <v>7.623139174742732</v>
      </c>
      <c r="L734" s="74" t="n">
        <v>0</v>
      </c>
      <c r="M734" s="76" t="n">
        <v>0.04587155963302753</v>
      </c>
      <c r="N734" s="67" t="n">
        <v>1985</v>
      </c>
      <c r="O734" s="64" t="n">
        <v>976</v>
      </c>
      <c r="Q734" s="59" t="n">
        <v>19</v>
      </c>
      <c r="R734" s="59" t="n">
        <v>3</v>
      </c>
      <c r="S734" s="59" t="n">
        <v>1</v>
      </c>
      <c r="T734" s="63" t="inlineStr">
        <is>
          <t xml:space="preserve">I1   </t>
        </is>
      </c>
      <c r="U734" s="63" t="n">
        <v>398</v>
      </c>
      <c r="V734" s="714" t="n">
        <v>25628</v>
      </c>
      <c r="W734" s="714" t="n">
        <v>26000</v>
      </c>
      <c r="X734" s="83" t="inlineStr">
        <is>
          <t>2.6:1</t>
        </is>
      </c>
      <c r="Y734" s="714">
        <f>ROUND(J734,-3)</f>
        <v/>
      </c>
      <c r="Z734" s="63" t="inlineStr">
        <is>
          <t xml:space="preserve">C </t>
        </is>
      </c>
      <c r="AA734" s="59" t="n">
        <v>3</v>
      </c>
      <c r="AB734" s="59" t="n">
        <v>3</v>
      </c>
      <c r="AC734" s="67" t="inlineStr">
        <is>
          <t>33</t>
        </is>
      </c>
      <c r="AD734" s="61" t="inlineStr">
        <is>
          <t xml:space="preserve">ROCKY MTN. BATTERY  </t>
        </is>
      </c>
      <c r="AE734" s="716" t="n"/>
      <c r="AF734" s="716" t="n"/>
      <c r="AG734" s="716" t="n"/>
      <c r="AH734" s="716" t="n"/>
      <c r="AI734" s="716" t="n"/>
      <c r="AJ734" s="716" t="n"/>
      <c r="AK734" s="716" t="inlineStr">
        <is>
          <t xml:space="preserve">S.T.WHSE; AGE OF LEASE UNKNOWN                                    </t>
        </is>
      </c>
      <c r="AL734">
        <f>IF(AND(ISNUMBER($S734),$S734&gt;0,ISNUMBER($K734),ISNUMBER($J734)),($K734*$J734)/$S734,"")</f>
        <v/>
      </c>
    </row>
    <row r="735">
      <c r="A735" s="62" t="n">
        <v>8</v>
      </c>
      <c r="B735" s="93" t="n">
        <v>727</v>
      </c>
      <c r="C735" s="68" t="inlineStr">
        <is>
          <t>2009Q</t>
        </is>
      </c>
      <c r="D735" s="59" t="inlineStr">
        <is>
          <t xml:space="preserve">02231-07-011-000 </t>
        </is>
      </c>
      <c r="E735" s="72" t="inlineStr">
        <is>
          <t>Actual</t>
        </is>
      </c>
      <c r="F735" s="73" t="inlineStr">
        <is>
          <t>1717 E 47TH                 AV</t>
        </is>
      </c>
      <c r="G735" s="708" t="n">
        <v>44.1</v>
      </c>
      <c r="H735" s="67" t="n">
        <v>9201</v>
      </c>
      <c r="I735" s="69" t="n">
        <v>0</v>
      </c>
      <c r="J735" s="714" t="n">
        <v>3500</v>
      </c>
      <c r="K735" s="715" t="n">
        <v>12</v>
      </c>
      <c r="L735" s="74" t="n">
        <v>0</v>
      </c>
      <c r="M735" s="76" t="n">
        <v>0.03780952380952381</v>
      </c>
      <c r="N735" s="67" t="n">
        <v>1953</v>
      </c>
      <c r="O735" s="64" t="n">
        <v>469</v>
      </c>
      <c r="Q735" s="59" t="n">
        <v>14</v>
      </c>
      <c r="R735" s="59" t="n">
        <v>1</v>
      </c>
      <c r="S735" s="59" t="n">
        <v>1</v>
      </c>
      <c r="T735" s="63" t="inlineStr">
        <is>
          <t xml:space="preserve">I1   </t>
        </is>
      </c>
      <c r="U735" s="63" t="n">
        <v>398</v>
      </c>
      <c r="V735" s="714" t="n">
        <v>7192</v>
      </c>
      <c r="W735" s="714" t="n">
        <v>7000</v>
      </c>
      <c r="X735" s="83" t="inlineStr">
        <is>
          <t>2.1:1</t>
        </is>
      </c>
      <c r="Y735" s="714">
        <f>ROUND(J735,-3)</f>
        <v/>
      </c>
      <c r="Z735" s="63" t="inlineStr">
        <is>
          <t xml:space="preserve">C </t>
        </is>
      </c>
      <c r="AA735" s="59" t="n">
        <v>3</v>
      </c>
      <c r="AB735" s="59" t="n">
        <v>3</v>
      </c>
      <c r="AC735" s="67" t="inlineStr">
        <is>
          <t>33</t>
        </is>
      </c>
      <c r="AD735" s="61" t="inlineStr">
        <is>
          <t xml:space="preserve">PEAK COACH WORKS    </t>
        </is>
      </c>
      <c r="AE735" s="716" t="n"/>
      <c r="AF735" s="716" t="n"/>
      <c r="AG735" s="716" t="n"/>
      <c r="AH735" s="716" t="n"/>
      <c r="AI735" s="716" t="n"/>
      <c r="AJ735" s="716" t="n"/>
      <c r="AK735" s="716" t="inlineStr">
        <is>
          <t xml:space="preserve">S.T WHSE                                                          </t>
        </is>
      </c>
      <c r="AL735">
        <f>IF(AND(ISNUMBER($S735),$S735&gt;0,ISNUMBER($K735),ISNUMBER($J735)),($K735*$J735)/$S735,"")</f>
        <v/>
      </c>
    </row>
    <row r="736">
      <c r="A736" s="62" t="n">
        <v>8</v>
      </c>
      <c r="B736" s="93" t="n">
        <v>728</v>
      </c>
      <c r="C736" s="68" t="inlineStr">
        <is>
          <t>2009Q</t>
        </is>
      </c>
      <c r="D736" s="59" t="inlineStr">
        <is>
          <t xml:space="preserve">02232-00-219-000 </t>
        </is>
      </c>
      <c r="E736" s="72" t="inlineStr">
        <is>
          <t>Actual</t>
        </is>
      </c>
      <c r="F736" s="73" t="inlineStr">
        <is>
          <t>4303   BRIGHTON             BV</t>
        </is>
      </c>
      <c r="G736" s="708" t="n">
        <v>44.4</v>
      </c>
      <c r="H736" s="67" t="n">
        <v>9201</v>
      </c>
      <c r="I736" s="69" t="n">
        <v>0</v>
      </c>
      <c r="J736" s="714" t="n">
        <v>5600</v>
      </c>
      <c r="K736" s="715" t="n">
        <v>6.989642857142857</v>
      </c>
      <c r="L736" s="74" t="n">
        <v>0</v>
      </c>
      <c r="M736" s="76" t="n">
        <v>0.09322466915333913</v>
      </c>
      <c r="N736" s="67" t="n">
        <v>1952</v>
      </c>
      <c r="O736" s="64" t="n">
        <v>8274</v>
      </c>
      <c r="Q736" s="59" t="n">
        <v>18</v>
      </c>
      <c r="R736" s="59" t="n">
        <v>10</v>
      </c>
      <c r="S736" s="59" t="n">
        <v>1</v>
      </c>
      <c r="T736" s="63" t="inlineStr">
        <is>
          <t xml:space="preserve">I1   </t>
        </is>
      </c>
      <c r="U736" s="63" t="n">
        <v>398</v>
      </c>
      <c r="V736" s="714" t="n">
        <v>208740</v>
      </c>
      <c r="W736" s="714" t="n">
        <v>210000</v>
      </c>
      <c r="X736" s="83" t="inlineStr">
        <is>
          <t>1.4:1</t>
        </is>
      </c>
      <c r="Y736" s="714">
        <f>ROUND(J736,-3)</f>
        <v/>
      </c>
      <c r="Z736" s="63" t="inlineStr">
        <is>
          <t xml:space="preserve">C </t>
        </is>
      </c>
      <c r="AA736" s="59" t="n">
        <v>3</v>
      </c>
      <c r="AB736" s="59" t="n">
        <v>3</v>
      </c>
      <c r="AC736" s="67" t="inlineStr">
        <is>
          <t>33</t>
        </is>
      </c>
      <c r="AD736" s="61" t="inlineStr">
        <is>
          <t xml:space="preserve">FORNEY MUSEUM       </t>
        </is>
      </c>
      <c r="AE736" s="716" t="n"/>
      <c r="AF736" s="716" t="n"/>
      <c r="AG736" s="716" t="n"/>
      <c r="AH736" s="716" t="n"/>
      <c r="AI736" s="716" t="n"/>
      <c r="AJ736" s="716" t="n"/>
      <c r="AK736" s="716" t="inlineStr">
        <is>
          <t xml:space="preserve">M-T WHSE; 3 TENANTS; AGE OF LEASES UNKNOWN.                       </t>
        </is>
      </c>
      <c r="AL736">
        <f>IF(AND(ISNUMBER($S736),$S736&gt;0,ISNUMBER($K736),ISNUMBER($J736)),($K736*$J736)/$S736,"")</f>
        <v/>
      </c>
    </row>
    <row r="737">
      <c r="A737" s="62" t="n">
        <v>8</v>
      </c>
      <c r="B737" s="93" t="n">
        <v>729</v>
      </c>
      <c r="C737" s="68" t="inlineStr">
        <is>
          <t>2009Q</t>
        </is>
      </c>
      <c r="D737" s="59" t="inlineStr">
        <is>
          <t xml:space="preserve">02234-00-047-000 </t>
        </is>
      </c>
      <c r="E737" s="72" t="inlineStr">
        <is>
          <t>Actual</t>
        </is>
      </c>
      <c r="F737" s="73" t="inlineStr">
        <is>
          <t>3801   RACE                 ST</t>
        </is>
      </c>
      <c r="G737" s="708" t="n">
        <v>44.1</v>
      </c>
      <c r="H737" s="67" t="n">
        <v>9201</v>
      </c>
      <c r="I737" s="69" t="n">
        <v>0</v>
      </c>
      <c r="J737" s="714" t="n">
        <v>34608</v>
      </c>
      <c r="K737" s="715" t="n">
        <v>4.308252427184466</v>
      </c>
      <c r="L737" s="74" t="n">
        <v>0</v>
      </c>
      <c r="M737" s="76" t="n">
        <v>0</v>
      </c>
      <c r="N737" s="67" t="n">
        <v>1955</v>
      </c>
      <c r="P737" s="64" t="n">
        <v>3270</v>
      </c>
      <c r="Q737" s="59" t="n">
        <v>16</v>
      </c>
      <c r="R737" s="59" t="n">
        <v>3</v>
      </c>
      <c r="S737" s="59" t="n">
        <v>1</v>
      </c>
      <c r="T737" s="63" t="inlineStr">
        <is>
          <t xml:space="preserve">I1   </t>
        </is>
      </c>
      <c r="U737" s="63" t="n">
        <v>398</v>
      </c>
      <c r="V737" s="714" t="n">
        <v>44471</v>
      </c>
      <c r="W737" s="714" t="n">
        <v>44000</v>
      </c>
      <c r="X737" s="83" t="inlineStr">
        <is>
          <t>1.3:1</t>
        </is>
      </c>
      <c r="Y737" s="714">
        <f>ROUND(J737,-3)</f>
        <v/>
      </c>
      <c r="Z737" s="63" t="inlineStr">
        <is>
          <t xml:space="preserve">C </t>
        </is>
      </c>
      <c r="AA737" s="59" t="n">
        <v>3</v>
      </c>
      <c r="AB737" s="59" t="n">
        <v>3</v>
      </c>
      <c r="AC737" s="67" t="inlineStr">
        <is>
          <t>33</t>
        </is>
      </c>
      <c r="AD737" s="61" t="inlineStr">
        <is>
          <t xml:space="preserve">S-W                 </t>
        </is>
      </c>
      <c r="AE737" s="716" t="n"/>
      <c r="AF737" s="716" t="n"/>
      <c r="AG737" s="716" t="n"/>
      <c r="AH737" s="716" t="n"/>
      <c r="AI737" s="716" t="n"/>
      <c r="AJ737" s="716" t="n"/>
      <c r="AK737" s="716" t="inlineStr">
        <is>
          <t xml:space="preserve">ST WHSE; 2003 LEASE                                               </t>
        </is>
      </c>
      <c r="AL737">
        <f>IF(AND(ISNUMBER($S737),$S737&gt;0,ISNUMBER($K737),ISNUMBER($J737)),($K737*$J737)/$S737,"")</f>
        <v/>
      </c>
    </row>
    <row r="738">
      <c r="A738" s="62" t="n">
        <v>8</v>
      </c>
      <c r="B738" s="93" t="n">
        <v>730</v>
      </c>
      <c r="C738" s="68" t="inlineStr">
        <is>
          <t>2009Q</t>
        </is>
      </c>
      <c r="D738" s="59" t="inlineStr">
        <is>
          <t xml:space="preserve">02234-03-001-000 </t>
        </is>
      </c>
      <c r="E738" s="72" t="inlineStr">
        <is>
          <t>Actual</t>
        </is>
      </c>
      <c r="F738" s="73" t="inlineStr">
        <is>
          <t>1806 E 40TH                 AV</t>
        </is>
      </c>
      <c r="G738" s="708" t="n">
        <v>47.1</v>
      </c>
      <c r="H738" s="67" t="n">
        <v>9201</v>
      </c>
      <c r="I738" s="69" t="n">
        <v>0</v>
      </c>
      <c r="J738" s="714" t="n">
        <v>8754</v>
      </c>
      <c r="K738" s="715" t="n">
        <v>3.427004797806717</v>
      </c>
      <c r="L738" s="74" t="n">
        <v>0</v>
      </c>
      <c r="M738" s="76" t="n">
        <v>0</v>
      </c>
      <c r="N738" s="67" t="n">
        <v>1986</v>
      </c>
      <c r="O738" s="64" t="n">
        <v>1400</v>
      </c>
      <c r="Q738" s="59" t="n">
        <v>18</v>
      </c>
      <c r="R738" s="59" t="n">
        <v>8</v>
      </c>
      <c r="S738" s="59" t="n">
        <v>1</v>
      </c>
      <c r="T738" s="63" t="inlineStr">
        <is>
          <t xml:space="preserve">I2   </t>
        </is>
      </c>
      <c r="U738" s="63" t="n">
        <v>401</v>
      </c>
      <c r="V738" s="714" t="n">
        <v>14062</v>
      </c>
      <c r="W738" s="714" t="n">
        <v>14000</v>
      </c>
      <c r="X738" s="83" t="inlineStr">
        <is>
          <t>1.6:1</t>
        </is>
      </c>
      <c r="Y738" s="714">
        <f>ROUND(J738,-3)</f>
        <v/>
      </c>
      <c r="Z738" s="63" t="inlineStr">
        <is>
          <t xml:space="preserve">C </t>
        </is>
      </c>
      <c r="AA738" s="59" t="n">
        <v>3</v>
      </c>
      <c r="AB738" s="59" t="n">
        <v>3</v>
      </c>
      <c r="AC738" s="67" t="inlineStr">
        <is>
          <t>33</t>
        </is>
      </c>
      <c r="AD738" s="61" t="inlineStr"/>
      <c r="AE738" s="716" t="n"/>
      <c r="AF738" s="716" t="n"/>
      <c r="AG738" s="716" t="n"/>
      <c r="AH738" s="716" t="n"/>
      <c r="AI738" s="716" t="n"/>
      <c r="AJ738" s="716" t="n"/>
      <c r="AK738" s="716" t="inlineStr">
        <is>
          <t xml:space="preserve">ST INDUSTRIAL BLDG; DATE OF LEASE UNKNOWN.                        </t>
        </is>
      </c>
      <c r="AL738">
        <f>IF(AND(ISNUMBER($S738),$S738&gt;0,ISNUMBER($K738),ISNUMBER($J738)),($K738*$J738)/$S738,"")</f>
        <v/>
      </c>
    </row>
    <row r="739">
      <c r="A739" s="62" t="n">
        <v>8</v>
      </c>
      <c r="B739" s="93" t="n">
        <v>731</v>
      </c>
      <c r="C739" s="68" t="inlineStr">
        <is>
          <t>2009Q</t>
        </is>
      </c>
      <c r="D739" s="59" t="inlineStr">
        <is>
          <t xml:space="preserve">02234-05-003-000 </t>
        </is>
      </c>
      <c r="E739" s="72" t="inlineStr">
        <is>
          <t>Actual</t>
        </is>
      </c>
      <c r="F739" s="73" t="inlineStr">
        <is>
          <t>3939   WILLIAMS             ST</t>
        </is>
      </c>
      <c r="G739" s="708" t="n">
        <v>44.3</v>
      </c>
      <c r="H739" s="67" t="n">
        <v>9201</v>
      </c>
      <c r="I739" s="69" t="n">
        <v>0</v>
      </c>
      <c r="J739" s="714" t="n">
        <v>12000</v>
      </c>
      <c r="K739" s="715" t="n">
        <v>8.5</v>
      </c>
      <c r="L739" s="74" t="n">
        <v>0</v>
      </c>
      <c r="M739" s="76" t="n">
        <v>0.03997058823529412</v>
      </c>
      <c r="N739" s="67" t="n">
        <v>1928</v>
      </c>
      <c r="P739" s="64" t="n">
        <v>3625</v>
      </c>
      <c r="Q739" s="59" t="n">
        <v>17</v>
      </c>
      <c r="R739" s="59" t="n">
        <v>3</v>
      </c>
      <c r="S739" s="59" t="n">
        <v>10</v>
      </c>
      <c r="T739" s="63" t="inlineStr">
        <is>
          <t xml:space="preserve">I2   </t>
        </is>
      </c>
      <c r="U739" s="63" t="n">
        <v>398</v>
      </c>
      <c r="V739" s="714" t="n">
        <v>291789</v>
      </c>
      <c r="W739" s="714" t="n">
        <v>290000</v>
      </c>
      <c r="X739" s="83" t="inlineStr">
        <is>
          <t>1.4:1</t>
        </is>
      </c>
      <c r="Y739" s="714">
        <f>ROUND(J739,-3)</f>
        <v/>
      </c>
      <c r="Z739" s="63" t="inlineStr">
        <is>
          <t xml:space="preserve">C </t>
        </is>
      </c>
      <c r="AA739" s="59" t="n">
        <v>3</v>
      </c>
      <c r="AB739" s="59" t="n">
        <v>3</v>
      </c>
      <c r="AC739" s="67" t="inlineStr">
        <is>
          <t>33</t>
        </is>
      </c>
      <c r="AD739" s="61" t="inlineStr"/>
      <c r="AE739" s="716" t="n"/>
      <c r="AF739" s="716" t="n"/>
      <c r="AG739" s="716" t="n"/>
      <c r="AH739" s="716" t="n"/>
      <c r="AI739" s="716" t="n"/>
      <c r="AJ739" s="716" t="n"/>
      <c r="AK739" s="716" t="inlineStr">
        <is>
          <t xml:space="preserve">M-T WHSE.; 2 TENANTS; 2006 LEASE.                                 </t>
        </is>
      </c>
      <c r="AL739">
        <f>IF(AND(ISNUMBER($S739),$S739&gt;0,ISNUMBER($K739),ISNUMBER($J739)),($K739*$J739)/$S739,"")</f>
        <v/>
      </c>
    </row>
    <row r="740">
      <c r="A740" s="62" t="n">
        <v>8</v>
      </c>
      <c r="B740" s="93" t="n">
        <v>732</v>
      </c>
      <c r="C740" s="68" t="inlineStr">
        <is>
          <t>2009Q</t>
        </is>
      </c>
      <c r="D740" s="59" t="inlineStr">
        <is>
          <t xml:space="preserve">02241-05-014-000 </t>
        </is>
      </c>
      <c r="E740" s="72" t="inlineStr">
        <is>
          <t>Actual</t>
        </is>
      </c>
      <c r="F740" s="73" t="inlineStr">
        <is>
          <t>3538 E 46TH                 AV</t>
        </is>
      </c>
      <c r="G740" s="708" t="n">
        <v>44.2</v>
      </c>
      <c r="H740" s="67" t="n">
        <v>9201</v>
      </c>
      <c r="I740" s="69" t="n">
        <v>0</v>
      </c>
      <c r="J740" s="714" t="n">
        <v>3850</v>
      </c>
      <c r="K740" s="715" t="n">
        <v>6.345714285714286</v>
      </c>
      <c r="L740" s="74" t="n">
        <v>0</v>
      </c>
      <c r="M740" s="76" t="n">
        <v>0</v>
      </c>
      <c r="N740" s="67" t="n">
        <v>1981</v>
      </c>
      <c r="P740" s="64" t="n">
        <v>486</v>
      </c>
      <c r="Q740" s="59" t="n">
        <v>16</v>
      </c>
      <c r="R740" s="59" t="n">
        <v>7</v>
      </c>
      <c r="S740" s="59" t="n">
        <v>1</v>
      </c>
      <c r="T740" s="63" t="inlineStr">
        <is>
          <t xml:space="preserve">I2   </t>
        </is>
      </c>
      <c r="U740" s="63" t="n">
        <v>398</v>
      </c>
      <c r="V740" s="714" t="n">
        <v>26453</v>
      </c>
      <c r="W740" s="714" t="n">
        <v>26000</v>
      </c>
      <c r="X740" s="83" t="inlineStr">
        <is>
          <t>11.2:1</t>
        </is>
      </c>
      <c r="Y740" s="714">
        <f>ROUND(J740,-3)</f>
        <v/>
      </c>
      <c r="Z740" s="63" t="inlineStr">
        <is>
          <t xml:space="preserve">C </t>
        </is>
      </c>
      <c r="AA740" s="59" t="n">
        <v>3</v>
      </c>
      <c r="AB740" s="59" t="n">
        <v>3</v>
      </c>
      <c r="AC740" s="67" t="inlineStr">
        <is>
          <t>33</t>
        </is>
      </c>
      <c r="AD740" s="61" t="inlineStr">
        <is>
          <t xml:space="preserve">S-W                 </t>
        </is>
      </c>
      <c r="AE740" s="716" t="n"/>
      <c r="AF740" s="716" t="n"/>
      <c r="AG740" s="716" t="n"/>
      <c r="AH740" s="716" t="n"/>
      <c r="AI740" s="716" t="n"/>
      <c r="AJ740" s="716" t="n"/>
      <c r="AK740" s="716" t="inlineStr">
        <is>
          <t xml:space="preserve">ST WHSE; 2003 LEASE                                               </t>
        </is>
      </c>
      <c r="AL740">
        <f>IF(AND(ISNUMBER($S740),$S740&gt;0,ISNUMBER($K740),ISNUMBER($J740)),($K740*$J740)/$S740,"")</f>
        <v/>
      </c>
    </row>
    <row r="741">
      <c r="A741" s="62" t="n">
        <v>8</v>
      </c>
      <c r="B741" s="93" t="n">
        <v>733</v>
      </c>
      <c r="C741" s="68" t="inlineStr">
        <is>
          <t>2009Q</t>
        </is>
      </c>
      <c r="D741" s="59" t="inlineStr">
        <is>
          <t xml:space="preserve">02241-25-018-000 </t>
        </is>
      </c>
      <c r="E741" s="72" t="inlineStr">
        <is>
          <t>Actual</t>
        </is>
      </c>
      <c r="F741" s="73" t="inlineStr">
        <is>
          <t>4625   COLORADO             BL</t>
        </is>
      </c>
      <c r="G741" s="708" t="n">
        <v>44.1</v>
      </c>
      <c r="H741" s="67" t="n">
        <v>9201</v>
      </c>
      <c r="I741" s="69" t="n">
        <v>0</v>
      </c>
      <c r="J741" s="714" t="n">
        <v>18000</v>
      </c>
      <c r="K741" s="715" t="n">
        <v>5</v>
      </c>
      <c r="L741" s="74" t="n">
        <v>0</v>
      </c>
      <c r="M741" s="76" t="n">
        <v>0</v>
      </c>
      <c r="N741" s="67" t="n">
        <v>1969</v>
      </c>
      <c r="O741" s="64" t="n">
        <v>3944</v>
      </c>
      <c r="Q741" s="59" t="n">
        <v>15</v>
      </c>
      <c r="R741" s="59" t="n">
        <v>1</v>
      </c>
      <c r="S741" s="59" t="n">
        <v>1</v>
      </c>
      <c r="T741" s="63" t="inlineStr">
        <is>
          <t xml:space="preserve">I1   </t>
        </is>
      </c>
      <c r="U741" s="63" t="n">
        <v>398</v>
      </c>
      <c r="V741" s="714" t="n">
        <v>29936</v>
      </c>
      <c r="W741" s="714" t="n">
        <v>30000</v>
      </c>
      <c r="X741" s="83" t="inlineStr">
        <is>
          <t>1.6:1</t>
        </is>
      </c>
      <c r="Y741" s="714">
        <f>ROUND(J741,-3)</f>
        <v/>
      </c>
      <c r="Z741" s="63" t="inlineStr">
        <is>
          <t xml:space="preserve">C </t>
        </is>
      </c>
      <c r="AA741" s="59" t="n">
        <v>3</v>
      </c>
      <c r="AB741" s="59" t="n">
        <v>3</v>
      </c>
      <c r="AC741" s="67" t="inlineStr">
        <is>
          <t>33</t>
        </is>
      </c>
      <c r="AD741" s="61" t="inlineStr"/>
      <c r="AE741" s="716" t="n"/>
      <c r="AF741" s="716" t="n"/>
      <c r="AG741" s="716" t="n"/>
      <c r="AH741" s="716" t="n"/>
      <c r="AI741" s="716" t="n"/>
      <c r="AJ741" s="716" t="n"/>
      <c r="AK741" s="716" t="inlineStr">
        <is>
          <t xml:space="preserve">M-T WHSE; 2 TENANTS; LEASES 2005 &amp; 2007.                          </t>
        </is>
      </c>
      <c r="AL741">
        <f>IF(AND(ISNUMBER($S741),$S741&gt;0,ISNUMBER($K741),ISNUMBER($J741)),($K741*$J741)/$S741,"")</f>
        <v/>
      </c>
    </row>
    <row r="742">
      <c r="A742" s="62" t="n">
        <v>8</v>
      </c>
      <c r="B742" s="93" t="n">
        <v>734</v>
      </c>
      <c r="C742" s="68" t="inlineStr">
        <is>
          <t>2009Q</t>
        </is>
      </c>
      <c r="D742" s="59" t="inlineStr">
        <is>
          <t xml:space="preserve">02243-02-014-000 </t>
        </is>
      </c>
      <c r="E742" s="72" t="inlineStr">
        <is>
          <t>Actual</t>
        </is>
      </c>
      <c r="F742" s="73" t="inlineStr">
        <is>
          <t>3029 E 42ND                 AV</t>
        </is>
      </c>
      <c r="G742" s="708" t="n">
        <v>43.1</v>
      </c>
      <c r="H742" s="67" t="n">
        <v>9201</v>
      </c>
      <c r="I742" s="69" t="n">
        <v>0</v>
      </c>
      <c r="J742" s="714" t="n">
        <v>13201</v>
      </c>
      <c r="K742" s="715" t="n">
        <v>5.772289978031967</v>
      </c>
      <c r="L742" s="74" t="n">
        <v>0</v>
      </c>
      <c r="M742" s="76" t="n">
        <v>0</v>
      </c>
      <c r="N742" s="67" t="n">
        <v>1954</v>
      </c>
      <c r="O742" s="64" t="n">
        <v>3100</v>
      </c>
      <c r="Q742" s="59" t="n">
        <v>13</v>
      </c>
      <c r="R742" s="59" t="n">
        <v>3</v>
      </c>
      <c r="S742" s="59" t="n">
        <v>1</v>
      </c>
      <c r="T742" s="63" t="inlineStr">
        <is>
          <t xml:space="preserve">I1   </t>
        </is>
      </c>
      <c r="U742" s="63" t="n">
        <v>401</v>
      </c>
      <c r="V742" s="714" t="n">
        <v>20801</v>
      </c>
      <c r="W742" s="714" t="n">
        <v>21000</v>
      </c>
      <c r="X742" s="83" t="inlineStr">
        <is>
          <t>1.6:1</t>
        </is>
      </c>
      <c r="Y742" s="714">
        <f>ROUND(J742,-3)</f>
        <v/>
      </c>
      <c r="Z742" s="63" t="inlineStr">
        <is>
          <t xml:space="preserve">C </t>
        </is>
      </c>
      <c r="AA742" s="59" t="n">
        <v>3</v>
      </c>
      <c r="AB742" s="59" t="n">
        <v>3</v>
      </c>
      <c r="AC742" s="67" t="inlineStr">
        <is>
          <t>33</t>
        </is>
      </c>
      <c r="AD742" s="61" t="inlineStr">
        <is>
          <t xml:space="preserve">WESTERN BELTING CO  </t>
        </is>
      </c>
      <c r="AE742" s="716" t="n"/>
      <c r="AF742" s="716" t="n"/>
      <c r="AG742" s="716" t="n"/>
      <c r="AH742" s="716" t="n"/>
      <c r="AI742" s="716" t="n"/>
      <c r="AJ742" s="716" t="n"/>
      <c r="AK742" s="716" t="inlineStr">
        <is>
          <t xml:space="preserve">S-T WHSE; CHECK OWNER-OCC BUT STATES 3 YR LEASE BEGINNING IN 2007 </t>
        </is>
      </c>
      <c r="AL742">
        <f>IF(AND(ISNUMBER($S742),$S742&gt;0,ISNUMBER($K742),ISNUMBER($J742)),($K742*$J742)/$S742,"")</f>
        <v/>
      </c>
    </row>
    <row r="743">
      <c r="A743" s="62" t="n">
        <v>8</v>
      </c>
      <c r="B743" s="93" t="n">
        <v>735</v>
      </c>
      <c r="C743" s="68" t="inlineStr">
        <is>
          <t>2009Q</t>
        </is>
      </c>
      <c r="D743" s="59" t="inlineStr">
        <is>
          <t xml:space="preserve">02243-02-020-000 </t>
        </is>
      </c>
      <c r="E743" s="72" t="inlineStr">
        <is>
          <t>Actual</t>
        </is>
      </c>
      <c r="F743" s="73" t="inlineStr">
        <is>
          <t>3020 E 43RD                 AV</t>
        </is>
      </c>
      <c r="G743" s="708" t="n">
        <v>44.1</v>
      </c>
      <c r="H743" s="67" t="n">
        <v>9201</v>
      </c>
      <c r="I743" s="69" t="n">
        <v>0</v>
      </c>
      <c r="J743" s="714" t="n">
        <v>3800</v>
      </c>
      <c r="K743" s="715" t="n">
        <v>6.947368421052632</v>
      </c>
      <c r="L743" s="74" t="n">
        <v>0.32</v>
      </c>
      <c r="M743" s="76" t="n">
        <v>0.09647727272727273</v>
      </c>
      <c r="N743" s="67" t="n">
        <v>1946</v>
      </c>
      <c r="O743" s="64" t="n">
        <v>1650</v>
      </c>
      <c r="Q743" s="59" t="n">
        <v>12</v>
      </c>
      <c r="R743" s="59" t="n">
        <v>3</v>
      </c>
      <c r="S743" s="59" t="n">
        <v>1</v>
      </c>
      <c r="T743" s="63" t="inlineStr">
        <is>
          <t xml:space="preserve">I1   </t>
        </is>
      </c>
      <c r="U743" s="63" t="n">
        <v>398</v>
      </c>
      <c r="V743" s="714" t="n">
        <v>24533</v>
      </c>
      <c r="W743" s="714" t="n">
        <v>25000</v>
      </c>
      <c r="X743" s="83" t="inlineStr">
        <is>
          <t>1.8:1</t>
        </is>
      </c>
      <c r="Y743" s="714">
        <f>ROUND(J743,-3)</f>
        <v/>
      </c>
      <c r="Z743" s="63" t="inlineStr">
        <is>
          <t xml:space="preserve">C </t>
        </is>
      </c>
      <c r="AA743" s="59" t="n">
        <v>2</v>
      </c>
      <c r="AB743" s="59" t="n">
        <v>3</v>
      </c>
      <c r="AC743" s="67" t="inlineStr">
        <is>
          <t>23</t>
        </is>
      </c>
      <c r="AD743" s="61" t="inlineStr">
        <is>
          <t xml:space="preserve">MW-GOSPEL CHURCH    </t>
        </is>
      </c>
      <c r="AE743" s="716" t="n"/>
      <c r="AF743" s="716" t="n"/>
      <c r="AG743" s="716" t="n"/>
      <c r="AH743" s="716" t="n"/>
      <c r="AI743" s="716" t="n"/>
      <c r="AJ743" s="716" t="n"/>
      <c r="AK743" s="716" t="inlineStr">
        <is>
          <t xml:space="preserve">M-T WHSE; 3 TENANTS; ONLY 2008 LEASE ENCODED.                     </t>
        </is>
      </c>
      <c r="AL743">
        <f>IF(AND(ISNUMBER($S743),$S743&gt;0,ISNUMBER($K743),ISNUMBER($J743)),($K743*$J743)/$S743,"")</f>
        <v/>
      </c>
    </row>
    <row r="744">
      <c r="A744" s="62" t="n">
        <v>8</v>
      </c>
      <c r="B744" s="93" t="n">
        <v>736</v>
      </c>
      <c r="C744" s="68" t="inlineStr">
        <is>
          <t>2009Q</t>
        </is>
      </c>
      <c r="D744" s="59" t="inlineStr">
        <is>
          <t xml:space="preserve">02243-06-001-000 </t>
        </is>
      </c>
      <c r="E744" s="72" t="inlineStr">
        <is>
          <t>Actual</t>
        </is>
      </c>
      <c r="F744" s="73" t="inlineStr">
        <is>
          <t>4242   ELIZABETH            ST</t>
        </is>
      </c>
      <c r="G744" s="708" t="n">
        <v>47.2</v>
      </c>
      <c r="H744" s="67" t="n">
        <v>9201</v>
      </c>
      <c r="I744" s="69" t="n">
        <v>0</v>
      </c>
      <c r="J744" s="714" t="n">
        <v>18566</v>
      </c>
      <c r="K744" s="715" t="n">
        <v>3.192933318970161</v>
      </c>
      <c r="L744" s="74" t="n">
        <v>0</v>
      </c>
      <c r="M744" s="76" t="n">
        <v>0</v>
      </c>
      <c r="N744" s="67" t="n">
        <v>1950</v>
      </c>
      <c r="O744" s="64" t="n">
        <v>1000</v>
      </c>
      <c r="Q744" s="59" t="n">
        <v>18</v>
      </c>
      <c r="R744" s="59" t="n">
        <v>10</v>
      </c>
      <c r="S744" s="59" t="n">
        <v>1</v>
      </c>
      <c r="T744" s="63" t="inlineStr">
        <is>
          <t xml:space="preserve">I1   </t>
        </is>
      </c>
      <c r="U744" s="63" t="n">
        <v>401</v>
      </c>
      <c r="V744" s="714" t="n">
        <v>32937</v>
      </c>
      <c r="W744" s="714" t="n">
        <v>33000</v>
      </c>
      <c r="X744" s="83" t="inlineStr">
        <is>
          <t>1.8:1</t>
        </is>
      </c>
      <c r="Y744" s="714">
        <f>ROUND(J744,-3)</f>
        <v/>
      </c>
      <c r="Z744" s="63" t="inlineStr">
        <is>
          <t xml:space="preserve">C </t>
        </is>
      </c>
      <c r="AA744" s="59" t="n">
        <v>2</v>
      </c>
      <c r="AB744" s="59" t="n">
        <v>3</v>
      </c>
      <c r="AC744" s="67" t="inlineStr">
        <is>
          <t>23</t>
        </is>
      </c>
      <c r="AD744" s="61" t="inlineStr"/>
      <c r="AE744" s="716" t="n"/>
      <c r="AF744" s="716" t="n"/>
      <c r="AG744" s="716" t="n"/>
      <c r="AH744" s="716" t="n"/>
      <c r="AI744" s="716" t="n"/>
      <c r="AJ744" s="716" t="n"/>
      <c r="AK744" s="716" t="inlineStr">
        <is>
          <t xml:space="preserve">S-T INDUSTRIAL BLDG; AGE OF LEASE UNKNOWN.                        </t>
        </is>
      </c>
      <c r="AL744">
        <f>IF(AND(ISNUMBER($S744),$S744&gt;0,ISNUMBER($K744),ISNUMBER($J744)),($K744*$J744)/$S744,"")</f>
        <v/>
      </c>
    </row>
    <row r="745">
      <c r="A745" s="62" t="n">
        <v>8</v>
      </c>
      <c r="B745" s="93" t="n">
        <v>737</v>
      </c>
      <c r="C745" s="68" t="inlineStr">
        <is>
          <t>2009Q</t>
        </is>
      </c>
      <c r="D745" s="59" t="inlineStr">
        <is>
          <t xml:space="preserve">02243-06-012-000 </t>
        </is>
      </c>
      <c r="E745" s="72" t="inlineStr">
        <is>
          <t>Actual</t>
        </is>
      </c>
      <c r="F745" s="73" t="inlineStr">
        <is>
          <t>2640 E 43RD                 AV</t>
        </is>
      </c>
      <c r="G745" s="708" t="n">
        <v>44.2</v>
      </c>
      <c r="H745" s="67" t="n">
        <v>9201</v>
      </c>
      <c r="I745" s="69" t="n">
        <v>0</v>
      </c>
      <c r="J745" s="714" t="n">
        <v>10164</v>
      </c>
      <c r="K745" s="715" t="n">
        <v>6.477272727272728</v>
      </c>
      <c r="L745" s="74" t="n">
        <v>0</v>
      </c>
      <c r="M745" s="76" t="n">
        <v>0.1809068124857598</v>
      </c>
      <c r="N745" s="67" t="n">
        <v>1982</v>
      </c>
      <c r="O745" s="64" t="n">
        <v>2216</v>
      </c>
      <c r="Q745" s="59" t="n">
        <v>12</v>
      </c>
      <c r="R745" s="59" t="n">
        <v>3</v>
      </c>
      <c r="S745" s="59" t="n">
        <v>1</v>
      </c>
      <c r="T745" s="63" t="inlineStr">
        <is>
          <t xml:space="preserve">I1   </t>
        </is>
      </c>
      <c r="U745" s="63" t="n">
        <v>398</v>
      </c>
      <c r="V745" s="714" t="n">
        <v>9375</v>
      </c>
      <c r="W745" s="714" t="n">
        <v>9000</v>
      </c>
      <c r="X745" s="83" t="inlineStr">
        <is>
          <t>0.9:1</t>
        </is>
      </c>
      <c r="Y745" s="714">
        <f>ROUND(J745,-3)</f>
        <v/>
      </c>
      <c r="Z745" s="63" t="inlineStr">
        <is>
          <t xml:space="preserve">C </t>
        </is>
      </c>
      <c r="AA745" s="59" t="n">
        <v>3</v>
      </c>
      <c r="AB745" s="59" t="n">
        <v>1</v>
      </c>
      <c r="AC745" s="67" t="inlineStr">
        <is>
          <t>31</t>
        </is>
      </c>
      <c r="AD745" s="61" t="inlineStr">
        <is>
          <t xml:space="preserve">S-D COLO REFACING &amp; </t>
        </is>
      </c>
      <c r="AE745" s="716" t="n"/>
      <c r="AF745" s="716" t="n"/>
      <c r="AG745" s="716" t="n"/>
      <c r="AH745" s="716" t="n"/>
      <c r="AI745" s="716" t="n"/>
      <c r="AJ745" s="716" t="n"/>
      <c r="AK745" s="716" t="inlineStr">
        <is>
          <t xml:space="preserve">S-T WHSE.                                                         </t>
        </is>
      </c>
      <c r="AL745">
        <f>IF(AND(ISNUMBER($S745),$S745&gt;0,ISNUMBER($K745),ISNUMBER($J745)),($K745*$J745)/$S745,"")</f>
        <v/>
      </c>
    </row>
    <row r="746">
      <c r="A746" s="62" t="n">
        <v>8</v>
      </c>
      <c r="B746" s="93" t="n">
        <v>738</v>
      </c>
      <c r="C746" s="68" t="inlineStr">
        <is>
          <t>2009Q</t>
        </is>
      </c>
      <c r="D746" s="59" t="inlineStr">
        <is>
          <t xml:space="preserve">02244-12-014-000 </t>
        </is>
      </c>
      <c r="E746" s="72" t="inlineStr">
        <is>
          <t>Actual</t>
        </is>
      </c>
      <c r="F746" s="73" t="inlineStr">
        <is>
          <t>4190   MADISON              ST</t>
        </is>
      </c>
      <c r="G746" s="708" t="n">
        <v>44.2</v>
      </c>
      <c r="H746" s="67" t="n">
        <v>9201</v>
      </c>
      <c r="I746" s="69" t="n">
        <v>0</v>
      </c>
      <c r="J746" s="714" t="n">
        <v>10591</v>
      </c>
      <c r="K746" s="715" t="n">
        <v>4.702105561325654</v>
      </c>
      <c r="L746" s="74" t="n">
        <v>0</v>
      </c>
      <c r="M746" s="76" t="n">
        <v>0</v>
      </c>
      <c r="N746" s="67" t="n">
        <v>1970</v>
      </c>
      <c r="O746" s="64" t="n">
        <v>760</v>
      </c>
      <c r="Q746" s="59" t="n">
        <v>13</v>
      </c>
      <c r="R746" s="59" t="n">
        <v>3</v>
      </c>
      <c r="S746" s="59" t="n">
        <v>1</v>
      </c>
      <c r="T746" s="63" t="inlineStr">
        <is>
          <t xml:space="preserve">I0   </t>
        </is>
      </c>
      <c r="U746" s="63" t="n">
        <v>398</v>
      </c>
      <c r="V746" s="714" t="n">
        <v>19013</v>
      </c>
      <c r="W746" s="714" t="n">
        <v>19000</v>
      </c>
      <c r="X746" s="83" t="inlineStr">
        <is>
          <t>1.8:1</t>
        </is>
      </c>
      <c r="Y746" s="714">
        <f>ROUND(J746,-3)</f>
        <v/>
      </c>
      <c r="Z746" s="63" t="inlineStr">
        <is>
          <t xml:space="preserve">C </t>
        </is>
      </c>
      <c r="AA746" s="59" t="n">
        <v>3</v>
      </c>
      <c r="AB746" s="59" t="n">
        <v>3</v>
      </c>
      <c r="AC746" s="67" t="inlineStr">
        <is>
          <t>33</t>
        </is>
      </c>
      <c r="AD746" s="61" t="inlineStr">
        <is>
          <t xml:space="preserve">SW-WODEN WOODS      </t>
        </is>
      </c>
      <c r="AE746" s="716" t="n"/>
      <c r="AF746" s="716" t="n"/>
      <c r="AG746" s="716" t="n"/>
      <c r="AH746" s="716" t="n"/>
      <c r="AI746" s="716" t="n"/>
      <c r="AJ746" s="716" t="n"/>
      <c r="AK746" s="716" t="inlineStr">
        <is>
          <t xml:space="preserve">S-T WHSE.                                                         </t>
        </is>
      </c>
      <c r="AL746">
        <f>IF(AND(ISNUMBER($S746),$S746&gt;0,ISNUMBER($K746),ISNUMBER($J746)),($K746*$J746)/$S746,"")</f>
        <v/>
      </c>
    </row>
    <row r="747">
      <c r="A747" s="62" t="n">
        <v>8</v>
      </c>
      <c r="B747" s="93" t="n">
        <v>739</v>
      </c>
      <c r="C747" s="68" t="inlineStr">
        <is>
          <t>2009Q</t>
        </is>
      </c>
      <c r="D747" s="59" t="inlineStr">
        <is>
          <t xml:space="preserve">02244-16-019-000 </t>
        </is>
      </c>
      <c r="E747" s="72" t="inlineStr">
        <is>
          <t>Actual</t>
        </is>
      </c>
      <c r="F747" s="73" t="inlineStr">
        <is>
          <t>4100   JACKSON              ST</t>
        </is>
      </c>
      <c r="G747" s="708" t="n">
        <v>44.2</v>
      </c>
      <c r="H747" s="67" t="n">
        <v>9201</v>
      </c>
      <c r="I747" s="69" t="n">
        <v>0</v>
      </c>
      <c r="J747" s="714" t="n">
        <v>11135</v>
      </c>
      <c r="K747" s="715" t="n">
        <v>11.813560844185</v>
      </c>
      <c r="L747" s="74" t="n">
        <v>0</v>
      </c>
      <c r="M747" s="76" t="n">
        <v>0</v>
      </c>
      <c r="N747" s="67" t="n">
        <v>1977</v>
      </c>
      <c r="O747" s="64" t="n">
        <v>2178</v>
      </c>
      <c r="Q747" s="59" t="n">
        <v>14</v>
      </c>
      <c r="R747" s="59" t="n">
        <v>3</v>
      </c>
      <c r="S747" s="59" t="n">
        <v>1</v>
      </c>
      <c r="T747" s="63" t="inlineStr">
        <is>
          <t xml:space="preserve">I1   </t>
        </is>
      </c>
      <c r="U747" s="63" t="n">
        <v>398</v>
      </c>
      <c r="V747" s="714" t="n">
        <v>26090</v>
      </c>
      <c r="W747" s="714" t="n">
        <v>26000</v>
      </c>
      <c r="X747" s="83" t="inlineStr">
        <is>
          <t>2.7:1</t>
        </is>
      </c>
      <c r="Y747" s="714">
        <f>ROUND(J747,-3)</f>
        <v/>
      </c>
      <c r="Z747" s="63" t="inlineStr">
        <is>
          <t xml:space="preserve">C </t>
        </is>
      </c>
      <c r="AA747" s="59" t="n">
        <v>3</v>
      </c>
      <c r="AB747" s="59" t="n">
        <v>3</v>
      </c>
      <c r="AC747" s="67" t="inlineStr">
        <is>
          <t>33</t>
        </is>
      </c>
      <c r="AD747" s="61" t="inlineStr">
        <is>
          <t>UNITED PRINTING EQUI</t>
        </is>
      </c>
      <c r="AE747" s="716" t="n"/>
      <c r="AF747" s="716" t="n"/>
      <c r="AG747" s="716" t="n"/>
      <c r="AH747" s="716" t="n"/>
      <c r="AI747" s="716" t="n"/>
      <c r="AJ747" s="716" t="n"/>
      <c r="AK747" s="716" t="inlineStr">
        <is>
          <t xml:space="preserve">S-T WHSE; 2005 LEASE.                                             </t>
        </is>
      </c>
      <c r="AL747">
        <f>IF(AND(ISNUMBER($S747),$S747&gt;0,ISNUMBER($K747),ISNUMBER($J747)),($K747*$J747)/$S747,"")</f>
        <v/>
      </c>
    </row>
    <row r="748">
      <c r="A748" s="62" t="n">
        <v>8</v>
      </c>
      <c r="B748" s="93" t="n">
        <v>740</v>
      </c>
      <c r="C748" s="68" t="inlineStr">
        <is>
          <t>2009Q</t>
        </is>
      </c>
      <c r="D748" s="59" t="inlineStr">
        <is>
          <t xml:space="preserve">02244-16-021-000 </t>
        </is>
      </c>
      <c r="E748" s="72" t="inlineStr">
        <is>
          <t>Actual</t>
        </is>
      </c>
      <c r="F748" s="73" t="inlineStr">
        <is>
          <t>4140   JACKSON              ST</t>
        </is>
      </c>
      <c r="G748" s="708" t="n">
        <v>44.2</v>
      </c>
      <c r="H748" s="67" t="n">
        <v>9201</v>
      </c>
      <c r="I748" s="69" t="n">
        <v>0</v>
      </c>
      <c r="J748" s="714" t="n">
        <v>9658</v>
      </c>
      <c r="K748" s="715" t="n">
        <v>7.414060882170221</v>
      </c>
      <c r="L748" s="74" t="n">
        <v>0</v>
      </c>
      <c r="M748" s="76" t="n">
        <v>0.2341875567348649</v>
      </c>
      <c r="N748" s="67" t="n">
        <v>1977</v>
      </c>
      <c r="O748" s="64">
        <f>4893+2308</f>
        <v/>
      </c>
      <c r="Q748" s="59" t="n">
        <v>14</v>
      </c>
      <c r="R748" s="59" t="n">
        <v>3</v>
      </c>
      <c r="S748" s="59" t="n">
        <v>1</v>
      </c>
      <c r="T748" s="63" t="inlineStr">
        <is>
          <t xml:space="preserve">I1   </t>
        </is>
      </c>
      <c r="U748" s="63" t="n">
        <v>398</v>
      </c>
      <c r="V748" s="714" t="n">
        <v>32800</v>
      </c>
      <c r="W748" s="714" t="n">
        <v>33000</v>
      </c>
      <c r="X748" s="83" t="inlineStr">
        <is>
          <t>3.4:1</t>
        </is>
      </c>
      <c r="Y748" s="714">
        <f>ROUND(J748,-3)</f>
        <v/>
      </c>
      <c r="Z748" s="63" t="inlineStr">
        <is>
          <t xml:space="preserve">C </t>
        </is>
      </c>
      <c r="AA748" s="59" t="n">
        <v>3</v>
      </c>
      <c r="AB748" s="59" t="n">
        <v>3</v>
      </c>
      <c r="AC748" s="67" t="inlineStr">
        <is>
          <t>33</t>
        </is>
      </c>
      <c r="AD748" s="61" t="inlineStr">
        <is>
          <t xml:space="preserve">CAP AIRFREIGHT      </t>
        </is>
      </c>
      <c r="AE748" s="716" t="n"/>
      <c r="AF748" s="716" t="n"/>
      <c r="AG748" s="716" t="n"/>
      <c r="AH748" s="716" t="n"/>
      <c r="AI748" s="716" t="n"/>
      <c r="AJ748" s="716" t="n"/>
      <c r="AK748" s="716" t="inlineStr">
        <is>
          <t xml:space="preserve">S-T WHSE; 2006 LEASE                                              </t>
        </is>
      </c>
      <c r="AL748">
        <f>IF(AND(ISNUMBER($S748),$S748&gt;0,ISNUMBER($K748),ISNUMBER($J748)),($K748*$J748)/$S748,"")</f>
        <v/>
      </c>
    </row>
    <row r="749">
      <c r="A749" s="62" t="n">
        <v>8</v>
      </c>
      <c r="B749" s="93" t="n">
        <v>741</v>
      </c>
      <c r="C749" s="68" t="inlineStr">
        <is>
          <t>2009Q</t>
        </is>
      </c>
      <c r="D749" s="59" t="inlineStr">
        <is>
          <t xml:space="preserve">02244-16-024-000 </t>
        </is>
      </c>
      <c r="E749" s="72" t="inlineStr">
        <is>
          <t>Actual</t>
        </is>
      </c>
      <c r="F749" s="73" t="inlineStr">
        <is>
          <t>4120   JACKSON              ST</t>
        </is>
      </c>
      <c r="G749" s="708" t="n">
        <v>44.2</v>
      </c>
      <c r="H749" s="67" t="n">
        <v>9201</v>
      </c>
      <c r="I749" s="69" t="n">
        <v>0</v>
      </c>
      <c r="J749" s="714" t="n">
        <v>9594</v>
      </c>
      <c r="K749" s="715" t="n">
        <v>9.028246820929748</v>
      </c>
      <c r="L749" s="74" t="n">
        <v>0</v>
      </c>
      <c r="M749" s="76" t="n">
        <v>0</v>
      </c>
      <c r="N749" s="67" t="n">
        <v>1977</v>
      </c>
      <c r="O749" s="64" t="n">
        <v>4239</v>
      </c>
      <c r="Q749" s="59" t="n">
        <v>21</v>
      </c>
      <c r="R749" s="59" t="n">
        <v>14</v>
      </c>
      <c r="S749" s="59" t="n">
        <v>1</v>
      </c>
      <c r="T749" s="63" t="inlineStr">
        <is>
          <t xml:space="preserve">I1   </t>
        </is>
      </c>
      <c r="U749" s="63" t="n">
        <v>398</v>
      </c>
      <c r="V749" s="714" t="n">
        <v>24615</v>
      </c>
      <c r="W749" s="714" t="n">
        <v>25000</v>
      </c>
      <c r="X749" s="83" t="inlineStr">
        <is>
          <t>2.6:1</t>
        </is>
      </c>
      <c r="Y749" s="714">
        <f>ROUND(J749,-3)</f>
        <v/>
      </c>
      <c r="Z749" s="63" t="inlineStr">
        <is>
          <t xml:space="preserve">C </t>
        </is>
      </c>
      <c r="AA749" s="59" t="n">
        <v>3</v>
      </c>
      <c r="AB749" s="59" t="n">
        <v>3</v>
      </c>
      <c r="AC749" s="67" t="inlineStr">
        <is>
          <t>33</t>
        </is>
      </c>
      <c r="AD749" s="61" t="inlineStr"/>
      <c r="AE749" s="716" t="n"/>
      <c r="AF749" s="716" t="n"/>
      <c r="AG749" s="716" t="n"/>
      <c r="AH749" s="716" t="n"/>
      <c r="AI749" s="716" t="n"/>
      <c r="AJ749" s="716" t="n"/>
      <c r="AK749" s="716" t="inlineStr">
        <is>
          <t xml:space="preserve">S-T WHSE; 2006 LEASE.                                             </t>
        </is>
      </c>
      <c r="AL749">
        <f>IF(AND(ISNUMBER($S749),$S749&gt;0,ISNUMBER($K749),ISNUMBER($J749)),($K749*$J749)/$S749,"")</f>
        <v/>
      </c>
    </row>
    <row r="750">
      <c r="A750" s="62" t="n">
        <v>8</v>
      </c>
      <c r="B750" s="93" t="n">
        <v>742</v>
      </c>
      <c r="C750" s="68" t="inlineStr">
        <is>
          <t>2009Q</t>
        </is>
      </c>
      <c r="D750" s="59" t="inlineStr">
        <is>
          <t xml:space="preserve">02263-04-016-000 </t>
        </is>
      </c>
      <c r="E750" s="72" t="inlineStr">
        <is>
          <t>Actual</t>
        </is>
      </c>
      <c r="F750" s="73" t="inlineStr">
        <is>
          <t>3518   LARIMER              ST</t>
        </is>
      </c>
      <c r="G750" s="708" t="n">
        <v>44.1</v>
      </c>
      <c r="H750" s="67" t="n">
        <v>9210</v>
      </c>
      <c r="I750" s="69" t="n">
        <v>0</v>
      </c>
      <c r="J750" s="714" t="n">
        <v>8312</v>
      </c>
      <c r="K750" s="715" t="n">
        <v>4.331087584215592</v>
      </c>
      <c r="L750" s="74" t="n">
        <v>0</v>
      </c>
      <c r="M750" s="76" t="n">
        <v>0</v>
      </c>
      <c r="N750" s="67" t="n">
        <v>1958</v>
      </c>
      <c r="O750" s="64" t="n">
        <v>1137</v>
      </c>
      <c r="Q750" s="59" t="n">
        <v>14</v>
      </c>
      <c r="R750" s="59" t="n">
        <v>3</v>
      </c>
      <c r="S750" s="59" t="n">
        <v>1</v>
      </c>
      <c r="T750" s="63" t="inlineStr">
        <is>
          <t xml:space="preserve">I1   </t>
        </is>
      </c>
      <c r="U750" s="63" t="n">
        <v>398</v>
      </c>
      <c r="V750" s="714" t="n">
        <v>12488</v>
      </c>
      <c r="W750" s="714" t="n">
        <v>12000</v>
      </c>
      <c r="X750" s="83" t="inlineStr">
        <is>
          <t>1.5:1</t>
        </is>
      </c>
      <c r="Y750" s="714">
        <f>ROUND(J750,-3)</f>
        <v/>
      </c>
      <c r="Z750" s="63" t="inlineStr">
        <is>
          <t xml:space="preserve">C </t>
        </is>
      </c>
      <c r="AA750" s="59" t="n">
        <v>2</v>
      </c>
      <c r="AB750" s="59" t="n">
        <v>2</v>
      </c>
      <c r="AC750" s="67" t="inlineStr">
        <is>
          <t>22</t>
        </is>
      </c>
      <c r="AD750" s="61" t="inlineStr">
        <is>
          <t xml:space="preserve">SCHERER METALS, INC </t>
        </is>
      </c>
      <c r="AE750" s="716" t="n"/>
      <c r="AF750" s="716" t="n"/>
      <c r="AG750" s="716" t="n"/>
      <c r="AH750" s="716" t="n"/>
      <c r="AI750" s="716" t="n"/>
      <c r="AJ750" s="716" t="n"/>
      <c r="AK750" s="716" t="inlineStr">
        <is>
          <t xml:space="preserve">S-T WHSE.                                                         </t>
        </is>
      </c>
      <c r="AL750">
        <f>IF(AND(ISNUMBER($S750),$S750&gt;0,ISNUMBER($K750),ISNUMBER($J750)),($K750*$J750)/$S750,"")</f>
        <v/>
      </c>
    </row>
    <row r="751">
      <c r="A751" s="62" t="n">
        <v>8</v>
      </c>
      <c r="B751" s="93" t="n">
        <v>743</v>
      </c>
      <c r="C751" s="68" t="inlineStr">
        <is>
          <t>2009Q</t>
        </is>
      </c>
      <c r="D751" s="59" t="inlineStr">
        <is>
          <t xml:space="preserve">02271-00-019-000 </t>
        </is>
      </c>
      <c r="E751" s="72" t="inlineStr">
        <is>
          <t>Actual</t>
        </is>
      </c>
      <c r="F751" s="73" t="inlineStr">
        <is>
          <t>3325   BRIGHTON             BV</t>
        </is>
      </c>
      <c r="G751" s="708" t="n">
        <v>44.1</v>
      </c>
      <c r="H751" s="67" t="n">
        <v>9210</v>
      </c>
      <c r="I751" s="69" t="n">
        <v>0</v>
      </c>
      <c r="J751" s="714" t="n">
        <v>7668</v>
      </c>
      <c r="K751" s="715" t="n">
        <v>5.94679186228482</v>
      </c>
      <c r="L751" s="74" t="n">
        <v>0</v>
      </c>
      <c r="M751" s="76" t="n">
        <v>0.1280701754385965</v>
      </c>
      <c r="N751" s="67" t="n">
        <v>1948</v>
      </c>
      <c r="O751" s="64">
        <f>850*2</f>
        <v/>
      </c>
      <c r="Q751" s="59" t="n">
        <v>15</v>
      </c>
      <c r="R751" s="59" t="n">
        <v>1</v>
      </c>
      <c r="S751" s="59" t="n">
        <v>1</v>
      </c>
      <c r="T751" s="63" t="inlineStr">
        <is>
          <t xml:space="preserve">I2   </t>
        </is>
      </c>
      <c r="U751" s="63" t="n">
        <v>398</v>
      </c>
      <c r="V751" s="714" t="n">
        <v>18830</v>
      </c>
      <c r="W751" s="714" t="n">
        <v>19000</v>
      </c>
      <c r="X751" s="83" t="inlineStr">
        <is>
          <t>2.5:1</t>
        </is>
      </c>
      <c r="Y751" s="714">
        <f>ROUND(J751,-3)</f>
        <v/>
      </c>
      <c r="Z751" s="63" t="inlineStr">
        <is>
          <t xml:space="preserve">C </t>
        </is>
      </c>
      <c r="AA751" s="59" t="n">
        <v>3</v>
      </c>
      <c r="AB751" s="59" t="n">
        <v>3</v>
      </c>
      <c r="AC751" s="67" t="inlineStr">
        <is>
          <t>33</t>
        </is>
      </c>
      <c r="AD751" s="61" t="inlineStr">
        <is>
          <t>PYRAMID PRINT&amp;GRPHCS</t>
        </is>
      </c>
      <c r="AE751" s="716" t="n"/>
      <c r="AF751" s="716" t="n"/>
      <c r="AG751" s="716" t="n"/>
      <c r="AH751" s="716" t="n"/>
      <c r="AI751" s="716" t="n"/>
      <c r="AJ751" s="716" t="n"/>
      <c r="AK751" s="716" t="inlineStr">
        <is>
          <t xml:space="preserve">M-T WHSE.; 2 TENANTS; 2005 LEASES.                                </t>
        </is>
      </c>
      <c r="AL751">
        <f>IF(AND(ISNUMBER($S751),$S751&gt;0,ISNUMBER($K751),ISNUMBER($J751)),($K751*$J751)/$S751,"")</f>
        <v/>
      </c>
    </row>
    <row r="752">
      <c r="A752" s="62" t="n">
        <v>8</v>
      </c>
      <c r="B752" s="93" t="n">
        <v>744</v>
      </c>
      <c r="C752" s="68" t="inlineStr">
        <is>
          <t>2009Q</t>
        </is>
      </c>
      <c r="D752" s="59" t="inlineStr">
        <is>
          <t xml:space="preserve">02271-06-006-000 </t>
        </is>
      </c>
      <c r="E752" s="72" t="inlineStr">
        <is>
          <t>Actual</t>
        </is>
      </c>
      <c r="F752" s="73" t="inlineStr">
        <is>
          <t>3726   BRIGHTON             BV</t>
        </is>
      </c>
      <c r="G752" s="708" t="n">
        <v>44.1</v>
      </c>
      <c r="H752" s="67" t="n">
        <v>9210</v>
      </c>
      <c r="I752" s="69" t="n">
        <v>0</v>
      </c>
      <c r="J752" s="714" t="n">
        <v>7232</v>
      </c>
      <c r="K752" s="715" t="n">
        <v>6.05641592920354</v>
      </c>
      <c r="L752" s="74" t="n">
        <v>0</v>
      </c>
      <c r="M752" s="76" t="n">
        <v>0</v>
      </c>
      <c r="N752" s="67" t="n">
        <v>1975</v>
      </c>
      <c r="O752" s="64" t="inlineStr"/>
      <c r="P752" s="64" t="inlineStr"/>
      <c r="Q752" s="59" t="n">
        <v>13</v>
      </c>
      <c r="R752" s="59" t="n">
        <v>3</v>
      </c>
      <c r="S752" s="59" t="n">
        <v>1</v>
      </c>
      <c r="T752" s="63" t="inlineStr">
        <is>
          <t xml:space="preserve">I1   </t>
        </is>
      </c>
      <c r="U752" s="63" t="n">
        <v>398</v>
      </c>
      <c r="V752" s="714" t="n">
        <v>9375</v>
      </c>
      <c r="W752" s="714" t="n">
        <v>9000</v>
      </c>
      <c r="X752" s="83" t="inlineStr">
        <is>
          <t>1.3:1</t>
        </is>
      </c>
      <c r="Y752" s="714">
        <f>ROUND(J752,-3)</f>
        <v/>
      </c>
      <c r="Z752" s="63" t="inlineStr">
        <is>
          <t xml:space="preserve">C </t>
        </is>
      </c>
      <c r="AA752" s="59" t="n">
        <v>3</v>
      </c>
      <c r="AB752" s="59" t="n">
        <v>3</v>
      </c>
      <c r="AC752" s="67" t="inlineStr">
        <is>
          <t>33</t>
        </is>
      </c>
      <c r="AD752" s="61" t="inlineStr">
        <is>
          <t xml:space="preserve">BIG DOG/IRON HORSE  </t>
        </is>
      </c>
      <c r="AE752" s="716" t="n"/>
      <c r="AF752" s="716" t="n"/>
      <c r="AG752" s="716" t="n"/>
      <c r="AH752" s="716" t="n"/>
      <c r="AI752" s="716" t="n"/>
      <c r="AJ752" s="716" t="n"/>
      <c r="AK752" s="716" t="inlineStr">
        <is>
          <t xml:space="preserve">S-T WHSE.                                                         </t>
        </is>
      </c>
      <c r="AL752">
        <f>IF(AND(ISNUMBER($S752),$S752&gt;0,ISNUMBER($K752),ISNUMBER($J752)),($K752*$J752)/$S752,"")</f>
        <v/>
      </c>
    </row>
    <row r="753">
      <c r="A753" s="62" t="n">
        <v>8</v>
      </c>
      <c r="B753" s="93" t="n">
        <v>745</v>
      </c>
      <c r="C753" s="68" t="inlineStr">
        <is>
          <t>2009Q</t>
        </is>
      </c>
      <c r="D753" s="59" t="inlineStr">
        <is>
          <t xml:space="preserve">02271-06-039-000 </t>
        </is>
      </c>
      <c r="E753" s="72" t="inlineStr">
        <is>
          <t>Actual</t>
        </is>
      </c>
      <c r="F753" s="73" t="inlineStr">
        <is>
          <t>3610   BRIGHTON             BV</t>
        </is>
      </c>
      <c r="G753" s="708" t="n">
        <v>47.1</v>
      </c>
      <c r="H753" s="67" t="n">
        <v>9210</v>
      </c>
      <c r="I753" s="69" t="n">
        <v>0</v>
      </c>
      <c r="J753" s="714" t="n">
        <v>7331</v>
      </c>
      <c r="K753" s="715" t="n">
        <v>4.992497612876824</v>
      </c>
      <c r="L753" s="74" t="n">
        <v>0</v>
      </c>
      <c r="M753" s="76" t="n">
        <v>0</v>
      </c>
      <c r="N753" s="67" t="n">
        <v>1954</v>
      </c>
      <c r="O753" s="64" t="n">
        <v>672</v>
      </c>
      <c r="Q753" s="59" t="n">
        <v>20</v>
      </c>
      <c r="R753" s="59" t="n">
        <v>3</v>
      </c>
      <c r="S753" s="59" t="n">
        <v>1</v>
      </c>
      <c r="T753" s="63" t="inlineStr">
        <is>
          <t xml:space="preserve">I1   </t>
        </is>
      </c>
      <c r="U753" s="63" t="n">
        <v>401</v>
      </c>
      <c r="V753" s="714" t="n">
        <v>21875</v>
      </c>
      <c r="W753" s="714" t="n">
        <v>22000</v>
      </c>
      <c r="X753" s="83" t="inlineStr">
        <is>
          <t>3.0:1</t>
        </is>
      </c>
      <c r="Y753" s="714">
        <f>ROUND(J753,-3)</f>
        <v/>
      </c>
      <c r="Z753" s="63" t="inlineStr">
        <is>
          <t xml:space="preserve">A </t>
        </is>
      </c>
      <c r="AA753" s="59" t="n">
        <v>3</v>
      </c>
      <c r="AB753" s="59" t="n">
        <v>3</v>
      </c>
      <c r="AC753" s="67" t="inlineStr">
        <is>
          <t>33</t>
        </is>
      </c>
      <c r="AD753" s="61" t="inlineStr"/>
      <c r="AE753" s="716" t="n"/>
      <c r="AF753" s="716" t="n"/>
      <c r="AG753" s="716" t="n"/>
      <c r="AH753" s="716" t="n"/>
      <c r="AI753" s="716" t="n"/>
      <c r="AJ753" s="716" t="n"/>
      <c r="AK753" s="716" t="inlineStr">
        <is>
          <t xml:space="preserve">S-T INDUSTRIAL; -017,021 INCLUDED=+15625SF LAND;AGE OF LEASE UNK. </t>
        </is>
      </c>
      <c r="AL753">
        <f>IF(AND(ISNUMBER($S753),$S753&gt;0,ISNUMBER($K753),ISNUMBER($J753)),($K753*$J753)/$S753,"")</f>
        <v/>
      </c>
    </row>
    <row r="754">
      <c r="A754" s="62" t="n">
        <v>8</v>
      </c>
      <c r="B754" s="93" t="n">
        <v>746</v>
      </c>
      <c r="C754" s="68" t="inlineStr">
        <is>
          <t>2009Q</t>
        </is>
      </c>
      <c r="D754" s="59" t="inlineStr">
        <is>
          <t xml:space="preserve">02271-07-021-000 </t>
        </is>
      </c>
      <c r="E754" s="72" t="inlineStr">
        <is>
          <t>Actual</t>
        </is>
      </c>
      <c r="F754" s="73" t="inlineStr">
        <is>
          <t>3606   DELGANY              ST</t>
        </is>
      </c>
      <c r="G754" s="708" t="n">
        <v>44.1</v>
      </c>
      <c r="H754" s="67" t="n">
        <v>9210</v>
      </c>
      <c r="I754" s="69" t="n">
        <v>0</v>
      </c>
      <c r="J754" s="714" t="n">
        <v>7200</v>
      </c>
      <c r="K754" s="715" t="n">
        <v>7</v>
      </c>
      <c r="L754" s="74" t="n">
        <v>0</v>
      </c>
      <c r="M754" s="76" t="n">
        <v>0</v>
      </c>
      <c r="N754" s="67" t="n">
        <v>1972</v>
      </c>
      <c r="O754" s="64" t="n">
        <v>1037</v>
      </c>
      <c r="Q754" s="59" t="n">
        <v>16</v>
      </c>
      <c r="R754" s="59" t="n">
        <v>7</v>
      </c>
      <c r="S754" s="59" t="n">
        <v>1</v>
      </c>
      <c r="T754" s="63" t="inlineStr">
        <is>
          <t xml:space="preserve">I1   </t>
        </is>
      </c>
      <c r="U754" s="63" t="n">
        <v>398</v>
      </c>
      <c r="V754" s="714" t="n">
        <v>18750</v>
      </c>
      <c r="W754" s="714" t="n">
        <v>19000</v>
      </c>
      <c r="X754" s="83" t="inlineStr">
        <is>
          <t>2.6:1</t>
        </is>
      </c>
      <c r="Y754" s="714">
        <f>ROUND(J754,-3)</f>
        <v/>
      </c>
      <c r="Z754" s="63" t="inlineStr">
        <is>
          <t xml:space="preserve">C </t>
        </is>
      </c>
      <c r="AA754" s="59" t="n">
        <v>3</v>
      </c>
      <c r="AB754" s="59" t="n">
        <v>3</v>
      </c>
      <c r="AC754" s="67" t="inlineStr">
        <is>
          <t>33</t>
        </is>
      </c>
      <c r="AD754" s="61" t="inlineStr">
        <is>
          <t>S-W AMERICAN BARRICA</t>
        </is>
      </c>
      <c r="AE754" s="716" t="n"/>
      <c r="AF754" s="716" t="n"/>
      <c r="AG754" s="716" t="n"/>
      <c r="AH754" s="716" t="n"/>
      <c r="AI754" s="716" t="n"/>
      <c r="AJ754" s="716" t="n"/>
      <c r="AK754" s="716" t="inlineStr">
        <is>
          <t xml:space="preserve">S-T WHSE; DATE OF LEASE UNKNOWN.                                  </t>
        </is>
      </c>
      <c r="AL754">
        <f>IF(AND(ISNUMBER($S754),$S754&gt;0,ISNUMBER($K754),ISNUMBER($J754)),($K754*$J754)/$S754,"")</f>
        <v/>
      </c>
    </row>
    <row r="755">
      <c r="A755" s="62" t="n">
        <v>8</v>
      </c>
      <c r="B755" s="93" t="n">
        <v>747</v>
      </c>
      <c r="C755" s="68" t="inlineStr">
        <is>
          <t>2009Q</t>
        </is>
      </c>
      <c r="D755" s="59" t="inlineStr">
        <is>
          <t xml:space="preserve">02271-08-038-000 </t>
        </is>
      </c>
      <c r="E755" s="72" t="inlineStr">
        <is>
          <t>Actual</t>
        </is>
      </c>
      <c r="F755" s="73" t="inlineStr">
        <is>
          <t>3615   DELGANY              ST</t>
        </is>
      </c>
      <c r="G755" s="708" t="n">
        <v>44.1</v>
      </c>
      <c r="H755" s="67" t="n">
        <v>9210</v>
      </c>
      <c r="I755" s="69" t="n">
        <v>0</v>
      </c>
      <c r="J755" s="714" t="n">
        <v>4400</v>
      </c>
      <c r="K755" s="715" t="n">
        <v>4.636363636363637</v>
      </c>
      <c r="L755" s="74" t="n">
        <v>0</v>
      </c>
      <c r="M755" s="76" t="n">
        <v>0.1318627450980392</v>
      </c>
      <c r="N755" s="67" t="n">
        <v>1954</v>
      </c>
      <c r="O755" s="64" t="n">
        <v>247</v>
      </c>
      <c r="Q755" s="59" t="n">
        <v>13</v>
      </c>
      <c r="R755" s="59" t="n">
        <v>3</v>
      </c>
      <c r="S755" s="59" t="n">
        <v>1</v>
      </c>
      <c r="T755" s="63" t="inlineStr">
        <is>
          <t xml:space="preserve">I1   </t>
        </is>
      </c>
      <c r="U755" s="63" t="n">
        <v>398</v>
      </c>
      <c r="V755" s="714" t="n">
        <v>17625</v>
      </c>
      <c r="W755" s="714" t="n">
        <v>18000</v>
      </c>
      <c r="X755" s="83" t="inlineStr">
        <is>
          <t>4.0:1</t>
        </is>
      </c>
      <c r="Y755" s="714">
        <f>ROUND(J755,-3)</f>
        <v/>
      </c>
      <c r="Z755" s="63" t="inlineStr">
        <is>
          <t xml:space="preserve">C </t>
        </is>
      </c>
      <c r="AA755" s="59" t="n">
        <v>3</v>
      </c>
      <c r="AB755" s="59" t="n">
        <v>3</v>
      </c>
      <c r="AC755" s="67" t="inlineStr">
        <is>
          <t>33</t>
        </is>
      </c>
      <c r="AD755" s="61" t="inlineStr">
        <is>
          <t>S-W LIGHT BLUB SERVC</t>
        </is>
      </c>
      <c r="AE755" s="716" t="n"/>
      <c r="AF755" s="716" t="n"/>
      <c r="AG755" s="716" t="n"/>
      <c r="AH755" s="716" t="n"/>
      <c r="AI755" s="716" t="n"/>
      <c r="AJ755" s="716" t="n"/>
      <c r="AK755" s="716" t="inlineStr">
        <is>
          <t xml:space="preserve">S-T WHSE.                                                         </t>
        </is>
      </c>
      <c r="AL755">
        <f>IF(AND(ISNUMBER($S755),$S755&gt;0,ISNUMBER($K755),ISNUMBER($J755)),($K755*$J755)/$S755,"")</f>
        <v/>
      </c>
    </row>
    <row r="756">
      <c r="A756" s="62" t="n">
        <v>8</v>
      </c>
      <c r="B756" s="93" t="n">
        <v>748</v>
      </c>
      <c r="C756" s="68" t="inlineStr">
        <is>
          <t>2009Q</t>
        </is>
      </c>
      <c r="D756" s="59" t="inlineStr">
        <is>
          <t xml:space="preserve">02271-11-021-000 </t>
        </is>
      </c>
      <c r="E756" s="72" t="inlineStr">
        <is>
          <t>Actual</t>
        </is>
      </c>
      <c r="F756" s="73" t="inlineStr">
        <is>
          <t>3537   DELGANY              ST</t>
        </is>
      </c>
      <c r="G756" s="708" t="n">
        <v>44.1</v>
      </c>
      <c r="H756" s="67" t="n">
        <v>9210</v>
      </c>
      <c r="I756" s="69" t="n">
        <v>0</v>
      </c>
      <c r="J756" s="714" t="n">
        <v>8500</v>
      </c>
      <c r="K756" s="715" t="n">
        <v>7.058823529411764</v>
      </c>
      <c r="L756" s="74" t="n">
        <v>0</v>
      </c>
      <c r="M756" s="76" t="n">
        <v>0</v>
      </c>
      <c r="N756" s="67" t="n">
        <v>1976</v>
      </c>
      <c r="O756" s="64" t="n">
        <v>1200</v>
      </c>
      <c r="Q756" s="59" t="n">
        <v>13</v>
      </c>
      <c r="R756" s="59" t="n">
        <v>3</v>
      </c>
      <c r="S756" s="59" t="n">
        <v>1</v>
      </c>
      <c r="T756" s="63" t="inlineStr">
        <is>
          <t xml:space="preserve">I1   </t>
        </is>
      </c>
      <c r="U756" s="63" t="n">
        <v>398</v>
      </c>
      <c r="V756" s="714" t="n">
        <v>9375</v>
      </c>
      <c r="W756" s="714" t="n">
        <v>9000</v>
      </c>
      <c r="X756" s="83" t="inlineStr">
        <is>
          <t>1.6:1</t>
        </is>
      </c>
      <c r="Y756" s="714">
        <f>ROUND(J756,-3)</f>
        <v/>
      </c>
      <c r="Z756" s="63" t="inlineStr">
        <is>
          <t xml:space="preserve">C </t>
        </is>
      </c>
      <c r="AA756" s="59" t="n">
        <v>3</v>
      </c>
      <c r="AB756" s="59" t="n">
        <v>3</v>
      </c>
      <c r="AC756" s="67" t="inlineStr">
        <is>
          <t>33</t>
        </is>
      </c>
      <c r="AD756" s="61" t="inlineStr">
        <is>
          <t xml:space="preserve">WHSE STORAGE        </t>
        </is>
      </c>
      <c r="AE756" s="716" t="n"/>
      <c r="AF756" s="716" t="n"/>
      <c r="AG756" s="716" t="n"/>
      <c r="AH756" s="716" t="n"/>
      <c r="AI756" s="716" t="n"/>
      <c r="AJ756" s="716" t="n"/>
      <c r="AK756" s="716" t="inlineStr">
        <is>
          <t xml:space="preserve">S-T WHSE.; DATE OF LEASE UNKNOWN.                                 </t>
        </is>
      </c>
      <c r="AL756">
        <f>IF(AND(ISNUMBER($S756),$S756&gt;0,ISNUMBER($K756),ISNUMBER($J756)),($K756*$J756)/$S756,"")</f>
        <v/>
      </c>
    </row>
    <row r="757">
      <c r="A757" s="62" t="n">
        <v>8</v>
      </c>
      <c r="B757" s="93" t="n">
        <v>749</v>
      </c>
      <c r="C757" s="68" t="inlineStr">
        <is>
          <t>2009Q</t>
        </is>
      </c>
      <c r="D757" s="59" t="inlineStr">
        <is>
          <t xml:space="preserve">02271-12-020-000 </t>
        </is>
      </c>
      <c r="E757" s="72" t="inlineStr">
        <is>
          <t>Actual</t>
        </is>
      </c>
      <c r="F757" s="73" t="inlineStr">
        <is>
          <t>3551   BRIGHTON             BV</t>
        </is>
      </c>
      <c r="G757" s="708" t="n">
        <v>44.2</v>
      </c>
      <c r="H757" s="67" t="n">
        <v>9210</v>
      </c>
      <c r="I757" s="69" t="n">
        <v>0</v>
      </c>
      <c r="J757" s="714" t="n">
        <v>5340</v>
      </c>
      <c r="K757" s="715" t="n">
        <v>4.943820224719101</v>
      </c>
      <c r="L757" s="74" t="n">
        <v>0</v>
      </c>
      <c r="M757" s="76" t="n">
        <v>0.2010227272727273</v>
      </c>
      <c r="N757" s="67" t="n">
        <v>1955</v>
      </c>
      <c r="O757" s="64">
        <f>980+1000+980</f>
        <v/>
      </c>
      <c r="Q757" s="59" t="n">
        <v>16</v>
      </c>
      <c r="R757" s="59" t="n">
        <v>3</v>
      </c>
      <c r="S757" s="59" t="n">
        <v>1</v>
      </c>
      <c r="T757" s="63" t="inlineStr">
        <is>
          <t xml:space="preserve">I1   </t>
        </is>
      </c>
      <c r="U757" s="63" t="n">
        <v>398</v>
      </c>
      <c r="V757" s="714" t="n">
        <v>6250</v>
      </c>
      <c r="W757" s="714" t="n">
        <v>6000</v>
      </c>
      <c r="X757" s="83" t="inlineStr">
        <is>
          <t>1.2:1</t>
        </is>
      </c>
      <c r="Y757" s="714">
        <f>ROUND(J757,-3)</f>
        <v/>
      </c>
      <c r="Z757" s="63" t="inlineStr">
        <is>
          <t xml:space="preserve">C </t>
        </is>
      </c>
      <c r="AA757" s="59" t="n">
        <v>2</v>
      </c>
      <c r="AB757" s="59" t="n">
        <v>1</v>
      </c>
      <c r="AC757" s="67" t="inlineStr">
        <is>
          <t>21</t>
        </is>
      </c>
      <c r="AD757" s="61" t="inlineStr"/>
      <c r="AE757" s="716" t="n"/>
      <c r="AF757" s="716" t="n"/>
      <c r="AG757" s="716" t="n"/>
      <c r="AH757" s="716" t="n"/>
      <c r="AI757" s="716" t="n"/>
      <c r="AJ757" s="716" t="n"/>
      <c r="AK757" s="716" t="inlineStr">
        <is>
          <t xml:space="preserve">S-T WHSE.; 2006 LEASE.                                            </t>
        </is>
      </c>
      <c r="AL757">
        <f>IF(AND(ISNUMBER($S757),$S757&gt;0,ISNUMBER($K757),ISNUMBER($J757)),($K757*$J757)/$S757,"")</f>
        <v/>
      </c>
    </row>
    <row r="758">
      <c r="A758" s="62" t="n">
        <v>8</v>
      </c>
      <c r="B758" s="93" t="n">
        <v>750</v>
      </c>
      <c r="C758" s="68" t="inlineStr">
        <is>
          <t>2009Q</t>
        </is>
      </c>
      <c r="D758" s="59" t="inlineStr">
        <is>
          <t xml:space="preserve">02271-12-028-000 </t>
        </is>
      </c>
      <c r="E758" s="72" t="inlineStr">
        <is>
          <t>Actual</t>
        </is>
      </c>
      <c r="F758" s="73" t="inlineStr">
        <is>
          <t>3515   BRIGHTON             BV</t>
        </is>
      </c>
      <c r="G758" s="708" t="n">
        <v>46.1</v>
      </c>
      <c r="H758" s="67" t="n">
        <v>9210</v>
      </c>
      <c r="I758" s="69" t="n">
        <v>0</v>
      </c>
      <c r="J758" s="714" t="n">
        <v>4752</v>
      </c>
      <c r="K758" s="715" t="n">
        <v>7.575757575757576</v>
      </c>
      <c r="L758" s="74" t="n">
        <v>0</v>
      </c>
      <c r="M758" s="76" t="n">
        <v>0.16625</v>
      </c>
      <c r="N758" s="67" t="n">
        <v>1971</v>
      </c>
      <c r="O758" s="64">
        <f>920+720</f>
        <v/>
      </c>
      <c r="Q758" s="59" t="n">
        <v>15</v>
      </c>
      <c r="R758" s="59" t="n">
        <v>3</v>
      </c>
      <c r="S758" s="59" t="n">
        <v>1</v>
      </c>
      <c r="T758" s="63" t="inlineStr">
        <is>
          <t xml:space="preserve">I1   </t>
        </is>
      </c>
      <c r="U758" s="63" t="n">
        <v>391</v>
      </c>
      <c r="V758" s="714" t="n">
        <v>8560</v>
      </c>
      <c r="W758" s="714" t="n">
        <v>9000</v>
      </c>
      <c r="X758" s="83" t="inlineStr">
        <is>
          <t>1.8:1</t>
        </is>
      </c>
      <c r="Y758" s="714">
        <f>ROUND(J758,-3)</f>
        <v/>
      </c>
      <c r="Z758" s="63" t="inlineStr">
        <is>
          <t xml:space="preserve">C </t>
        </is>
      </c>
      <c r="AA758" s="59" t="n">
        <v>3</v>
      </c>
      <c r="AB758" s="59" t="n">
        <v>3</v>
      </c>
      <c r="AC758" s="67" t="inlineStr">
        <is>
          <t>33</t>
        </is>
      </c>
      <c r="AD758" s="61" t="inlineStr"/>
      <c r="AE758" s="716" t="n"/>
      <c r="AF758" s="716" t="n"/>
      <c r="AG758" s="716" t="n"/>
      <c r="AH758" s="716" t="n"/>
      <c r="AI758" s="716" t="n"/>
      <c r="AJ758" s="716" t="n"/>
      <c r="AK758" s="716" t="inlineStr">
        <is>
          <t xml:space="preserve">S-T INDUSTRIAL BLDG.; 2004 LEASE.                                 </t>
        </is>
      </c>
      <c r="AL758">
        <f>IF(AND(ISNUMBER($S758),$S758&gt;0,ISNUMBER($K758),ISNUMBER($J758)),($K758*$J758)/$S758,"")</f>
        <v/>
      </c>
    </row>
    <row r="759">
      <c r="A759" s="62" t="n">
        <v>8</v>
      </c>
      <c r="B759" s="93" t="n">
        <v>751</v>
      </c>
      <c r="C759" s="68" t="inlineStr">
        <is>
          <t>2009Q</t>
        </is>
      </c>
      <c r="D759" s="59" t="inlineStr">
        <is>
          <t xml:space="preserve">02271-12-031-000 </t>
        </is>
      </c>
      <c r="E759" s="72" t="inlineStr">
        <is>
          <t>Actual</t>
        </is>
      </c>
      <c r="F759" s="73" t="inlineStr">
        <is>
          <t>3535   BRIGHTON             BL</t>
        </is>
      </c>
      <c r="G759" s="708" t="n">
        <v>44.1</v>
      </c>
      <c r="H759" s="67" t="n">
        <v>9210</v>
      </c>
      <c r="I759" s="69" t="n">
        <v>0</v>
      </c>
      <c r="J759" s="714" t="n">
        <v>9000</v>
      </c>
      <c r="K759" s="715" t="n">
        <v>10.88888888888889</v>
      </c>
      <c r="L759" s="74" t="n">
        <v>0</v>
      </c>
      <c r="M759" s="76" t="n">
        <v>0.286734693877551</v>
      </c>
      <c r="N759" s="67" t="n">
        <v>1973</v>
      </c>
      <c r="O759" s="64" t="n">
        <v>384</v>
      </c>
      <c r="Q759" s="59" t="n">
        <v>15</v>
      </c>
      <c r="R759" s="59" t="n">
        <v>3</v>
      </c>
      <c r="S759" s="59" t="n">
        <v>1</v>
      </c>
      <c r="T759" s="63" t="inlineStr">
        <is>
          <t xml:space="preserve">I1   </t>
        </is>
      </c>
      <c r="U759" s="63" t="n">
        <v>398</v>
      </c>
      <c r="V759" s="714" t="n">
        <v>12500</v>
      </c>
      <c r="W759" s="714" t="n">
        <v>13000</v>
      </c>
      <c r="X759" s="83" t="inlineStr">
        <is>
          <t>1.3:1</t>
        </is>
      </c>
      <c r="Y759" s="714">
        <f>ROUND(J759,-3)</f>
        <v/>
      </c>
      <c r="Z759" s="63" t="inlineStr">
        <is>
          <t xml:space="preserve">C </t>
        </is>
      </c>
      <c r="AA759" s="59" t="n">
        <v>3</v>
      </c>
      <c r="AB759" s="59" t="n">
        <v>3</v>
      </c>
      <c r="AC759" s="67" t="inlineStr">
        <is>
          <t>33</t>
        </is>
      </c>
      <c r="AD759" s="61" t="inlineStr"/>
      <c r="AE759" s="716" t="n"/>
      <c r="AF759" s="716" t="n"/>
      <c r="AG759" s="716" t="n"/>
      <c r="AH759" s="716" t="n"/>
      <c r="AI759" s="716" t="n"/>
      <c r="AJ759" s="716" t="n"/>
      <c r="AK759" s="716" t="inlineStr">
        <is>
          <t xml:space="preserve">M-T WHSE.; EST. 7 TENANTS; MAY INCLUDE PCL -030.                  </t>
        </is>
      </c>
      <c r="AL759">
        <f>IF(AND(ISNUMBER($S759),$S759&gt;0,ISNUMBER($K759),ISNUMBER($J759)),($K759*$J759)/$S759,"")</f>
        <v/>
      </c>
    </row>
    <row r="760">
      <c r="A760" s="62" t="n">
        <v>8</v>
      </c>
      <c r="B760" s="93" t="n">
        <v>752</v>
      </c>
      <c r="C760" s="68" t="inlineStr">
        <is>
          <t>2009Q</t>
        </is>
      </c>
      <c r="D760" s="59" t="inlineStr">
        <is>
          <t xml:space="preserve">02271-13-027-000 </t>
        </is>
      </c>
      <c r="E760" s="72" t="inlineStr">
        <is>
          <t>Actual</t>
        </is>
      </c>
      <c r="F760" s="73" t="inlineStr">
        <is>
          <t>3554   BRIGHTON             BV</t>
        </is>
      </c>
      <c r="G760" s="708" t="n">
        <v>44.1</v>
      </c>
      <c r="H760" s="67" t="n">
        <v>9210</v>
      </c>
      <c r="I760" s="69" t="n">
        <v>0</v>
      </c>
      <c r="J760" s="714" t="n">
        <v>3999</v>
      </c>
      <c r="K760" s="715" t="n">
        <v>6.301575393848462</v>
      </c>
      <c r="L760" s="74" t="n">
        <v>0</v>
      </c>
      <c r="M760" s="76" t="n">
        <v>0.1319444444444444</v>
      </c>
      <c r="N760" s="67" t="n">
        <v>1920</v>
      </c>
      <c r="O760" s="64" t="n">
        <v>1215</v>
      </c>
      <c r="P760" s="64" t="inlineStr"/>
      <c r="Q760" s="59" t="n">
        <v>14</v>
      </c>
      <c r="R760" s="59" t="n">
        <v>1</v>
      </c>
      <c r="S760" s="59" t="n">
        <v>1</v>
      </c>
      <c r="T760" s="63" t="inlineStr">
        <is>
          <t xml:space="preserve">I1   </t>
        </is>
      </c>
      <c r="U760" s="63" t="n">
        <v>398</v>
      </c>
      <c r="V760" s="714" t="n">
        <v>18750</v>
      </c>
      <c r="W760" s="714" t="n">
        <v>19000</v>
      </c>
      <c r="X760" s="83" t="inlineStr">
        <is>
          <t>4.7:1</t>
        </is>
      </c>
      <c r="Y760" s="714">
        <f>ROUND(J760,-3)</f>
        <v/>
      </c>
      <c r="Z760" s="63" t="inlineStr">
        <is>
          <t xml:space="preserve">C </t>
        </is>
      </c>
      <c r="AA760" s="59" t="n">
        <v>3</v>
      </c>
      <c r="AB760" s="59" t="n">
        <v>3</v>
      </c>
      <c r="AC760" s="67" t="inlineStr">
        <is>
          <t>33</t>
        </is>
      </c>
      <c r="AD760" s="61" t="inlineStr">
        <is>
          <t xml:space="preserve">S-W  DLM STG YARD   </t>
        </is>
      </c>
      <c r="AE760" s="716" t="n"/>
      <c r="AF760" s="716" t="n"/>
      <c r="AG760" s="716" t="n"/>
      <c r="AH760" s="716" t="n"/>
      <c r="AI760" s="716" t="n"/>
      <c r="AJ760" s="716" t="n"/>
      <c r="AK760" s="716" t="inlineStr">
        <is>
          <t xml:space="preserve">S-T WHSE.                                                         </t>
        </is>
      </c>
      <c r="AL760">
        <f>IF(AND(ISNUMBER($S760),$S760&gt;0,ISNUMBER($K760),ISNUMBER($J760)),($K760*$J760)/$S760,"")</f>
        <v/>
      </c>
    </row>
    <row r="761">
      <c r="A761" s="62" t="n">
        <v>8</v>
      </c>
      <c r="B761" s="93" t="n">
        <v>753</v>
      </c>
      <c r="C761" s="68" t="inlineStr">
        <is>
          <t>2009Q</t>
        </is>
      </c>
      <c r="D761" s="59" t="inlineStr">
        <is>
          <t xml:space="preserve">02271-18-022-000 </t>
        </is>
      </c>
      <c r="E761" s="72" t="inlineStr">
        <is>
          <t>Actual</t>
        </is>
      </c>
      <c r="F761" s="73" t="inlineStr">
        <is>
          <t>3400   WALNUT               ST</t>
        </is>
      </c>
      <c r="G761" s="708" t="n">
        <v>44.5</v>
      </c>
      <c r="H761" s="67" t="n">
        <v>9210</v>
      </c>
      <c r="I761" s="69" t="n">
        <v>0</v>
      </c>
      <c r="J761" s="714" t="n">
        <v>22640</v>
      </c>
      <c r="K761" s="715" t="n">
        <v>7.741916961130742</v>
      </c>
      <c r="L761" s="74" t="n">
        <v>0.06</v>
      </c>
      <c r="M761" s="76" t="n">
        <v>0.2407731761725725</v>
      </c>
      <c r="N761" s="67" t="n">
        <v>1950</v>
      </c>
      <c r="O761" s="64" t="inlineStr"/>
      <c r="Q761" s="59" t="n">
        <v>11</v>
      </c>
      <c r="R761" s="59" t="n">
        <v>1</v>
      </c>
      <c r="S761" s="59" t="n">
        <v>85</v>
      </c>
      <c r="T761" s="63" t="inlineStr">
        <is>
          <t xml:space="preserve">I2   </t>
        </is>
      </c>
      <c r="U761" s="63" t="n">
        <v>396</v>
      </c>
      <c r="V761" s="714" t="n">
        <v>31250</v>
      </c>
      <c r="W761" s="714" t="n">
        <v>31000</v>
      </c>
      <c r="X761" s="83" t="inlineStr">
        <is>
          <t>1.4:1</t>
        </is>
      </c>
      <c r="Y761" s="714">
        <f>ROUND(J761,-3)</f>
        <v/>
      </c>
      <c r="Z761" s="63" t="inlineStr">
        <is>
          <t xml:space="preserve">C </t>
        </is>
      </c>
      <c r="AA761" s="59" t="n">
        <v>3</v>
      </c>
      <c r="AB761" s="59" t="n">
        <v>3</v>
      </c>
      <c r="AC761" s="67" t="inlineStr">
        <is>
          <t>33</t>
        </is>
      </c>
      <c r="AD761" s="61" t="inlineStr">
        <is>
          <t xml:space="preserve">DOWNTOWN SELF STRG  </t>
        </is>
      </c>
      <c r="AE761" s="716" t="n"/>
      <c r="AF761" s="716" t="n"/>
      <c r="AG761" s="716" t="n"/>
      <c r="AH761" s="716" t="n"/>
      <c r="AI761" s="716" t="n"/>
      <c r="AJ761" s="716" t="n"/>
      <c r="AK761" s="716" t="inlineStr">
        <is>
          <t xml:space="preserve">SELF-STORAGE FACILITY.                                            </t>
        </is>
      </c>
      <c r="AL761">
        <f>IF(AND(ISNUMBER($S761),$S761&gt;0,ISNUMBER($K761),ISNUMBER($J761)),($K761*$J761)/$S761,"")</f>
        <v/>
      </c>
    </row>
    <row r="762">
      <c r="A762" s="62" t="n">
        <v>8</v>
      </c>
      <c r="B762" s="93" t="n">
        <v>754</v>
      </c>
      <c r="C762" s="68" t="inlineStr">
        <is>
          <t>2009Q</t>
        </is>
      </c>
      <c r="D762" s="59" t="inlineStr">
        <is>
          <t xml:space="preserve">02271-20-021-000 </t>
        </is>
      </c>
      <c r="E762" s="72" t="inlineStr">
        <is>
          <t>Actual</t>
        </is>
      </c>
      <c r="F762" s="73" t="inlineStr">
        <is>
          <t>3401   BLAKE                ST</t>
        </is>
      </c>
      <c r="G762" s="708" t="n">
        <v>47.1</v>
      </c>
      <c r="H762" s="67" t="n">
        <v>9210</v>
      </c>
      <c r="I762" s="69" t="n">
        <v>0</v>
      </c>
      <c r="J762" s="714" t="n">
        <v>14065</v>
      </c>
      <c r="K762" s="715" t="n">
        <v>10.0551724137931</v>
      </c>
      <c r="L762" s="74" t="n">
        <v>0</v>
      </c>
      <c r="M762" s="76" t="n">
        <v>0</v>
      </c>
      <c r="N762" s="67" t="n">
        <v>2000</v>
      </c>
      <c r="O762" s="64" t="n">
        <v>2410</v>
      </c>
      <c r="Q762" s="59" t="n">
        <v>16</v>
      </c>
      <c r="R762" s="59" t="n">
        <v>3</v>
      </c>
      <c r="S762" s="59" t="n">
        <v>1</v>
      </c>
      <c r="T762" s="63" t="inlineStr">
        <is>
          <t xml:space="preserve">I2   </t>
        </is>
      </c>
      <c r="U762" s="63" t="n">
        <v>401</v>
      </c>
      <c r="V762" s="714" t="n">
        <v>6875</v>
      </c>
      <c r="W762" s="714" t="n">
        <v>7000</v>
      </c>
      <c r="X762" s="83" t="inlineStr">
        <is>
          <t>0.5:1</t>
        </is>
      </c>
      <c r="Y762" s="714">
        <f>ROUND(J762,-3)</f>
        <v/>
      </c>
      <c r="Z762" s="63" t="inlineStr">
        <is>
          <t xml:space="preserve">C </t>
        </is>
      </c>
      <c r="AA762" s="59" t="n">
        <v>3</v>
      </c>
      <c r="AB762" s="59" t="n">
        <v>3</v>
      </c>
      <c r="AC762" s="67" t="inlineStr">
        <is>
          <t>33</t>
        </is>
      </c>
      <c r="AD762" s="61" t="inlineStr">
        <is>
          <t xml:space="preserve">NEOSOURCE           </t>
        </is>
      </c>
      <c r="AE762" s="716" t="n"/>
      <c r="AF762" s="716" t="n"/>
      <c r="AG762" s="716" t="n"/>
      <c r="AH762" s="716" t="n"/>
      <c r="AI762" s="716" t="n"/>
      <c r="AJ762" s="716" t="n"/>
      <c r="AK762" s="716" t="inlineStr">
        <is>
          <t xml:space="preserve">S-T INDUSTRIAL BLDG.; LEASE DATES FROM 2004.                      </t>
        </is>
      </c>
      <c r="AL762">
        <f>IF(AND(ISNUMBER($S762),$S762&gt;0,ISNUMBER($K762),ISNUMBER($J762)),($K762*$J762)/$S762,"")</f>
        <v/>
      </c>
    </row>
    <row r="763">
      <c r="A763" s="62" t="n">
        <v>8</v>
      </c>
      <c r="B763" s="93" t="n">
        <v>755</v>
      </c>
      <c r="C763" s="68" t="inlineStr">
        <is>
          <t>2009Q</t>
        </is>
      </c>
      <c r="D763" s="59" t="inlineStr">
        <is>
          <t xml:space="preserve">02271-22-005-000 </t>
        </is>
      </c>
      <c r="E763" s="72" t="inlineStr">
        <is>
          <t>Actual</t>
        </is>
      </c>
      <c r="F763" s="73" t="inlineStr">
        <is>
          <t>3430   BRIGHTON             BV</t>
        </is>
      </c>
      <c r="G763" s="708" t="n">
        <v>44.1</v>
      </c>
      <c r="H763" s="67" t="n">
        <v>9210</v>
      </c>
      <c r="I763" s="69" t="n">
        <v>0</v>
      </c>
      <c r="J763" s="714" t="n">
        <v>7464</v>
      </c>
      <c r="K763" s="715" t="n">
        <v>4.823151125401929</v>
      </c>
      <c r="L763" s="74" t="n">
        <v>0</v>
      </c>
      <c r="M763" s="76" t="n">
        <v>0.1119444444444444</v>
      </c>
      <c r="N763" s="67" t="n">
        <v>1931</v>
      </c>
      <c r="O763" s="64" t="n">
        <v>180</v>
      </c>
      <c r="Q763" s="59" t="n">
        <v>14</v>
      </c>
      <c r="R763" s="59" t="n">
        <v>7</v>
      </c>
      <c r="S763" s="59" t="n">
        <v>1</v>
      </c>
      <c r="T763" s="63" t="inlineStr">
        <is>
          <t xml:space="preserve">I2   </t>
        </is>
      </c>
      <c r="U763" s="63" t="n">
        <v>398</v>
      </c>
      <c r="V763" s="714" t="n">
        <v>12500</v>
      </c>
      <c r="W763" s="714" t="n">
        <v>13000</v>
      </c>
      <c r="X763" s="83" t="inlineStr">
        <is>
          <t>1.7:1</t>
        </is>
      </c>
      <c r="Y763" s="714">
        <f>ROUND(J763,-3)</f>
        <v/>
      </c>
      <c r="Z763" s="63" t="inlineStr">
        <is>
          <t xml:space="preserve">C </t>
        </is>
      </c>
      <c r="AA763" s="59" t="n">
        <v>1</v>
      </c>
      <c r="AB763" s="59" t="n">
        <v>3</v>
      </c>
      <c r="AC763" s="67" t="inlineStr">
        <is>
          <t>13</t>
        </is>
      </c>
      <c r="AD763" s="61" t="inlineStr">
        <is>
          <t xml:space="preserve">SANTA FE HTG &amp; AC   </t>
        </is>
      </c>
      <c r="AE763" s="716" t="n"/>
      <c r="AF763" s="716" t="n"/>
      <c r="AG763" s="716" t="n"/>
      <c r="AH763" s="716" t="n"/>
      <c r="AI763" s="716" t="n"/>
      <c r="AJ763" s="716" t="n"/>
      <c r="AK763" s="716" t="inlineStr">
        <is>
          <t xml:space="preserve">S-T WHSE.                                                         </t>
        </is>
      </c>
      <c r="AL763">
        <f>IF(AND(ISNUMBER($S763),$S763&gt;0,ISNUMBER($K763),ISNUMBER($J763)),($K763*$J763)/$S763,"")</f>
        <v/>
      </c>
    </row>
    <row r="764">
      <c r="A764" s="62" t="n">
        <v>8</v>
      </c>
      <c r="B764" s="93" t="n">
        <v>756</v>
      </c>
      <c r="C764" s="68" t="inlineStr">
        <is>
          <t>2009Q</t>
        </is>
      </c>
      <c r="D764" s="59" t="inlineStr">
        <is>
          <t xml:space="preserve">02271-22-011-000 </t>
        </is>
      </c>
      <c r="E764" s="72" t="inlineStr">
        <is>
          <t>Actual</t>
        </is>
      </c>
      <c r="F764" s="73" t="inlineStr">
        <is>
          <t>3435   WYNKOOP              ST</t>
        </is>
      </c>
      <c r="G764" s="708" t="n">
        <v>44.2</v>
      </c>
      <c r="H764" s="67" t="n">
        <v>9210</v>
      </c>
      <c r="I764" s="69" t="n">
        <v>0</v>
      </c>
      <c r="J764" s="714" t="n">
        <v>600</v>
      </c>
      <c r="K764" s="715" t="n">
        <v>13.2</v>
      </c>
      <c r="L764" s="74" t="n">
        <v>0</v>
      </c>
      <c r="M764" s="76" t="n">
        <v>0</v>
      </c>
      <c r="N764" s="67" t="n">
        <v>1942</v>
      </c>
      <c r="P764" s="64">
        <f>2531+246</f>
        <v/>
      </c>
      <c r="Q764" s="59" t="n">
        <v>16</v>
      </c>
      <c r="R764" s="59" t="n">
        <v>1</v>
      </c>
      <c r="S764" s="59" t="n">
        <v>1</v>
      </c>
      <c r="T764" s="63" t="inlineStr">
        <is>
          <t xml:space="preserve">I2   </t>
        </is>
      </c>
      <c r="U764" s="63" t="n">
        <v>398</v>
      </c>
      <c r="V764" s="714" t="n">
        <v>12402</v>
      </c>
      <c r="W764" s="714" t="n">
        <v>12000</v>
      </c>
      <c r="X764" s="83" t="inlineStr">
        <is>
          <t>2.3:1</t>
        </is>
      </c>
      <c r="Y764" s="714">
        <f>ROUND(J764,-2)</f>
        <v/>
      </c>
      <c r="Z764" s="63" t="inlineStr">
        <is>
          <t xml:space="preserve">C </t>
        </is>
      </c>
      <c r="AA764" s="59" t="n">
        <v>3</v>
      </c>
      <c r="AB764" s="59" t="n">
        <v>1</v>
      </c>
      <c r="AC764" s="67" t="inlineStr">
        <is>
          <t>31</t>
        </is>
      </c>
      <c r="AD764" s="61" t="inlineStr">
        <is>
          <t xml:space="preserve">M-W                 </t>
        </is>
      </c>
      <c r="AE764" s="716" t="n"/>
      <c r="AF764" s="716" t="n"/>
      <c r="AG764" s="716" t="n"/>
      <c r="AH764" s="716" t="n"/>
      <c r="AI764" s="716" t="n"/>
      <c r="AJ764" s="716" t="n"/>
      <c r="AK764" s="716" t="inlineStr">
        <is>
          <t xml:space="preserve">M-T WHSE; 2 TENANTS INCLUDING OWNER.                              </t>
        </is>
      </c>
      <c r="AL764">
        <f>IF(AND(ISNUMBER($S764),$S764&gt;0,ISNUMBER($K764),ISNUMBER($J764)),($K764*$J764)/$S764,"")</f>
        <v/>
      </c>
    </row>
    <row r="765">
      <c r="A765" s="62" t="n">
        <v>8</v>
      </c>
      <c r="B765" s="93" t="n">
        <v>757</v>
      </c>
      <c r="C765" s="68" t="inlineStr">
        <is>
          <t>2009Q</t>
        </is>
      </c>
      <c r="D765" s="59" t="inlineStr">
        <is>
          <t xml:space="preserve">02271-22-014-000 </t>
        </is>
      </c>
      <c r="E765" s="72" t="inlineStr">
        <is>
          <t>Actual</t>
        </is>
      </c>
      <c r="F765" s="73" t="inlineStr">
        <is>
          <t>3400   BRIGHTON             BV</t>
        </is>
      </c>
      <c r="G765" s="708" t="n">
        <v>47.1</v>
      </c>
      <c r="H765" s="67" t="n">
        <v>9210</v>
      </c>
      <c r="I765" s="69" t="n">
        <v>0</v>
      </c>
      <c r="J765" s="714" t="n">
        <v>6832</v>
      </c>
      <c r="K765" s="715" t="n">
        <v>5.620608899297424</v>
      </c>
      <c r="L765" s="74" t="n">
        <v>0</v>
      </c>
      <c r="M765" s="76" t="n">
        <v>0.1755208333333333</v>
      </c>
      <c r="N765" s="67" t="n">
        <v>1957</v>
      </c>
      <c r="Q765" s="59" t="n">
        <v>22</v>
      </c>
      <c r="R765" s="59" t="n">
        <v>3</v>
      </c>
      <c r="S765" s="59" t="n">
        <v>1</v>
      </c>
      <c r="T765" s="63" t="inlineStr">
        <is>
          <t xml:space="preserve">I2   </t>
        </is>
      </c>
      <c r="U765" s="63" t="n">
        <v>401</v>
      </c>
      <c r="V765" s="714" t="n">
        <v>27680</v>
      </c>
      <c r="W765" s="714" t="n">
        <v>28000</v>
      </c>
      <c r="X765" s="83" t="inlineStr">
        <is>
          <t>4.1:1</t>
        </is>
      </c>
      <c r="Y765" s="714">
        <f>ROUND(J765,-3)</f>
        <v/>
      </c>
      <c r="Z765" s="63" t="inlineStr">
        <is>
          <t xml:space="preserve">C </t>
        </is>
      </c>
      <c r="AA765" s="59" t="n">
        <v>1</v>
      </c>
      <c r="AB765" s="59" t="n">
        <v>3</v>
      </c>
      <c r="AC765" s="67" t="inlineStr">
        <is>
          <t>13</t>
        </is>
      </c>
      <c r="AD765" s="61" t="inlineStr">
        <is>
          <t>QUINN PROCESS EQPMNT</t>
        </is>
      </c>
      <c r="AE765" s="716" t="n"/>
      <c r="AF765" s="716" t="n"/>
      <c r="AG765" s="716" t="n"/>
      <c r="AH765" s="716" t="n"/>
      <c r="AI765" s="716" t="n"/>
      <c r="AJ765" s="716" t="n"/>
      <c r="AK765" s="716" t="inlineStr">
        <is>
          <t xml:space="preserve">S-T INDUSTRIAL BLDG.; 2005 LEASE.                                 </t>
        </is>
      </c>
      <c r="AL765">
        <f>IF(AND(ISNUMBER($S765),$S765&gt;0,ISNUMBER($K765),ISNUMBER($J765)),($K765*$J765)/$S765,"")</f>
        <v/>
      </c>
    </row>
    <row r="766">
      <c r="A766" s="62" t="n">
        <v>8</v>
      </c>
      <c r="B766" s="93" t="n">
        <v>758</v>
      </c>
      <c r="C766" s="68" t="inlineStr">
        <is>
          <t>2009Q</t>
        </is>
      </c>
      <c r="D766" s="59" t="inlineStr">
        <is>
          <t xml:space="preserve">02271-23-013-000 </t>
        </is>
      </c>
      <c r="E766" s="72" t="inlineStr">
        <is>
          <t>Actual</t>
        </is>
      </c>
      <c r="F766" s="73" t="inlineStr">
        <is>
          <t>3403   BRIGHTON             BV</t>
        </is>
      </c>
      <c r="G766" s="708" t="n">
        <v>44.1</v>
      </c>
      <c r="H766" s="67" t="n">
        <v>9210</v>
      </c>
      <c r="I766" s="69" t="n">
        <v>0</v>
      </c>
      <c r="J766" s="714" t="n">
        <v>9530</v>
      </c>
      <c r="K766" s="715" t="n">
        <v>12.59181532004197</v>
      </c>
      <c r="L766" s="74" t="n">
        <v>0</v>
      </c>
      <c r="M766" s="76" t="n">
        <v>0</v>
      </c>
      <c r="N766" s="67" t="n">
        <v>1941</v>
      </c>
      <c r="P766" s="64" t="n">
        <v>1758</v>
      </c>
      <c r="Q766" s="59" t="n">
        <v>20</v>
      </c>
      <c r="R766" s="59" t="n">
        <v>1</v>
      </c>
      <c r="S766" s="59" t="n">
        <v>1</v>
      </c>
      <c r="T766" s="63" t="inlineStr">
        <is>
          <t xml:space="preserve">I2   </t>
        </is>
      </c>
      <c r="U766" s="63" t="n">
        <v>398</v>
      </c>
      <c r="V766" s="714" t="n">
        <v>190539</v>
      </c>
      <c r="W766" s="714" t="n">
        <v>190000</v>
      </c>
      <c r="X766" s="83" t="inlineStr">
        <is>
          <t>20.0:1</t>
        </is>
      </c>
      <c r="Y766" s="714">
        <f>ROUND(J766,-3)</f>
        <v/>
      </c>
      <c r="Z766" s="63" t="inlineStr">
        <is>
          <t xml:space="preserve">C </t>
        </is>
      </c>
      <c r="AA766" s="59" t="n">
        <v>3</v>
      </c>
      <c r="AB766" s="59" t="n">
        <v>3</v>
      </c>
      <c r="AC766" s="67" t="inlineStr">
        <is>
          <t>33</t>
        </is>
      </c>
      <c r="AD766" s="61" t="inlineStr">
        <is>
          <t>CENTRAL FOREIGN AUTO</t>
        </is>
      </c>
      <c r="AE766" s="716" t="n"/>
      <c r="AF766" s="716" t="n"/>
      <c r="AG766" s="716" t="n"/>
      <c r="AH766" s="716" t="n"/>
      <c r="AI766" s="716" t="n"/>
      <c r="AJ766" s="716" t="n"/>
      <c r="AK766" s="716" t="inlineStr">
        <is>
          <t xml:space="preserve">S-T WHSE.; CENTRAL FOREIGN AUTO PARTS; AGE OF LEASE UNKNOWN.      </t>
        </is>
      </c>
      <c r="AL766">
        <f>IF(AND(ISNUMBER($S766),$S766&gt;0,ISNUMBER($K766),ISNUMBER($J766)),($K766*$J766)/$S766,"")</f>
        <v/>
      </c>
    </row>
    <row r="767">
      <c r="A767" s="62" t="n">
        <v>8</v>
      </c>
      <c r="B767" s="93" t="n">
        <v>759</v>
      </c>
      <c r="C767" s="68" t="inlineStr">
        <is>
          <t>2009Q</t>
        </is>
      </c>
      <c r="D767" s="59" t="inlineStr">
        <is>
          <t xml:space="preserve">02271-28-008-000 </t>
        </is>
      </c>
      <c r="E767" s="72" t="inlineStr">
        <is>
          <t>Actual</t>
        </is>
      </c>
      <c r="F767" s="73" t="inlineStr">
        <is>
          <t>3305   LARIMER              ST</t>
        </is>
      </c>
      <c r="G767" s="708" t="n">
        <v>44.1</v>
      </c>
      <c r="H767" s="67" t="n">
        <v>9210</v>
      </c>
      <c r="I767" s="69" t="n">
        <v>0</v>
      </c>
      <c r="J767" s="714" t="n">
        <v>7000</v>
      </c>
      <c r="K767" s="715" t="n">
        <v>2.914285714285714</v>
      </c>
      <c r="L767" s="74" t="n">
        <v>0</v>
      </c>
      <c r="M767" s="76" t="n">
        <v>0</v>
      </c>
      <c r="N767" s="67" t="n">
        <v>1973</v>
      </c>
      <c r="O767" s="64" t="n">
        <v>312</v>
      </c>
      <c r="Q767" s="59" t="n">
        <v>15</v>
      </c>
      <c r="R767" s="59" t="n">
        <v>3</v>
      </c>
      <c r="S767" s="59" t="n">
        <v>1</v>
      </c>
      <c r="T767" s="63" t="inlineStr">
        <is>
          <t xml:space="preserve">I1   </t>
        </is>
      </c>
      <c r="U767" s="63" t="n">
        <v>398</v>
      </c>
      <c r="V767" s="714" t="n">
        <v>12500</v>
      </c>
      <c r="W767" s="714" t="n">
        <v>13000</v>
      </c>
      <c r="X767" s="83" t="inlineStr">
        <is>
          <t>1.3:1</t>
        </is>
      </c>
      <c r="Y767" s="714">
        <f>ROUND(J767,-3)</f>
        <v/>
      </c>
      <c r="Z767" s="63" t="inlineStr">
        <is>
          <t xml:space="preserve">C </t>
        </is>
      </c>
      <c r="AA767" s="59" t="n">
        <v>3</v>
      </c>
      <c r="AB767" s="59" t="n">
        <v>3</v>
      </c>
      <c r="AC767" s="67" t="inlineStr">
        <is>
          <t>33</t>
        </is>
      </c>
      <c r="AD767" s="61" t="inlineStr"/>
      <c r="AE767" s="716" t="n"/>
      <c r="AF767" s="716" t="n"/>
      <c r="AG767" s="716" t="n"/>
      <c r="AH767" s="716" t="n"/>
      <c r="AI767" s="716" t="n"/>
      <c r="AJ767" s="716" t="n"/>
      <c r="AK767" s="716" t="inlineStr">
        <is>
          <t xml:space="preserve">S-T WHSE.; MO-TO-MO LEASE.                                        </t>
        </is>
      </c>
      <c r="AL767">
        <f>IF(AND(ISNUMBER($S767),$S767&gt;0,ISNUMBER($K767),ISNUMBER($J767)),($K767*$J767)/$S767,"")</f>
        <v/>
      </c>
    </row>
    <row r="768">
      <c r="A768" s="62" t="n">
        <v>8</v>
      </c>
      <c r="B768" s="93" t="n">
        <v>760</v>
      </c>
      <c r="C768" s="68" t="inlineStr">
        <is>
          <t>2009Q</t>
        </is>
      </c>
      <c r="D768" s="59" t="inlineStr">
        <is>
          <t xml:space="preserve">02273-00-088-000 </t>
        </is>
      </c>
      <c r="E768" s="72" t="inlineStr">
        <is>
          <t>Actual</t>
        </is>
      </c>
      <c r="F768" s="73" t="inlineStr">
        <is>
          <t>2100   31ST                 ST</t>
        </is>
      </c>
      <c r="G768" s="708" t="n">
        <v>44.1</v>
      </c>
      <c r="H768" s="67" t="n">
        <v>9210</v>
      </c>
      <c r="I768" s="69" t="n">
        <v>0</v>
      </c>
      <c r="J768" s="714" t="n">
        <v>68924</v>
      </c>
      <c r="K768" s="715" t="n">
        <v>6.68562474609715</v>
      </c>
      <c r="L768" s="74" t="n">
        <v>0</v>
      </c>
      <c r="M768" s="76" t="n">
        <v>0</v>
      </c>
      <c r="N768" s="67" t="n">
        <v>1994</v>
      </c>
      <c r="P768" s="64" t="n">
        <v>7548</v>
      </c>
      <c r="Q768" s="59" t="n">
        <v>24</v>
      </c>
      <c r="R768" s="59" t="n">
        <v>9</v>
      </c>
      <c r="S768" s="59" t="n">
        <v>1</v>
      </c>
      <c r="T768" s="63" t="inlineStr">
        <is>
          <t xml:space="preserve">I1   </t>
        </is>
      </c>
      <c r="U768" s="63" t="n">
        <v>398</v>
      </c>
      <c r="V768" s="714" t="n">
        <v>162548</v>
      </c>
      <c r="W768" s="714" t="n">
        <v>160000</v>
      </c>
      <c r="X768" s="83" t="inlineStr">
        <is>
          <t>2.4:1</t>
        </is>
      </c>
      <c r="Y768" s="714">
        <f>ROUND(J768,-4)</f>
        <v/>
      </c>
      <c r="Z768" s="63" t="inlineStr">
        <is>
          <t xml:space="preserve">C </t>
        </is>
      </c>
      <c r="AA768" s="59" t="n">
        <v>3</v>
      </c>
      <c r="AB768" s="59" t="n">
        <v>3</v>
      </c>
      <c r="AC768" s="67" t="inlineStr">
        <is>
          <t>33</t>
        </is>
      </c>
      <c r="AD768" s="61" t="inlineStr">
        <is>
          <t xml:space="preserve">DIST. FED EX BLDG   </t>
        </is>
      </c>
      <c r="AE768" s="716" t="n"/>
      <c r="AF768" s="716" t="n"/>
      <c r="AG768" s="716" t="n"/>
      <c r="AH768" s="716" t="n"/>
      <c r="AI768" s="716" t="n"/>
      <c r="AJ768" s="716" t="n"/>
      <c r="AK768" s="716" t="inlineStr">
        <is>
          <t xml:space="preserve">S-T WHSE.; FEDERAL EXPRESS; LEASES DATES FROM 2004.               </t>
        </is>
      </c>
      <c r="AL768">
        <f>IF(AND(ISNUMBER($S768),$S768&gt;0,ISNUMBER($K768),ISNUMBER($J768)),($K768*$J768)/$S768,"")</f>
        <v/>
      </c>
    </row>
    <row r="769">
      <c r="A769" s="62" t="n">
        <v>8</v>
      </c>
      <c r="B769" s="93" t="n">
        <v>761</v>
      </c>
      <c r="C769" s="68" t="inlineStr">
        <is>
          <t>2009Q</t>
        </is>
      </c>
      <c r="D769" s="59" t="inlineStr">
        <is>
          <t xml:space="preserve">02275-00-023-000 </t>
        </is>
      </c>
      <c r="E769" s="72" t="inlineStr">
        <is>
          <t>Actual</t>
        </is>
      </c>
      <c r="F769" s="73" t="inlineStr">
        <is>
          <t>3150   BRIGHTON             BV</t>
        </is>
      </c>
      <c r="G769" s="708" t="n">
        <v>44.2</v>
      </c>
      <c r="H769" s="67" t="n">
        <v>9210</v>
      </c>
      <c r="I769" s="69" t="n">
        <v>0</v>
      </c>
      <c r="J769" s="714" t="n">
        <v>7500</v>
      </c>
      <c r="K769" s="715" t="n">
        <v>4.8</v>
      </c>
      <c r="L769" s="74" t="n">
        <v>0</v>
      </c>
      <c r="M769" s="76" t="n">
        <v>0.1724166666666667</v>
      </c>
      <c r="N769" s="67" t="n">
        <v>1968</v>
      </c>
      <c r="O769" s="64" t="n">
        <v>2908</v>
      </c>
      <c r="Q769" s="59" t="n">
        <v>15</v>
      </c>
      <c r="R769" s="59" t="n">
        <v>1</v>
      </c>
      <c r="S769" s="59" t="n">
        <v>1</v>
      </c>
      <c r="T769" s="63" t="inlineStr">
        <is>
          <t xml:space="preserve">I2   </t>
        </is>
      </c>
      <c r="U769" s="63" t="n">
        <v>398</v>
      </c>
      <c r="V769" s="714" t="n">
        <v>21452</v>
      </c>
      <c r="W769" s="714" t="n">
        <v>21000</v>
      </c>
      <c r="X769" s="83" t="inlineStr">
        <is>
          <t>2.9:1</t>
        </is>
      </c>
      <c r="Y769" s="714">
        <f>ROUND(J769,-3)</f>
        <v/>
      </c>
      <c r="Z769" s="63" t="inlineStr">
        <is>
          <t xml:space="preserve">C </t>
        </is>
      </c>
      <c r="AA769" s="59" t="n">
        <v>3</v>
      </c>
      <c r="AB769" s="59" t="n">
        <v>3</v>
      </c>
      <c r="AC769" s="67" t="inlineStr">
        <is>
          <t>33</t>
        </is>
      </c>
      <c r="AD769" s="61" t="inlineStr">
        <is>
          <t xml:space="preserve">DOGGIE DAY CARE     </t>
        </is>
      </c>
      <c r="AE769" s="716" t="n"/>
      <c r="AF769" s="716" t="n"/>
      <c r="AG769" s="716" t="n"/>
      <c r="AH769" s="716" t="n"/>
      <c r="AI769" s="716" t="n"/>
      <c r="AJ769" s="716" t="n"/>
      <c r="AK769" s="716" t="inlineStr">
        <is>
          <t xml:space="preserve">S-T WHSE.; LEASE DATES FROM 2004.                                 </t>
        </is>
      </c>
      <c r="AL769">
        <f>IF(AND(ISNUMBER($S769),$S769&gt;0,ISNUMBER($K769),ISNUMBER($J769)),($K769*$J769)/$S769,"")</f>
        <v/>
      </c>
    </row>
    <row r="770">
      <c r="A770" s="62" t="n">
        <v>8</v>
      </c>
      <c r="B770" s="93" t="n">
        <v>762</v>
      </c>
      <c r="C770" s="68" t="inlineStr">
        <is>
          <t>2009Q</t>
        </is>
      </c>
      <c r="D770" s="59" t="inlineStr">
        <is>
          <t xml:space="preserve">02275-00-032-000 </t>
        </is>
      </c>
      <c r="E770" s="72" t="inlineStr">
        <is>
          <t>Actual</t>
        </is>
      </c>
      <c r="F770" s="73" t="inlineStr">
        <is>
          <t>2950   ARKINS               CT</t>
        </is>
      </c>
      <c r="G770" s="708" t="n">
        <v>47.1</v>
      </c>
      <c r="H770" s="67" t="n">
        <v>9210</v>
      </c>
      <c r="I770" s="69" t="n">
        <v>0</v>
      </c>
      <c r="J770" s="714" t="n">
        <v>31638</v>
      </c>
      <c r="K770" s="715" t="n">
        <v>2.579176939123839</v>
      </c>
      <c r="L770" s="74" t="n">
        <v>0</v>
      </c>
      <c r="M770" s="76" t="n">
        <v>0.06808823529411764</v>
      </c>
      <c r="N770" s="67" t="n">
        <v>1953</v>
      </c>
      <c r="O770" s="64">
        <f>700+1034</f>
        <v/>
      </c>
      <c r="Q770" s="59" t="n">
        <v>17</v>
      </c>
      <c r="R770" s="59" t="n">
        <v>1</v>
      </c>
      <c r="S770" s="59" t="n">
        <v>1</v>
      </c>
      <c r="T770" s="63" t="inlineStr">
        <is>
          <t xml:space="preserve">I2   </t>
        </is>
      </c>
      <c r="U770" s="63" t="n">
        <v>401</v>
      </c>
      <c r="V770" s="714" t="n">
        <v>77000</v>
      </c>
      <c r="W770" s="714" t="n">
        <v>80000</v>
      </c>
      <c r="X770" s="83" t="inlineStr">
        <is>
          <t>2.4:1</t>
        </is>
      </c>
      <c r="Y770" s="714">
        <f>ROUND(J770,-3)</f>
        <v/>
      </c>
      <c r="Z770" s="63" t="inlineStr">
        <is>
          <t xml:space="preserve">C </t>
        </is>
      </c>
      <c r="AA770" s="59" t="n">
        <v>3</v>
      </c>
      <c r="AB770" s="59" t="n">
        <v>3</v>
      </c>
      <c r="AC770" s="67" t="inlineStr">
        <is>
          <t>33</t>
        </is>
      </c>
      <c r="AD770" s="61" t="inlineStr">
        <is>
          <t xml:space="preserve">S-M MANUFACTURING   </t>
        </is>
      </c>
      <c r="AE770" s="716" t="n"/>
      <c r="AF770" s="716" t="n"/>
      <c r="AG770" s="716" t="n"/>
      <c r="AH770" s="716" t="n"/>
      <c r="AI770" s="716" t="n"/>
      <c r="AJ770" s="716" t="n"/>
      <c r="AK770" s="716" t="inlineStr">
        <is>
          <t xml:space="preserve">S-T INDUSTRIAL BLDG.; AGE OF LEASE UNKNOWN.                       </t>
        </is>
      </c>
      <c r="AL770">
        <f>IF(AND(ISNUMBER($S770),$S770&gt;0,ISNUMBER($K770),ISNUMBER($J770)),($K770*$J770)/$S770,"")</f>
        <v/>
      </c>
    </row>
    <row r="771">
      <c r="A771" s="62" t="n">
        <v>8</v>
      </c>
      <c r="B771" s="93" t="n">
        <v>763</v>
      </c>
      <c r="C771" s="68" t="inlineStr">
        <is>
          <t>2009Q</t>
        </is>
      </c>
      <c r="D771" s="59" t="inlineStr">
        <is>
          <t xml:space="preserve">02275-00-053-000 </t>
        </is>
      </c>
      <c r="E771" s="72" t="inlineStr">
        <is>
          <t>Actual</t>
        </is>
      </c>
      <c r="F771" s="73" t="inlineStr">
        <is>
          <t>1855   29TH                 ST</t>
        </is>
      </c>
      <c r="G771" s="708" t="n">
        <v>44.1</v>
      </c>
      <c r="H771" s="67" t="n">
        <v>9210</v>
      </c>
      <c r="I771" s="69" t="n">
        <v>0</v>
      </c>
      <c r="J771" s="714" t="n">
        <v>42845</v>
      </c>
      <c r="K771" s="715" t="n">
        <v>3.827751196172249</v>
      </c>
      <c r="L771" s="74" t="n">
        <v>0</v>
      </c>
      <c r="M771" s="76" t="n">
        <v>0</v>
      </c>
      <c r="N771" s="67" t="n">
        <v>1956</v>
      </c>
      <c r="O771" s="64" t="n">
        <v>2042</v>
      </c>
      <c r="Q771" s="59" t="n">
        <v>18</v>
      </c>
      <c r="R771" s="59" t="n">
        <v>5</v>
      </c>
      <c r="S771" s="59" t="n">
        <v>1</v>
      </c>
      <c r="T771" s="63" t="inlineStr">
        <is>
          <t xml:space="preserve">I2   </t>
        </is>
      </c>
      <c r="U771" s="63" t="n">
        <v>398</v>
      </c>
      <c r="V771" s="714" t="n">
        <v>61325</v>
      </c>
      <c r="W771" s="714" t="n">
        <v>60000</v>
      </c>
      <c r="X771" s="83" t="inlineStr">
        <is>
          <t>1.4:1</t>
        </is>
      </c>
      <c r="Y771" s="714">
        <f>ROUND(J771,-3)</f>
        <v/>
      </c>
      <c r="Z771" s="63" t="inlineStr">
        <is>
          <t xml:space="preserve">C </t>
        </is>
      </c>
      <c r="AA771" s="59" t="n">
        <v>3</v>
      </c>
      <c r="AB771" s="59" t="n">
        <v>3</v>
      </c>
      <c r="AC771" s="67" t="inlineStr">
        <is>
          <t>33</t>
        </is>
      </c>
      <c r="AD771" s="61" t="inlineStr"/>
      <c r="AE771" s="716" t="n"/>
      <c r="AF771" s="716" t="n"/>
      <c r="AG771" s="716" t="n"/>
      <c r="AH771" s="716" t="n"/>
      <c r="AI771" s="716" t="n"/>
      <c r="AJ771" s="716" t="n"/>
      <c r="AK771" s="716" t="inlineStr">
        <is>
          <t xml:space="preserve">S-T WHSE.; 2006 LEASE.                                            </t>
        </is>
      </c>
      <c r="AL771">
        <f>IF(AND(ISNUMBER($S771),$S771&gt;0,ISNUMBER($K771),ISNUMBER($J771)),($K771*$J771)/$S771,"")</f>
        <v/>
      </c>
    </row>
    <row r="772">
      <c r="A772" s="62" t="n">
        <v>8</v>
      </c>
      <c r="B772" s="93" t="n">
        <v>764</v>
      </c>
      <c r="C772" s="68" t="inlineStr">
        <is>
          <t>2009Q</t>
        </is>
      </c>
      <c r="D772" s="59" t="inlineStr">
        <is>
          <t xml:space="preserve">02275-07-026-000 </t>
        </is>
      </c>
      <c r="E772" s="72" t="inlineStr">
        <is>
          <t>Actual</t>
        </is>
      </c>
      <c r="F772" s="73" t="inlineStr">
        <is>
          <t>3060   WALNUT               ST</t>
        </is>
      </c>
      <c r="G772" s="708" t="n">
        <v>47.1</v>
      </c>
      <c r="H772" s="67" t="n">
        <v>9210</v>
      </c>
      <c r="I772" s="69" t="n">
        <v>0</v>
      </c>
      <c r="J772" s="714" t="n">
        <v>1400</v>
      </c>
      <c r="K772" s="715" t="n">
        <v>12.85714285714286</v>
      </c>
      <c r="L772" s="74" t="n">
        <v>0</v>
      </c>
      <c r="M772" s="76" t="n">
        <v>0.2632222222222222</v>
      </c>
      <c r="N772" s="67" t="n">
        <v>1942</v>
      </c>
      <c r="Q772" s="59" t="n">
        <v>23</v>
      </c>
      <c r="R772" s="59" t="n">
        <v>6</v>
      </c>
      <c r="S772" s="59" t="n">
        <v>1</v>
      </c>
      <c r="T772" s="63" t="inlineStr">
        <is>
          <t xml:space="preserve">I2   </t>
        </is>
      </c>
      <c r="U772" s="63" t="n">
        <v>401</v>
      </c>
      <c r="V772" s="714" t="n">
        <v>23990</v>
      </c>
      <c r="W772" s="714" t="n">
        <v>24000</v>
      </c>
      <c r="X772" s="83" t="inlineStr">
        <is>
          <t>4.3:1</t>
        </is>
      </c>
      <c r="Y772" s="714">
        <f>ROUND(J772,-2)</f>
        <v/>
      </c>
      <c r="Z772" s="63" t="inlineStr">
        <is>
          <t xml:space="preserve">C </t>
        </is>
      </c>
      <c r="AA772" s="59" t="n">
        <v>1</v>
      </c>
      <c r="AB772" s="59" t="n">
        <v>2</v>
      </c>
      <c r="AC772" s="67" t="inlineStr">
        <is>
          <t>12</t>
        </is>
      </c>
      <c r="AD772" s="61" t="inlineStr"/>
      <c r="AE772" s="716" t="n"/>
      <c r="AF772" s="716" t="n"/>
      <c r="AG772" s="716" t="n"/>
      <c r="AH772" s="716" t="n"/>
      <c r="AI772" s="716" t="n"/>
      <c r="AJ772" s="716" t="n"/>
      <c r="AK772" s="716" t="inlineStr">
        <is>
          <t xml:space="preserve">M-T WHSE.; 2 TENANTS                                              </t>
        </is>
      </c>
      <c r="AL772">
        <f>IF(AND(ISNUMBER($S772),$S772&gt;0,ISNUMBER($K772),ISNUMBER($J772)),($K772*$J772)/$S772,"")</f>
        <v/>
      </c>
    </row>
    <row r="773">
      <c r="A773" s="62" t="n">
        <v>8</v>
      </c>
      <c r="B773" s="93" t="n">
        <v>765</v>
      </c>
      <c r="C773" s="68" t="inlineStr">
        <is>
          <t>2009Q</t>
        </is>
      </c>
      <c r="D773" s="59" t="inlineStr">
        <is>
          <t xml:space="preserve">02275-07-027-000 </t>
        </is>
      </c>
      <c r="E773" s="72" t="inlineStr">
        <is>
          <t>Actual</t>
        </is>
      </c>
      <c r="F773" s="73" t="inlineStr">
        <is>
          <t>3033   LARIMER              ST</t>
        </is>
      </c>
      <c r="G773" s="708" t="n">
        <v>44.1</v>
      </c>
      <c r="H773" s="67" t="n">
        <v>9210</v>
      </c>
      <c r="I773" s="69" t="n">
        <v>0</v>
      </c>
      <c r="J773" s="714" t="n">
        <v>8806</v>
      </c>
      <c r="K773" s="715" t="n">
        <v>8.176243470361117</v>
      </c>
      <c r="L773" s="74" t="n">
        <v>0</v>
      </c>
      <c r="M773" s="76" t="n">
        <v>0.187125</v>
      </c>
      <c r="N773" s="67" t="n">
        <v>1952</v>
      </c>
      <c r="Q773" s="59" t="n">
        <v>23</v>
      </c>
      <c r="R773" s="59" t="n">
        <v>7</v>
      </c>
      <c r="S773" s="59" t="n">
        <v>1</v>
      </c>
      <c r="T773" s="63" t="inlineStr">
        <is>
          <t xml:space="preserve">I2   </t>
        </is>
      </c>
      <c r="U773" s="63" t="n">
        <v>398</v>
      </c>
      <c r="V773" s="714" t="n">
        <v>23626</v>
      </c>
      <c r="W773" s="714" t="n">
        <v>24000</v>
      </c>
      <c r="X773" s="83" t="inlineStr">
        <is>
          <t>2.7:1</t>
        </is>
      </c>
      <c r="Y773" s="714">
        <f>ROUND(J773,-3)</f>
        <v/>
      </c>
      <c r="Z773" s="63" t="inlineStr">
        <is>
          <t xml:space="preserve">C </t>
        </is>
      </c>
      <c r="AA773" s="59" t="n">
        <v>1</v>
      </c>
      <c r="AB773" s="59" t="n">
        <v>3</v>
      </c>
      <c r="AC773" s="67" t="inlineStr">
        <is>
          <t>13</t>
        </is>
      </c>
      <c r="AD773" s="61" t="inlineStr"/>
      <c r="AE773" s="716" t="n"/>
      <c r="AF773" s="716" t="n"/>
      <c r="AG773" s="716" t="n"/>
      <c r="AH773" s="716" t="n"/>
      <c r="AI773" s="716" t="n"/>
      <c r="AJ773" s="716" t="n"/>
      <c r="AK773" s="716" t="inlineStr">
        <is>
          <t>EXPENSES DERIVED FROM THE COMBINED EXPENSE W/ADJ OFFICE AND ARE HI</t>
        </is>
      </c>
      <c r="AL773">
        <f>IF(AND(ISNUMBER($S773),$S773&gt;0,ISNUMBER($K773),ISNUMBER($J773)),($K773*$J773)/$S773,"")</f>
        <v/>
      </c>
    </row>
    <row r="774">
      <c r="A774" s="62" t="n">
        <v>8</v>
      </c>
      <c r="B774" s="93" t="n">
        <v>766</v>
      </c>
      <c r="C774" s="68" t="inlineStr">
        <is>
          <t>2009Q</t>
        </is>
      </c>
      <c r="D774" s="59" t="inlineStr">
        <is>
          <t xml:space="preserve">02275-15-017-000 </t>
        </is>
      </c>
      <c r="E774" s="72" t="inlineStr">
        <is>
          <t>Actual</t>
        </is>
      </c>
      <c r="F774" s="73" t="inlineStr">
        <is>
          <t>2851   WALNUT               ST</t>
        </is>
      </c>
      <c r="G774" s="708" t="n">
        <v>47.1</v>
      </c>
      <c r="H774" s="67" t="n">
        <v>9210</v>
      </c>
      <c r="I774" s="69" t="n">
        <v>0</v>
      </c>
      <c r="J774" s="714" t="n">
        <v>10463</v>
      </c>
      <c r="K774" s="715" t="n">
        <v>6.611296951161235</v>
      </c>
      <c r="L774" s="74" t="n">
        <v>0</v>
      </c>
      <c r="M774" s="76" t="n">
        <v>0</v>
      </c>
      <c r="N774" s="67" t="n">
        <v>1940</v>
      </c>
      <c r="O774" s="64" t="n">
        <v>1901</v>
      </c>
      <c r="Q774" s="59" t="n">
        <v>13</v>
      </c>
      <c r="R774" s="59" t="n">
        <v>1</v>
      </c>
      <c r="S774" s="59" t="n">
        <v>1</v>
      </c>
      <c r="T774" s="63" t="inlineStr">
        <is>
          <t xml:space="preserve">I2   </t>
        </is>
      </c>
      <c r="U774" s="63" t="n">
        <v>401</v>
      </c>
      <c r="V774" s="714" t="n">
        <v>12530</v>
      </c>
      <c r="W774" s="714" t="n">
        <v>13000</v>
      </c>
      <c r="X774" s="83" t="inlineStr">
        <is>
          <t>1.2:1</t>
        </is>
      </c>
      <c r="Y774" s="714">
        <f>ROUND(J774,-3)</f>
        <v/>
      </c>
      <c r="Z774" s="63" t="inlineStr">
        <is>
          <t xml:space="preserve">C </t>
        </is>
      </c>
      <c r="AA774" s="59" t="n">
        <v>3</v>
      </c>
      <c r="AB774" s="59" t="n">
        <v>3</v>
      </c>
      <c r="AC774" s="67" t="inlineStr">
        <is>
          <t>33</t>
        </is>
      </c>
      <c r="AD774" s="61" t="inlineStr">
        <is>
          <t xml:space="preserve">MANUF-ALLYN-HOWARD  </t>
        </is>
      </c>
      <c r="AE774" s="716" t="n"/>
      <c r="AF774" s="716" t="n"/>
      <c r="AG774" s="716" t="n"/>
      <c r="AH774" s="716" t="n"/>
      <c r="AI774" s="716" t="n"/>
      <c r="AJ774" s="716" t="n"/>
      <c r="AK774" s="716" t="inlineStr">
        <is>
          <t xml:space="preserve">S-T INDUSTRIAL BLDG.; LEASE DATES FROM 2003.                      </t>
        </is>
      </c>
      <c r="AL774">
        <f>IF(AND(ISNUMBER($S774),$S774&gt;0,ISNUMBER($K774),ISNUMBER($J774)),($K774*$J774)/$S774,"")</f>
        <v/>
      </c>
    </row>
    <row r="775">
      <c r="A775" s="62" t="n">
        <v>8</v>
      </c>
      <c r="B775" s="93" t="n">
        <v>767</v>
      </c>
      <c r="C775" s="68" t="inlineStr">
        <is>
          <t>2009Q</t>
        </is>
      </c>
      <c r="D775" s="59" t="inlineStr">
        <is>
          <t xml:space="preserve">02275-15-018-000 </t>
        </is>
      </c>
      <c r="E775" s="72" t="inlineStr">
        <is>
          <t>Actual</t>
        </is>
      </c>
      <c r="F775" s="73" t="inlineStr">
        <is>
          <t>2861   WALNUT               ST</t>
        </is>
      </c>
      <c r="G775" s="708" t="n">
        <v>44.1</v>
      </c>
      <c r="H775" s="67" t="n">
        <v>9210</v>
      </c>
      <c r="I775" s="69" t="n">
        <v>0</v>
      </c>
      <c r="J775" s="714" t="n">
        <v>6250</v>
      </c>
      <c r="K775" s="715" t="n">
        <v>7.6512</v>
      </c>
      <c r="L775" s="74" t="n">
        <v>0</v>
      </c>
      <c r="M775" s="76" t="n">
        <v>0</v>
      </c>
      <c r="N775" s="67" t="n">
        <v>1945</v>
      </c>
      <c r="O775" s="64" t="n">
        <v>1350</v>
      </c>
      <c r="Q775" s="59" t="n">
        <v>14</v>
      </c>
      <c r="R775" s="59" t="n">
        <v>3</v>
      </c>
      <c r="S775" s="59" t="n">
        <v>1</v>
      </c>
      <c r="T775" s="63" t="inlineStr">
        <is>
          <t xml:space="preserve">I2   </t>
        </is>
      </c>
      <c r="U775" s="63" t="n">
        <v>398</v>
      </c>
      <c r="V775" s="714" t="n">
        <v>6265</v>
      </c>
      <c r="W775" s="714" t="n">
        <v>6000</v>
      </c>
      <c r="X775" s="83" t="inlineStr">
        <is>
          <t>1.0:1</t>
        </is>
      </c>
      <c r="Y775" s="714">
        <f>ROUND(J775,-3)</f>
        <v/>
      </c>
      <c r="Z775" s="63" t="inlineStr">
        <is>
          <t xml:space="preserve">C </t>
        </is>
      </c>
      <c r="AA775" s="59" t="n">
        <v>3</v>
      </c>
      <c r="AB775" s="59" t="n">
        <v>3</v>
      </c>
      <c r="AC775" s="67" t="inlineStr">
        <is>
          <t>33</t>
        </is>
      </c>
      <c r="AD775" s="61" t="inlineStr">
        <is>
          <t xml:space="preserve">S-W                 </t>
        </is>
      </c>
      <c r="AE775" s="716" t="n"/>
      <c r="AF775" s="716" t="n"/>
      <c r="AG775" s="716" t="n"/>
      <c r="AH775" s="716" t="n"/>
      <c r="AI775" s="716" t="n"/>
      <c r="AJ775" s="716" t="n"/>
      <c r="AK775" s="716" t="inlineStr">
        <is>
          <t xml:space="preserve">S-T WHSE.; LEASE DATES FROM 2003.                                 </t>
        </is>
      </c>
      <c r="AL775">
        <f>IF(AND(ISNUMBER($S775),$S775&gt;0,ISNUMBER($K775),ISNUMBER($J775)),($K775*$J775)/$S775,"")</f>
        <v/>
      </c>
    </row>
    <row r="776">
      <c r="A776" s="62" t="n">
        <v>8</v>
      </c>
      <c r="B776" s="93" t="n">
        <v>768</v>
      </c>
      <c r="C776" s="68" t="inlineStr">
        <is>
          <t>2009Q</t>
        </is>
      </c>
      <c r="D776" s="59" t="inlineStr">
        <is>
          <t xml:space="preserve">02277-00-010-000 </t>
        </is>
      </c>
      <c r="E776" s="72" t="inlineStr">
        <is>
          <t>Actual</t>
        </is>
      </c>
      <c r="F776" s="73" t="inlineStr">
        <is>
          <t>2501   BLAKE                ST</t>
        </is>
      </c>
      <c r="G776" s="708" t="n">
        <v>44.1</v>
      </c>
      <c r="H776" s="67" t="n">
        <v>9202</v>
      </c>
      <c r="I776" s="69" t="n">
        <v>0</v>
      </c>
      <c r="J776" s="714" t="n">
        <v>28647</v>
      </c>
      <c r="K776" s="715" t="n">
        <v>14.51809962648794</v>
      </c>
      <c r="L776" s="74" t="n">
        <v>0</v>
      </c>
      <c r="M776" s="76" t="n">
        <v>0.03743688386631402</v>
      </c>
      <c r="N776" s="67" t="n">
        <v>1956</v>
      </c>
      <c r="P776" s="64" t="n">
        <v>14952</v>
      </c>
      <c r="Q776" s="59" t="n">
        <v>22</v>
      </c>
      <c r="R776" s="59" t="n">
        <v>1</v>
      </c>
      <c r="S776" s="59" t="n">
        <v>1</v>
      </c>
      <c r="T776" s="63" t="inlineStr">
        <is>
          <t xml:space="preserve">I2   </t>
        </is>
      </c>
      <c r="U776" s="63" t="n">
        <v>398</v>
      </c>
      <c r="V776" s="714" t="n">
        <v>42092</v>
      </c>
      <c r="W776" s="714" t="n">
        <v>42000</v>
      </c>
      <c r="X776" s="83" t="inlineStr">
        <is>
          <t>1.5:1</t>
        </is>
      </c>
      <c r="Y776" s="714">
        <f>ROUND(J776,-3)</f>
        <v/>
      </c>
      <c r="Z776" s="63" t="inlineStr">
        <is>
          <t xml:space="preserve">C </t>
        </is>
      </c>
      <c r="AA776" s="59" t="n">
        <v>3</v>
      </c>
      <c r="AB776" s="59" t="n">
        <v>3</v>
      </c>
      <c r="AC776" s="67" t="inlineStr">
        <is>
          <t>33</t>
        </is>
      </c>
      <c r="AD776" s="61" t="inlineStr">
        <is>
          <t xml:space="preserve">SPACES THAT WORK    </t>
        </is>
      </c>
      <c r="AE776" s="716" t="n"/>
      <c r="AF776" s="716" t="n"/>
      <c r="AG776" s="716" t="n"/>
      <c r="AH776" s="716" t="n"/>
      <c r="AI776" s="716" t="n"/>
      <c r="AJ776" s="716" t="n"/>
      <c r="AK776" s="716" t="inlineStr">
        <is>
          <t xml:space="preserve">M-T WHSE.; 2 TENANTS                                              </t>
        </is>
      </c>
      <c r="AL776">
        <f>IF(AND(ISNUMBER($S776),$S776&gt;0,ISNUMBER($K776),ISNUMBER($J776)),($K776*$J776)/$S776,"")</f>
        <v/>
      </c>
    </row>
    <row r="777">
      <c r="A777" s="62" t="n">
        <v>8</v>
      </c>
      <c r="B777" s="93" t="n">
        <v>769</v>
      </c>
      <c r="C777" s="68" t="inlineStr">
        <is>
          <t>2009Q</t>
        </is>
      </c>
      <c r="D777" s="59" t="inlineStr">
        <is>
          <t xml:space="preserve">02277-03-008-000 </t>
        </is>
      </c>
      <c r="E777" s="72" t="inlineStr">
        <is>
          <t>Actual</t>
        </is>
      </c>
      <c r="F777" s="73" t="inlineStr">
        <is>
          <t>2763   BLAKE                ST</t>
        </is>
      </c>
      <c r="G777" s="708" t="n">
        <v>47.1</v>
      </c>
      <c r="H777" s="67" t="n">
        <v>9210</v>
      </c>
      <c r="I777" s="69" t="n">
        <v>0</v>
      </c>
      <c r="J777" s="714" t="n">
        <v>42227</v>
      </c>
      <c r="K777" s="715" t="n">
        <v>5.200464158003173</v>
      </c>
      <c r="L777" s="74" t="n">
        <v>0</v>
      </c>
      <c r="M777" s="76" t="n">
        <v>0</v>
      </c>
      <c r="N777" s="67" t="n">
        <v>1932</v>
      </c>
      <c r="O777" s="64">
        <f>885+726</f>
        <v/>
      </c>
      <c r="P777" s="64" t="n">
        <v>885</v>
      </c>
      <c r="Q777" s="59" t="n">
        <v>18</v>
      </c>
      <c r="R777" s="59" t="n">
        <v>1</v>
      </c>
      <c r="S777" s="59" t="n">
        <v>1</v>
      </c>
      <c r="T777" s="63" t="inlineStr">
        <is>
          <t xml:space="preserve">I2   </t>
        </is>
      </c>
      <c r="U777" s="63" t="n">
        <v>401</v>
      </c>
      <c r="V777" s="714" t="n">
        <v>71334</v>
      </c>
      <c r="W777" s="714" t="n">
        <v>70000</v>
      </c>
      <c r="X777" s="83" t="inlineStr">
        <is>
          <t>1.7:1</t>
        </is>
      </c>
      <c r="Y777" s="714">
        <f>ROUND(J777,-3)</f>
        <v/>
      </c>
      <c r="Z777" s="63" t="inlineStr">
        <is>
          <t xml:space="preserve">C </t>
        </is>
      </c>
      <c r="AA777" s="59" t="n">
        <v>2</v>
      </c>
      <c r="AB777" s="59" t="n">
        <v>3</v>
      </c>
      <c r="AC777" s="67" t="inlineStr">
        <is>
          <t>23</t>
        </is>
      </c>
      <c r="AD777" s="61" t="inlineStr">
        <is>
          <t xml:space="preserve">WILFLEY &amp; SONS, INC </t>
        </is>
      </c>
      <c r="AE777" s="716" t="n"/>
      <c r="AF777" s="716" t="n"/>
      <c r="AG777" s="716" t="n"/>
      <c r="AH777" s="716" t="n"/>
      <c r="AI777" s="716" t="n"/>
      <c r="AJ777" s="716" t="n"/>
      <c r="AK777" s="716" t="inlineStr">
        <is>
          <t xml:space="preserve">S-T INDUSTRIAL BLDG.                                              </t>
        </is>
      </c>
      <c r="AL777">
        <f>IF(AND(ISNUMBER($S777),$S777&gt;0,ISNUMBER($K777),ISNUMBER($J777)),($K777*$J777)/$S777,"")</f>
        <v/>
      </c>
    </row>
    <row r="778">
      <c r="A778" s="62" t="n">
        <v>8</v>
      </c>
      <c r="B778" s="93" t="n">
        <v>770</v>
      </c>
      <c r="C778" s="68" t="inlineStr">
        <is>
          <t>2009Q</t>
        </is>
      </c>
      <c r="D778" s="59" t="inlineStr">
        <is>
          <t xml:space="preserve">02277-06-008-000 </t>
        </is>
      </c>
      <c r="E778" s="72" t="inlineStr">
        <is>
          <t>Actual</t>
        </is>
      </c>
      <c r="F778" s="73" t="inlineStr">
        <is>
          <t>2600   WALNUT               ST</t>
        </is>
      </c>
      <c r="G778" s="708" t="n">
        <v>44.1</v>
      </c>
      <c r="H778" s="67" t="n">
        <v>9210</v>
      </c>
      <c r="I778" s="69" t="n">
        <v>0</v>
      </c>
      <c r="J778" s="714" t="n">
        <v>11780</v>
      </c>
      <c r="K778" s="715" t="n">
        <v>4.074702886247878</v>
      </c>
      <c r="L778" s="74" t="n">
        <v>0</v>
      </c>
      <c r="M778" s="76" t="n">
        <v>0</v>
      </c>
      <c r="N778" s="67" t="n">
        <v>1936</v>
      </c>
      <c r="O778" s="64" t="n">
        <v>240</v>
      </c>
      <c r="Q778" s="59" t="n">
        <v>13</v>
      </c>
      <c r="R778" s="59" t="n">
        <v>1</v>
      </c>
      <c r="S778" s="59" t="n">
        <v>1</v>
      </c>
      <c r="T778" s="63" t="inlineStr">
        <is>
          <t xml:space="preserve">I2   </t>
        </is>
      </c>
      <c r="U778" s="63" t="n">
        <v>398</v>
      </c>
      <c r="V778" s="714" t="n">
        <v>12515</v>
      </c>
      <c r="W778" s="714" t="n">
        <v>13000</v>
      </c>
      <c r="X778" s="83" t="inlineStr">
        <is>
          <t>1.1:1</t>
        </is>
      </c>
      <c r="Y778" s="714">
        <f>ROUND(J778,-3)</f>
        <v/>
      </c>
      <c r="Z778" s="63" t="inlineStr">
        <is>
          <t xml:space="preserve">C </t>
        </is>
      </c>
      <c r="AA778" s="59" t="n">
        <v>3</v>
      </c>
      <c r="AB778" s="59" t="n">
        <v>3</v>
      </c>
      <c r="AC778" s="67" t="inlineStr">
        <is>
          <t>33</t>
        </is>
      </c>
      <c r="AD778" s="61" t="inlineStr">
        <is>
          <t xml:space="preserve">CUSTOM CORNED BEEF  </t>
        </is>
      </c>
      <c r="AE778" s="716" t="n"/>
      <c r="AF778" s="716" t="n"/>
      <c r="AG778" s="716" t="n"/>
      <c r="AH778" s="716" t="n"/>
      <c r="AI778" s="716" t="n"/>
      <c r="AJ778" s="716" t="n"/>
      <c r="AK778" s="716" t="inlineStr">
        <is>
          <t xml:space="preserve">S-T WHSE.                                                         </t>
        </is>
      </c>
      <c r="AL778">
        <f>IF(AND(ISNUMBER($S778),$S778&gt;0,ISNUMBER($K778),ISNUMBER($J778)),($K778*$J778)/$S778,"")</f>
        <v/>
      </c>
    </row>
    <row r="779">
      <c r="A779" s="62" t="n">
        <v>8</v>
      </c>
      <c r="B779" s="93" t="n">
        <v>771</v>
      </c>
      <c r="C779" s="68" t="inlineStr">
        <is>
          <t>2009Q</t>
        </is>
      </c>
      <c r="D779" s="59" t="inlineStr">
        <is>
          <t xml:space="preserve">02277-07-017-000 </t>
        </is>
      </c>
      <c r="E779" s="72" t="inlineStr">
        <is>
          <t>Actual</t>
        </is>
      </c>
      <c r="F779" s="73" t="inlineStr">
        <is>
          <t>2590   WALNUT               ST</t>
        </is>
      </c>
      <c r="G779" s="708" t="n">
        <v>44.2</v>
      </c>
      <c r="H779" s="67" t="n">
        <v>9210</v>
      </c>
      <c r="I779" s="69" t="n">
        <v>0</v>
      </c>
      <c r="J779" s="714" t="n">
        <v>12500</v>
      </c>
      <c r="K779" s="715" t="n">
        <v>5.6</v>
      </c>
      <c r="L779" s="74" t="n">
        <v>0</v>
      </c>
      <c r="M779" s="76" t="n">
        <v>0.1088285714285714</v>
      </c>
      <c r="N779" s="67" t="n">
        <v>1926</v>
      </c>
      <c r="O779" s="64" t="n">
        <v>1512</v>
      </c>
      <c r="Q779" s="59" t="n">
        <v>16</v>
      </c>
      <c r="R779" s="59" t="n">
        <v>1</v>
      </c>
      <c r="S779" s="59" t="n">
        <v>3</v>
      </c>
      <c r="T779" s="63" t="inlineStr">
        <is>
          <t xml:space="preserve">I2   </t>
        </is>
      </c>
      <c r="U779" s="63" t="n">
        <v>398</v>
      </c>
      <c r="V779" s="714" t="n">
        <v>12525</v>
      </c>
      <c r="W779" s="714" t="n">
        <v>13000</v>
      </c>
      <c r="X779" s="83" t="inlineStr">
        <is>
          <t>1.0:1</t>
        </is>
      </c>
      <c r="Y779" s="714">
        <f>ROUND(J779,-3)</f>
        <v/>
      </c>
      <c r="Z779" s="63" t="inlineStr">
        <is>
          <t xml:space="preserve">C </t>
        </is>
      </c>
      <c r="AA779" s="59" t="n">
        <v>3</v>
      </c>
      <c r="AB779" s="59" t="n">
        <v>3</v>
      </c>
      <c r="AC779" s="67" t="inlineStr">
        <is>
          <t>33</t>
        </is>
      </c>
      <c r="AD779" s="61" t="inlineStr">
        <is>
          <t xml:space="preserve">M-WHS/OFC/SHOWROOM  </t>
        </is>
      </c>
      <c r="AE779" s="716" t="n"/>
      <c r="AF779" s="716" t="n"/>
      <c r="AG779" s="716" t="n"/>
      <c r="AH779" s="716" t="n"/>
      <c r="AI779" s="716" t="n"/>
      <c r="AJ779" s="716" t="n"/>
      <c r="AK779" s="716" t="inlineStr">
        <is>
          <t xml:space="preserve">S-T WHSE.; DATE OF LEASE UNKNOWN.                                 </t>
        </is>
      </c>
      <c r="AL779">
        <f>IF(AND(ISNUMBER($S779),$S779&gt;0,ISNUMBER($K779),ISNUMBER($J779)),($K779*$J779)/$S779,"")</f>
        <v/>
      </c>
    </row>
    <row r="780">
      <c r="A780" s="62" t="n">
        <v>8</v>
      </c>
      <c r="B780" s="93" t="n">
        <v>772</v>
      </c>
      <c r="C780" s="68" t="inlineStr">
        <is>
          <t>2009Q</t>
        </is>
      </c>
      <c r="D780" s="59" t="inlineStr">
        <is>
          <t xml:space="preserve">02277-07-020-000 </t>
        </is>
      </c>
      <c r="E780" s="72" t="inlineStr">
        <is>
          <t>Actual</t>
        </is>
      </c>
      <c r="F780" s="73" t="inlineStr">
        <is>
          <t>2536   WALNUT               ST</t>
        </is>
      </c>
      <c r="G780" s="708" t="n">
        <v>44.1</v>
      </c>
      <c r="H780" s="67" t="n">
        <v>9210</v>
      </c>
      <c r="I780" s="69" t="n">
        <v>0</v>
      </c>
      <c r="J780" s="714" t="n">
        <v>9300</v>
      </c>
      <c r="K780" s="715" t="n">
        <v>6.510752688172043</v>
      </c>
      <c r="L780" s="74" t="n">
        <v>0</v>
      </c>
      <c r="M780" s="76" t="n">
        <v>0</v>
      </c>
      <c r="N780" s="67" t="n">
        <v>1937</v>
      </c>
      <c r="Q780" s="59" t="n">
        <v>14</v>
      </c>
      <c r="R780" s="59" t="n">
        <v>1</v>
      </c>
      <c r="S780" s="59" t="n">
        <v>1</v>
      </c>
      <c r="T780" s="63" t="inlineStr">
        <is>
          <t xml:space="preserve">I2   </t>
        </is>
      </c>
      <c r="U780" s="63" t="n">
        <v>398</v>
      </c>
      <c r="V780" s="714" t="n">
        <v>9390</v>
      </c>
      <c r="W780" s="714" t="n">
        <v>9000</v>
      </c>
      <c r="X780" s="83" t="inlineStr">
        <is>
          <t>1.0:1</t>
        </is>
      </c>
      <c r="Y780" s="714">
        <f>ROUND(J780,-3)</f>
        <v/>
      </c>
      <c r="Z780" s="63" t="inlineStr">
        <is>
          <t xml:space="preserve">C </t>
        </is>
      </c>
      <c r="AA780" s="59" t="n">
        <v>2</v>
      </c>
      <c r="AB780" s="59" t="n">
        <v>3</v>
      </c>
      <c r="AC780" s="67" t="inlineStr">
        <is>
          <t>23</t>
        </is>
      </c>
      <c r="AD780" s="61" t="inlineStr">
        <is>
          <t xml:space="preserve">MANN ORIENTAL RUGS  </t>
        </is>
      </c>
      <c r="AE780" s="716" t="n"/>
      <c r="AF780" s="716" t="n"/>
      <c r="AG780" s="716" t="n"/>
      <c r="AH780" s="716" t="n"/>
      <c r="AI780" s="716" t="n"/>
      <c r="AJ780" s="716" t="n"/>
      <c r="AK780" s="716" t="inlineStr">
        <is>
          <t xml:space="preserve">S-T WHSE.                                                         </t>
        </is>
      </c>
      <c r="AL780">
        <f>IF(AND(ISNUMBER($S780),$S780&gt;0,ISNUMBER($K780),ISNUMBER($J780)),($K780*$J780)/$S780,"")</f>
        <v/>
      </c>
    </row>
    <row r="781">
      <c r="A781" s="62" t="n">
        <v>8</v>
      </c>
      <c r="B781" s="93" t="n">
        <v>773</v>
      </c>
      <c r="C781" s="68" t="inlineStr">
        <is>
          <t>2009Q</t>
        </is>
      </c>
      <c r="D781" s="59" t="inlineStr">
        <is>
          <t xml:space="preserve">02278-17-022-000 </t>
        </is>
      </c>
      <c r="E781" s="72" t="inlineStr">
        <is>
          <t>Actual</t>
        </is>
      </c>
      <c r="F781" s="73" t="inlineStr">
        <is>
          <t>2010   DELGANY              ST</t>
        </is>
      </c>
      <c r="G781" s="708" t="n">
        <v>44.1</v>
      </c>
      <c r="H781" s="67" t="n">
        <v>9209</v>
      </c>
      <c r="I781" s="69" t="n">
        <v>0</v>
      </c>
      <c r="J781" s="714" t="n">
        <v>9550</v>
      </c>
      <c r="K781" s="715" t="n">
        <v>8.167539267015707</v>
      </c>
      <c r="L781" s="74" t="n">
        <v>0</v>
      </c>
      <c r="M781" s="76" t="n">
        <v>0.004397435897435897</v>
      </c>
      <c r="N781" s="67" t="n">
        <v>1945</v>
      </c>
      <c r="Q781" s="59" t="n">
        <v>20</v>
      </c>
      <c r="R781" s="59" t="n">
        <v>3</v>
      </c>
      <c r="S781" s="59" t="n">
        <v>1</v>
      </c>
      <c r="T781" s="63" t="inlineStr">
        <is>
          <t xml:space="preserve">PRV  </t>
        </is>
      </c>
      <c r="U781" s="63" t="n">
        <v>398</v>
      </c>
      <c r="V781" s="714" t="n">
        <v>25186</v>
      </c>
      <c r="W781" s="714" t="n">
        <v>25000</v>
      </c>
      <c r="X781" s="83" t="inlineStr">
        <is>
          <t>2.6:1</t>
        </is>
      </c>
      <c r="Y781" s="714">
        <f>ROUND(J781,-3)</f>
        <v/>
      </c>
      <c r="Z781" s="63" t="inlineStr">
        <is>
          <t xml:space="preserve">C </t>
        </is>
      </c>
      <c r="AA781" s="59" t="n">
        <v>3</v>
      </c>
      <c r="AB781" s="59" t="n">
        <v>3</v>
      </c>
      <c r="AC781" s="67" t="inlineStr">
        <is>
          <t>33</t>
        </is>
      </c>
      <c r="AD781" s="61" t="inlineStr">
        <is>
          <t>LIGHT BULB SUPPLY CO</t>
        </is>
      </c>
      <c r="AE781" s="716" t="n"/>
      <c r="AF781" s="716" t="n"/>
      <c r="AG781" s="716" t="n"/>
      <c r="AH781" s="716" t="n"/>
      <c r="AI781" s="716" t="n"/>
      <c r="AJ781" s="716" t="n"/>
      <c r="AK781" s="716" t="inlineStr">
        <is>
          <t xml:space="preserve">S-T WHSE.                                                         </t>
        </is>
      </c>
      <c r="AL781">
        <f>IF(AND(ISNUMBER($S781),$S781&gt;0,ISNUMBER($K781),ISNUMBER($J781)),($K781*$J781)/$S781,"")</f>
        <v/>
      </c>
    </row>
    <row r="782">
      <c r="A782" s="62" t="n">
        <v>8</v>
      </c>
      <c r="B782" s="93" t="n">
        <v>774</v>
      </c>
      <c r="C782" s="68" t="inlineStr">
        <is>
          <t>2009Q</t>
        </is>
      </c>
      <c r="D782" s="59" t="inlineStr">
        <is>
          <t xml:space="preserve">02281-00-057-000 </t>
        </is>
      </c>
      <c r="E782" s="72" t="inlineStr">
        <is>
          <t>Actual</t>
        </is>
      </c>
      <c r="F782" s="73" t="inlineStr">
        <is>
          <t>3500   ROCKMONT             DR</t>
        </is>
      </c>
      <c r="G782" s="708" t="n">
        <v>44.3</v>
      </c>
      <c r="H782" s="67" t="n">
        <v>9209</v>
      </c>
      <c r="I782" s="69" t="n">
        <v>0</v>
      </c>
      <c r="J782" s="714" t="n">
        <v>253115</v>
      </c>
      <c r="K782" s="715" t="n">
        <v>3.259388025205934</v>
      </c>
      <c r="L782" s="74" t="n">
        <v>0</v>
      </c>
      <c r="M782" s="76" t="n">
        <v>0.02424242424242424</v>
      </c>
      <c r="N782" s="67" t="n">
        <v>1966</v>
      </c>
      <c r="O782" s="64" t="n">
        <v>104234</v>
      </c>
      <c r="Q782" s="59" t="n">
        <v>18</v>
      </c>
      <c r="R782" s="59" t="n">
        <v>1</v>
      </c>
      <c r="S782" s="59" t="n">
        <v>1</v>
      </c>
      <c r="T782" s="63" t="inlineStr">
        <is>
          <t xml:space="preserve">PRV  </t>
        </is>
      </c>
      <c r="U782" s="63" t="n">
        <v>398</v>
      </c>
      <c r="V782" s="714" t="n">
        <v>500067</v>
      </c>
      <c r="W782" s="714" t="n">
        <v>500000</v>
      </c>
      <c r="X782" s="83" t="inlineStr">
        <is>
          <t>2.0:1</t>
        </is>
      </c>
      <c r="Y782" s="714">
        <f>ROUND(J782,-4)</f>
        <v/>
      </c>
      <c r="Z782" s="63" t="inlineStr">
        <is>
          <t xml:space="preserve">C </t>
        </is>
      </c>
      <c r="AA782" s="59" t="n">
        <v>3</v>
      </c>
      <c r="AB782" s="59" t="n">
        <v>3</v>
      </c>
      <c r="AC782" s="67" t="inlineStr">
        <is>
          <t>33</t>
        </is>
      </c>
      <c r="AD782" s="61" t="inlineStr">
        <is>
          <t>S-W MAIL-WELL ENVPLE</t>
        </is>
      </c>
      <c r="AE782" s="716" t="n"/>
      <c r="AF782" s="716" t="n"/>
      <c r="AG782" s="716" t="n"/>
      <c r="AH782" s="716" t="n"/>
      <c r="AI782" s="716" t="n"/>
      <c r="AJ782" s="716" t="n"/>
      <c r="AK782" s="716" t="inlineStr">
        <is>
          <t xml:space="preserve">S-T WHSE.; AGE OF LEASE UNKNOWN.                                  </t>
        </is>
      </c>
      <c r="AL782">
        <f>IF(AND(ISNUMBER($S782),$S782&gt;0,ISNUMBER($K782),ISNUMBER($J782)),($K782*$J782)/$S782,"")</f>
        <v/>
      </c>
    </row>
    <row r="783">
      <c r="A783" s="62" t="n">
        <v>8</v>
      </c>
      <c r="B783" s="93" t="n">
        <v>775</v>
      </c>
      <c r="C783" s="68" t="inlineStr">
        <is>
          <t>2009Q</t>
        </is>
      </c>
      <c r="D783" s="59" t="inlineStr">
        <is>
          <t xml:space="preserve">02281-04-011-000 </t>
        </is>
      </c>
      <c r="E783" s="72" t="inlineStr">
        <is>
          <t>Actual</t>
        </is>
      </c>
      <c r="F783" s="73" t="inlineStr">
        <is>
          <t>1200 W 38TH                 AV</t>
        </is>
      </c>
      <c r="G783" s="708" t="n">
        <v>47.1</v>
      </c>
      <c r="H783" s="67" t="n">
        <v>9208</v>
      </c>
      <c r="I783" s="69" t="n">
        <v>9</v>
      </c>
      <c r="J783" s="714" t="n">
        <v>3028</v>
      </c>
      <c r="K783" s="715" t="n">
        <v>3.170409511228534</v>
      </c>
      <c r="L783" s="74" t="n">
        <v>0</v>
      </c>
      <c r="M783" s="76" t="n">
        <v>0.1853125</v>
      </c>
      <c r="N783" s="67" t="n">
        <v>1948</v>
      </c>
      <c r="O783" s="64" t="n">
        <v>383</v>
      </c>
      <c r="Q783" s="59" t="n">
        <v>12</v>
      </c>
      <c r="R783" s="59" t="n">
        <v>3</v>
      </c>
      <c r="S783" s="59" t="n">
        <v>1</v>
      </c>
      <c r="T783" s="63" t="inlineStr">
        <is>
          <t xml:space="preserve">B4   </t>
        </is>
      </c>
      <c r="U783" s="63" t="n">
        <v>401</v>
      </c>
      <c r="V783" s="714" t="n">
        <v>12500</v>
      </c>
      <c r="W783" s="714" t="n">
        <v>13000</v>
      </c>
      <c r="X783" s="83" t="inlineStr">
        <is>
          <t>4.1:1</t>
        </is>
      </c>
      <c r="Y783" s="714">
        <f>ROUND(J783,-3)</f>
        <v/>
      </c>
      <c r="Z783" s="63" t="inlineStr">
        <is>
          <t xml:space="preserve">C </t>
        </is>
      </c>
      <c r="AA783" s="59" t="n">
        <v>3</v>
      </c>
      <c r="AB783" s="59" t="n">
        <v>3</v>
      </c>
      <c r="AC783" s="67" t="inlineStr">
        <is>
          <t>33</t>
        </is>
      </c>
      <c r="AD783" s="61" t="inlineStr">
        <is>
          <t xml:space="preserve">S-F FANTASY IN IRON </t>
        </is>
      </c>
      <c r="AE783" s="716" t="n"/>
      <c r="AF783" s="716" t="n"/>
      <c r="AG783" s="716" t="n"/>
      <c r="AH783" s="716" t="n"/>
      <c r="AI783" s="716" t="n"/>
      <c r="AJ783" s="716" t="n"/>
      <c r="AK783" s="716" t="inlineStr">
        <is>
          <t xml:space="preserve">S-T WHSE.; RENTED MO-TO-MO.                                       </t>
        </is>
      </c>
      <c r="AL783">
        <f>IF(AND(ISNUMBER($S783),$S783&gt;0,ISNUMBER($K783),ISNUMBER($J783)),($K783*$J783)/$S783,"")</f>
        <v/>
      </c>
    </row>
    <row r="784">
      <c r="A784" s="62" t="n">
        <v>8</v>
      </c>
      <c r="B784" s="93" t="n">
        <v>776</v>
      </c>
      <c r="C784" s="68" t="inlineStr">
        <is>
          <t>2009Q</t>
        </is>
      </c>
      <c r="D784" s="59" t="inlineStr">
        <is>
          <t xml:space="preserve">02281-14-029-000 </t>
        </is>
      </c>
      <c r="E784" s="72" t="inlineStr">
        <is>
          <t>Actual</t>
        </is>
      </c>
      <c r="F784" s="73" t="inlineStr">
        <is>
          <t>1101 W 36TH                 AV</t>
        </is>
      </c>
      <c r="G784" s="708" t="n">
        <v>44.1</v>
      </c>
      <c r="H784" s="67" t="n">
        <v>9208</v>
      </c>
      <c r="I784" s="69" t="n">
        <v>0</v>
      </c>
      <c r="J784" s="714" t="n">
        <v>9374</v>
      </c>
      <c r="K784" s="715" t="n">
        <v>4.480477917644548</v>
      </c>
      <c r="L784" s="74" t="n">
        <v>0</v>
      </c>
      <c r="M784" s="76" t="n">
        <v>0.1081904761904762</v>
      </c>
      <c r="N784" s="67" t="n">
        <v>1976</v>
      </c>
      <c r="O784" s="64" t="n">
        <v>279</v>
      </c>
      <c r="P784" s="64" t="n">
        <v>1999</v>
      </c>
      <c r="Q784" s="59" t="n">
        <v>14</v>
      </c>
      <c r="R784" s="59" t="n">
        <v>7</v>
      </c>
      <c r="S784" s="59" t="n">
        <v>1</v>
      </c>
      <c r="T784" s="63" t="inlineStr">
        <is>
          <t xml:space="preserve">PRV  </t>
        </is>
      </c>
      <c r="U784" s="63" t="n">
        <v>398</v>
      </c>
      <c r="V784" s="714" t="n">
        <v>21875</v>
      </c>
      <c r="W784" s="714" t="n">
        <v>22000</v>
      </c>
      <c r="X784" s="83" t="inlineStr">
        <is>
          <t>2.3:1</t>
        </is>
      </c>
      <c r="Y784" s="714">
        <f>ROUND(J784,-3)</f>
        <v/>
      </c>
      <c r="Z784" s="63" t="inlineStr">
        <is>
          <t xml:space="preserve">C </t>
        </is>
      </c>
      <c r="AA784" s="59" t="n">
        <v>3</v>
      </c>
      <c r="AB784" s="59" t="n">
        <v>3</v>
      </c>
      <c r="AC784" s="67" t="inlineStr">
        <is>
          <t>33</t>
        </is>
      </c>
      <c r="AD784" s="61" t="inlineStr">
        <is>
          <t xml:space="preserve">GROUNDS SERVICE CO  </t>
        </is>
      </c>
      <c r="AE784" s="716" t="n"/>
      <c r="AF784" s="716" t="n"/>
      <c r="AG784" s="716" t="n"/>
      <c r="AH784" s="716" t="n"/>
      <c r="AI784" s="716" t="n"/>
      <c r="AJ784" s="716" t="n"/>
      <c r="AK784" s="716" t="inlineStr">
        <is>
          <t xml:space="preserve">S-T WHSE.; AGE OF LEASE UNKNOWN.                                  </t>
        </is>
      </c>
      <c r="AL784">
        <f>IF(AND(ISNUMBER($S784),$S784&gt;0,ISNUMBER($K784),ISNUMBER($J784)),($K784*$J784)/$S784,"")</f>
        <v/>
      </c>
    </row>
    <row r="785">
      <c r="A785" s="62" t="n">
        <v>8</v>
      </c>
      <c r="B785" s="93" t="n">
        <v>777</v>
      </c>
      <c r="C785" s="68" t="inlineStr">
        <is>
          <t>2009Q</t>
        </is>
      </c>
      <c r="D785" s="59" t="inlineStr">
        <is>
          <t xml:space="preserve">02281-27-022-000 </t>
        </is>
      </c>
      <c r="E785" s="72" t="inlineStr">
        <is>
          <t>Actual</t>
        </is>
      </c>
      <c r="F785" s="73" t="inlineStr">
        <is>
          <t>3445   LIPAN                ST</t>
        </is>
      </c>
      <c r="G785" s="708" t="n">
        <v>44.1</v>
      </c>
      <c r="H785" s="67" t="n">
        <v>9208</v>
      </c>
      <c r="I785" s="69" t="n">
        <v>0</v>
      </c>
      <c r="J785" s="714" t="n">
        <v>8829</v>
      </c>
      <c r="K785" s="715" t="n">
        <v>9.62736436742553</v>
      </c>
      <c r="L785" s="74" t="n">
        <v>0</v>
      </c>
      <c r="M785" s="76" t="n">
        <v>0.02245882352941176</v>
      </c>
      <c r="N785" s="67" t="n">
        <v>1965</v>
      </c>
      <c r="O785" s="64" t="n">
        <v>2604</v>
      </c>
      <c r="Q785" s="59" t="n">
        <v>18</v>
      </c>
      <c r="R785" s="59" t="n">
        <v>3</v>
      </c>
      <c r="S785" s="59" t="n">
        <v>1</v>
      </c>
      <c r="T785" s="63" t="inlineStr">
        <is>
          <t xml:space="preserve">PRV  </t>
        </is>
      </c>
      <c r="U785" s="63" t="n">
        <v>398</v>
      </c>
      <c r="V785" s="714" t="n">
        <v>9375</v>
      </c>
      <c r="W785" s="714" t="n">
        <v>9000</v>
      </c>
      <c r="X785" s="83" t="inlineStr">
        <is>
          <t>1.1:1</t>
        </is>
      </c>
      <c r="Y785" s="714">
        <f>ROUND(J785,-3)</f>
        <v/>
      </c>
      <c r="Z785" s="63" t="inlineStr">
        <is>
          <t xml:space="preserve">C </t>
        </is>
      </c>
      <c r="AA785" s="59" t="n">
        <v>3</v>
      </c>
      <c r="AB785" s="59" t="n">
        <v>3</v>
      </c>
      <c r="AC785" s="67" t="inlineStr">
        <is>
          <t>33</t>
        </is>
      </c>
      <c r="AD785" s="61" t="inlineStr">
        <is>
          <t xml:space="preserve">RKY MTN BLUEPRINT   </t>
        </is>
      </c>
      <c r="AE785" s="716" t="n"/>
      <c r="AF785" s="716" t="n"/>
      <c r="AG785" s="716" t="n"/>
      <c r="AH785" s="716" t="n"/>
      <c r="AI785" s="716" t="n"/>
      <c r="AJ785" s="716" t="n"/>
      <c r="AK785" s="716" t="inlineStr">
        <is>
          <t xml:space="preserve">S-T WHSE.; AGE OF LEASE UNKNOWN.                                  </t>
        </is>
      </c>
      <c r="AL785">
        <f>IF(AND(ISNUMBER($S785),$S785&gt;0,ISNUMBER($K785),ISNUMBER($J785)),($K785*$J785)/$S785,"")</f>
        <v/>
      </c>
    </row>
    <row r="786">
      <c r="A786" s="62" t="n">
        <v>8</v>
      </c>
      <c r="B786" s="93" t="n">
        <v>778</v>
      </c>
      <c r="C786" s="68" t="inlineStr">
        <is>
          <t>2009Q</t>
        </is>
      </c>
      <c r="D786" s="59" t="inlineStr">
        <is>
          <t xml:space="preserve">02281-31-031-000 </t>
        </is>
      </c>
      <c r="E786" s="72" t="inlineStr">
        <is>
          <t>Actual</t>
        </is>
      </c>
      <c r="F786" s="73" t="inlineStr">
        <is>
          <t>3333   MARIPOSA             ST</t>
        </is>
      </c>
      <c r="G786" s="708" t="n">
        <v>44.1</v>
      </c>
      <c r="H786" s="67" t="n">
        <v>9208</v>
      </c>
      <c r="I786" s="69" t="n">
        <v>0</v>
      </c>
      <c r="J786" s="714" t="n">
        <v>5775</v>
      </c>
      <c r="K786" s="715" t="n">
        <v>7.688311688311688</v>
      </c>
      <c r="L786" s="74" t="n">
        <v>0</v>
      </c>
      <c r="M786" s="76" t="n">
        <v>0.06081081081081081</v>
      </c>
      <c r="N786" s="67" t="n">
        <v>1973</v>
      </c>
      <c r="Q786" s="59" t="n">
        <v>14</v>
      </c>
      <c r="R786" s="59" t="n">
        <v>3</v>
      </c>
      <c r="S786" s="59" t="n">
        <v>1</v>
      </c>
      <c r="T786" s="63" t="inlineStr">
        <is>
          <t xml:space="preserve">PRV  </t>
        </is>
      </c>
      <c r="U786" s="63" t="n">
        <v>398</v>
      </c>
      <c r="V786" s="714" t="n">
        <v>9142</v>
      </c>
      <c r="W786" s="714" t="n">
        <v>9000</v>
      </c>
      <c r="X786" s="83" t="inlineStr">
        <is>
          <t>1.6:1</t>
        </is>
      </c>
      <c r="Y786" s="714">
        <f>ROUND(J786,-3)</f>
        <v/>
      </c>
      <c r="Z786" s="63" t="inlineStr">
        <is>
          <t xml:space="preserve">C </t>
        </is>
      </c>
      <c r="AA786" s="59" t="n">
        <v>3</v>
      </c>
      <c r="AB786" s="59" t="n">
        <v>3</v>
      </c>
      <c r="AC786" s="67" t="inlineStr">
        <is>
          <t>33</t>
        </is>
      </c>
      <c r="AD786" s="61" t="inlineStr"/>
      <c r="AE786" s="716" t="n"/>
      <c r="AF786" s="716" t="n"/>
      <c r="AG786" s="716" t="n"/>
      <c r="AH786" s="716" t="n"/>
      <c r="AI786" s="716" t="n"/>
      <c r="AJ786" s="716" t="n"/>
      <c r="AK786" s="716" t="inlineStr">
        <is>
          <t xml:space="preserve">S-T WHSE.                                                         </t>
        </is>
      </c>
      <c r="AL786">
        <f>IF(AND(ISNUMBER($S786),$S786&gt;0,ISNUMBER($K786),ISNUMBER($J786)),($K786*$J786)/$S786,"")</f>
        <v/>
      </c>
    </row>
    <row r="787">
      <c r="A787" s="62" t="n">
        <v>8</v>
      </c>
      <c r="B787" s="93" t="n">
        <v>779</v>
      </c>
      <c r="C787" s="68" t="inlineStr">
        <is>
          <t>2009Q</t>
        </is>
      </c>
      <c r="D787" s="59" t="inlineStr">
        <is>
          <t xml:space="preserve">02294-23-026-000 </t>
        </is>
      </c>
      <c r="E787" s="72" t="inlineStr">
        <is>
          <t>Actual</t>
        </is>
      </c>
      <c r="F787" s="73" t="inlineStr">
        <is>
          <t>2727 W 27TH                 AV</t>
        </is>
      </c>
      <c r="G787" s="708" t="n">
        <v>44.2</v>
      </c>
      <c r="H787" s="67" t="n">
        <v>9208</v>
      </c>
      <c r="I787" s="69" t="n">
        <v>0</v>
      </c>
      <c r="J787" s="714" t="n">
        <v>36032</v>
      </c>
      <c r="K787" s="715" t="n">
        <v>4.649117451154529</v>
      </c>
      <c r="L787" s="74" t="n">
        <v>0.22</v>
      </c>
      <c r="M787" s="76" t="n">
        <v>0.2873439710596536</v>
      </c>
      <c r="N787" s="67" t="n">
        <v>1921</v>
      </c>
      <c r="O787" s="64" t="n">
        <v>1815</v>
      </c>
      <c r="Q787" s="59" t="n">
        <v>14</v>
      </c>
      <c r="R787" s="59" t="n">
        <v>1</v>
      </c>
      <c r="S787" s="59" t="n">
        <v>2</v>
      </c>
      <c r="T787" s="63" t="inlineStr">
        <is>
          <t xml:space="preserve">B4   </t>
        </is>
      </c>
      <c r="U787" s="63" t="n">
        <v>398</v>
      </c>
      <c r="V787" s="714" t="n">
        <v>35708</v>
      </c>
      <c r="W787" s="714" t="n">
        <v>36000</v>
      </c>
      <c r="X787" s="83" t="inlineStr">
        <is>
          <t>1.0:1</t>
        </is>
      </c>
      <c r="Y787" s="714">
        <f>ROUND(J787,-3)</f>
        <v/>
      </c>
      <c r="Z787" s="63" t="inlineStr">
        <is>
          <t xml:space="preserve">C </t>
        </is>
      </c>
      <c r="AA787" s="59" t="n">
        <v>3</v>
      </c>
      <c r="AB787" s="59" t="n">
        <v>3</v>
      </c>
      <c r="AC787" s="67" t="inlineStr">
        <is>
          <t>33</t>
        </is>
      </c>
      <c r="AD787" s="61" t="inlineStr"/>
      <c r="AE787" s="716" t="n"/>
      <c r="AF787" s="716" t="n"/>
      <c r="AG787" s="716" t="n"/>
      <c r="AH787" s="716" t="n"/>
      <c r="AI787" s="716" t="n"/>
      <c r="AJ787" s="716" t="n"/>
      <c r="AK787" s="716" t="inlineStr">
        <is>
          <t xml:space="preserve">M-T WHSE; 2-TENANTS; LEASES 2005 &amp; 2008.                          </t>
        </is>
      </c>
      <c r="AL787">
        <f>IF(AND(ISNUMBER($S787),$S787&gt;0,ISNUMBER($K787),ISNUMBER($J787)),($K787*$J787)/$S787,"")</f>
        <v/>
      </c>
    </row>
    <row r="788">
      <c r="A788" s="62" t="n">
        <v>8</v>
      </c>
      <c r="B788" s="93" t="n">
        <v>780</v>
      </c>
      <c r="C788" s="68" t="inlineStr">
        <is>
          <t>2009Q</t>
        </is>
      </c>
      <c r="D788" s="59" t="inlineStr">
        <is>
          <t xml:space="preserve">02294-25-002-000 </t>
        </is>
      </c>
      <c r="E788" s="72" t="inlineStr">
        <is>
          <t>Actual</t>
        </is>
      </c>
      <c r="F788" s="73" t="inlineStr">
        <is>
          <t>2536 W 28TH                 AV</t>
        </is>
      </c>
      <c r="G788" s="708" t="n">
        <v>44.1</v>
      </c>
      <c r="H788" s="67" t="n">
        <v>9208</v>
      </c>
      <c r="I788" s="69" t="n">
        <v>0</v>
      </c>
      <c r="J788" s="714" t="n">
        <v>1950</v>
      </c>
      <c r="K788" s="715" t="n">
        <v>6.104615384615385</v>
      </c>
      <c r="L788" s="74" t="n">
        <v>0</v>
      </c>
      <c r="M788" s="76" t="n">
        <v>0</v>
      </c>
      <c r="N788" s="67" t="n">
        <v>1954</v>
      </c>
      <c r="O788" s="64" t="n">
        <v>120</v>
      </c>
      <c r="Q788" s="59" t="n">
        <v>13</v>
      </c>
      <c r="R788" s="59" t="n">
        <v>3</v>
      </c>
      <c r="S788" s="59" t="n">
        <v>1</v>
      </c>
      <c r="T788" s="63" t="inlineStr">
        <is>
          <t xml:space="preserve">PRV  </t>
        </is>
      </c>
      <c r="U788" s="63" t="n">
        <v>398</v>
      </c>
      <c r="V788" s="714" t="n">
        <v>2250</v>
      </c>
      <c r="W788" s="714" t="n">
        <v>2000</v>
      </c>
      <c r="X788" s="83" t="inlineStr">
        <is>
          <t>1.2:1</t>
        </is>
      </c>
      <c r="Y788" s="714">
        <f>ROUND(J788,-2)</f>
        <v/>
      </c>
      <c r="Z788" s="63" t="inlineStr">
        <is>
          <t xml:space="preserve">C </t>
        </is>
      </c>
      <c r="AA788" s="59" t="n">
        <v>3</v>
      </c>
      <c r="AB788" s="59" t="n">
        <v>3</v>
      </c>
      <c r="AC788" s="67" t="inlineStr">
        <is>
          <t>33</t>
        </is>
      </c>
      <c r="AD788" s="61" t="inlineStr">
        <is>
          <t xml:space="preserve">S-W DVH COMPANY     </t>
        </is>
      </c>
      <c r="AE788" s="716" t="n"/>
      <c r="AF788" s="716" t="n"/>
      <c r="AG788" s="716" t="n"/>
      <c r="AH788" s="716" t="n"/>
      <c r="AI788" s="716" t="n"/>
      <c r="AJ788" s="716" t="n"/>
      <c r="AK788" s="716" t="inlineStr">
        <is>
          <t xml:space="preserve">S-T WHSE.; 2006 LEASE.                                            </t>
        </is>
      </c>
      <c r="AL788">
        <f>IF(AND(ISNUMBER($S788),$S788&gt;0,ISNUMBER($K788),ISNUMBER($J788)),($K788*$J788)/$S788,"")</f>
        <v/>
      </c>
    </row>
    <row r="789">
      <c r="A789" s="62" t="n">
        <v>8</v>
      </c>
      <c r="B789" s="93" t="n">
        <v>781</v>
      </c>
      <c r="C789" s="68" t="inlineStr">
        <is>
          <t>2009Q</t>
        </is>
      </c>
      <c r="D789" s="59" t="inlineStr">
        <is>
          <t xml:space="preserve">02313-11-037-000 </t>
        </is>
      </c>
      <c r="E789" s="72" t="inlineStr">
        <is>
          <t>Actual</t>
        </is>
      </c>
      <c r="F789" s="73" t="inlineStr">
        <is>
          <t>1517   TENNYSON             ST</t>
        </is>
      </c>
      <c r="G789" s="708" t="n">
        <v>44.1</v>
      </c>
      <c r="H789" s="67" t="n">
        <v>9208</v>
      </c>
      <c r="I789" s="69" t="n">
        <v>0</v>
      </c>
      <c r="J789" s="714" t="n">
        <v>1608</v>
      </c>
      <c r="K789" s="715" t="n">
        <v>6.343283582089552</v>
      </c>
      <c r="L789" s="74" t="n">
        <v>0.42</v>
      </c>
      <c r="M789" s="76" t="n">
        <v>0</v>
      </c>
      <c r="N789" s="67" t="n">
        <v>1977</v>
      </c>
      <c r="Q789" s="59" t="n">
        <v>11</v>
      </c>
      <c r="R789" s="59" t="n">
        <v>7</v>
      </c>
      <c r="S789" s="59" t="n">
        <v>1</v>
      </c>
      <c r="T789" s="63" t="inlineStr">
        <is>
          <t xml:space="preserve">B4   </t>
        </is>
      </c>
      <c r="U789" s="63" t="n">
        <v>398</v>
      </c>
      <c r="V789" s="714" t="n">
        <v>2868</v>
      </c>
      <c r="W789" s="714" t="n">
        <v>3000</v>
      </c>
      <c r="X789" s="83" t="inlineStr">
        <is>
          <t>1.8:1</t>
        </is>
      </c>
      <c r="Y789" s="714">
        <f>ROUND(J789,-2)</f>
        <v/>
      </c>
      <c r="Z789" s="63" t="inlineStr">
        <is>
          <t xml:space="preserve">C </t>
        </is>
      </c>
      <c r="AA789" s="59" t="n">
        <v>3</v>
      </c>
      <c r="AB789" s="59" t="n">
        <v>2</v>
      </c>
      <c r="AC789" s="67" t="inlineStr">
        <is>
          <t>32</t>
        </is>
      </c>
      <c r="AD789" s="61" t="inlineStr">
        <is>
          <t xml:space="preserve">S-W                 </t>
        </is>
      </c>
      <c r="AE789" s="716" t="n"/>
      <c r="AF789" s="716" t="n"/>
      <c r="AG789" s="716" t="n"/>
      <c r="AH789" s="716" t="n"/>
      <c r="AI789" s="716" t="n"/>
      <c r="AJ789" s="716" t="n"/>
      <c r="AK789" s="716" t="inlineStr">
        <is>
          <t xml:space="preserve">S-T WHSE.; LEASE DETAILS UNKNOWN.                                 </t>
        </is>
      </c>
      <c r="AL789">
        <f>IF(AND(ISNUMBER($S789),$S789&gt;0,ISNUMBER($K789),ISNUMBER($J789)),($K789*$J789)/$S789,"")</f>
        <v/>
      </c>
    </row>
    <row r="790">
      <c r="A790" s="62" t="n">
        <v>8</v>
      </c>
      <c r="B790" s="93" t="n">
        <v>782</v>
      </c>
      <c r="C790" s="68" t="inlineStr">
        <is>
          <t>2009Q</t>
        </is>
      </c>
      <c r="D790" s="59" t="inlineStr">
        <is>
          <t xml:space="preserve">02321-33-022-000 </t>
        </is>
      </c>
      <c r="E790" s="72" t="inlineStr">
        <is>
          <t>Actual</t>
        </is>
      </c>
      <c r="F790" s="73" t="inlineStr">
        <is>
          <t>2021   BRYANT               ST</t>
        </is>
      </c>
      <c r="G790" s="708" t="n">
        <v>47.1</v>
      </c>
      <c r="H790" s="67" t="n">
        <v>9208</v>
      </c>
      <c r="I790" s="69" t="n">
        <v>0</v>
      </c>
      <c r="J790" s="714" t="n">
        <v>20782</v>
      </c>
      <c r="K790" s="715" t="n">
        <v>3.464536618227312</v>
      </c>
      <c r="L790" s="74" t="n">
        <v>0</v>
      </c>
      <c r="M790" s="76" t="n">
        <v>0</v>
      </c>
      <c r="N790" s="67" t="n">
        <v>1964</v>
      </c>
      <c r="O790" s="64" t="n">
        <v>581</v>
      </c>
      <c r="P790" s="64" t="n">
        <v>2205</v>
      </c>
      <c r="Q790" s="59" t="n">
        <v>13</v>
      </c>
      <c r="R790" s="59" t="n">
        <v>1</v>
      </c>
      <c r="S790" s="59" t="n">
        <v>1</v>
      </c>
      <c r="T790" s="63" t="inlineStr">
        <is>
          <t xml:space="preserve">PRV  </t>
        </is>
      </c>
      <c r="U790" s="63" t="n">
        <v>401</v>
      </c>
      <c r="V790" s="714" t="n">
        <v>41850</v>
      </c>
      <c r="W790" s="714" t="n">
        <v>42000</v>
      </c>
      <c r="X790" s="83" t="inlineStr">
        <is>
          <t>2.0:1</t>
        </is>
      </c>
      <c r="Y790" s="714">
        <f>ROUND(J790,-3)</f>
        <v/>
      </c>
      <c r="Z790" s="63" t="inlineStr">
        <is>
          <t xml:space="preserve">C </t>
        </is>
      </c>
      <c r="AA790" s="59" t="n">
        <v>3</v>
      </c>
      <c r="AB790" s="59" t="n">
        <v>3</v>
      </c>
      <c r="AC790" s="67" t="inlineStr">
        <is>
          <t>33</t>
        </is>
      </c>
      <c r="AD790" s="61" t="inlineStr"/>
      <c r="AE790" s="716" t="n"/>
      <c r="AF790" s="716" t="n"/>
      <c r="AG790" s="716" t="n"/>
      <c r="AH790" s="716" t="n"/>
      <c r="AI790" s="716" t="n"/>
      <c r="AJ790" s="716" t="n"/>
      <c r="AK790" s="716" t="inlineStr">
        <is>
          <t xml:space="preserve">S-T WHSE.                                                         </t>
        </is>
      </c>
      <c r="AL790">
        <f>IF(AND(ISNUMBER($S790),$S790&gt;0,ISNUMBER($K790),ISNUMBER($J790)),($K790*$J790)/$S790,"")</f>
        <v/>
      </c>
    </row>
    <row r="791">
      <c r="A791" s="62" t="n">
        <v>8</v>
      </c>
      <c r="B791" s="93" t="n">
        <v>783</v>
      </c>
      <c r="C791" s="68" t="inlineStr">
        <is>
          <t>2009Q</t>
        </is>
      </c>
      <c r="D791" s="59" t="inlineStr">
        <is>
          <t xml:space="preserve">02321-33-039-000 </t>
        </is>
      </c>
      <c r="E791" s="72" t="inlineStr">
        <is>
          <t>Actual</t>
        </is>
      </c>
      <c r="F791" s="73" t="inlineStr">
        <is>
          <t>2030   CLAY                 ST</t>
        </is>
      </c>
      <c r="G791" s="708" t="n">
        <v>44.1</v>
      </c>
      <c r="H791" s="67" t="n">
        <v>9208</v>
      </c>
      <c r="I791" s="69" t="n">
        <v>0</v>
      </c>
      <c r="J791" s="714" t="n">
        <v>15798</v>
      </c>
      <c r="K791" s="715" t="n">
        <v>3.491328016204583</v>
      </c>
      <c r="L791" s="74" t="n">
        <v>0</v>
      </c>
      <c r="M791" s="76" t="n">
        <v>0.02886358691710784</v>
      </c>
      <c r="N791" s="67" t="n">
        <v>1962</v>
      </c>
      <c r="O791" s="64" t="n">
        <v>675</v>
      </c>
      <c r="Q791" s="59" t="n">
        <v>15</v>
      </c>
      <c r="R791" s="59" t="n">
        <v>3</v>
      </c>
      <c r="S791" s="59" t="n">
        <v>1</v>
      </c>
      <c r="T791" s="63" t="inlineStr">
        <is>
          <t xml:space="preserve">PRV  </t>
        </is>
      </c>
      <c r="U791" s="63" t="n">
        <v>398</v>
      </c>
      <c r="V791" s="714" t="n">
        <v>37190</v>
      </c>
      <c r="W791" s="714" t="n">
        <v>37000</v>
      </c>
      <c r="X791" s="83" t="inlineStr">
        <is>
          <t>2.4:1</t>
        </is>
      </c>
      <c r="Y791" s="714">
        <f>ROUND(J791,-3)</f>
        <v/>
      </c>
      <c r="Z791" s="63" t="inlineStr">
        <is>
          <t xml:space="preserve">C </t>
        </is>
      </c>
      <c r="AA791" s="59" t="n">
        <v>3</v>
      </c>
      <c r="AB791" s="59" t="n">
        <v>3</v>
      </c>
      <c r="AC791" s="67" t="inlineStr">
        <is>
          <t>33</t>
        </is>
      </c>
      <c r="AD791" s="61" t="inlineStr"/>
      <c r="AE791" s="716" t="n"/>
      <c r="AF791" s="716" t="n"/>
      <c r="AG791" s="716" t="n"/>
      <c r="AH791" s="716" t="n"/>
      <c r="AI791" s="716" t="n"/>
      <c r="AJ791" s="716" t="n"/>
      <c r="AK791" s="716" t="inlineStr">
        <is>
          <t xml:space="preserve">S-T WHSE.; 2005 LEASE.                                            </t>
        </is>
      </c>
      <c r="AL791">
        <f>IF(AND(ISNUMBER($S791),$S791&gt;0,ISNUMBER($K791),ISNUMBER($J791)),($K791*$J791)/$S791,"")</f>
        <v/>
      </c>
    </row>
    <row r="792">
      <c r="A792" s="62" t="n">
        <v>8</v>
      </c>
      <c r="B792" s="93" t="n">
        <v>784</v>
      </c>
      <c r="C792" s="68" t="inlineStr">
        <is>
          <t>2009Q</t>
        </is>
      </c>
      <c r="D792" s="59" t="inlineStr">
        <is>
          <t xml:space="preserve">02322-13-012-000 </t>
        </is>
      </c>
      <c r="E792" s="72" t="inlineStr">
        <is>
          <t>Actual</t>
        </is>
      </c>
      <c r="F792" s="73" t="inlineStr">
        <is>
          <t>3021 W 23RD                 AV</t>
        </is>
      </c>
      <c r="G792" s="708" t="n">
        <v>44.1</v>
      </c>
      <c r="H792" s="67" t="n">
        <v>9208</v>
      </c>
      <c r="I792" s="69" t="n">
        <v>0</v>
      </c>
      <c r="J792" s="714" t="n">
        <v>700</v>
      </c>
      <c r="K792" s="715" t="n">
        <v>7.381428571428572</v>
      </c>
      <c r="L792" s="74" t="n">
        <v>0</v>
      </c>
      <c r="M792" s="76" t="n">
        <v>0.4193922972711438</v>
      </c>
      <c r="N792" s="67" t="n">
        <v>1926</v>
      </c>
      <c r="O792" s="64" t="n">
        <v>827</v>
      </c>
      <c r="Q792" s="59" t="n">
        <v>8</v>
      </c>
      <c r="R792" s="59" t="n">
        <v>4</v>
      </c>
      <c r="S792" s="59" t="n">
        <v>1</v>
      </c>
      <c r="T792" s="63" t="inlineStr">
        <is>
          <t xml:space="preserve">B2   </t>
        </is>
      </c>
      <c r="U792" s="63" t="n">
        <v>398</v>
      </c>
      <c r="V792" s="714" t="n">
        <v>6950</v>
      </c>
      <c r="W792" s="714" t="n">
        <v>7000</v>
      </c>
      <c r="X792" s="83" t="inlineStr">
        <is>
          <t>2.9:1</t>
        </is>
      </c>
      <c r="Y792" s="714">
        <f>ROUND(J792,-2)</f>
        <v/>
      </c>
      <c r="Z792" s="63" t="inlineStr">
        <is>
          <t xml:space="preserve">C </t>
        </is>
      </c>
      <c r="AA792" s="59" t="n">
        <v>3</v>
      </c>
      <c r="AB792" s="59" t="n">
        <v>3</v>
      </c>
      <c r="AC792" s="67" t="inlineStr">
        <is>
          <t>33</t>
        </is>
      </c>
      <c r="AD792" s="61" t="inlineStr">
        <is>
          <t xml:space="preserve">S-W                 </t>
        </is>
      </c>
      <c r="AE792" s="716" t="n"/>
      <c r="AF792" s="716" t="n"/>
      <c r="AG792" s="716" t="n"/>
      <c r="AH792" s="716" t="n"/>
      <c r="AI792" s="716" t="n"/>
      <c r="AJ792" s="716" t="n"/>
      <c r="AK792" s="716" t="inlineStr">
        <is>
          <t xml:space="preserve">M-T WHSE; 2 UNITS; APPARENTLY NO LEASE, JUST RENT PAYMENTS.       </t>
        </is>
      </c>
      <c r="AL792">
        <f>IF(AND(ISNUMBER($S792),$S792&gt;0,ISNUMBER($K792),ISNUMBER($J792)),($K792*$J792)/$S792,"")</f>
        <v/>
      </c>
    </row>
    <row r="793">
      <c r="A793" s="62" t="n">
        <v>8</v>
      </c>
      <c r="B793" s="93" t="n">
        <v>785</v>
      </c>
      <c r="C793" s="68" t="inlineStr">
        <is>
          <t>2009Q</t>
        </is>
      </c>
      <c r="D793" s="59" t="inlineStr">
        <is>
          <t xml:space="preserve">02323-13-015-000 </t>
        </is>
      </c>
      <c r="E793" s="72" t="inlineStr">
        <is>
          <t>Actual</t>
        </is>
      </c>
      <c r="F793" s="73" t="inlineStr">
        <is>
          <t>1729   FEDERAL              BV</t>
        </is>
      </c>
      <c r="G793" s="708" t="n">
        <v>44.2</v>
      </c>
      <c r="H793" s="67" t="n">
        <v>9208</v>
      </c>
      <c r="I793" s="69" t="n">
        <v>6</v>
      </c>
      <c r="J793" s="714" t="n">
        <v>6200</v>
      </c>
      <c r="K793" s="715" t="n">
        <v>5.008064516129032</v>
      </c>
      <c r="L793" s="74" t="n">
        <v>0.4838709677419355</v>
      </c>
      <c r="M793" s="76" t="n">
        <v>0.1103059581320451</v>
      </c>
      <c r="N793" s="67" t="n">
        <v>1962</v>
      </c>
      <c r="O793" s="64" t="n">
        <v>780</v>
      </c>
      <c r="Q793" s="59" t="n">
        <v>10</v>
      </c>
      <c r="R793" s="59" t="n">
        <v>1</v>
      </c>
      <c r="S793" s="59" t="n">
        <v>3</v>
      </c>
      <c r="T793" s="63" t="inlineStr">
        <is>
          <t xml:space="preserve">B4   </t>
        </is>
      </c>
      <c r="U793" s="63" t="n">
        <v>398</v>
      </c>
      <c r="V793" s="714" t="n">
        <v>14360</v>
      </c>
      <c r="W793" s="714" t="n">
        <v>14000</v>
      </c>
      <c r="X793" s="83" t="inlineStr">
        <is>
          <t>2.3:1</t>
        </is>
      </c>
      <c r="Y793" s="714">
        <f>ROUND(J793,-3)</f>
        <v/>
      </c>
      <c r="Z793" s="63" t="inlineStr">
        <is>
          <t xml:space="preserve">C </t>
        </is>
      </c>
      <c r="AA793" s="59" t="n">
        <v>3</v>
      </c>
      <c r="AB793" s="59" t="n">
        <v>3</v>
      </c>
      <c r="AC793" s="67" t="inlineStr">
        <is>
          <t>33</t>
        </is>
      </c>
      <c r="AD793" s="61" t="inlineStr">
        <is>
          <t xml:space="preserve">FLOYD'Z             </t>
        </is>
      </c>
      <c r="AE793" s="716" t="n"/>
      <c r="AF793" s="716" t="n"/>
      <c r="AG793" s="716" t="n"/>
      <c r="AH793" s="716" t="n"/>
      <c r="AI793" s="716" t="n"/>
      <c r="AJ793" s="716" t="n"/>
      <c r="AK793" s="716" t="inlineStr">
        <is>
          <t xml:space="preserve">S-T WHSE.; NO DETAIL KNOWN ABOUT LEASE.                           </t>
        </is>
      </c>
      <c r="AL793">
        <f>IF(AND(ISNUMBER($S793),$S793&gt;0,ISNUMBER($K793),ISNUMBER($J793)),($K793*$J793)/$S793,"")</f>
        <v/>
      </c>
    </row>
    <row r="794">
      <c r="A794" s="62" t="n">
        <v>8</v>
      </c>
      <c r="B794" s="93" t="n">
        <v>786</v>
      </c>
      <c r="C794" s="68" t="inlineStr">
        <is>
          <t>2009Q</t>
        </is>
      </c>
      <c r="D794" s="59" t="inlineStr">
        <is>
          <t xml:space="preserve">02342-22-019-000 </t>
        </is>
      </c>
      <c r="E794" s="72" t="inlineStr">
        <is>
          <t>Actual</t>
        </is>
      </c>
      <c r="F794" s="73" t="inlineStr">
        <is>
          <t>2265   LAWRENCE             ST</t>
        </is>
      </c>
      <c r="G794" s="708" t="n">
        <v>44.1</v>
      </c>
      <c r="H794" s="67" t="n">
        <v>9202</v>
      </c>
      <c r="I794" s="69" t="n">
        <v>4</v>
      </c>
      <c r="J794" s="714" t="n">
        <v>1865</v>
      </c>
      <c r="K794" s="715" t="n">
        <v>12.8686327077748</v>
      </c>
      <c r="L794" s="74" t="n">
        <v>0.25</v>
      </c>
      <c r="M794" s="76" t="n">
        <v>0</v>
      </c>
      <c r="N794" s="67" t="n">
        <v>1942</v>
      </c>
      <c r="O794" s="64">
        <f>390+130</f>
        <v/>
      </c>
      <c r="Q794" s="59" t="n">
        <v>14</v>
      </c>
      <c r="R794" s="59" t="n">
        <v>3</v>
      </c>
      <c r="S794" s="59" t="n">
        <v>1</v>
      </c>
      <c r="T794" s="63" t="inlineStr">
        <is>
          <t xml:space="preserve">B8A  </t>
        </is>
      </c>
      <c r="U794" s="63" t="n">
        <v>398</v>
      </c>
      <c r="V794" s="714" t="n">
        <v>6278</v>
      </c>
      <c r="W794" s="714" t="n">
        <v>6000</v>
      </c>
      <c r="X794" s="83" t="inlineStr">
        <is>
          <t>3.4:1</t>
        </is>
      </c>
      <c r="Y794" s="714">
        <f>ROUND(J794,-2)</f>
        <v/>
      </c>
      <c r="Z794" s="63" t="inlineStr">
        <is>
          <t xml:space="preserve">C </t>
        </is>
      </c>
      <c r="AA794" s="59" t="n">
        <v>3</v>
      </c>
      <c r="AB794" s="59" t="n">
        <v>3</v>
      </c>
      <c r="AC794" s="67" t="inlineStr">
        <is>
          <t>33</t>
        </is>
      </c>
      <c r="AD794" s="61" t="inlineStr">
        <is>
          <t>IRELAND'S FINEST, IN</t>
        </is>
      </c>
      <c r="AE794" s="716" t="n"/>
      <c r="AF794" s="716" t="n"/>
      <c r="AG794" s="716" t="n"/>
      <c r="AH794" s="716" t="n"/>
      <c r="AI794" s="716" t="n"/>
      <c r="AJ794" s="716" t="n"/>
      <c r="AK794" s="716" t="inlineStr">
        <is>
          <t xml:space="preserve">S-T WHSE; LEASE DETAILS UNKNOWN.                                  </t>
        </is>
      </c>
      <c r="AL794">
        <f>IF(AND(ISNUMBER($S794),$S794&gt;0,ISNUMBER($K794),ISNUMBER($J794)),($K794*$J794)/$S794,"")</f>
        <v/>
      </c>
    </row>
    <row r="795">
      <c r="A795" s="62" t="n">
        <v>8</v>
      </c>
      <c r="B795" s="93" t="n">
        <v>787</v>
      </c>
      <c r="C795" s="68" t="inlineStr">
        <is>
          <t>2009Q</t>
        </is>
      </c>
      <c r="D795" s="59" t="inlineStr">
        <is>
          <t xml:space="preserve">02342-32-037-037 </t>
        </is>
      </c>
      <c r="E795" s="72" t="inlineStr">
        <is>
          <t>Actual</t>
        </is>
      </c>
      <c r="F795" s="73" t="inlineStr">
        <is>
          <t>2134   CURTIS               ST</t>
        </is>
      </c>
      <c r="G795" s="708" t="n">
        <v>44.5</v>
      </c>
      <c r="H795" s="67" t="n">
        <v>9202</v>
      </c>
      <c r="I795" s="69" t="n">
        <v>1</v>
      </c>
      <c r="J795" s="714" t="n">
        <v>12556</v>
      </c>
      <c r="K795" s="715" t="n">
        <v>7.182223638101306</v>
      </c>
      <c r="L795" s="74" t="n">
        <v>0</v>
      </c>
      <c r="M795" s="76" t="n">
        <v>0.1362940785096474</v>
      </c>
      <c r="N795" s="67" t="n">
        <v>1977</v>
      </c>
      <c r="Q795" s="59" t="n">
        <v>22</v>
      </c>
      <c r="R795" s="59" t="n">
        <v>3</v>
      </c>
      <c r="S795" s="59" t="n">
        <v>103</v>
      </c>
      <c r="T795" s="63" t="inlineStr">
        <is>
          <t xml:space="preserve">B8A  </t>
        </is>
      </c>
      <c r="U795" s="63" t="n">
        <v>396</v>
      </c>
      <c r="V795" s="714" t="n">
        <v>12639</v>
      </c>
      <c r="W795" s="714" t="n">
        <v>13000</v>
      </c>
      <c r="X795" s="83" t="inlineStr">
        <is>
          <t>1.0:1</t>
        </is>
      </c>
      <c r="Y795" s="714">
        <f>ROUND(J795,-3)</f>
        <v/>
      </c>
      <c r="Z795" s="63" t="inlineStr">
        <is>
          <t xml:space="preserve">C </t>
        </is>
      </c>
      <c r="AA795" s="59" t="n">
        <v>3</v>
      </c>
      <c r="AB795" s="59" t="n">
        <v>3</v>
      </c>
      <c r="AC795" s="67" t="inlineStr">
        <is>
          <t>33</t>
        </is>
      </c>
      <c r="AD795" s="61" t="inlineStr">
        <is>
          <t xml:space="preserve">DWNTWN DNVR STORAGE </t>
        </is>
      </c>
      <c r="AE795" s="716" t="n"/>
      <c r="AF795" s="716" t="n"/>
      <c r="AG795" s="716" t="n"/>
      <c r="AH795" s="716" t="n"/>
      <c r="AI795" s="716" t="n"/>
      <c r="AJ795" s="716" t="n"/>
      <c r="AK795" s="716" t="inlineStr">
        <is>
          <t xml:space="preserve">M-T WHSE; 2 TENANTS; LEASES 2003 &amp; 2006.                          </t>
        </is>
      </c>
      <c r="AL795">
        <f>IF(AND(ISNUMBER($S795),$S795&gt;0,ISNUMBER($K795),ISNUMBER($J795)),($K795*$J795)/$S795,"")</f>
        <v/>
      </c>
    </row>
    <row r="796">
      <c r="A796" s="62" t="n">
        <v>8</v>
      </c>
      <c r="B796" s="93" t="n">
        <v>788</v>
      </c>
      <c r="C796" s="68" t="inlineStr">
        <is>
          <t>2009Q</t>
        </is>
      </c>
      <c r="D796" s="59" t="inlineStr">
        <is>
          <t xml:space="preserve">02342-36-013-000 </t>
        </is>
      </c>
      <c r="E796" s="72" t="inlineStr">
        <is>
          <t>Actual</t>
        </is>
      </c>
      <c r="F796" s="73" t="inlineStr">
        <is>
          <t>2017   LAWRENCE             ST</t>
        </is>
      </c>
      <c r="G796" s="708" t="n">
        <v>44.1</v>
      </c>
      <c r="H796" s="67" t="n">
        <v>9202</v>
      </c>
      <c r="I796" s="69" t="n">
        <v>7</v>
      </c>
      <c r="J796" s="714" t="n">
        <v>4400</v>
      </c>
      <c r="K796" s="715" t="n">
        <v>8.181818181818182</v>
      </c>
      <c r="L796" s="74" t="n">
        <v>0</v>
      </c>
      <c r="M796" s="76" t="n">
        <v>0.1623333333333333</v>
      </c>
      <c r="N796" s="67" t="n">
        <v>1920</v>
      </c>
      <c r="O796" s="64" t="n">
        <v>800</v>
      </c>
      <c r="Q796" s="59" t="n">
        <v>13</v>
      </c>
      <c r="R796" s="59" t="n">
        <v>1</v>
      </c>
      <c r="S796" s="59" t="n">
        <v>1</v>
      </c>
      <c r="T796" s="63" t="inlineStr">
        <is>
          <t xml:space="preserve">B8A  </t>
        </is>
      </c>
      <c r="U796" s="63" t="n">
        <v>398</v>
      </c>
      <c r="V796" s="714" t="n">
        <v>5028</v>
      </c>
      <c r="W796" s="714" t="n">
        <v>5000</v>
      </c>
      <c r="X796" s="83" t="inlineStr">
        <is>
          <t>1.1:1</t>
        </is>
      </c>
      <c r="Y796" s="714">
        <f>ROUND(J796,-3)</f>
        <v/>
      </c>
      <c r="Z796" s="63" t="inlineStr">
        <is>
          <t xml:space="preserve">C </t>
        </is>
      </c>
      <c r="AA796" s="59" t="n">
        <v>3</v>
      </c>
      <c r="AB796" s="59" t="n">
        <v>3</v>
      </c>
      <c r="AC796" s="67" t="inlineStr">
        <is>
          <t>33</t>
        </is>
      </c>
      <c r="AD796" s="61" t="inlineStr">
        <is>
          <t xml:space="preserve">S-W                 </t>
        </is>
      </c>
      <c r="AE796" s="716" t="n"/>
      <c r="AF796" s="716" t="n"/>
      <c r="AG796" s="716" t="n"/>
      <c r="AH796" s="716" t="n"/>
      <c r="AI796" s="716" t="n"/>
      <c r="AJ796" s="716" t="n"/>
      <c r="AK796" s="716" t="inlineStr">
        <is>
          <t xml:space="preserve">S-T WHSE.; LEASE BEGAN IN 2001.                                   </t>
        </is>
      </c>
      <c r="AL796">
        <f>IF(AND(ISNUMBER($S796),$S796&gt;0,ISNUMBER($K796),ISNUMBER($J796)),($K796*$J796)/$S796,"")</f>
        <v/>
      </c>
    </row>
    <row r="797">
      <c r="A797" s="62" t="n">
        <v>8</v>
      </c>
      <c r="B797" s="93" t="n">
        <v>789</v>
      </c>
      <c r="C797" s="68" t="inlineStr">
        <is>
          <t>2009Q</t>
        </is>
      </c>
      <c r="D797" s="59" t="inlineStr">
        <is>
          <t xml:space="preserve">02342-38-003-000 </t>
        </is>
      </c>
      <c r="E797" s="72" t="inlineStr">
        <is>
          <t>Actual</t>
        </is>
      </c>
      <c r="F797" s="73" t="inlineStr">
        <is>
          <t>2042   ARAPAHOE             ST</t>
        </is>
      </c>
      <c r="G797" s="708" t="n">
        <v>44.2</v>
      </c>
      <c r="H797" s="67" t="n">
        <v>9202</v>
      </c>
      <c r="I797" s="69" t="n">
        <v>7</v>
      </c>
      <c r="J797" s="714" t="n">
        <v>8896</v>
      </c>
      <c r="K797" s="715" t="n">
        <v>7.419064748201439</v>
      </c>
      <c r="L797" s="74" t="n">
        <v>0</v>
      </c>
      <c r="M797" s="76" t="n">
        <v>0.07121212121212121</v>
      </c>
      <c r="N797" s="67" t="n">
        <v>1947</v>
      </c>
      <c r="O797" s="64" t="n">
        <v>3986</v>
      </c>
      <c r="Q797" s="59" t="n">
        <v>16</v>
      </c>
      <c r="R797" s="59" t="n">
        <v>3</v>
      </c>
      <c r="S797" s="59" t="n">
        <v>1</v>
      </c>
      <c r="T797" s="63" t="inlineStr">
        <is>
          <t xml:space="preserve">B8A  </t>
        </is>
      </c>
      <c r="U797" s="63" t="n">
        <v>398</v>
      </c>
      <c r="V797" s="714" t="n">
        <v>9396</v>
      </c>
      <c r="W797" s="714" t="n">
        <v>9000</v>
      </c>
      <c r="X797" s="83" t="inlineStr">
        <is>
          <t>1.1:1</t>
        </is>
      </c>
      <c r="Y797" s="714">
        <f>ROUND(J797,-3)</f>
        <v/>
      </c>
      <c r="Z797" s="63" t="inlineStr">
        <is>
          <t xml:space="preserve">C </t>
        </is>
      </c>
      <c r="AA797" s="59" t="n">
        <v>3</v>
      </c>
      <c r="AB797" s="59" t="n">
        <v>3</v>
      </c>
      <c r="AC797" s="67" t="inlineStr">
        <is>
          <t>33</t>
        </is>
      </c>
      <c r="AD797" s="61" t="inlineStr"/>
      <c r="AE797" s="716" t="n"/>
      <c r="AF797" s="716" t="n"/>
      <c r="AG797" s="716" t="n"/>
      <c r="AH797" s="716" t="n"/>
      <c r="AI797" s="716" t="n"/>
      <c r="AJ797" s="716" t="n"/>
      <c r="AK797" s="716" t="inlineStr">
        <is>
          <t xml:space="preserve">M-T WHSE.; 2 TENANTS; LEASES 2005 &amp; 2007.                         </t>
        </is>
      </c>
      <c r="AL797">
        <f>IF(AND(ISNUMBER($S797),$S797&gt;0,ISNUMBER($K797),ISNUMBER($J797)),($K797*$J797)/$S797,"")</f>
        <v/>
      </c>
    </row>
    <row r="798">
      <c r="A798" s="62" t="n">
        <v>8</v>
      </c>
      <c r="B798" s="93" t="n">
        <v>790</v>
      </c>
      <c r="C798" s="68" t="inlineStr">
        <is>
          <t>2009Q</t>
        </is>
      </c>
      <c r="D798" s="59" t="inlineStr">
        <is>
          <t xml:space="preserve">05022-02-023-000 </t>
        </is>
      </c>
      <c r="E798" s="72" t="inlineStr">
        <is>
          <t>Actual</t>
        </is>
      </c>
      <c r="F798" s="73" t="inlineStr">
        <is>
          <t>1415   HUMBOLDT             ST</t>
        </is>
      </c>
      <c r="G798" s="708" t="n">
        <v>44.1</v>
      </c>
      <c r="H798" s="67" t="n">
        <v>9502</v>
      </c>
      <c r="I798" s="69" t="n">
        <v>0</v>
      </c>
      <c r="J798" s="714" t="n">
        <v>1300</v>
      </c>
      <c r="K798" s="715" t="n">
        <v>9.23076923076923</v>
      </c>
      <c r="L798" s="74" t="n">
        <v>0.63</v>
      </c>
      <c r="M798" s="76" t="n">
        <v>0.07575</v>
      </c>
      <c r="N798" s="67" t="n">
        <v>1901</v>
      </c>
      <c r="Q798" s="59" t="n">
        <v>11</v>
      </c>
      <c r="R798" s="59" t="n">
        <v>1</v>
      </c>
      <c r="S798" s="59" t="n">
        <v>1</v>
      </c>
      <c r="T798" s="63" t="inlineStr">
        <is>
          <t xml:space="preserve">R3   </t>
        </is>
      </c>
      <c r="U798" s="63" t="n">
        <v>398</v>
      </c>
      <c r="V798" s="714" t="n">
        <v>3527</v>
      </c>
      <c r="W798" s="714" t="n">
        <v>4000</v>
      </c>
      <c r="X798" s="83" t="inlineStr">
        <is>
          <t>1.4:1</t>
        </is>
      </c>
      <c r="Y798" s="714">
        <f>ROUND(J798,-2)</f>
        <v/>
      </c>
      <c r="Z798" s="63" t="inlineStr">
        <is>
          <t xml:space="preserve">C </t>
        </is>
      </c>
      <c r="AA798" s="59" t="n">
        <v>3</v>
      </c>
      <c r="AB798" s="59" t="n">
        <v>3</v>
      </c>
      <c r="AC798" s="67" t="inlineStr">
        <is>
          <t>33</t>
        </is>
      </c>
      <c r="AD798" s="61" t="inlineStr">
        <is>
          <t xml:space="preserve">S-W                 </t>
        </is>
      </c>
      <c r="AE798" s="716" t="n"/>
      <c r="AF798" s="716" t="n"/>
      <c r="AG798" s="716" t="n"/>
      <c r="AH798" s="716" t="n"/>
      <c r="AI798" s="716" t="n"/>
      <c r="AJ798" s="716" t="n"/>
      <c r="AK798" s="716" t="inlineStr">
        <is>
          <t>M-T WHSE.; EST. 8 163 SF UNITS; YR-TO-YR RENTS;MAKESHIFT MINI-STG.</t>
        </is>
      </c>
      <c r="AL798">
        <f>IF(AND(ISNUMBER($S798),$S798&gt;0,ISNUMBER($K798),ISNUMBER($J798)),($K798*$J798)/$S798,"")</f>
        <v/>
      </c>
    </row>
    <row r="799">
      <c r="A799" s="62" t="n">
        <v>8</v>
      </c>
      <c r="B799" s="93" t="n">
        <v>791</v>
      </c>
      <c r="C799" s="68" t="inlineStr">
        <is>
          <t>2009Q</t>
        </is>
      </c>
      <c r="D799" s="59" t="inlineStr">
        <is>
          <t xml:space="preserve">05035-14-025-000 </t>
        </is>
      </c>
      <c r="E799" s="72" t="inlineStr">
        <is>
          <t>Actual</t>
        </is>
      </c>
      <c r="F799" s="73" t="inlineStr">
        <is>
          <t>1039   INCA                 ST</t>
        </is>
      </c>
      <c r="G799" s="708" t="n">
        <v>44.1</v>
      </c>
      <c r="H799" s="67" t="n">
        <v>9505</v>
      </c>
      <c r="I799" s="69" t="n">
        <v>0</v>
      </c>
      <c r="J799" s="714" t="n">
        <v>10866</v>
      </c>
      <c r="K799" s="715" t="n">
        <v>7.840971838763115</v>
      </c>
      <c r="L799" s="74" t="n">
        <v>0</v>
      </c>
      <c r="M799" s="76" t="n">
        <v>0</v>
      </c>
      <c r="N799" s="67" t="n">
        <v>1964</v>
      </c>
      <c r="O799" s="64" t="n">
        <v>5985</v>
      </c>
      <c r="Q799" s="59" t="n">
        <v>12</v>
      </c>
      <c r="R799" s="59" t="n">
        <v>3</v>
      </c>
      <c r="S799" s="59" t="n">
        <v>1</v>
      </c>
      <c r="T799" s="63" t="inlineStr">
        <is>
          <t xml:space="preserve">B4   </t>
        </is>
      </c>
      <c r="U799" s="63" t="n">
        <v>398</v>
      </c>
      <c r="V799" s="714" t="n">
        <v>14800</v>
      </c>
      <c r="W799" s="714" t="n">
        <v>15000</v>
      </c>
      <c r="X799" s="83" t="inlineStr">
        <is>
          <t>1.4:1</t>
        </is>
      </c>
      <c r="Y799" s="714">
        <f>ROUND(J799,-3)</f>
        <v/>
      </c>
      <c r="Z799" s="63" t="inlineStr">
        <is>
          <t xml:space="preserve">C </t>
        </is>
      </c>
      <c r="AA799" s="59" t="n">
        <v>3</v>
      </c>
      <c r="AB799" s="59" t="n">
        <v>3</v>
      </c>
      <c r="AC799" s="67" t="inlineStr">
        <is>
          <t>33</t>
        </is>
      </c>
      <c r="AD799" s="61" t="inlineStr">
        <is>
          <t xml:space="preserve">S-F TEAM A.T.E.     </t>
        </is>
      </c>
      <c r="AE799" s="716" t="n"/>
      <c r="AF799" s="716" t="n"/>
      <c r="AG799" s="716" t="n"/>
      <c r="AH799" s="716" t="n"/>
      <c r="AI799" s="716" t="n"/>
      <c r="AJ799" s="716" t="n"/>
      <c r="AK799" s="716" t="inlineStr">
        <is>
          <t xml:space="preserve">S-T WHSE; INTRA-CORPORATE LEASE BUT APPEARS TO BE MARKET LEVEL.   </t>
        </is>
      </c>
      <c r="AL799">
        <f>IF(AND(ISNUMBER($S799),$S799&gt;0,ISNUMBER($K799),ISNUMBER($J799)),($K799*$J799)/$S799,"")</f>
        <v/>
      </c>
    </row>
    <row r="800">
      <c r="A800" s="62" t="n">
        <v>8</v>
      </c>
      <c r="B800" s="93" t="n">
        <v>792</v>
      </c>
      <c r="C800" s="68" t="inlineStr">
        <is>
          <t>2009Q</t>
        </is>
      </c>
      <c r="D800" s="59" t="inlineStr">
        <is>
          <t xml:space="preserve">05036-30-007-000 </t>
        </is>
      </c>
      <c r="E800" s="72" t="inlineStr">
        <is>
          <t>Actual</t>
        </is>
      </c>
      <c r="F800" s="73" t="inlineStr">
        <is>
          <t>652   SANTA FE             DR</t>
        </is>
      </c>
      <c r="G800" s="708" t="n">
        <v>47.2</v>
      </c>
      <c r="H800" s="67" t="n">
        <v>9505</v>
      </c>
      <c r="I800" s="69" t="n">
        <v>3</v>
      </c>
      <c r="J800" s="714" t="n">
        <v>2000</v>
      </c>
      <c r="K800" s="715" t="n">
        <v>7.8</v>
      </c>
      <c r="L800" s="74" t="n">
        <v>0</v>
      </c>
      <c r="M800" s="76" t="n">
        <v>0.06724358974358974</v>
      </c>
      <c r="N800" s="67" t="n">
        <v>1938</v>
      </c>
      <c r="Q800" s="59" t="n">
        <v>14</v>
      </c>
      <c r="R800" s="59" t="n">
        <v>3</v>
      </c>
      <c r="S800" s="59" t="n">
        <v>1</v>
      </c>
      <c r="T800" s="63" t="inlineStr">
        <is>
          <t xml:space="preserve">B4   </t>
        </is>
      </c>
      <c r="U800" s="63" t="n">
        <v>401</v>
      </c>
      <c r="V800" s="714" t="n">
        <v>2625</v>
      </c>
      <c r="W800" s="714" t="n">
        <v>3000</v>
      </c>
      <c r="X800" s="83" t="inlineStr">
        <is>
          <t>1.3:1</t>
        </is>
      </c>
      <c r="Y800" s="714">
        <f>ROUND(J800,-3)</f>
        <v/>
      </c>
      <c r="Z800" s="63" t="inlineStr">
        <is>
          <t xml:space="preserve">C </t>
        </is>
      </c>
      <c r="AA800" s="59" t="n">
        <v>3</v>
      </c>
      <c r="AB800" s="59" t="n">
        <v>3</v>
      </c>
      <c r="AC800" s="67" t="inlineStr">
        <is>
          <t>33</t>
        </is>
      </c>
      <c r="AD800" s="61" t="inlineStr">
        <is>
          <t xml:space="preserve">S-M                 </t>
        </is>
      </c>
      <c r="AE800" s="716" t="n"/>
      <c r="AF800" s="716" t="n"/>
      <c r="AG800" s="716" t="n"/>
      <c r="AH800" s="716" t="n"/>
      <c r="AI800" s="716" t="n"/>
      <c r="AJ800" s="716" t="n"/>
      <c r="AK800" s="716" t="inlineStr">
        <is>
          <t xml:space="preserve">S-T WHSE.; MO-TO-MO LEASE.                                        </t>
        </is>
      </c>
      <c r="AL800">
        <f>IF(AND(ISNUMBER($S800),$S800&gt;0,ISNUMBER($K800),ISNUMBER($J800)),($K800*$J800)/$S800,"")</f>
        <v/>
      </c>
    </row>
    <row r="801">
      <c r="A801" s="62" t="n">
        <v>8</v>
      </c>
      <c r="B801" s="93" t="n">
        <v>793</v>
      </c>
      <c r="C801" s="68" t="inlineStr">
        <is>
          <t>2009Q</t>
        </is>
      </c>
      <c r="D801" s="59" t="inlineStr">
        <is>
          <t xml:space="preserve">05039-08-002-000 </t>
        </is>
      </c>
      <c r="E801" s="72" t="inlineStr">
        <is>
          <t>Actual</t>
        </is>
      </c>
      <c r="F801" s="73" t="inlineStr">
        <is>
          <t>200 E 7TH                  AV</t>
        </is>
      </c>
      <c r="G801" s="708" t="n">
        <v>43.1</v>
      </c>
      <c r="H801" s="67" t="n">
        <v>9503</v>
      </c>
      <c r="I801" s="69" t="n">
        <v>0</v>
      </c>
      <c r="J801" s="714" t="n">
        <v>5288</v>
      </c>
      <c r="K801" s="715" t="n">
        <v>9.833585476550681</v>
      </c>
      <c r="L801" s="74" t="n">
        <v>0</v>
      </c>
      <c r="M801" s="76" t="n">
        <v>0</v>
      </c>
      <c r="N801" s="67" t="n">
        <v>1927</v>
      </c>
      <c r="O801" s="64" t="n">
        <v>3284</v>
      </c>
      <c r="Q801" s="59" t="n">
        <v>13</v>
      </c>
      <c r="R801" s="59" t="n">
        <v>1</v>
      </c>
      <c r="S801" s="59" t="n">
        <v>1</v>
      </c>
      <c r="T801" s="63" t="inlineStr">
        <is>
          <t xml:space="preserve">B8G  </t>
        </is>
      </c>
      <c r="U801" s="63" t="n">
        <v>401</v>
      </c>
      <c r="V801" s="714" t="n">
        <v>9370</v>
      </c>
      <c r="W801" s="714" t="n">
        <v>9000</v>
      </c>
      <c r="X801" s="83" t="inlineStr">
        <is>
          <t>1.8:1</t>
        </is>
      </c>
      <c r="Y801" s="714">
        <f>ROUND(J801,-3)</f>
        <v/>
      </c>
      <c r="Z801" s="63" t="inlineStr">
        <is>
          <t xml:space="preserve">C </t>
        </is>
      </c>
      <c r="AA801" s="59" t="n">
        <v>3</v>
      </c>
      <c r="AB801" s="59" t="n">
        <v>3</v>
      </c>
      <c r="AC801" s="67" t="inlineStr">
        <is>
          <t>33</t>
        </is>
      </c>
      <c r="AD801" s="61" t="inlineStr"/>
      <c r="AE801" s="716" t="n"/>
      <c r="AF801" s="716" t="n"/>
      <c r="AG801" s="716" t="n"/>
      <c r="AH801" s="716" t="n"/>
      <c r="AI801" s="716" t="n"/>
      <c r="AJ801" s="716" t="n"/>
      <c r="AK801" s="716" t="inlineStr">
        <is>
          <t xml:space="preserve">S-T INDUSTRIAL BLDG.; INTRA-CORP LEASE BUT APPEARS TO BE MARKET.  </t>
        </is>
      </c>
      <c r="AL801">
        <f>IF(AND(ISNUMBER($S801),$S801&gt;0,ISNUMBER($K801),ISNUMBER($J801)),($K801*$J801)/$S801,"")</f>
        <v/>
      </c>
    </row>
    <row r="802">
      <c r="A802" s="62" t="n">
        <v>8</v>
      </c>
      <c r="B802" s="93" t="n">
        <v>794</v>
      </c>
      <c r="C802" s="68" t="inlineStr">
        <is>
          <t>2009Q</t>
        </is>
      </c>
      <c r="D802" s="59" t="inlineStr">
        <is>
          <t xml:space="preserve">05041-07-020-000 </t>
        </is>
      </c>
      <c r="E802" s="72" t="inlineStr">
        <is>
          <t>Actual</t>
        </is>
      </c>
      <c r="F802" s="73" t="inlineStr">
        <is>
          <t>1305   OSAGE                ST</t>
        </is>
      </c>
      <c r="G802" s="708" t="n">
        <v>44.1</v>
      </c>
      <c r="H802" s="67" t="n">
        <v>9505</v>
      </c>
      <c r="I802" s="69" t="n">
        <v>0</v>
      </c>
      <c r="J802" s="714" t="n">
        <v>10600</v>
      </c>
      <c r="K802" s="715" t="n">
        <v>7.141509433962264</v>
      </c>
      <c r="L802" s="74" t="n">
        <v>0</v>
      </c>
      <c r="M802" s="76" t="n">
        <v>0</v>
      </c>
      <c r="N802" s="67" t="n">
        <v>1966</v>
      </c>
      <c r="O802" s="64" t="n">
        <v>3480</v>
      </c>
      <c r="Q802" s="59" t="n">
        <v>13</v>
      </c>
      <c r="R802" s="59" t="n">
        <v>8</v>
      </c>
      <c r="S802" s="59" t="n">
        <v>1</v>
      </c>
      <c r="T802" s="63" t="inlineStr">
        <is>
          <t xml:space="preserve">I1   </t>
        </is>
      </c>
      <c r="U802" s="63" t="n">
        <v>397</v>
      </c>
      <c r="V802" s="714" t="n">
        <v>25019</v>
      </c>
      <c r="W802" s="714" t="n">
        <v>25000</v>
      </c>
      <c r="X802" s="83" t="inlineStr">
        <is>
          <t>2.4:1</t>
        </is>
      </c>
      <c r="Y802" s="714">
        <f>ROUND(J802,-3)</f>
        <v/>
      </c>
      <c r="Z802" s="63" t="inlineStr">
        <is>
          <t xml:space="preserve">C </t>
        </is>
      </c>
      <c r="AA802" s="59" t="n">
        <v>3</v>
      </c>
      <c r="AB802" s="59" t="n">
        <v>3</v>
      </c>
      <c r="AC802" s="67" t="inlineStr">
        <is>
          <t>33</t>
        </is>
      </c>
      <c r="AD802" s="61" t="inlineStr">
        <is>
          <t xml:space="preserve">DIST-J-8 EQUIPMENT  </t>
        </is>
      </c>
      <c r="AE802" s="716" t="n"/>
      <c r="AF802" s="716" t="n"/>
      <c r="AG802" s="716" t="n"/>
      <c r="AH802" s="716" t="n"/>
      <c r="AI802" s="716" t="n"/>
      <c r="AJ802" s="716" t="n"/>
      <c r="AK802" s="716" t="inlineStr">
        <is>
          <t xml:space="preserve">S-T WHSE.                                                         </t>
        </is>
      </c>
      <c r="AL802">
        <f>IF(AND(ISNUMBER($S802),$S802&gt;0,ISNUMBER($K802),ISNUMBER($J802)),($K802*$J802)/$S802,"")</f>
        <v/>
      </c>
    </row>
    <row r="803">
      <c r="A803" s="62" t="n">
        <v>8</v>
      </c>
      <c r="B803" s="93" t="n">
        <v>795</v>
      </c>
      <c r="C803" s="68" t="inlineStr">
        <is>
          <t>2009Q</t>
        </is>
      </c>
      <c r="D803" s="59" t="inlineStr">
        <is>
          <t xml:space="preserve">05042-00-040-000 </t>
        </is>
      </c>
      <c r="E803" s="72" t="inlineStr">
        <is>
          <t>Actual</t>
        </is>
      </c>
      <c r="F803" s="73" t="inlineStr">
        <is>
          <t>1600 W COLFAX               AV</t>
        </is>
      </c>
      <c r="G803" s="708" t="n">
        <v>44.6</v>
      </c>
      <c r="H803" s="67" t="n">
        <v>9505</v>
      </c>
      <c r="I803" s="69" t="n">
        <v>0</v>
      </c>
      <c r="J803" s="714" t="n">
        <v>39999</v>
      </c>
      <c r="K803" s="715" t="n">
        <v>7.710192754818871</v>
      </c>
      <c r="L803" s="74" t="n">
        <v>0</v>
      </c>
      <c r="M803" s="76" t="n">
        <v>0</v>
      </c>
      <c r="N803" s="67" t="n">
        <v>1963</v>
      </c>
      <c r="O803" s="64" t="n">
        <v>1344</v>
      </c>
      <c r="Q803" s="59" t="n">
        <v>20</v>
      </c>
      <c r="R803" s="59" t="n">
        <v>10</v>
      </c>
      <c r="S803" s="59" t="n">
        <v>1</v>
      </c>
      <c r="T803" s="63" t="inlineStr">
        <is>
          <t xml:space="preserve">I2   </t>
        </is>
      </c>
      <c r="U803" s="63" t="n">
        <v>398</v>
      </c>
      <c r="V803" s="714" t="n">
        <v>73800</v>
      </c>
      <c r="W803" s="714" t="n">
        <v>70000</v>
      </c>
      <c r="X803" s="83" t="inlineStr">
        <is>
          <t>1.8:1</t>
        </is>
      </c>
      <c r="Y803" s="714">
        <f>ROUND(J803,-3)</f>
        <v/>
      </c>
      <c r="Z803" s="63" t="inlineStr">
        <is>
          <t xml:space="preserve">C </t>
        </is>
      </c>
      <c r="AA803" s="59" t="n">
        <v>3</v>
      </c>
      <c r="AB803" s="59" t="n">
        <v>3</v>
      </c>
      <c r="AC803" s="67" t="inlineStr">
        <is>
          <t>33</t>
        </is>
      </c>
      <c r="AD803" s="61" t="inlineStr"/>
      <c r="AE803" s="716" t="n"/>
      <c r="AF803" s="716" t="n"/>
      <c r="AG803" s="716" t="n"/>
      <c r="AH803" s="716" t="n"/>
      <c r="AI803" s="716" t="n"/>
      <c r="AJ803" s="716" t="n"/>
      <c r="AK803" s="716" t="inlineStr">
        <is>
          <t xml:space="preserve">S-T WHSE; 2004 LEASE.                                             </t>
        </is>
      </c>
      <c r="AL803">
        <f>IF(AND(ISNUMBER($S803),$S803&gt;0,ISNUMBER($K803),ISNUMBER($J803)),($K803*$J803)/$S803,"")</f>
        <v/>
      </c>
    </row>
    <row r="804">
      <c r="A804" s="62" t="n">
        <v>8</v>
      </c>
      <c r="B804" s="93" t="n">
        <v>796</v>
      </c>
      <c r="C804" s="68" t="inlineStr">
        <is>
          <t>2009Q</t>
        </is>
      </c>
      <c r="D804" s="59" t="inlineStr">
        <is>
          <t xml:space="preserve">05042-01-047-000 </t>
        </is>
      </c>
      <c r="E804" s="72" t="inlineStr">
        <is>
          <t>Actual</t>
        </is>
      </c>
      <c r="F804" s="73" t="inlineStr">
        <is>
          <t>1801 W COLFAX               AV</t>
        </is>
      </c>
      <c r="G804" s="708" t="n">
        <v>44.1</v>
      </c>
      <c r="H804" s="67" t="n">
        <v>9505</v>
      </c>
      <c r="I804" s="69" t="n">
        <v>0</v>
      </c>
      <c r="J804" s="714" t="n">
        <v>5038</v>
      </c>
      <c r="K804" s="715" t="n">
        <v>3.572846367606193</v>
      </c>
      <c r="L804" s="74" t="n">
        <v>0</v>
      </c>
      <c r="M804" s="76" t="n">
        <v>0.2122222222222222</v>
      </c>
      <c r="N804" s="67" t="n">
        <v>1953</v>
      </c>
      <c r="O804" s="64" t="n">
        <v>325</v>
      </c>
      <c r="Q804" s="59" t="n">
        <v>13</v>
      </c>
      <c r="R804" s="59" t="n">
        <v>6</v>
      </c>
      <c r="S804" s="59" t="n">
        <v>1</v>
      </c>
      <c r="T804" s="63" t="inlineStr">
        <is>
          <t xml:space="preserve">I2   </t>
        </is>
      </c>
      <c r="U804" s="63" t="n">
        <v>398</v>
      </c>
      <c r="V804" s="714" t="n">
        <v>25929</v>
      </c>
      <c r="W804" s="714" t="n">
        <v>26000</v>
      </c>
      <c r="X804" s="83" t="inlineStr">
        <is>
          <t>5.1:1</t>
        </is>
      </c>
      <c r="Y804" s="714">
        <f>ROUND(J804,-3)</f>
        <v/>
      </c>
      <c r="Z804" s="63" t="inlineStr">
        <is>
          <t xml:space="preserve">C </t>
        </is>
      </c>
      <c r="AA804" s="59" t="n">
        <v>1</v>
      </c>
      <c r="AB804" s="59" t="n">
        <v>2</v>
      </c>
      <c r="AC804" s="67" t="inlineStr">
        <is>
          <t>12</t>
        </is>
      </c>
      <c r="AD804" s="61" t="inlineStr"/>
      <c r="AE804" s="716" t="n"/>
      <c r="AF804" s="716" t="n"/>
      <c r="AG804" s="716" t="n"/>
      <c r="AH804" s="716" t="n"/>
      <c r="AI804" s="716" t="n"/>
      <c r="AJ804" s="716" t="n"/>
      <c r="AK804" s="716" t="inlineStr">
        <is>
          <t xml:space="preserve">S-T WHSE.                                                         </t>
        </is>
      </c>
      <c r="AL804">
        <f>IF(AND(ISNUMBER($S804),$S804&gt;0,ISNUMBER($K804),ISNUMBER($J804)),($K804*$J804)/$S804,"")</f>
        <v/>
      </c>
    </row>
    <row r="805">
      <c r="A805" s="62" t="n">
        <v>8</v>
      </c>
      <c r="B805" s="93" t="n">
        <v>797</v>
      </c>
      <c r="C805" s="68" t="inlineStr">
        <is>
          <t>2009Q</t>
        </is>
      </c>
      <c r="D805" s="59" t="inlineStr">
        <is>
          <t xml:space="preserve">05042-01-049-000 </t>
        </is>
      </c>
      <c r="E805" s="72" t="inlineStr">
        <is>
          <t>Actual</t>
        </is>
      </c>
      <c r="F805" s="73" t="inlineStr">
        <is>
          <t>1835 W COLFAX               AV</t>
        </is>
      </c>
      <c r="G805" s="708" t="n">
        <v>44.1</v>
      </c>
      <c r="H805" s="67" t="n">
        <v>9505</v>
      </c>
      <c r="I805" s="69" t="n">
        <v>0</v>
      </c>
      <c r="J805" s="714" t="n">
        <v>6022</v>
      </c>
      <c r="K805" s="715" t="n">
        <v>5.978080371969446</v>
      </c>
      <c r="L805" s="74" t="n">
        <v>0</v>
      </c>
      <c r="M805" s="76" t="n">
        <v>0.1918333333333333</v>
      </c>
      <c r="N805" s="67" t="n">
        <v>1981</v>
      </c>
      <c r="O805" s="64" t="n">
        <v>1470</v>
      </c>
      <c r="Q805" s="59" t="n">
        <v>15</v>
      </c>
      <c r="R805" s="59" t="n">
        <v>3</v>
      </c>
      <c r="S805" s="59" t="n">
        <v>1</v>
      </c>
      <c r="T805" s="63" t="inlineStr">
        <is>
          <t xml:space="preserve">I2   </t>
        </is>
      </c>
      <c r="U805" s="63" t="n">
        <v>398</v>
      </c>
      <c r="V805" s="714" t="n">
        <v>13115</v>
      </c>
      <c r="W805" s="714" t="n">
        <v>13000</v>
      </c>
      <c r="X805" s="83" t="inlineStr">
        <is>
          <t>2.2:1</t>
        </is>
      </c>
      <c r="Y805" s="714">
        <f>ROUND(J805,-3)</f>
        <v/>
      </c>
      <c r="Z805" s="63" t="inlineStr">
        <is>
          <t xml:space="preserve">C </t>
        </is>
      </c>
      <c r="AA805" s="59" t="n">
        <v>3</v>
      </c>
      <c r="AB805" s="59" t="n">
        <v>3</v>
      </c>
      <c r="AC805" s="67" t="inlineStr">
        <is>
          <t>33</t>
        </is>
      </c>
      <c r="AD805" s="61" t="inlineStr"/>
      <c r="AE805" s="716" t="n"/>
      <c r="AF805" s="716" t="n"/>
      <c r="AG805" s="716" t="n"/>
      <c r="AH805" s="716" t="n"/>
      <c r="AI805" s="716" t="n"/>
      <c r="AJ805" s="716" t="n"/>
      <c r="AK805" s="716" t="inlineStr">
        <is>
          <t xml:space="preserve">S-T WHSE.                                                         </t>
        </is>
      </c>
      <c r="AL805">
        <f>IF(AND(ISNUMBER($S805),$S805&gt;0,ISNUMBER($K805),ISNUMBER($J805)),($K805*$J805)/$S805,"")</f>
        <v/>
      </c>
    </row>
    <row r="806">
      <c r="A806" s="62" t="n">
        <v>8</v>
      </c>
      <c r="B806" s="93" t="n">
        <v>798</v>
      </c>
      <c r="C806" s="68" t="inlineStr">
        <is>
          <t>2009Q</t>
        </is>
      </c>
      <c r="D806" s="59" t="inlineStr">
        <is>
          <t xml:space="preserve">05042-03-004-000 </t>
        </is>
      </c>
      <c r="E806" s="72" t="inlineStr">
        <is>
          <t>Actual</t>
        </is>
      </c>
      <c r="F806" s="73" t="inlineStr">
        <is>
          <t>2000 W COLFAX               AV</t>
        </is>
      </c>
      <c r="G806" s="708" t="n">
        <v>44.5</v>
      </c>
      <c r="H806" s="67" t="n">
        <v>9505</v>
      </c>
      <c r="I806" s="69" t="n">
        <v>0</v>
      </c>
      <c r="J806" s="714" t="n">
        <v>38952</v>
      </c>
      <c r="K806" s="715" t="n">
        <v>5.295620250564798</v>
      </c>
      <c r="L806" s="74" t="n">
        <v>0</v>
      </c>
      <c r="M806" s="76" t="n">
        <v>0</v>
      </c>
      <c r="N806" s="67" t="n">
        <v>1928</v>
      </c>
      <c r="O806" s="64" t="n">
        <v>1833</v>
      </c>
      <c r="Q806" s="59" t="n">
        <v>15</v>
      </c>
      <c r="R806" s="59" t="n">
        <v>1</v>
      </c>
      <c r="S806" s="59" t="n">
        <v>1</v>
      </c>
      <c r="T806" s="63" t="inlineStr">
        <is>
          <t xml:space="preserve">PRV  </t>
        </is>
      </c>
      <c r="U806" s="63" t="n">
        <v>396</v>
      </c>
      <c r="V806" s="714" t="n">
        <v>18750</v>
      </c>
      <c r="W806" s="714" t="n">
        <v>19000</v>
      </c>
      <c r="X806" s="83" t="inlineStr">
        <is>
          <t>0.5:1</t>
        </is>
      </c>
      <c r="Y806" s="714">
        <f>ROUND(J806,-3)</f>
        <v/>
      </c>
      <c r="Z806" s="63" t="inlineStr">
        <is>
          <t xml:space="preserve">B </t>
        </is>
      </c>
      <c r="AA806" s="59" t="n">
        <v>3</v>
      </c>
      <c r="AB806" s="59" t="n">
        <v>2</v>
      </c>
      <c r="AC806" s="67" t="inlineStr">
        <is>
          <t>32</t>
        </is>
      </c>
      <c r="AD806" s="61" t="inlineStr">
        <is>
          <t xml:space="preserve">UHAUL               </t>
        </is>
      </c>
      <c r="AE806" s="716" t="n"/>
      <c r="AF806" s="716" t="n"/>
      <c r="AG806" s="716" t="n"/>
      <c r="AH806" s="716" t="n"/>
      <c r="AI806" s="716" t="n"/>
      <c r="AJ806" s="716" t="n"/>
      <c r="AK806" s="716" t="inlineStr"/>
      <c r="AL806">
        <f>IF(AND(ISNUMBER($S806),$S806&gt;0,ISNUMBER($K806),ISNUMBER($J806)),($K806*$J806)/$S806,"")</f>
        <v/>
      </c>
    </row>
    <row r="807">
      <c r="A807" s="62" t="n">
        <v>8</v>
      </c>
      <c r="B807" s="93" t="n">
        <v>799</v>
      </c>
      <c r="C807" s="68" t="inlineStr">
        <is>
          <t>2009Q</t>
        </is>
      </c>
      <c r="D807" s="59" t="inlineStr">
        <is>
          <t xml:space="preserve">05042-04-063-000 </t>
        </is>
      </c>
      <c r="E807" s="72" t="inlineStr">
        <is>
          <t>Actual</t>
        </is>
      </c>
      <c r="F807" s="73" t="inlineStr">
        <is>
          <t>1957 W 14TH                 AV</t>
        </is>
      </c>
      <c r="G807" s="708" t="n">
        <v>44.1</v>
      </c>
      <c r="H807" s="67" t="n">
        <v>9505</v>
      </c>
      <c r="I807" s="69" t="n">
        <v>0</v>
      </c>
      <c r="J807" s="714" t="n">
        <v>7700</v>
      </c>
      <c r="K807" s="715" t="n">
        <v>8.727272727272727</v>
      </c>
      <c r="L807" s="74" t="n">
        <v>0</v>
      </c>
      <c r="M807" s="76" t="n">
        <v>0.2663244047619048</v>
      </c>
      <c r="N807" s="67" t="n">
        <v>1966</v>
      </c>
      <c r="P807" s="64" t="n">
        <v>4000</v>
      </c>
      <c r="Q807" s="59" t="n">
        <v>15</v>
      </c>
      <c r="R807" s="59" t="n">
        <v>3</v>
      </c>
      <c r="S807" s="59" t="n">
        <v>1</v>
      </c>
      <c r="T807" s="63" t="inlineStr">
        <is>
          <t xml:space="preserve">PRV  </t>
        </is>
      </c>
      <c r="U807" s="63" t="n">
        <v>398</v>
      </c>
      <c r="V807" s="714" t="n">
        <v>19240</v>
      </c>
      <c r="W807" s="714" t="n">
        <v>19000</v>
      </c>
      <c r="X807" s="83" t="inlineStr">
        <is>
          <t>2.5:1</t>
        </is>
      </c>
      <c r="Y807" s="714">
        <f>ROUND(J807,-3)</f>
        <v/>
      </c>
      <c r="Z807" s="63" t="inlineStr">
        <is>
          <t xml:space="preserve">C </t>
        </is>
      </c>
      <c r="AA807" s="59" t="n">
        <v>3</v>
      </c>
      <c r="AB807" s="59" t="n">
        <v>3</v>
      </c>
      <c r="AC807" s="67" t="inlineStr">
        <is>
          <t>33</t>
        </is>
      </c>
      <c r="AD807" s="61" t="inlineStr"/>
      <c r="AE807" s="716" t="n"/>
      <c r="AF807" s="716" t="n"/>
      <c r="AG807" s="716" t="n"/>
      <c r="AH807" s="716" t="n"/>
      <c r="AI807" s="716" t="n"/>
      <c r="AJ807" s="716" t="n"/>
      <c r="AK807" s="716" t="inlineStr">
        <is>
          <t xml:space="preserve">S-T WHSE.; YR-TO-YR LEASE BEGUN IN 1997.                          </t>
        </is>
      </c>
      <c r="AL807">
        <f>IF(AND(ISNUMBER($S807),$S807&gt;0,ISNUMBER($K807),ISNUMBER($J807)),($K807*$J807)/$S807,"")</f>
        <v/>
      </c>
    </row>
    <row r="808">
      <c r="A808" s="62" t="n">
        <v>8</v>
      </c>
      <c r="B808" s="93" t="n">
        <v>800</v>
      </c>
      <c r="C808" s="68" t="inlineStr">
        <is>
          <t>2009Q</t>
        </is>
      </c>
      <c r="D808" s="59" t="inlineStr">
        <is>
          <t xml:space="preserve">05042-09-008-000 </t>
        </is>
      </c>
      <c r="E808" s="72" t="inlineStr">
        <is>
          <t>Actual</t>
        </is>
      </c>
      <c r="F808" s="73" t="inlineStr">
        <is>
          <t>1340   UMATILLA             ST</t>
        </is>
      </c>
      <c r="G808" s="708" t="n">
        <v>44.1</v>
      </c>
      <c r="H808" s="67" t="n">
        <v>9505</v>
      </c>
      <c r="I808" s="69" t="n">
        <v>0</v>
      </c>
      <c r="J808" s="714" t="n">
        <v>5057</v>
      </c>
      <c r="K808" s="715" t="n">
        <v>10.33339924856634</v>
      </c>
      <c r="L808" s="74" t="n">
        <v>0</v>
      </c>
      <c r="M808" s="76" t="n">
        <v>0.2169511635027557</v>
      </c>
      <c r="N808" s="67" t="n">
        <v>1910</v>
      </c>
      <c r="Q808" s="59" t="n">
        <v>15</v>
      </c>
      <c r="R808" s="59" t="n">
        <v>3</v>
      </c>
      <c r="S808" s="59" t="n">
        <v>1</v>
      </c>
      <c r="T808" s="63" t="inlineStr">
        <is>
          <t xml:space="preserve">I2   </t>
        </is>
      </c>
      <c r="U808" s="63" t="n">
        <v>398</v>
      </c>
      <c r="V808" s="714" t="n">
        <v>36943</v>
      </c>
      <c r="W808" s="714" t="n">
        <v>37000</v>
      </c>
      <c r="X808" s="83" t="inlineStr">
        <is>
          <t>7.3:1</t>
        </is>
      </c>
      <c r="Y808" s="714">
        <f>ROUND(J808,-3)</f>
        <v/>
      </c>
      <c r="Z808" s="63" t="inlineStr">
        <is>
          <t xml:space="preserve">C </t>
        </is>
      </c>
      <c r="AA808" s="59" t="n">
        <v>3</v>
      </c>
      <c r="AB808" s="59" t="n">
        <v>3</v>
      </c>
      <c r="AC808" s="67" t="inlineStr">
        <is>
          <t>33</t>
        </is>
      </c>
      <c r="AD808" s="61" t="inlineStr">
        <is>
          <t xml:space="preserve">CEI ROOFING(STG)    </t>
        </is>
      </c>
      <c r="AE808" s="716" t="n"/>
      <c r="AF808" s="716" t="n"/>
      <c r="AG808" s="716" t="n"/>
      <c r="AH808" s="716" t="n"/>
      <c r="AI808" s="716" t="n"/>
      <c r="AJ808" s="716" t="n"/>
      <c r="AK808" s="716" t="inlineStr">
        <is>
          <t xml:space="preserve">S-T WHSE.; 2005 LEASE.                                            </t>
        </is>
      </c>
      <c r="AL808">
        <f>IF(AND(ISNUMBER($S808),$S808&gt;0,ISNUMBER($K808),ISNUMBER($J808)),($K808*$J808)/$S808,"")</f>
        <v/>
      </c>
    </row>
    <row r="809">
      <c r="A809" s="62" t="n">
        <v>8</v>
      </c>
      <c r="B809" s="93" t="n">
        <v>801</v>
      </c>
      <c r="C809" s="68" t="inlineStr">
        <is>
          <t>2009Q</t>
        </is>
      </c>
      <c r="D809" s="59" t="inlineStr">
        <is>
          <t xml:space="preserve">05042-10-047-000 </t>
        </is>
      </c>
      <c r="E809" s="72" t="inlineStr">
        <is>
          <t>Actual</t>
        </is>
      </c>
      <c r="F809" s="73" t="inlineStr">
        <is>
          <t>1950 W 14TH                 AV</t>
        </is>
      </c>
      <c r="G809" s="708" t="n">
        <v>47.1</v>
      </c>
      <c r="H809" s="67" t="n">
        <v>9505</v>
      </c>
      <c r="I809" s="69" t="n">
        <v>0</v>
      </c>
      <c r="J809" s="714" t="n">
        <v>4848</v>
      </c>
      <c r="K809" s="715" t="n">
        <v>9.900990099009901</v>
      </c>
      <c r="L809" s="74" t="n">
        <v>0</v>
      </c>
      <c r="M809" s="76" t="n">
        <v>0</v>
      </c>
      <c r="N809" s="67" t="n">
        <v>1960</v>
      </c>
      <c r="O809" s="64">
        <f>798+798</f>
        <v/>
      </c>
      <c r="Q809" s="59" t="n">
        <v>15</v>
      </c>
      <c r="R809" s="59" t="n">
        <v>3</v>
      </c>
      <c r="S809" s="59" t="n">
        <v>1</v>
      </c>
      <c r="T809" s="63" t="inlineStr">
        <is>
          <t xml:space="preserve">PRV  </t>
        </is>
      </c>
      <c r="U809" s="63" t="n">
        <v>401</v>
      </c>
      <c r="V809" s="714" t="n">
        <v>9940</v>
      </c>
      <c r="W809" s="714" t="n">
        <v>10000</v>
      </c>
      <c r="X809" s="83" t="inlineStr">
        <is>
          <t>2.1:1</t>
        </is>
      </c>
      <c r="Y809" s="714">
        <f>ROUND(J809,-3)</f>
        <v/>
      </c>
      <c r="Z809" s="63" t="inlineStr">
        <is>
          <t xml:space="preserve">C </t>
        </is>
      </c>
      <c r="AA809" s="59" t="n">
        <v>3</v>
      </c>
      <c r="AB809" s="59" t="n">
        <v>3</v>
      </c>
      <c r="AC809" s="67" t="inlineStr">
        <is>
          <t>33</t>
        </is>
      </c>
      <c r="AD809" s="61" t="inlineStr">
        <is>
          <t xml:space="preserve">SIEGEL OIL          </t>
        </is>
      </c>
      <c r="AE809" s="716" t="n"/>
      <c r="AF809" s="716" t="n"/>
      <c r="AG809" s="716" t="n"/>
      <c r="AH809" s="716" t="n"/>
      <c r="AI809" s="716" t="n"/>
      <c r="AJ809" s="716" t="n"/>
      <c r="AK809" s="716" t="inlineStr">
        <is>
          <t xml:space="preserve">S-T WHSE.                                                         </t>
        </is>
      </c>
      <c r="AL809">
        <f>IF(AND(ISNUMBER($S809),$S809&gt;0,ISNUMBER($K809),ISNUMBER($J809)),($K809*$J809)/$S809,"")</f>
        <v/>
      </c>
    </row>
    <row r="810">
      <c r="A810" s="62" t="n">
        <v>8</v>
      </c>
      <c r="B810" s="93" t="n">
        <v>802</v>
      </c>
      <c r="C810" s="68" t="inlineStr">
        <is>
          <t>2009Q</t>
        </is>
      </c>
      <c r="D810" s="59" t="inlineStr">
        <is>
          <t xml:space="preserve">05042-10-051-000 </t>
        </is>
      </c>
      <c r="E810" s="72" t="inlineStr">
        <is>
          <t>Actual</t>
        </is>
      </c>
      <c r="F810" s="73" t="inlineStr">
        <is>
          <t>1380   ZUNI                 ST</t>
        </is>
      </c>
      <c r="G810" s="708" t="n">
        <v>44.1</v>
      </c>
      <c r="H810" s="67" t="n">
        <v>9505</v>
      </c>
      <c r="I810" s="69" t="n">
        <v>0</v>
      </c>
      <c r="J810" s="714" t="n">
        <v>9920</v>
      </c>
      <c r="K810" s="715" t="n">
        <v>9.07258064516129</v>
      </c>
      <c r="L810" s="74" t="n">
        <v>0</v>
      </c>
      <c r="M810" s="76" t="n">
        <v>0</v>
      </c>
      <c r="N810" s="67" t="n">
        <v>1972</v>
      </c>
      <c r="O810" s="64">
        <f>3960+960</f>
        <v/>
      </c>
      <c r="Q810" s="59" t="n">
        <v>18</v>
      </c>
      <c r="R810" s="59" t="n">
        <v>10</v>
      </c>
      <c r="S810" s="59" t="n">
        <v>1</v>
      </c>
      <c r="T810" s="63" t="inlineStr">
        <is>
          <t xml:space="preserve">I2   </t>
        </is>
      </c>
      <c r="U810" s="63" t="n">
        <v>398</v>
      </c>
      <c r="V810" s="714" t="n">
        <v>45472</v>
      </c>
      <c r="W810" s="714" t="n">
        <v>45000</v>
      </c>
      <c r="X810" s="83" t="inlineStr">
        <is>
          <t>4.6:1</t>
        </is>
      </c>
      <c r="Y810" s="714">
        <f>ROUND(J810,-3)</f>
        <v/>
      </c>
      <c r="Z810" s="63" t="inlineStr">
        <is>
          <t xml:space="preserve">C </t>
        </is>
      </c>
      <c r="AA810" s="59" t="n">
        <v>3</v>
      </c>
      <c r="AB810" s="59" t="n">
        <v>3</v>
      </c>
      <c r="AC810" s="67" t="inlineStr">
        <is>
          <t>33</t>
        </is>
      </c>
      <c r="AD810" s="61" t="inlineStr">
        <is>
          <t xml:space="preserve">WAREHOUSE           </t>
        </is>
      </c>
      <c r="AE810" s="716" t="n"/>
      <c r="AF810" s="716" t="n"/>
      <c r="AG810" s="716" t="n"/>
      <c r="AH810" s="716" t="n"/>
      <c r="AI810" s="716" t="n"/>
      <c r="AJ810" s="716" t="n"/>
      <c r="AK810" s="716" t="inlineStr">
        <is>
          <t xml:space="preserve">S-T WHSE.                                                         </t>
        </is>
      </c>
      <c r="AL810">
        <f>IF(AND(ISNUMBER($S810),$S810&gt;0,ISNUMBER($K810),ISNUMBER($J810)),($K810*$J810)/$S810,"")</f>
        <v/>
      </c>
    </row>
    <row r="811">
      <c r="A811" s="62" t="n">
        <v>8</v>
      </c>
      <c r="B811" s="93" t="n">
        <v>803</v>
      </c>
      <c r="C811" s="68" t="inlineStr">
        <is>
          <t>2009Q</t>
        </is>
      </c>
      <c r="D811" s="59" t="inlineStr">
        <is>
          <t xml:space="preserve">05042-18-015-000 </t>
        </is>
      </c>
      <c r="E811" s="72" t="inlineStr">
        <is>
          <t>Actual</t>
        </is>
      </c>
      <c r="F811" s="73" t="inlineStr">
        <is>
          <t>1221   PECOS                ST</t>
        </is>
      </c>
      <c r="G811" s="708" t="n">
        <v>44.1</v>
      </c>
      <c r="H811" s="67" t="n">
        <v>9505</v>
      </c>
      <c r="I811" s="69" t="n">
        <v>0</v>
      </c>
      <c r="J811" s="714" t="n">
        <v>9000</v>
      </c>
      <c r="K811" s="715" t="n">
        <v>7.555555555555555</v>
      </c>
      <c r="L811" s="74" t="n">
        <v>0</v>
      </c>
      <c r="M811" s="76" t="n">
        <v>0.06561764705882353</v>
      </c>
      <c r="N811" s="67" t="n">
        <v>1964</v>
      </c>
      <c r="O811" s="64" t="n">
        <v>1957</v>
      </c>
      <c r="Q811" s="59" t="n">
        <v>13</v>
      </c>
      <c r="R811" s="59" t="n">
        <v>7</v>
      </c>
      <c r="S811" s="59" t="n">
        <v>1</v>
      </c>
      <c r="T811" s="63" t="inlineStr">
        <is>
          <t xml:space="preserve">I2   </t>
        </is>
      </c>
      <c r="U811" s="63" t="n">
        <v>398</v>
      </c>
      <c r="V811" s="714" t="n">
        <v>15062</v>
      </c>
      <c r="W811" s="714" t="n">
        <v>15000</v>
      </c>
      <c r="X811" s="83" t="inlineStr">
        <is>
          <t>1.7:1</t>
        </is>
      </c>
      <c r="Y811" s="714">
        <f>ROUND(J811,-3)</f>
        <v/>
      </c>
      <c r="Z811" s="63" t="inlineStr">
        <is>
          <t xml:space="preserve">C </t>
        </is>
      </c>
      <c r="AA811" s="59" t="n">
        <v>3</v>
      </c>
      <c r="AB811" s="59" t="n">
        <v>3</v>
      </c>
      <c r="AC811" s="67" t="inlineStr">
        <is>
          <t>33</t>
        </is>
      </c>
      <c r="AD811" s="61" t="inlineStr"/>
      <c r="AE811" s="716" t="n"/>
      <c r="AF811" s="716" t="n"/>
      <c r="AG811" s="716" t="n"/>
      <c r="AH811" s="716" t="n"/>
      <c r="AI811" s="716" t="n"/>
      <c r="AJ811" s="716" t="n"/>
      <c r="AK811" s="716" t="inlineStr">
        <is>
          <t xml:space="preserve">S-T WHSE.; 2005 LEASE.                                            </t>
        </is>
      </c>
      <c r="AL811">
        <f>IF(AND(ISNUMBER($S811),$S811&gt;0,ISNUMBER($K811),ISNUMBER($J811)),($K811*$J811)/$S811,"")</f>
        <v/>
      </c>
    </row>
    <row r="812">
      <c r="A812" s="62" t="n">
        <v>8</v>
      </c>
      <c r="B812" s="93" t="n">
        <v>804</v>
      </c>
      <c r="C812" s="68" t="inlineStr">
        <is>
          <t>2009Q</t>
        </is>
      </c>
      <c r="D812" s="59" t="inlineStr">
        <is>
          <t xml:space="preserve">05042-19-007-000 </t>
        </is>
      </c>
      <c r="E812" s="72" t="inlineStr">
        <is>
          <t>Actual</t>
        </is>
      </c>
      <c r="F812" s="73" t="inlineStr">
        <is>
          <t>1245   QUIVAS               ST</t>
        </is>
      </c>
      <c r="G812" s="708" t="n">
        <v>47.1</v>
      </c>
      <c r="H812" s="67" t="n">
        <v>9505</v>
      </c>
      <c r="I812" s="69" t="n">
        <v>0</v>
      </c>
      <c r="J812" s="714" t="n">
        <v>4006</v>
      </c>
      <c r="K812" s="715" t="n">
        <v>7.488766849725412</v>
      </c>
      <c r="L812" s="74" t="n">
        <v>0</v>
      </c>
      <c r="M812" s="76" t="n">
        <v>0.03333333333333333</v>
      </c>
      <c r="N812" s="67" t="n">
        <v>1962</v>
      </c>
      <c r="O812" s="64" t="n">
        <v>1483</v>
      </c>
      <c r="Q812" s="59" t="n">
        <v>14</v>
      </c>
      <c r="R812" s="59" t="n">
        <v>7</v>
      </c>
      <c r="S812" s="59" t="n">
        <v>1</v>
      </c>
      <c r="T812" s="63" t="inlineStr">
        <is>
          <t xml:space="preserve">I2   </t>
        </is>
      </c>
      <c r="U812" s="63" t="n">
        <v>401</v>
      </c>
      <c r="V812" s="714" t="n">
        <v>28900</v>
      </c>
      <c r="W812" s="714" t="n">
        <v>29000</v>
      </c>
      <c r="X812" s="83" t="inlineStr">
        <is>
          <t>7.2:1</t>
        </is>
      </c>
      <c r="Y812" s="714">
        <f>ROUND(J812,-3)</f>
        <v/>
      </c>
      <c r="Z812" s="63" t="inlineStr">
        <is>
          <t xml:space="preserve">C </t>
        </is>
      </c>
      <c r="AA812" s="59" t="n">
        <v>2</v>
      </c>
      <c r="AB812" s="59" t="n">
        <v>2</v>
      </c>
      <c r="AC812" s="67" t="inlineStr">
        <is>
          <t>22</t>
        </is>
      </c>
      <c r="AD812" s="61" t="inlineStr">
        <is>
          <t>S-F ERICKSON MONUMEN</t>
        </is>
      </c>
      <c r="AE812" s="716" t="n"/>
      <c r="AF812" s="716" t="n"/>
      <c r="AG812" s="716" t="n"/>
      <c r="AH812" s="716" t="n"/>
      <c r="AI812" s="716" t="n"/>
      <c r="AJ812" s="716" t="n"/>
      <c r="AK812" s="716" t="inlineStr">
        <is>
          <t xml:space="preserve">S-T INDUSTRIAL BLDG.; 2006 LEASE.                                 </t>
        </is>
      </c>
      <c r="AL812">
        <f>IF(AND(ISNUMBER($S812),$S812&gt;0,ISNUMBER($K812),ISNUMBER($J812)),($K812*$J812)/$S812,"")</f>
        <v/>
      </c>
    </row>
    <row r="813">
      <c r="A813" s="62" t="n">
        <v>8</v>
      </c>
      <c r="B813" s="93" t="n">
        <v>805</v>
      </c>
      <c r="C813" s="68" t="inlineStr">
        <is>
          <t>2009Q</t>
        </is>
      </c>
      <c r="D813" s="59" t="inlineStr">
        <is>
          <t xml:space="preserve">05042-23-008-000 </t>
        </is>
      </c>
      <c r="E813" s="72" t="inlineStr">
        <is>
          <t>Actual</t>
        </is>
      </c>
      <c r="F813" s="73" t="inlineStr">
        <is>
          <t>1250   ZUNI                 ST</t>
        </is>
      </c>
      <c r="G813" s="708" t="n">
        <v>44.1</v>
      </c>
      <c r="H813" s="67" t="n">
        <v>9505</v>
      </c>
      <c r="I813" s="69" t="n">
        <v>0</v>
      </c>
      <c r="J813" s="714" t="n">
        <v>20724</v>
      </c>
      <c r="K813" s="715" t="n">
        <v>5.981470758540822</v>
      </c>
      <c r="L813" s="74" t="n">
        <v>0</v>
      </c>
      <c r="M813" s="76" t="n">
        <v>0</v>
      </c>
      <c r="N813" s="67" t="n">
        <v>1984</v>
      </c>
      <c r="O813" s="64" t="n">
        <v>582</v>
      </c>
      <c r="P813" s="64" t="n">
        <v>6060</v>
      </c>
      <c r="Q813" s="59" t="n">
        <v>13</v>
      </c>
      <c r="R813" s="59" t="n">
        <v>3</v>
      </c>
      <c r="S813" s="59" t="n">
        <v>1</v>
      </c>
      <c r="T813" s="63" t="inlineStr">
        <is>
          <t xml:space="preserve">I2   </t>
        </is>
      </c>
      <c r="U813" s="63" t="n">
        <v>398</v>
      </c>
      <c r="V813" s="714" t="n">
        <v>122458</v>
      </c>
      <c r="W813" s="714" t="n">
        <v>120000</v>
      </c>
      <c r="X813" s="83" t="inlineStr">
        <is>
          <t>5.9:1</t>
        </is>
      </c>
      <c r="Y813" s="714">
        <f>ROUND(J813,-3)</f>
        <v/>
      </c>
      <c r="Z813" s="63" t="inlineStr">
        <is>
          <t xml:space="preserve">C </t>
        </is>
      </c>
      <c r="AA813" s="59" t="n">
        <v>3</v>
      </c>
      <c r="AB813" s="59" t="n">
        <v>3</v>
      </c>
      <c r="AC813" s="67" t="inlineStr">
        <is>
          <t>33</t>
        </is>
      </c>
      <c r="AD813" s="61" t="inlineStr">
        <is>
          <t>CENTER RENTAL &amp;SALES</t>
        </is>
      </c>
      <c r="AE813" s="716" t="n"/>
      <c r="AF813" s="716" t="n"/>
      <c r="AG813" s="716" t="n"/>
      <c r="AH813" s="716" t="n"/>
      <c r="AI813" s="716" t="n"/>
      <c r="AJ813" s="716" t="n"/>
      <c r="AK813" s="716" t="inlineStr">
        <is>
          <t xml:space="preserve">S-T WHSE.                                                         </t>
        </is>
      </c>
      <c r="AL813">
        <f>IF(AND(ISNUMBER($S813),$S813&gt;0,ISNUMBER($K813),ISNUMBER($J813)),($K813*$J813)/$S813,"")</f>
        <v/>
      </c>
    </row>
    <row r="814">
      <c r="A814" s="62" t="n">
        <v>8</v>
      </c>
      <c r="B814" s="93" t="n">
        <v>806</v>
      </c>
      <c r="C814" s="68" t="inlineStr">
        <is>
          <t>2009Q</t>
        </is>
      </c>
      <c r="D814" s="59" t="inlineStr">
        <is>
          <t xml:space="preserve">05043-22-044-000 </t>
        </is>
      </c>
      <c r="E814" s="72" t="inlineStr">
        <is>
          <t>Actual</t>
        </is>
      </c>
      <c r="F814" s="73" t="inlineStr">
        <is>
          <t>955   ZUNI                 ST</t>
        </is>
      </c>
      <c r="G814" s="708" t="n">
        <v>44.2</v>
      </c>
      <c r="H814" s="67" t="n">
        <v>9505</v>
      </c>
      <c r="I814" s="69" t="n">
        <v>0</v>
      </c>
      <c r="J814" s="714" t="n">
        <v>6000</v>
      </c>
      <c r="K814" s="715" t="n">
        <v>10</v>
      </c>
      <c r="L814" s="74" t="n">
        <v>0</v>
      </c>
      <c r="M814" s="76" t="n">
        <v>0</v>
      </c>
      <c r="N814" s="67" t="n">
        <v>1965</v>
      </c>
      <c r="P814" s="64" t="n">
        <v>2000</v>
      </c>
      <c r="Q814" s="59" t="n">
        <v>13</v>
      </c>
      <c r="R814" s="59" t="n">
        <v>3</v>
      </c>
      <c r="S814" s="59" t="n">
        <v>1</v>
      </c>
      <c r="T814" s="63" t="inlineStr">
        <is>
          <t xml:space="preserve">I2   </t>
        </is>
      </c>
      <c r="U814" s="63" t="n">
        <v>398</v>
      </c>
      <c r="V814" s="714" t="n">
        <v>25117</v>
      </c>
      <c r="W814" s="714" t="n">
        <v>25000</v>
      </c>
      <c r="X814" s="83" t="inlineStr">
        <is>
          <t>4.2:1</t>
        </is>
      </c>
      <c r="Y814" s="714">
        <f>ROUND(J814,-3)</f>
        <v/>
      </c>
      <c r="Z814" s="63" t="inlineStr">
        <is>
          <t xml:space="preserve">C </t>
        </is>
      </c>
      <c r="AA814" s="59" t="n">
        <v>3</v>
      </c>
      <c r="AB814" s="59" t="n">
        <v>3</v>
      </c>
      <c r="AC814" s="67" t="inlineStr">
        <is>
          <t>33</t>
        </is>
      </c>
      <c r="AD814" s="61" t="inlineStr"/>
      <c r="AE814" s="716" t="n"/>
      <c r="AF814" s="716" t="n"/>
      <c r="AG814" s="716" t="n"/>
      <c r="AH814" s="716" t="n"/>
      <c r="AI814" s="716" t="n"/>
      <c r="AJ814" s="716" t="n"/>
      <c r="AK814" s="716" t="inlineStr">
        <is>
          <t xml:space="preserve">S-T WHSE; MO-TO-MO LEASE.                                         </t>
        </is>
      </c>
      <c r="AL814">
        <f>IF(AND(ISNUMBER($S814),$S814&gt;0,ISNUMBER($K814),ISNUMBER($J814)),($K814*$J814)/$S814,"")</f>
        <v/>
      </c>
    </row>
    <row r="815">
      <c r="A815" s="62" t="n">
        <v>8</v>
      </c>
      <c r="B815" s="93" t="n">
        <v>807</v>
      </c>
      <c r="C815" s="68" t="inlineStr">
        <is>
          <t>2009Q</t>
        </is>
      </c>
      <c r="D815" s="59" t="inlineStr">
        <is>
          <t xml:space="preserve">05044-12-026-000 </t>
        </is>
      </c>
      <c r="E815" s="72" t="inlineStr">
        <is>
          <t>Actual</t>
        </is>
      </c>
      <c r="F815" s="73" t="inlineStr">
        <is>
          <t>937   SANTA FE             DR</t>
        </is>
      </c>
      <c r="G815" s="708" t="n">
        <v>44.1</v>
      </c>
      <c r="H815" s="67" t="n">
        <v>9505</v>
      </c>
      <c r="I815" s="69" t="n">
        <v>3</v>
      </c>
      <c r="J815" s="714" t="n">
        <v>10657</v>
      </c>
      <c r="K815" s="715" t="n">
        <v>7.732007131462888</v>
      </c>
      <c r="L815" s="74" t="n">
        <v>0.77</v>
      </c>
      <c r="M815" s="76" t="n">
        <v>0.1322330097087379</v>
      </c>
      <c r="N815" s="67" t="n">
        <v>1939</v>
      </c>
      <c r="O815" s="64" t="n">
        <v>1725</v>
      </c>
      <c r="Q815" s="59" t="n">
        <v>13</v>
      </c>
      <c r="R815" s="59" t="n">
        <v>1</v>
      </c>
      <c r="S815" s="59" t="n">
        <v>1</v>
      </c>
      <c r="T815" s="63" t="inlineStr">
        <is>
          <t xml:space="preserve">B4   </t>
        </is>
      </c>
      <c r="U815" s="63" t="n">
        <v>398</v>
      </c>
      <c r="V815" s="714" t="n">
        <v>18330</v>
      </c>
      <c r="W815" s="714" t="n">
        <v>18000</v>
      </c>
      <c r="X815" s="83" t="inlineStr">
        <is>
          <t>1.7:1</t>
        </is>
      </c>
      <c r="Y815" s="714">
        <f>ROUND(J815,-3)</f>
        <v/>
      </c>
      <c r="Z815" s="63" t="inlineStr">
        <is>
          <t xml:space="preserve">C </t>
        </is>
      </c>
      <c r="AA815" s="59" t="n">
        <v>3</v>
      </c>
      <c r="AB815" s="59" t="n">
        <v>3</v>
      </c>
      <c r="AC815" s="67" t="inlineStr">
        <is>
          <t>33</t>
        </is>
      </c>
      <c r="AD815" s="61" t="inlineStr">
        <is>
          <t xml:space="preserve">WHSE FURNITURE SHOP </t>
        </is>
      </c>
      <c r="AE815" s="716" t="n"/>
      <c r="AF815" s="716" t="n"/>
      <c r="AG815" s="716" t="n"/>
      <c r="AH815" s="716" t="n"/>
      <c r="AI815" s="716" t="n"/>
      <c r="AJ815" s="716" t="n"/>
      <c r="AK815" s="716" t="inlineStr">
        <is>
          <t xml:space="preserve">S-T WHSE.; MO-TO-MO LEASE.                                        </t>
        </is>
      </c>
      <c r="AL815">
        <f>IF(AND(ISNUMBER($S815),$S815&gt;0,ISNUMBER($K815),ISNUMBER($J815)),($K815*$J815)/$S815,"")</f>
        <v/>
      </c>
    </row>
    <row r="816">
      <c r="A816" s="62" t="n">
        <v>8</v>
      </c>
      <c r="B816" s="93" t="n">
        <v>808</v>
      </c>
      <c r="C816" s="68" t="inlineStr">
        <is>
          <t>2009Q</t>
        </is>
      </c>
      <c r="D816" s="59" t="inlineStr">
        <is>
          <t xml:space="preserve">05044-18-043-000 </t>
        </is>
      </c>
      <c r="E816" s="72" t="inlineStr">
        <is>
          <t>Actual</t>
        </is>
      </c>
      <c r="F816" s="73" t="inlineStr">
        <is>
          <t>719   MARIPOSA             ST</t>
        </is>
      </c>
      <c r="G816" s="708" t="n">
        <v>44.1</v>
      </c>
      <c r="H816" s="67" t="n">
        <v>9505</v>
      </c>
      <c r="I816" s="69" t="n">
        <v>0</v>
      </c>
      <c r="J816" s="714" t="n">
        <v>3106</v>
      </c>
      <c r="K816" s="715" t="n">
        <v>11.99613650998068</v>
      </c>
      <c r="L816" s="74" t="n">
        <v>0</v>
      </c>
      <c r="M816" s="76" t="n">
        <v>0</v>
      </c>
      <c r="N816" s="67" t="n">
        <v>1983</v>
      </c>
      <c r="O816" s="64" t="n">
        <v>696</v>
      </c>
      <c r="P816" s="64" t="n">
        <v>722</v>
      </c>
      <c r="Q816" s="59" t="n">
        <v>16</v>
      </c>
      <c r="R816" s="59" t="n">
        <v>3</v>
      </c>
      <c r="S816" s="59" t="n">
        <v>1</v>
      </c>
      <c r="T816" s="63" t="inlineStr">
        <is>
          <t xml:space="preserve">I1   </t>
        </is>
      </c>
      <c r="U816" s="63" t="n">
        <v>397</v>
      </c>
      <c r="V816" s="714" t="n">
        <v>3126</v>
      </c>
      <c r="W816" s="714" t="n">
        <v>3000</v>
      </c>
      <c r="X816" s="83" t="inlineStr">
        <is>
          <t>1.0:1</t>
        </is>
      </c>
      <c r="Y816" s="714">
        <f>ROUND(J816,-3)</f>
        <v/>
      </c>
      <c r="Z816" s="63" t="inlineStr">
        <is>
          <t xml:space="preserve">C </t>
        </is>
      </c>
      <c r="AA816" s="59" t="n">
        <v>3</v>
      </c>
      <c r="AB816" s="59" t="n">
        <v>3</v>
      </c>
      <c r="AC816" s="67" t="inlineStr">
        <is>
          <t>33</t>
        </is>
      </c>
      <c r="AD816" s="61" t="inlineStr">
        <is>
          <t>DENVER DOJO SELF DEF</t>
        </is>
      </c>
      <c r="AE816" s="716" t="n"/>
      <c r="AF816" s="716" t="n"/>
      <c r="AG816" s="716" t="n"/>
      <c r="AH816" s="716" t="n"/>
      <c r="AI816" s="716" t="n"/>
      <c r="AJ816" s="716" t="n"/>
      <c r="AK816" s="716" t="inlineStr">
        <is>
          <t xml:space="preserve">M-T WHSE.; 2 TENANTS; LEASES 2005 &amp; 2006.                         </t>
        </is>
      </c>
      <c r="AL816">
        <f>IF(AND(ISNUMBER($S816),$S816&gt;0,ISNUMBER($K816),ISNUMBER($J816)),($K816*$J816)/$S816,"")</f>
        <v/>
      </c>
    </row>
    <row r="817">
      <c r="A817" s="62" t="n">
        <v>8</v>
      </c>
      <c r="B817" s="93" t="n">
        <v>809</v>
      </c>
      <c r="C817" s="68" t="inlineStr">
        <is>
          <t>2009Q</t>
        </is>
      </c>
      <c r="D817" s="59" t="inlineStr">
        <is>
          <t xml:space="preserve">05044-18-044-000 </t>
        </is>
      </c>
      <c r="E817" s="72" t="inlineStr">
        <is>
          <t>Actual</t>
        </is>
      </c>
      <c r="F817" s="73" t="inlineStr">
        <is>
          <t>717   MARIPOSA             ST</t>
        </is>
      </c>
      <c r="G817" s="708" t="n">
        <v>44.2</v>
      </c>
      <c r="H817" s="67" t="n">
        <v>9505</v>
      </c>
      <c r="I817" s="69" t="n">
        <v>0</v>
      </c>
      <c r="J817" s="714" t="n">
        <v>1250</v>
      </c>
      <c r="K817" s="715" t="n">
        <v>9.6</v>
      </c>
      <c r="L817" s="74" t="n">
        <v>0</v>
      </c>
      <c r="M817" s="76" t="n">
        <v>0.36925</v>
      </c>
      <c r="N817" s="67" t="n">
        <v>1983</v>
      </c>
      <c r="O817" s="64" t="n">
        <v>1609</v>
      </c>
      <c r="P817" s="64" t="n">
        <v>696</v>
      </c>
      <c r="Q817" s="59" t="n">
        <v>16</v>
      </c>
      <c r="R817" s="59" t="n">
        <v>3</v>
      </c>
      <c r="S817" s="59" t="n">
        <v>1</v>
      </c>
      <c r="T817" s="63" t="inlineStr">
        <is>
          <t xml:space="preserve">I1   </t>
        </is>
      </c>
      <c r="U817" s="63" t="n">
        <v>397</v>
      </c>
      <c r="V817" s="714" t="n">
        <v>3183</v>
      </c>
      <c r="W817" s="714" t="n">
        <v>3000</v>
      </c>
      <c r="X817" s="83" t="inlineStr">
        <is>
          <t>1.0:1</t>
        </is>
      </c>
      <c r="Y817" s="714">
        <f>ROUND(J817,-2)</f>
        <v/>
      </c>
      <c r="Z817" s="63" t="inlineStr">
        <is>
          <t xml:space="preserve">C </t>
        </is>
      </c>
      <c r="AA817" s="59" t="n">
        <v>3</v>
      </c>
      <c r="AB817" s="59" t="n">
        <v>3</v>
      </c>
      <c r="AC817" s="67" t="inlineStr">
        <is>
          <t>33</t>
        </is>
      </c>
      <c r="AD817" s="61" t="inlineStr">
        <is>
          <t xml:space="preserve">S-W COLO INTERIORS  </t>
        </is>
      </c>
      <c r="AE817" s="716" t="n"/>
      <c r="AF817" s="716" t="n"/>
      <c r="AG817" s="716" t="n"/>
      <c r="AH817" s="716" t="n"/>
      <c r="AI817" s="716" t="n"/>
      <c r="AJ817" s="716" t="n"/>
      <c r="AK817" s="716" t="inlineStr">
        <is>
          <t xml:space="preserve">M-T WHSE; 2 TENANTS; LEASE DATES UNKNOWN.                         </t>
        </is>
      </c>
      <c r="AL817">
        <f>IF(AND(ISNUMBER($S817),$S817&gt;0,ISNUMBER($K817),ISNUMBER($J817)),($K817*$J817)/$S817,"")</f>
        <v/>
      </c>
    </row>
    <row r="818">
      <c r="A818" s="62" t="n">
        <v>8</v>
      </c>
      <c r="B818" s="93" t="n">
        <v>810</v>
      </c>
      <c r="C818" s="68" t="inlineStr">
        <is>
          <t>2009Q</t>
        </is>
      </c>
      <c r="D818" s="59" t="inlineStr">
        <is>
          <t xml:space="preserve">05044-19-040-000 </t>
        </is>
      </c>
      <c r="E818" s="72" t="inlineStr">
        <is>
          <t>Actual</t>
        </is>
      </c>
      <c r="F818" s="73" t="inlineStr">
        <is>
          <t>717   LIPAN                ST</t>
        </is>
      </c>
      <c r="G818" s="708" t="n">
        <v>44.1</v>
      </c>
      <c r="H818" s="67" t="n">
        <v>9505</v>
      </c>
      <c r="I818" s="69" t="n">
        <v>0</v>
      </c>
      <c r="J818" s="714" t="n">
        <v>3240</v>
      </c>
      <c r="K818" s="715" t="n">
        <v>6.75</v>
      </c>
      <c r="L818" s="74" t="n">
        <v>0</v>
      </c>
      <c r="M818" s="76" t="n">
        <v>0.289437585733882</v>
      </c>
      <c r="N818" s="67" t="n">
        <v>2000</v>
      </c>
      <c r="O818" s="64" t="n">
        <v>743</v>
      </c>
      <c r="Q818" s="59" t="n">
        <v>17</v>
      </c>
      <c r="R818" s="59" t="n">
        <v>14</v>
      </c>
      <c r="S818" s="59" t="n">
        <v>1</v>
      </c>
      <c r="T818" s="63" t="inlineStr">
        <is>
          <t xml:space="preserve">I1   </t>
        </is>
      </c>
      <c r="U818" s="63" t="n">
        <v>398</v>
      </c>
      <c r="V818" s="714" t="n">
        <v>18754</v>
      </c>
      <c r="W818" s="714" t="n">
        <v>19000</v>
      </c>
      <c r="X818" s="83" t="inlineStr">
        <is>
          <t>2.1:1</t>
        </is>
      </c>
      <c r="Y818" s="714">
        <f>ROUND(J818,-3)</f>
        <v/>
      </c>
      <c r="Z818" s="63" t="inlineStr">
        <is>
          <t xml:space="preserve">C </t>
        </is>
      </c>
      <c r="AA818" s="59" t="n">
        <v>3</v>
      </c>
      <c r="AB818" s="59" t="n">
        <v>3</v>
      </c>
      <c r="AC818" s="67" t="inlineStr">
        <is>
          <t>33</t>
        </is>
      </c>
      <c r="AD818" s="61" t="inlineStr"/>
      <c r="AE818" s="716" t="n"/>
      <c r="AF818" s="716" t="n"/>
      <c r="AG818" s="716" t="n"/>
      <c r="AH818" s="716" t="n"/>
      <c r="AI818" s="716" t="n"/>
      <c r="AJ818" s="716" t="n"/>
      <c r="AK818" s="716" t="inlineStr">
        <is>
          <t xml:space="preserve">M-T WHSE; 2 TENANTS; 2006 LEASE.                                  </t>
        </is>
      </c>
      <c r="AL818">
        <f>IF(AND(ISNUMBER($S818),$S818&gt;0,ISNUMBER($K818),ISNUMBER($J818)),($K818*$J818)/$S818,"")</f>
        <v/>
      </c>
    </row>
    <row r="819">
      <c r="A819" s="62" t="n">
        <v>8</v>
      </c>
      <c r="B819" s="93" t="n">
        <v>811</v>
      </c>
      <c r="C819" s="68" t="inlineStr">
        <is>
          <t>2009Q</t>
        </is>
      </c>
      <c r="D819" s="59" t="inlineStr">
        <is>
          <t xml:space="preserve">05044-23-035-000 </t>
        </is>
      </c>
      <c r="E819" s="72" t="inlineStr">
        <is>
          <t>Actual</t>
        </is>
      </c>
      <c r="F819" s="73" t="inlineStr">
        <is>
          <t>680   LIPAN                ST</t>
        </is>
      </c>
      <c r="G819" s="708" t="n">
        <v>44.2</v>
      </c>
      <c r="H819" s="67" t="n">
        <v>9505</v>
      </c>
      <c r="I819" s="69" t="n">
        <v>0</v>
      </c>
      <c r="J819" s="714" t="n">
        <v>14906</v>
      </c>
      <c r="K819" s="715" t="n">
        <v>7.502213873607943</v>
      </c>
      <c r="L819" s="74" t="n">
        <v>0</v>
      </c>
      <c r="M819" s="76" t="n">
        <v>0.1151321672568588</v>
      </c>
      <c r="N819" s="67" t="n">
        <v>1963</v>
      </c>
      <c r="O819" s="64">
        <f>3187+1812</f>
        <v/>
      </c>
      <c r="Q819" s="59" t="n">
        <v>19</v>
      </c>
      <c r="R819" s="59" t="n">
        <v>3</v>
      </c>
      <c r="S819" s="59" t="n">
        <v>1</v>
      </c>
      <c r="T819" s="63" t="inlineStr">
        <is>
          <t xml:space="preserve">I1   </t>
        </is>
      </c>
      <c r="U819" s="63" t="n">
        <v>398</v>
      </c>
      <c r="V819" s="714" t="n">
        <v>31900</v>
      </c>
      <c r="W819" s="714" t="n">
        <v>32000</v>
      </c>
      <c r="X819" s="83" t="inlineStr">
        <is>
          <t>2.1:1</t>
        </is>
      </c>
      <c r="Y819" s="714">
        <f>ROUND(J819,-3)</f>
        <v/>
      </c>
      <c r="Z819" s="63" t="inlineStr">
        <is>
          <t xml:space="preserve">C </t>
        </is>
      </c>
      <c r="AA819" s="59" t="n">
        <v>3</v>
      </c>
      <c r="AB819" s="59" t="n">
        <v>3</v>
      </c>
      <c r="AC819" s="67" t="inlineStr">
        <is>
          <t>33</t>
        </is>
      </c>
      <c r="AD819" s="61" t="inlineStr">
        <is>
          <t xml:space="preserve">JEBCO HTG &amp; AC      </t>
        </is>
      </c>
      <c r="AE819" s="716" t="n"/>
      <c r="AF819" s="716" t="n"/>
      <c r="AG819" s="716" t="n"/>
      <c r="AH819" s="716" t="n"/>
      <c r="AI819" s="716" t="n"/>
      <c r="AJ819" s="716" t="n"/>
      <c r="AK819" s="716" t="inlineStr">
        <is>
          <t xml:space="preserve">S-T WHSE.; 2004 LEASE.                                            </t>
        </is>
      </c>
      <c r="AL819">
        <f>IF(AND(ISNUMBER($S819),$S819&gt;0,ISNUMBER($K819),ISNUMBER($J819)),($K819*$J819)/$S819,"")</f>
        <v/>
      </c>
    </row>
    <row r="820">
      <c r="A820" s="62" t="n">
        <v>8</v>
      </c>
      <c r="B820" s="93" t="n">
        <v>812</v>
      </c>
      <c r="C820" s="68" t="inlineStr">
        <is>
          <t>2009Q</t>
        </is>
      </c>
      <c r="D820" s="59" t="inlineStr">
        <is>
          <t xml:space="preserve">05053-17-023-000 </t>
        </is>
      </c>
      <c r="E820" s="72" t="inlineStr">
        <is>
          <t>Actual</t>
        </is>
      </c>
      <c r="F820" s="73" t="inlineStr">
        <is>
          <t>969   FEDERAL              BV</t>
        </is>
      </c>
      <c r="G820" s="708" t="n">
        <v>44.1</v>
      </c>
      <c r="H820" s="67" t="n">
        <v>9508</v>
      </c>
      <c r="I820" s="69" t="n">
        <v>6</v>
      </c>
      <c r="J820" s="714" t="n">
        <v>7983</v>
      </c>
      <c r="K820" s="715" t="n">
        <v>9.019165727170236</v>
      </c>
      <c r="L820" s="74" t="n">
        <v>0</v>
      </c>
      <c r="M820" s="76" t="n">
        <v>0.1190972222222222</v>
      </c>
      <c r="N820" s="67" t="n">
        <v>1962</v>
      </c>
      <c r="Q820" s="59" t="n">
        <v>13</v>
      </c>
      <c r="R820" s="59" t="n">
        <v>3</v>
      </c>
      <c r="S820" s="59" t="n">
        <v>1</v>
      </c>
      <c r="T820" s="63" t="inlineStr">
        <is>
          <t xml:space="preserve">B4   </t>
        </is>
      </c>
      <c r="U820" s="63" t="n">
        <v>398</v>
      </c>
      <c r="V820" s="714" t="n">
        <v>17187</v>
      </c>
      <c r="W820" s="714" t="n">
        <v>17000</v>
      </c>
      <c r="X820" s="83" t="inlineStr">
        <is>
          <t>2.2:1</t>
        </is>
      </c>
      <c r="Y820" s="714">
        <f>ROUND(J820,-3)</f>
        <v/>
      </c>
      <c r="Z820" s="63" t="inlineStr">
        <is>
          <t xml:space="preserve">C </t>
        </is>
      </c>
      <c r="AA820" s="59" t="n">
        <v>2</v>
      </c>
      <c r="AB820" s="59" t="n">
        <v>3</v>
      </c>
      <c r="AC820" s="67" t="inlineStr">
        <is>
          <t>23</t>
        </is>
      </c>
      <c r="AD820" s="61" t="inlineStr">
        <is>
          <t xml:space="preserve">DIST.               </t>
        </is>
      </c>
      <c r="AE820" s="716" t="n"/>
      <c r="AF820" s="716" t="n"/>
      <c r="AG820" s="716" t="n"/>
      <c r="AH820" s="716" t="n"/>
      <c r="AI820" s="716" t="n"/>
      <c r="AJ820" s="716" t="n"/>
      <c r="AK820" s="716" t="inlineStr">
        <is>
          <t xml:space="preserve">M-T WHSE; 2 TENANTS; 2005 &amp; 2006 LEASES.                          </t>
        </is>
      </c>
      <c r="AL820">
        <f>IF(AND(ISNUMBER($S820),$S820&gt;0,ISNUMBER($K820),ISNUMBER($J820)),($K820*$J820)/$S820,"")</f>
        <v/>
      </c>
    </row>
    <row r="821">
      <c r="A821" s="62" t="n">
        <v>8</v>
      </c>
      <c r="B821" s="93" t="n">
        <v>813</v>
      </c>
      <c r="C821" s="68" t="inlineStr">
        <is>
          <t>2009Q</t>
        </is>
      </c>
      <c r="D821" s="59" t="inlineStr">
        <is>
          <t xml:space="preserve">05054-01-032-000 </t>
        </is>
      </c>
      <c r="E821" s="72" t="inlineStr">
        <is>
          <t>Actual</t>
        </is>
      </c>
      <c r="F821" s="73" t="inlineStr">
        <is>
          <t>2715 W HOLDEN               PL</t>
        </is>
      </c>
      <c r="G821" s="708" t="n">
        <v>44.1</v>
      </c>
      <c r="H821" s="67" t="n">
        <v>9508</v>
      </c>
      <c r="I821" s="69" t="n">
        <v>0</v>
      </c>
      <c r="J821" s="714" t="n">
        <v>1208</v>
      </c>
      <c r="K821" s="715" t="n">
        <v>9.933774834437086</v>
      </c>
      <c r="L821" s="74" t="n">
        <v>0</v>
      </c>
      <c r="M821" s="76" t="n">
        <v>0.16975</v>
      </c>
      <c r="N821" s="67" t="n">
        <v>1987</v>
      </c>
      <c r="O821" s="64" t="n">
        <v>600</v>
      </c>
      <c r="Q821" s="59" t="n">
        <v>18</v>
      </c>
      <c r="R821" s="59" t="n">
        <v>3</v>
      </c>
      <c r="S821" s="59" t="n">
        <v>1</v>
      </c>
      <c r="T821" s="63" t="inlineStr">
        <is>
          <t xml:space="preserve">I1   </t>
        </is>
      </c>
      <c r="U821" s="63" t="n">
        <v>398</v>
      </c>
      <c r="V821" s="714" t="n">
        <v>4690</v>
      </c>
      <c r="W821" s="714" t="n">
        <v>5000</v>
      </c>
      <c r="X821" s="83" t="inlineStr">
        <is>
          <t>3.9:1</t>
        </is>
      </c>
      <c r="Y821" s="714">
        <f>ROUND(J821,-2)</f>
        <v/>
      </c>
      <c r="Z821" s="63" t="inlineStr">
        <is>
          <t xml:space="preserve">C </t>
        </is>
      </c>
      <c r="AA821" s="59" t="n">
        <v>3</v>
      </c>
      <c r="AB821" s="59" t="n">
        <v>3</v>
      </c>
      <c r="AC821" s="67" t="inlineStr">
        <is>
          <t>33</t>
        </is>
      </c>
      <c r="AD821" s="61" t="inlineStr"/>
      <c r="AE821" s="716" t="n"/>
      <c r="AF821" s="716" t="n"/>
      <c r="AG821" s="716" t="n"/>
      <c r="AH821" s="716" t="n"/>
      <c r="AI821" s="716" t="n"/>
      <c r="AJ821" s="716" t="n"/>
      <c r="AK821" s="716" t="inlineStr">
        <is>
          <t xml:space="preserve">S-T WHSE.                                                         </t>
        </is>
      </c>
      <c r="AL821">
        <f>IF(AND(ISNUMBER($S821),$S821&gt;0,ISNUMBER($K821),ISNUMBER($J821)),($K821*$J821)/$S821,"")</f>
        <v/>
      </c>
    </row>
    <row r="822">
      <c r="A822" s="62" t="n">
        <v>8</v>
      </c>
      <c r="B822" s="93" t="n">
        <v>814</v>
      </c>
      <c r="C822" s="68" t="inlineStr">
        <is>
          <t>2009Q</t>
        </is>
      </c>
      <c r="D822" s="59" t="inlineStr">
        <is>
          <t xml:space="preserve">05054-20-019-000 </t>
        </is>
      </c>
      <c r="E822" s="72" t="inlineStr">
        <is>
          <t>Actual</t>
        </is>
      </c>
      <c r="F822" s="73" t="inlineStr">
        <is>
          <t>860   BRYANT               ST</t>
        </is>
      </c>
      <c r="G822" s="708" t="n">
        <v>44.2</v>
      </c>
      <c r="H822" s="67" t="n">
        <v>9508</v>
      </c>
      <c r="I822" s="69" t="n">
        <v>0</v>
      </c>
      <c r="J822" s="714" t="n">
        <v>19832</v>
      </c>
      <c r="K822" s="715" t="n">
        <v>5.265429608713191</v>
      </c>
      <c r="L822" s="74" t="n">
        <v>0.09</v>
      </c>
      <c r="M822" s="76" t="n">
        <v>0.06812610127939937</v>
      </c>
      <c r="N822" s="67" t="n">
        <v>1952</v>
      </c>
      <c r="O822" s="64" t="n">
        <v>1144</v>
      </c>
      <c r="Q822" s="59" t="n">
        <v>14</v>
      </c>
      <c r="R822" s="59" t="n">
        <v>1</v>
      </c>
      <c r="S822" s="59" t="n">
        <v>1</v>
      </c>
      <c r="T822" s="63" t="inlineStr">
        <is>
          <t xml:space="preserve">I1   </t>
        </is>
      </c>
      <c r="U822" s="63" t="n">
        <v>398</v>
      </c>
      <c r="V822" s="714" t="n">
        <v>28235</v>
      </c>
      <c r="W822" s="714" t="n">
        <v>28000</v>
      </c>
      <c r="X822" s="83" t="inlineStr">
        <is>
          <t>1.4:1</t>
        </is>
      </c>
      <c r="Y822" s="714">
        <f>ROUND(J822,-3)</f>
        <v/>
      </c>
      <c r="Z822" s="63" t="inlineStr">
        <is>
          <t xml:space="preserve">C </t>
        </is>
      </c>
      <c r="AA822" s="59" t="n">
        <v>3</v>
      </c>
      <c r="AB822" s="59" t="n">
        <v>3</v>
      </c>
      <c r="AC822" s="67" t="inlineStr">
        <is>
          <t>33</t>
        </is>
      </c>
      <c r="AD822" s="61" t="inlineStr"/>
      <c r="AE822" s="716" t="n"/>
      <c r="AF822" s="716" t="n"/>
      <c r="AG822" s="716" t="n"/>
      <c r="AH822" s="716" t="n"/>
      <c r="AI822" s="716" t="n"/>
      <c r="AJ822" s="716" t="n"/>
      <c r="AK822" s="716" t="inlineStr">
        <is>
          <t xml:space="preserve">M-T WHSE.; 3 TENANTS; LEASES 2006 - 2008.                         </t>
        </is>
      </c>
      <c r="AL822">
        <f>IF(AND(ISNUMBER($S822),$S822&gt;0,ISNUMBER($K822),ISNUMBER($J822)),($K822*$J822)/$S822,"")</f>
        <v/>
      </c>
    </row>
    <row r="823">
      <c r="A823" s="62" t="n">
        <v>8</v>
      </c>
      <c r="B823" s="93" t="n">
        <v>815</v>
      </c>
      <c r="C823" s="68" t="inlineStr">
        <is>
          <t>2009Q</t>
        </is>
      </c>
      <c r="D823" s="59" t="inlineStr">
        <is>
          <t xml:space="preserve">05054-21-031-000 </t>
        </is>
      </c>
      <c r="E823" s="72" t="inlineStr">
        <is>
          <t>Actual</t>
        </is>
      </c>
      <c r="F823" s="73" t="inlineStr">
        <is>
          <t>2740 W 9TH                  AV</t>
        </is>
      </c>
      <c r="G823" s="708" t="n">
        <v>47.1</v>
      </c>
      <c r="H823" s="67" t="n">
        <v>9508</v>
      </c>
      <c r="I823" s="69" t="n">
        <v>0</v>
      </c>
      <c r="J823" s="714" t="n">
        <v>8371</v>
      </c>
      <c r="K823" s="715" t="n">
        <v>4.531597180743042</v>
      </c>
      <c r="L823" s="74" t="n">
        <v>0</v>
      </c>
      <c r="M823" s="76" t="n">
        <v>0.3765223809774872</v>
      </c>
      <c r="N823" s="67" t="n">
        <v>1964</v>
      </c>
      <c r="O823" s="64" t="n">
        <v>225</v>
      </c>
      <c r="Q823" s="59" t="n">
        <v>12</v>
      </c>
      <c r="R823" s="59" t="n">
        <v>1</v>
      </c>
      <c r="S823" s="59" t="n">
        <v>1</v>
      </c>
      <c r="T823" s="63" t="inlineStr">
        <is>
          <t xml:space="preserve">I0   </t>
        </is>
      </c>
      <c r="U823" s="63" t="n">
        <v>401</v>
      </c>
      <c r="V823" s="714" t="n">
        <v>22050</v>
      </c>
      <c r="W823" s="714" t="n">
        <v>22000</v>
      </c>
      <c r="X823" s="83" t="inlineStr">
        <is>
          <t>2.6:1</t>
        </is>
      </c>
      <c r="Y823" s="714">
        <f>ROUND(J823,-3)</f>
        <v/>
      </c>
      <c r="Z823" s="63" t="inlineStr">
        <is>
          <t xml:space="preserve">C </t>
        </is>
      </c>
      <c r="AA823" s="59" t="n">
        <v>1</v>
      </c>
      <c r="AB823" s="59" t="n">
        <v>2</v>
      </c>
      <c r="AC823" s="67" t="inlineStr">
        <is>
          <t>12</t>
        </is>
      </c>
      <c r="AD823" s="61" t="inlineStr"/>
      <c r="AE823" s="716" t="n"/>
      <c r="AF823" s="716" t="n"/>
      <c r="AG823" s="716" t="n"/>
      <c r="AH823" s="716" t="n"/>
      <c r="AI823" s="716" t="n"/>
      <c r="AJ823" s="716" t="n"/>
      <c r="AK823" s="716" t="inlineStr">
        <is>
          <t xml:space="preserve">TENANCY &amp; LEASE DATES UNKNOWN; OP STATEMENT ONLY.                 </t>
        </is>
      </c>
      <c r="AL823">
        <f>IF(AND(ISNUMBER($S823),$S823&gt;0,ISNUMBER($K823),ISNUMBER($J823)),($K823*$J823)/$S823,"")</f>
        <v/>
      </c>
    </row>
    <row r="824">
      <c r="A824" s="62" t="n">
        <v>8</v>
      </c>
      <c r="B824" s="93" t="n">
        <v>816</v>
      </c>
      <c r="C824" s="68" t="inlineStr">
        <is>
          <t>2009Q</t>
        </is>
      </c>
      <c r="D824" s="59" t="inlineStr">
        <is>
          <t xml:space="preserve">05054-24-008-000 </t>
        </is>
      </c>
      <c r="E824" s="72" t="inlineStr">
        <is>
          <t>Actual</t>
        </is>
      </c>
      <c r="F824" s="73" t="inlineStr">
        <is>
          <t>2600 W BARBERRY             PL</t>
        </is>
      </c>
      <c r="G824" s="708" t="n">
        <v>44.2</v>
      </c>
      <c r="H824" s="67" t="n">
        <v>9508</v>
      </c>
      <c r="I824" s="69" t="n">
        <v>0</v>
      </c>
      <c r="J824" s="714" t="n">
        <v>7697</v>
      </c>
      <c r="K824" s="715" t="n">
        <v>7.308042094322463</v>
      </c>
      <c r="L824" s="74" t="n">
        <v>0.5</v>
      </c>
      <c r="M824" s="76" t="n">
        <v>0.09713777777777778</v>
      </c>
      <c r="N824" s="67" t="n">
        <v>1971</v>
      </c>
      <c r="O824" s="64">
        <f>4399+2180</f>
        <v/>
      </c>
      <c r="Q824" s="59" t="n">
        <v>16</v>
      </c>
      <c r="R824" s="59" t="n">
        <v>3</v>
      </c>
      <c r="S824" s="59" t="n">
        <v>1</v>
      </c>
      <c r="T824" s="63" t="inlineStr">
        <is>
          <t xml:space="preserve">I1   </t>
        </is>
      </c>
      <c r="U824" s="63" t="n">
        <v>397</v>
      </c>
      <c r="V824" s="714" t="n">
        <v>14000</v>
      </c>
      <c r="W824" s="714" t="n">
        <v>14000</v>
      </c>
      <c r="X824" s="83" t="inlineStr">
        <is>
          <t>1.8:1</t>
        </is>
      </c>
      <c r="Y824" s="714">
        <f>ROUND(J824,-3)</f>
        <v/>
      </c>
      <c r="Z824" s="63" t="inlineStr">
        <is>
          <t xml:space="preserve">C </t>
        </is>
      </c>
      <c r="AA824" s="59" t="n">
        <v>3</v>
      </c>
      <c r="AB824" s="59" t="n">
        <v>3</v>
      </c>
      <c r="AC824" s="67" t="inlineStr">
        <is>
          <t>33</t>
        </is>
      </c>
      <c r="AD824" s="61" t="inlineStr">
        <is>
          <t>S-W MILE HIGH SUPPLY</t>
        </is>
      </c>
      <c r="AE824" s="716" t="n"/>
      <c r="AF824" s="716" t="n"/>
      <c r="AG824" s="716" t="n"/>
      <c r="AH824" s="716" t="n"/>
      <c r="AI824" s="716" t="n"/>
      <c r="AJ824" s="716" t="n"/>
      <c r="AK824" s="716" t="inlineStr">
        <is>
          <t xml:space="preserve">S-T WHSE.; 2006 LEASE.                                            </t>
        </is>
      </c>
      <c r="AL824">
        <f>IF(AND(ISNUMBER($S824),$S824&gt;0,ISNUMBER($K824),ISNUMBER($J824)),($K824*$J824)/$S824,"")</f>
        <v/>
      </c>
    </row>
    <row r="825">
      <c r="A825" s="62" t="n">
        <v>8</v>
      </c>
      <c r="B825" s="93" t="n">
        <v>817</v>
      </c>
      <c r="C825" s="68" t="inlineStr">
        <is>
          <t>2009Q</t>
        </is>
      </c>
      <c r="D825" s="59" t="inlineStr">
        <is>
          <t xml:space="preserve">05054-24-026-000 </t>
        </is>
      </c>
      <c r="E825" s="72" t="inlineStr">
        <is>
          <t>Actual</t>
        </is>
      </c>
      <c r="F825" s="73" t="inlineStr">
        <is>
          <t>2605 W 8TH                  AV</t>
        </is>
      </c>
      <c r="G825" s="708" t="n">
        <v>44.1</v>
      </c>
      <c r="H825" s="67" t="n">
        <v>9508</v>
      </c>
      <c r="I825" s="69" t="n">
        <v>0</v>
      </c>
      <c r="J825" s="714" t="n">
        <v>13500</v>
      </c>
      <c r="K825" s="715" t="n">
        <v>18.51851851851852</v>
      </c>
      <c r="L825" s="74" t="n">
        <v>1</v>
      </c>
      <c r="M825" s="76" t="n">
        <v>0</v>
      </c>
      <c r="N825" s="67" t="n">
        <v>1973</v>
      </c>
      <c r="O825" s="64" t="n">
        <v>6657</v>
      </c>
      <c r="Q825" s="59" t="n">
        <v>21</v>
      </c>
      <c r="R825" s="59" t="n">
        <v>14</v>
      </c>
      <c r="S825" s="59" t="n">
        <v>1</v>
      </c>
      <c r="T825" s="63" t="inlineStr">
        <is>
          <t xml:space="preserve">I1   </t>
        </is>
      </c>
      <c r="U825" s="63" t="n">
        <v>398</v>
      </c>
      <c r="V825" s="714" t="n">
        <v>21000</v>
      </c>
      <c r="W825" s="714" t="n">
        <v>21000</v>
      </c>
      <c r="X825" s="83" t="inlineStr">
        <is>
          <t>1.6:1</t>
        </is>
      </c>
      <c r="Y825" s="714">
        <f>ROUND(J825,-3)</f>
        <v/>
      </c>
      <c r="Z825" s="63" t="inlineStr">
        <is>
          <t xml:space="preserve">C </t>
        </is>
      </c>
      <c r="AA825" s="59" t="n">
        <v>3</v>
      </c>
      <c r="AB825" s="59" t="n">
        <v>3</v>
      </c>
      <c r="AC825" s="67" t="inlineStr">
        <is>
          <t>33</t>
        </is>
      </c>
      <c r="AD825" s="61" t="inlineStr">
        <is>
          <t xml:space="preserve">COMCABLE            </t>
        </is>
      </c>
      <c r="AE825" s="716" t="n"/>
      <c r="AF825" s="716" t="n"/>
      <c r="AG825" s="716" t="n"/>
      <c r="AH825" s="716" t="n"/>
      <c r="AI825" s="716" t="n"/>
      <c r="AJ825" s="716" t="n"/>
      <c r="AK825" s="716" t="inlineStr">
        <is>
          <t xml:space="preserve">S-T WHSE.; 2005 LEASE - 20 YR LEASE; VACATED BY 2008.             </t>
        </is>
      </c>
      <c r="AL825">
        <f>IF(AND(ISNUMBER($S825),$S825&gt;0,ISNUMBER($K825),ISNUMBER($J825)),($K825*$J825)/$S825,"")</f>
        <v/>
      </c>
    </row>
    <row r="826">
      <c r="A826" s="62" t="n">
        <v>8</v>
      </c>
      <c r="B826" s="93" t="n">
        <v>818</v>
      </c>
      <c r="C826" s="68" t="inlineStr">
        <is>
          <t>2009Q</t>
        </is>
      </c>
      <c r="D826" s="59" t="inlineStr">
        <is>
          <t xml:space="preserve">05054-24-030-000 </t>
        </is>
      </c>
      <c r="E826" s="72" t="inlineStr">
        <is>
          <t>Actual</t>
        </is>
      </c>
      <c r="F826" s="73" t="inlineStr">
        <is>
          <t>2625 W 8TH                  AV</t>
        </is>
      </c>
      <c r="G826" s="708" t="n">
        <v>44.1</v>
      </c>
      <c r="H826" s="67" t="n">
        <v>9508</v>
      </c>
      <c r="I826" s="69" t="n">
        <v>0</v>
      </c>
      <c r="J826" s="714" t="n">
        <v>5450</v>
      </c>
      <c r="K826" s="715" t="n">
        <v>5.064220183486238</v>
      </c>
      <c r="L826" s="74" t="n">
        <v>1</v>
      </c>
      <c r="M826" s="76" t="n">
        <v>0</v>
      </c>
      <c r="N826" s="67" t="n">
        <v>1987</v>
      </c>
      <c r="O826" s="64" t="n">
        <v>296</v>
      </c>
      <c r="Q826" s="59" t="n">
        <v>115</v>
      </c>
      <c r="R826" s="59" t="n">
        <v>3</v>
      </c>
      <c r="S826" s="59" t="n">
        <v>1</v>
      </c>
      <c r="T826" s="63" t="inlineStr">
        <is>
          <t xml:space="preserve">I1   </t>
        </is>
      </c>
      <c r="U826" s="63" t="n">
        <v>398</v>
      </c>
      <c r="V826" s="714" t="n">
        <v>7000</v>
      </c>
      <c r="W826" s="714" t="n">
        <v>7000</v>
      </c>
      <c r="X826" s="83" t="inlineStr">
        <is>
          <t>1.3:1</t>
        </is>
      </c>
      <c r="Y826" s="714">
        <f>ROUND(J826,-3)</f>
        <v/>
      </c>
      <c r="Z826" s="63" t="inlineStr">
        <is>
          <t xml:space="preserve">C </t>
        </is>
      </c>
      <c r="AA826" s="59" t="n">
        <v>3</v>
      </c>
      <c r="AB826" s="59" t="n">
        <v>3</v>
      </c>
      <c r="AC826" s="67" t="inlineStr">
        <is>
          <t>33</t>
        </is>
      </c>
      <c r="AD826" s="61" t="inlineStr">
        <is>
          <t xml:space="preserve">FASTER MOTORCYCLE   </t>
        </is>
      </c>
      <c r="AE826" s="716" t="n"/>
      <c r="AF826" s="716" t="n"/>
      <c r="AG826" s="716" t="n"/>
      <c r="AH826" s="716" t="n"/>
      <c r="AI826" s="716" t="n"/>
      <c r="AJ826" s="716" t="n"/>
      <c r="AK826" s="716" t="inlineStr">
        <is>
          <t xml:space="preserve">S-T WHSE.; 01/08 LEASE; VACATED BY 06/08.                         </t>
        </is>
      </c>
      <c r="AL826">
        <f>IF(AND(ISNUMBER($S826),$S826&gt;0,ISNUMBER($K826),ISNUMBER($J826)),($K826*$J826)/$S826,"")</f>
        <v/>
      </c>
    </row>
    <row r="827">
      <c r="A827" s="62" t="n">
        <v>8</v>
      </c>
      <c r="B827" s="93" t="n">
        <v>819</v>
      </c>
      <c r="C827" s="68" t="inlineStr">
        <is>
          <t>2009W</t>
        </is>
      </c>
      <c r="D827" s="59" t="inlineStr">
        <is>
          <t>05066-00-128-000</t>
        </is>
      </c>
      <c r="E827" s="63" t="inlineStr">
        <is>
          <t>Actual</t>
        </is>
      </c>
      <c r="F827" s="59" t="inlineStr">
        <is>
          <t>680 Sheridan Blvd.</t>
        </is>
      </c>
      <c r="G827" s="708" t="n">
        <v>44.5</v>
      </c>
      <c r="H827" s="59" t="n">
        <v>9506</v>
      </c>
      <c r="I827" s="63" t="n">
        <v>8</v>
      </c>
      <c r="J827" s="64" t="n">
        <v>103200</v>
      </c>
      <c r="K827" s="722" t="n">
        <v>10.07</v>
      </c>
      <c r="L827" s="88" t="n">
        <v>0</v>
      </c>
      <c r="M827" s="88" t="n">
        <v>0.33</v>
      </c>
      <c r="N827" s="59" t="n">
        <v>1978</v>
      </c>
      <c r="O827" s="714" t="n">
        <v>0</v>
      </c>
      <c r="P827" s="714" t="n">
        <v>0</v>
      </c>
      <c r="Q827" s="59" t="n">
        <v>11</v>
      </c>
      <c r="R827" s="59" t="n">
        <v>1</v>
      </c>
      <c r="S827" s="59" t="n">
        <v>1</v>
      </c>
      <c r="T827" s="63" t="inlineStr">
        <is>
          <t>I1</t>
        </is>
      </c>
      <c r="U827" s="59" t="n">
        <v>396</v>
      </c>
      <c r="V827" s="64" t="n">
        <v>306575</v>
      </c>
      <c r="W827" s="64" t="n">
        <v>300000</v>
      </c>
      <c r="X827" s="67" t="inlineStr">
        <is>
          <t>3.0:1</t>
        </is>
      </c>
      <c r="Y827" s="64" t="n">
        <v>100000</v>
      </c>
      <c r="Z827" s="63" t="inlineStr">
        <is>
          <t>C</t>
        </is>
      </c>
      <c r="AA827" s="59" t="n">
        <v>3</v>
      </c>
      <c r="AB827" s="59" t="n">
        <v>3</v>
      </c>
      <c r="AC827" s="59" t="n">
        <v>33</v>
      </c>
      <c r="AD827" s="59" t="inlineStr">
        <is>
          <t>Public Storage</t>
        </is>
      </c>
      <c r="AE827" s="701" t="n">
        <v>10.07</v>
      </c>
      <c r="AF827" s="723" t="n">
        <v>10.07</v>
      </c>
      <c r="AG827" s="723" t="n">
        <v>6.9</v>
      </c>
      <c r="AH827" s="723" t="n">
        <v>3.17</v>
      </c>
      <c r="AI827" s="723" t="inlineStr">
        <is>
          <t>-</t>
        </is>
      </c>
      <c r="AJ827" s="701" t="inlineStr">
        <is>
          <t>-</t>
        </is>
      </c>
      <c r="AL827">
        <f>IF(AND(ISNUMBER($S827),$S827&gt;0,ISNUMBER($K827),ISNUMBER($J827)),($K827*$J827)/$S827,"")</f>
        <v/>
      </c>
      <c r="AN827" s="716" t="n"/>
      <c r="AO827" s="716" t="n"/>
      <c r="AP827" s="716" t="n"/>
    </row>
    <row r="828">
      <c r="A828" s="62" t="n">
        <v>8</v>
      </c>
      <c r="B828" s="93" t="n">
        <v>820</v>
      </c>
      <c r="C828" s="68" t="inlineStr">
        <is>
          <t>2009Q</t>
        </is>
      </c>
      <c r="D828" s="59" t="inlineStr">
        <is>
          <t xml:space="preserve">05081-03-017-000 </t>
        </is>
      </c>
      <c r="E828" s="72" t="inlineStr">
        <is>
          <t>Actual</t>
        </is>
      </c>
      <c r="F828" s="73" t="inlineStr">
        <is>
          <t>2943 W 7TH                  AV</t>
        </is>
      </c>
      <c r="G828" s="708" t="n">
        <v>44.2</v>
      </c>
      <c r="H828" s="67" t="n">
        <v>9508</v>
      </c>
      <c r="I828" s="69" t="n">
        <v>0</v>
      </c>
      <c r="J828" s="714" t="n">
        <v>3873</v>
      </c>
      <c r="K828" s="715" t="n">
        <v>6.196746707978312</v>
      </c>
      <c r="L828" s="74" t="n">
        <v>1</v>
      </c>
      <c r="M828" s="76" t="n">
        <v>0.39175</v>
      </c>
      <c r="N828" s="67" t="n">
        <v>1964</v>
      </c>
      <c r="O828" s="64" t="n">
        <v>1350</v>
      </c>
      <c r="Q828" s="59" t="n">
        <v>12</v>
      </c>
      <c r="R828" s="59" t="n">
        <v>3</v>
      </c>
      <c r="S828" s="59" t="n">
        <v>1</v>
      </c>
      <c r="T828" s="63" t="inlineStr">
        <is>
          <t xml:space="preserve">I1   </t>
        </is>
      </c>
      <c r="U828" s="63" t="n">
        <v>398</v>
      </c>
      <c r="V828" s="714" t="n">
        <v>6250</v>
      </c>
      <c r="W828" s="714" t="n">
        <v>6000</v>
      </c>
      <c r="X828" s="83" t="inlineStr">
        <is>
          <t>1.6:1</t>
        </is>
      </c>
      <c r="Y828" s="714">
        <f>ROUND(J828,-3)</f>
        <v/>
      </c>
      <c r="Z828" s="63" t="inlineStr">
        <is>
          <t xml:space="preserve">C </t>
        </is>
      </c>
      <c r="AA828" s="59" t="n">
        <v>3</v>
      </c>
      <c r="AB828" s="59" t="n">
        <v>3</v>
      </c>
      <c r="AC828" s="67" t="inlineStr">
        <is>
          <t>33</t>
        </is>
      </c>
      <c r="AD828" s="61" t="inlineStr">
        <is>
          <t xml:space="preserve">S-W SHELLS PRINTING </t>
        </is>
      </c>
      <c r="AE828" s="716" t="n"/>
      <c r="AF828" s="716" t="n"/>
      <c r="AG828" s="716" t="n"/>
      <c r="AH828" s="716" t="n"/>
      <c r="AI828" s="716" t="n"/>
      <c r="AJ828" s="716" t="n"/>
      <c r="AK828" s="716" t="inlineStr">
        <is>
          <t xml:space="preserve">S-T WHSE.                                                         </t>
        </is>
      </c>
      <c r="AL828">
        <f>IF(AND(ISNUMBER($S828),$S828&gt;0,ISNUMBER($K828),ISNUMBER($J828)),($K828*$J828)/$S828,"")</f>
        <v/>
      </c>
    </row>
    <row r="829">
      <c r="A829" s="62" t="n">
        <v>8</v>
      </c>
      <c r="B829" s="93" t="n">
        <v>821</v>
      </c>
      <c r="C829" s="68" t="inlineStr">
        <is>
          <t>2009Q</t>
        </is>
      </c>
      <c r="D829" s="59" t="inlineStr">
        <is>
          <t xml:space="preserve">05081-04-016-000 </t>
        </is>
      </c>
      <c r="E829" s="72" t="inlineStr">
        <is>
          <t>Actual</t>
        </is>
      </c>
      <c r="F829" s="73" t="inlineStr">
        <is>
          <t>695   CANOSA               CT</t>
        </is>
      </c>
      <c r="G829" s="708" t="n">
        <v>44.2</v>
      </c>
      <c r="H829" s="67" t="n">
        <v>9508</v>
      </c>
      <c r="I829" s="69" t="n">
        <v>0</v>
      </c>
      <c r="J829" s="714" t="n">
        <v>18000</v>
      </c>
      <c r="K829" s="715" t="n">
        <v>6.011555555555556</v>
      </c>
      <c r="L829" s="74" t="n">
        <v>0</v>
      </c>
      <c r="M829" s="76" t="n">
        <v>0.06357200946325595</v>
      </c>
      <c r="N829" s="67" t="n">
        <v>1954</v>
      </c>
      <c r="O829" s="64" t="n">
        <v>4000</v>
      </c>
      <c r="Q829" s="59" t="n">
        <v>14</v>
      </c>
      <c r="R829" s="59" t="n">
        <v>1</v>
      </c>
      <c r="S829" s="59" t="n">
        <v>2</v>
      </c>
      <c r="T829" s="63" t="inlineStr">
        <is>
          <t xml:space="preserve">I1   </t>
        </is>
      </c>
      <c r="U829" s="63" t="n">
        <v>398</v>
      </c>
      <c r="V829" s="714" t="n">
        <v>34375</v>
      </c>
      <c r="W829" s="714" t="n">
        <v>34000</v>
      </c>
      <c r="X829" s="83" t="inlineStr">
        <is>
          <t>1.9:1</t>
        </is>
      </c>
      <c r="Y829" s="714">
        <f>ROUND(J829,-3)</f>
        <v/>
      </c>
      <c r="Z829" s="63" t="inlineStr">
        <is>
          <t xml:space="preserve">C </t>
        </is>
      </c>
      <c r="AA829" s="59" t="n">
        <v>3</v>
      </c>
      <c r="AB829" s="59" t="n">
        <v>3</v>
      </c>
      <c r="AC829" s="67" t="inlineStr">
        <is>
          <t>33</t>
        </is>
      </c>
      <c r="AD829" s="61" t="inlineStr">
        <is>
          <t xml:space="preserve">M-W GREAT INDOORS   </t>
        </is>
      </c>
      <c r="AE829" s="716" t="n"/>
      <c r="AF829" s="716" t="n"/>
      <c r="AG829" s="716" t="n"/>
      <c r="AH829" s="716" t="n"/>
      <c r="AI829" s="716" t="n"/>
      <c r="AJ829" s="716" t="n"/>
      <c r="AK829" s="716" t="inlineStr">
        <is>
          <t xml:space="preserve">S-T WHSE; 2004 LEASE.                                             </t>
        </is>
      </c>
      <c r="AL829">
        <f>IF(AND(ISNUMBER($S829),$S829&gt;0,ISNUMBER($K829),ISNUMBER($J829)),($K829*$J829)/$S829,"")</f>
        <v/>
      </c>
    </row>
    <row r="830">
      <c r="A830" s="62" t="n">
        <v>8</v>
      </c>
      <c r="B830" s="93" t="n">
        <v>822</v>
      </c>
      <c r="C830" s="68" t="inlineStr">
        <is>
          <t>2009Q</t>
        </is>
      </c>
      <c r="D830" s="59" t="inlineStr">
        <is>
          <t xml:space="preserve">05081-06-019-000 </t>
        </is>
      </c>
      <c r="E830" s="72" t="inlineStr">
        <is>
          <t>Actual</t>
        </is>
      </c>
      <c r="F830" s="73" t="inlineStr">
        <is>
          <t>670   BRYANT               ST</t>
        </is>
      </c>
      <c r="G830" s="708" t="n">
        <v>44.1</v>
      </c>
      <c r="H830" s="67" t="n">
        <v>9508</v>
      </c>
      <c r="I830" s="69" t="n">
        <v>0</v>
      </c>
      <c r="J830" s="714" t="n">
        <v>3704</v>
      </c>
      <c r="K830" s="715" t="n">
        <v>5.831533477321814</v>
      </c>
      <c r="L830" s="74" t="n">
        <v>0</v>
      </c>
      <c r="M830" s="76" t="n">
        <v>0.1018518518518518</v>
      </c>
      <c r="N830" s="67" t="n">
        <v>1963</v>
      </c>
      <c r="O830" s="64" t="n">
        <v>644</v>
      </c>
      <c r="Q830" s="59" t="n">
        <v>13</v>
      </c>
      <c r="R830" s="59" t="n">
        <v>3</v>
      </c>
      <c r="S830" s="59" t="n">
        <v>1</v>
      </c>
      <c r="T830" s="63" t="inlineStr">
        <is>
          <t xml:space="preserve">I1   </t>
        </is>
      </c>
      <c r="U830" s="63" t="n">
        <v>398</v>
      </c>
      <c r="V830" s="714" t="n">
        <v>6000</v>
      </c>
      <c r="W830" s="714" t="n">
        <v>6000</v>
      </c>
      <c r="X830" s="83" t="inlineStr">
        <is>
          <t>1.6:1</t>
        </is>
      </c>
      <c r="Y830" s="714">
        <f>ROUND(J830,-3)</f>
        <v/>
      </c>
      <c r="Z830" s="63" t="inlineStr">
        <is>
          <t xml:space="preserve">C </t>
        </is>
      </c>
      <c r="AA830" s="59" t="n">
        <v>3</v>
      </c>
      <c r="AB830" s="59" t="n">
        <v>3</v>
      </c>
      <c r="AC830" s="67" t="inlineStr">
        <is>
          <t>33</t>
        </is>
      </c>
      <c r="AD830" s="61" t="inlineStr">
        <is>
          <t xml:space="preserve">S-W LIQUID COFFEE   </t>
        </is>
      </c>
      <c r="AE830" s="716" t="n"/>
      <c r="AF830" s="716" t="n"/>
      <c r="AG830" s="716" t="n"/>
      <c r="AH830" s="716" t="n"/>
      <c r="AI830" s="716" t="n"/>
      <c r="AJ830" s="716" t="n"/>
      <c r="AK830" s="716" t="inlineStr">
        <is>
          <t xml:space="preserve">S-T WHSE.; AGE OF LEASE UNKNOWN.                                  </t>
        </is>
      </c>
      <c r="AL830">
        <f>IF(AND(ISNUMBER($S830),$S830&gt;0,ISNUMBER($K830),ISNUMBER($J830)),($K830*$J830)/$S830,"")</f>
        <v/>
      </c>
    </row>
    <row r="831">
      <c r="A831" s="62" t="n">
        <v>8</v>
      </c>
      <c r="B831" s="93" t="n">
        <v>823</v>
      </c>
      <c r="C831" s="68" t="inlineStr">
        <is>
          <t>2009Q</t>
        </is>
      </c>
      <c r="D831" s="59" t="inlineStr">
        <is>
          <t xml:space="preserve">05081-13-002-000 </t>
        </is>
      </c>
      <c r="E831" s="72" t="inlineStr">
        <is>
          <t>Actual</t>
        </is>
      </c>
      <c r="F831" s="73" t="inlineStr">
        <is>
          <t>2650 W 6TH                  AV</t>
        </is>
      </c>
      <c r="G831" s="708" t="n">
        <v>44.2</v>
      </c>
      <c r="H831" s="67" t="n">
        <v>9508</v>
      </c>
      <c r="I831" s="69" t="n">
        <v>0</v>
      </c>
      <c r="J831" s="714" t="n">
        <v>30000</v>
      </c>
      <c r="K831" s="715" t="n">
        <v>4</v>
      </c>
      <c r="L831" s="74" t="n">
        <v>0</v>
      </c>
      <c r="M831" s="76" t="n">
        <v>0</v>
      </c>
      <c r="N831" s="67" t="n">
        <v>1965</v>
      </c>
      <c r="O831" s="64">
        <f>20258+12347</f>
        <v/>
      </c>
      <c r="Q831" s="59" t="n">
        <v>13</v>
      </c>
      <c r="R831" s="59" t="n">
        <v>3</v>
      </c>
      <c r="S831" s="59" t="n">
        <v>1</v>
      </c>
      <c r="T831" s="63" t="inlineStr">
        <is>
          <t xml:space="preserve">I1   </t>
        </is>
      </c>
      <c r="U831" s="63" t="n">
        <v>398</v>
      </c>
      <c r="V831" s="714" t="n">
        <v>93000</v>
      </c>
      <c r="W831" s="714" t="n">
        <v>90000</v>
      </c>
      <c r="X831" s="83" t="inlineStr">
        <is>
          <t>1.4:1</t>
        </is>
      </c>
      <c r="Y831" s="714">
        <f>ROUND(J831,-3)</f>
        <v/>
      </c>
      <c r="Z831" s="63" t="inlineStr">
        <is>
          <t xml:space="preserve">C </t>
        </is>
      </c>
      <c r="AA831" s="59" t="n">
        <v>3</v>
      </c>
      <c r="AB831" s="59" t="n">
        <v>3</v>
      </c>
      <c r="AC831" s="67" t="inlineStr">
        <is>
          <t>33</t>
        </is>
      </c>
      <c r="AD831" s="61" t="inlineStr">
        <is>
          <t>GAME EXCHNGE OF COLO</t>
        </is>
      </c>
      <c r="AE831" s="716" t="n"/>
      <c r="AF831" s="716" t="n"/>
      <c r="AG831" s="716" t="n"/>
      <c r="AH831" s="716" t="n"/>
      <c r="AI831" s="716" t="n"/>
      <c r="AJ831" s="716" t="n"/>
      <c r="AK831" s="716" t="inlineStr">
        <is>
          <t xml:space="preserve">M-T WHSE.; 4 TENANTS INCL OWNER; AGE OF LEASES UNKNOWN.           </t>
        </is>
      </c>
      <c r="AL831">
        <f>IF(AND(ISNUMBER($S831),$S831&gt;0,ISNUMBER($K831),ISNUMBER($J831)),($K831*$J831)/$S831,"")</f>
        <v/>
      </c>
    </row>
    <row r="832">
      <c r="A832" s="62" t="n">
        <v>8</v>
      </c>
      <c r="B832" s="93" t="n">
        <v>824</v>
      </c>
      <c r="C832" s="68" t="inlineStr">
        <is>
          <t>2009Q</t>
        </is>
      </c>
      <c r="D832" s="59" t="inlineStr">
        <is>
          <t xml:space="preserve">05081-13-009-000 </t>
        </is>
      </c>
      <c r="E832" s="72" t="inlineStr">
        <is>
          <t>Actual</t>
        </is>
      </c>
      <c r="F832" s="73" t="inlineStr">
        <is>
          <t>2700 W 6TH                  AV</t>
        </is>
      </c>
      <c r="G832" s="708" t="n">
        <v>44.1</v>
      </c>
      <c r="H832" s="67" t="n">
        <v>9508</v>
      </c>
      <c r="I832" s="69" t="n">
        <v>0</v>
      </c>
      <c r="J832" s="714" t="n">
        <v>16096</v>
      </c>
      <c r="K832" s="715" t="n">
        <v>5.939612326043737</v>
      </c>
      <c r="L832" s="74" t="n">
        <v>0</v>
      </c>
      <c r="M832" s="76" t="n">
        <v>0</v>
      </c>
      <c r="N832" s="67" t="n">
        <v>1960</v>
      </c>
      <c r="O832" s="64" t="n">
        <v>4848</v>
      </c>
      <c r="Q832" s="59" t="n">
        <v>15</v>
      </c>
      <c r="R832" s="59" t="n">
        <v>3</v>
      </c>
      <c r="S832" s="59" t="n">
        <v>1</v>
      </c>
      <c r="T832" s="63" t="inlineStr">
        <is>
          <t xml:space="preserve">I1   </t>
        </is>
      </c>
      <c r="U832" s="63" t="n">
        <v>398</v>
      </c>
      <c r="V832" s="714" t="n">
        <v>30000</v>
      </c>
      <c r="W832" s="714" t="n">
        <v>30000</v>
      </c>
      <c r="X832" s="83" t="inlineStr">
        <is>
          <t>1.9:1</t>
        </is>
      </c>
      <c r="Y832" s="714">
        <f>ROUND(J832,-3)</f>
        <v/>
      </c>
      <c r="Z832" s="63" t="inlineStr">
        <is>
          <t xml:space="preserve">C </t>
        </is>
      </c>
      <c r="AA832" s="59" t="n">
        <v>3</v>
      </c>
      <c r="AB832" s="59" t="n">
        <v>3</v>
      </c>
      <c r="AC832" s="67" t="inlineStr">
        <is>
          <t>33</t>
        </is>
      </c>
      <c r="AD832" s="61" t="inlineStr">
        <is>
          <t xml:space="preserve">S-W SID HARVEY'S    </t>
        </is>
      </c>
      <c r="AE832" s="716" t="n"/>
      <c r="AF832" s="716" t="n"/>
      <c r="AG832" s="716" t="n"/>
      <c r="AH832" s="716" t="n"/>
      <c r="AI832" s="716" t="n"/>
      <c r="AJ832" s="716" t="n"/>
      <c r="AK832" s="716" t="inlineStr">
        <is>
          <t xml:space="preserve">S-T WHSE.; MO-TO-MO LEASE.                                        </t>
        </is>
      </c>
      <c r="AL832">
        <f>IF(AND(ISNUMBER($S832),$S832&gt;0,ISNUMBER($K832),ISNUMBER($J832)),($K832*$J832)/$S832,"")</f>
        <v/>
      </c>
    </row>
    <row r="833">
      <c r="A833" s="62" t="n">
        <v>8</v>
      </c>
      <c r="B833" s="93" t="n">
        <v>825</v>
      </c>
      <c r="C833" s="68" t="inlineStr">
        <is>
          <t>2009Q</t>
        </is>
      </c>
      <c r="D833" s="59" t="inlineStr">
        <is>
          <t xml:space="preserve">05081-18-011-000 </t>
        </is>
      </c>
      <c r="E833" s="72" t="inlineStr">
        <is>
          <t>Actual</t>
        </is>
      </c>
      <c r="F833" s="73" t="inlineStr">
        <is>
          <t>2750 W 5TH                  AV</t>
        </is>
      </c>
      <c r="G833" s="708" t="n">
        <v>44.1</v>
      </c>
      <c r="H833" s="67" t="n">
        <v>9508</v>
      </c>
      <c r="I833" s="69" t="n">
        <v>0</v>
      </c>
      <c r="J833" s="714" t="n">
        <v>14000</v>
      </c>
      <c r="K833" s="715" t="n">
        <v>8.571428571428571</v>
      </c>
      <c r="L833" s="74" t="n">
        <v>0</v>
      </c>
      <c r="M833" s="76" t="n">
        <v>0.01163333333333333</v>
      </c>
      <c r="N833" s="67" t="n">
        <v>1972</v>
      </c>
      <c r="O833" s="64">
        <f>6213+2500</f>
        <v/>
      </c>
      <c r="Q833" s="59" t="n">
        <v>18</v>
      </c>
      <c r="R833" s="59" t="n">
        <v>3</v>
      </c>
      <c r="S833" s="59" t="n">
        <v>1</v>
      </c>
      <c r="T833" s="63" t="inlineStr">
        <is>
          <t xml:space="preserve">I0   </t>
        </is>
      </c>
      <c r="U833" s="63" t="n">
        <v>398</v>
      </c>
      <c r="V833" s="714" t="n">
        <v>27787</v>
      </c>
      <c r="W833" s="714" t="n">
        <v>28000</v>
      </c>
      <c r="X833" s="83" t="inlineStr">
        <is>
          <t>2.0:1</t>
        </is>
      </c>
      <c r="Y833" s="714">
        <f>ROUND(J833,-3)</f>
        <v/>
      </c>
      <c r="Z833" s="63" t="inlineStr">
        <is>
          <t xml:space="preserve">C </t>
        </is>
      </c>
      <c r="AA833" s="59" t="n">
        <v>3</v>
      </c>
      <c r="AB833" s="59" t="n">
        <v>3</v>
      </c>
      <c r="AC833" s="67" t="inlineStr">
        <is>
          <t>33</t>
        </is>
      </c>
      <c r="AD833" s="61" t="inlineStr">
        <is>
          <t xml:space="preserve">PEAK RESOURCES      </t>
        </is>
      </c>
      <c r="AE833" s="716" t="n"/>
      <c r="AF833" s="716" t="n"/>
      <c r="AG833" s="716" t="n"/>
      <c r="AH833" s="716" t="n"/>
      <c r="AI833" s="716" t="n"/>
      <c r="AJ833" s="716" t="n"/>
      <c r="AK833" s="716" t="inlineStr">
        <is>
          <t xml:space="preserve">S-T WHSE.; 2005 LEASE.                                            </t>
        </is>
      </c>
      <c r="AL833">
        <f>IF(AND(ISNUMBER($S833),$S833&gt;0,ISNUMBER($K833),ISNUMBER($J833)),($K833*$J833)/$S833,"")</f>
        <v/>
      </c>
    </row>
    <row r="834">
      <c r="A834" s="62" t="n">
        <v>8</v>
      </c>
      <c r="B834" s="93" t="n">
        <v>826</v>
      </c>
      <c r="C834" s="68" t="inlineStr">
        <is>
          <t>2009Q</t>
        </is>
      </c>
      <c r="D834" s="59" t="inlineStr">
        <is>
          <t xml:space="preserve">05083-33-010-000 </t>
        </is>
      </c>
      <c r="E834" s="72" t="inlineStr">
        <is>
          <t>Actual</t>
        </is>
      </c>
      <c r="F834" s="73" t="inlineStr">
        <is>
          <t>105   FEDERAL              BV</t>
        </is>
      </c>
      <c r="G834" s="708" t="n">
        <v>44.1</v>
      </c>
      <c r="H834" s="67" t="n">
        <v>9508</v>
      </c>
      <c r="I834" s="69" t="n">
        <v>6</v>
      </c>
      <c r="J834" s="714" t="n">
        <v>3800</v>
      </c>
      <c r="K834" s="715" t="n">
        <v>9.473684210526315</v>
      </c>
      <c r="L834" s="74" t="n">
        <v>0</v>
      </c>
      <c r="M834" s="76" t="n">
        <v>0.16825</v>
      </c>
      <c r="N834" s="67" t="n">
        <v>1974</v>
      </c>
      <c r="P834" s="64" t="n">
        <v>1750</v>
      </c>
      <c r="Q834" s="59" t="n">
        <v>14</v>
      </c>
      <c r="R834" s="59" t="n">
        <v>1</v>
      </c>
      <c r="S834" s="59" t="n">
        <v>1</v>
      </c>
      <c r="T834" s="63" t="inlineStr">
        <is>
          <t xml:space="preserve">B4   </t>
        </is>
      </c>
      <c r="U834" s="63" t="n">
        <v>398</v>
      </c>
      <c r="V834" s="714" t="n">
        <v>6250</v>
      </c>
      <c r="W834" s="714" t="n">
        <v>6000</v>
      </c>
      <c r="X834" s="83" t="inlineStr">
        <is>
          <t>1.6:1</t>
        </is>
      </c>
      <c r="Y834" s="714">
        <f>ROUND(J834,-3)</f>
        <v/>
      </c>
      <c r="Z834" s="63" t="inlineStr">
        <is>
          <t xml:space="preserve">C </t>
        </is>
      </c>
      <c r="AA834" s="59" t="n">
        <v>3</v>
      </c>
      <c r="AB834" s="59" t="n">
        <v>3</v>
      </c>
      <c r="AC834" s="67" t="inlineStr">
        <is>
          <t>33</t>
        </is>
      </c>
      <c r="AD834" s="61" t="inlineStr">
        <is>
          <t xml:space="preserve">S-W VACANT          </t>
        </is>
      </c>
      <c r="AE834" s="716" t="n"/>
      <c r="AF834" s="716" t="n"/>
      <c r="AG834" s="716" t="n"/>
      <c r="AH834" s="716" t="n"/>
      <c r="AI834" s="716" t="n"/>
      <c r="AJ834" s="716" t="n"/>
      <c r="AK834" s="716" t="inlineStr">
        <is>
          <t xml:space="preserve">S-T WHSE.; 2006 LEASE.                                            </t>
        </is>
      </c>
      <c r="AL834">
        <f>IF(AND(ISNUMBER($S834),$S834&gt;0,ISNUMBER($K834),ISNUMBER($J834)),($K834*$J834)/$S834,"")</f>
        <v/>
      </c>
    </row>
    <row r="835">
      <c r="A835" s="62" t="n">
        <v>8</v>
      </c>
      <c r="B835" s="93" t="n">
        <v>827</v>
      </c>
      <c r="C835" s="68" t="inlineStr">
        <is>
          <t>2009Q</t>
        </is>
      </c>
      <c r="D835" s="59" t="inlineStr">
        <is>
          <t xml:space="preserve">05084-00-025-000 </t>
        </is>
      </c>
      <c r="E835" s="72" t="inlineStr">
        <is>
          <t>Actual</t>
        </is>
      </c>
      <c r="F835" s="73" t="inlineStr">
        <is>
          <t>2395 W 2ND                  AV</t>
        </is>
      </c>
      <c r="G835" s="708" t="n">
        <v>44.2</v>
      </c>
      <c r="H835" s="67" t="n">
        <v>9508</v>
      </c>
      <c r="I835" s="69" t="n">
        <v>0</v>
      </c>
      <c r="J835" s="714" t="n">
        <v>16640</v>
      </c>
      <c r="K835" s="715" t="n">
        <v>7.285817307692308</v>
      </c>
      <c r="L835" s="74" t="n">
        <v>0</v>
      </c>
      <c r="M835" s="76" t="n">
        <v>0.08225279619914877</v>
      </c>
      <c r="N835" s="67" t="n">
        <v>1969</v>
      </c>
      <c r="O835" s="64">
        <f>2867+2451</f>
        <v/>
      </c>
      <c r="Q835" s="59" t="n">
        <v>20</v>
      </c>
      <c r="R835" s="59" t="n">
        <v>14</v>
      </c>
      <c r="S835" s="59" t="n">
        <v>1</v>
      </c>
      <c r="T835" s="63" t="inlineStr">
        <is>
          <t xml:space="preserve">I1   </t>
        </is>
      </c>
      <c r="U835" s="63" t="n">
        <v>398</v>
      </c>
      <c r="V835" s="714" t="n">
        <v>38742</v>
      </c>
      <c r="W835" s="714" t="n">
        <v>39000</v>
      </c>
      <c r="X835" s="83" t="inlineStr">
        <is>
          <t>2.3:1</t>
        </is>
      </c>
      <c r="Y835" s="714">
        <f>ROUND(J835,-3)</f>
        <v/>
      </c>
      <c r="Z835" s="63" t="inlineStr">
        <is>
          <t xml:space="preserve">C </t>
        </is>
      </c>
      <c r="AA835" s="59" t="n">
        <v>3</v>
      </c>
      <c r="AB835" s="59" t="n">
        <v>3</v>
      </c>
      <c r="AC835" s="67" t="inlineStr">
        <is>
          <t>33</t>
        </is>
      </c>
      <c r="AD835" s="61" t="inlineStr">
        <is>
          <t xml:space="preserve">BARNONESS WINES     </t>
        </is>
      </c>
      <c r="AE835" s="716" t="n"/>
      <c r="AF835" s="716" t="n"/>
      <c r="AG835" s="716" t="n"/>
      <c r="AH835" s="716" t="n"/>
      <c r="AI835" s="716" t="n"/>
      <c r="AJ835" s="716" t="n"/>
      <c r="AK835" s="716" t="inlineStr">
        <is>
          <t xml:space="preserve">S-T WHSE.; AGE OF LEASE UNKNOWN.                                  </t>
        </is>
      </c>
      <c r="AL835">
        <f>IF(AND(ISNUMBER($S835),$S835&gt;0,ISNUMBER($K835),ISNUMBER($J835)),($K835*$J835)/$S835,"")</f>
        <v/>
      </c>
    </row>
    <row r="836">
      <c r="A836" s="62" t="n">
        <v>8</v>
      </c>
      <c r="B836" s="93" t="n">
        <v>828</v>
      </c>
      <c r="C836" s="68" t="inlineStr">
        <is>
          <t>2009Q</t>
        </is>
      </c>
      <c r="D836" s="59" t="inlineStr">
        <is>
          <t xml:space="preserve">05084-00-044-000 </t>
        </is>
      </c>
      <c r="E836" s="72" t="inlineStr">
        <is>
          <t>Actual</t>
        </is>
      </c>
      <c r="F836" s="73" t="inlineStr">
        <is>
          <t>2505 W 2ND                  AV</t>
        </is>
      </c>
      <c r="G836" s="708" t="n">
        <v>44.2</v>
      </c>
      <c r="H836" s="67" t="n">
        <v>9508</v>
      </c>
      <c r="I836" s="69" t="n">
        <v>0</v>
      </c>
      <c r="J836" s="714" t="n">
        <v>34866</v>
      </c>
      <c r="K836" s="715" t="n">
        <v>8.362014570068261</v>
      </c>
      <c r="L836" s="74" t="n">
        <v>0.2</v>
      </c>
      <c r="M836" s="76" t="n">
        <v>0.04106328245583948</v>
      </c>
      <c r="N836" s="67" t="n">
        <v>1984</v>
      </c>
      <c r="O836" s="64" t="n">
        <v>5654</v>
      </c>
      <c r="Q836" s="59" t="n">
        <v>18</v>
      </c>
      <c r="R836" s="59" t="n">
        <v>3</v>
      </c>
      <c r="S836" s="59" t="n">
        <v>1</v>
      </c>
      <c r="T836" s="63" t="inlineStr">
        <is>
          <t xml:space="preserve">I1   </t>
        </is>
      </c>
      <c r="U836" s="63" t="n">
        <v>398</v>
      </c>
      <c r="V836" s="714" t="n">
        <v>60428</v>
      </c>
      <c r="W836" s="714" t="n">
        <v>60000</v>
      </c>
      <c r="X836" s="83" t="inlineStr">
        <is>
          <t>1.6:1</t>
        </is>
      </c>
      <c r="Y836" s="714">
        <f>ROUND(J836,-3)</f>
        <v/>
      </c>
      <c r="Z836" s="63" t="inlineStr">
        <is>
          <t xml:space="preserve">C </t>
        </is>
      </c>
      <c r="AA836" s="59" t="n">
        <v>3</v>
      </c>
      <c r="AB836" s="59" t="n">
        <v>3</v>
      </c>
      <c r="AC836" s="67" t="inlineStr">
        <is>
          <t>33</t>
        </is>
      </c>
      <c r="AD836" s="61" t="inlineStr">
        <is>
          <t xml:space="preserve">MW 16 UNITS         </t>
        </is>
      </c>
      <c r="AE836" s="716" t="n"/>
      <c r="AF836" s="716" t="n"/>
      <c r="AG836" s="716" t="n"/>
      <c r="AH836" s="716" t="n"/>
      <c r="AI836" s="716" t="n"/>
      <c r="AJ836" s="716" t="n"/>
      <c r="AK836" s="716" t="inlineStr">
        <is>
          <t xml:space="preserve">DATE OF LEASE &amp; # OF TENANTS UNKNOWN.                             </t>
        </is>
      </c>
      <c r="AL836">
        <f>IF(AND(ISNUMBER($S836),$S836&gt;0,ISNUMBER($K836),ISNUMBER($J836)),($K836*$J836)/$S836,"")</f>
        <v/>
      </c>
    </row>
    <row r="837">
      <c r="A837" s="62" t="n">
        <v>8</v>
      </c>
      <c r="B837" s="93" t="n">
        <v>829</v>
      </c>
      <c r="C837" s="68" t="inlineStr">
        <is>
          <t>2009Q</t>
        </is>
      </c>
      <c r="D837" s="59" t="inlineStr">
        <is>
          <t xml:space="preserve">05084-00-052-000 </t>
        </is>
      </c>
      <c r="E837" s="72" t="inlineStr">
        <is>
          <t>Actual</t>
        </is>
      </c>
      <c r="F837" s="73" t="inlineStr">
        <is>
          <t>210   BRYANT               ST</t>
        </is>
      </c>
      <c r="G837" s="708" t="n">
        <v>44.1</v>
      </c>
      <c r="H837" s="67" t="n">
        <v>9508</v>
      </c>
      <c r="I837" s="69" t="n">
        <v>0</v>
      </c>
      <c r="J837" s="714" t="n">
        <v>4800</v>
      </c>
      <c r="K837" s="715" t="n">
        <v>7.5</v>
      </c>
      <c r="L837" s="74" t="n">
        <v>0</v>
      </c>
      <c r="M837" s="76" t="n">
        <v>0.1055555555555556</v>
      </c>
      <c r="N837" s="67" t="n">
        <v>1972</v>
      </c>
      <c r="O837" s="64" t="n">
        <v>1458</v>
      </c>
      <c r="P837" s="64" t="n">
        <v>1020</v>
      </c>
      <c r="Q837" s="59" t="n">
        <v>15</v>
      </c>
      <c r="R837" s="59" t="n">
        <v>3</v>
      </c>
      <c r="S837" s="59" t="n">
        <v>1</v>
      </c>
      <c r="T837" s="63" t="inlineStr">
        <is>
          <t xml:space="preserve">I1   </t>
        </is>
      </c>
      <c r="U837" s="63" t="n">
        <v>398</v>
      </c>
      <c r="V837" s="714" t="n">
        <v>15330</v>
      </c>
      <c r="W837" s="714" t="n">
        <v>15000</v>
      </c>
      <c r="X837" s="83" t="inlineStr">
        <is>
          <t>3.2:1</t>
        </is>
      </c>
      <c r="Y837" s="714">
        <f>ROUND(J837,-3)</f>
        <v/>
      </c>
      <c r="Z837" s="63" t="inlineStr">
        <is>
          <t xml:space="preserve">C </t>
        </is>
      </c>
      <c r="AA837" s="59" t="n">
        <v>3</v>
      </c>
      <c r="AB837" s="59" t="n">
        <v>3</v>
      </c>
      <c r="AC837" s="67" t="inlineStr">
        <is>
          <t>33</t>
        </is>
      </c>
      <c r="AD837" s="61" t="inlineStr">
        <is>
          <t xml:space="preserve">S-W                 </t>
        </is>
      </c>
      <c r="AE837" s="716" t="n"/>
      <c r="AF837" s="716" t="n"/>
      <c r="AG837" s="716" t="n"/>
      <c r="AH837" s="716" t="n"/>
      <c r="AI837" s="716" t="n"/>
      <c r="AJ837" s="716" t="n"/>
      <c r="AK837" s="716" t="inlineStr">
        <is>
          <t xml:space="preserve">S-T WHSE.                                                         </t>
        </is>
      </c>
      <c r="AL837">
        <f>IF(AND(ISNUMBER($S837),$S837&gt;0,ISNUMBER($K837),ISNUMBER($J837)),($K837*$J837)/$S837,"")</f>
        <v/>
      </c>
    </row>
    <row r="838">
      <c r="A838" s="62" t="n">
        <v>8</v>
      </c>
      <c r="B838" s="93" t="n">
        <v>830</v>
      </c>
      <c r="C838" s="68" t="inlineStr">
        <is>
          <t>2009Q</t>
        </is>
      </c>
      <c r="D838" s="59" t="inlineStr">
        <is>
          <t xml:space="preserve">05084-00-053-000 </t>
        </is>
      </c>
      <c r="E838" s="72" t="inlineStr">
        <is>
          <t>Actual</t>
        </is>
      </c>
      <c r="F838" s="73" t="inlineStr">
        <is>
          <t>2695 W 3RD                  AV</t>
        </is>
      </c>
      <c r="G838" s="708" t="n">
        <v>44.1</v>
      </c>
      <c r="H838" s="67" t="n">
        <v>9508</v>
      </c>
      <c r="I838" s="69" t="n">
        <v>0</v>
      </c>
      <c r="J838" s="714" t="n">
        <v>10000</v>
      </c>
      <c r="K838" s="715" t="n">
        <v>8.206200000000001</v>
      </c>
      <c r="L838" s="74" t="n">
        <v>0</v>
      </c>
      <c r="M838" s="76" t="n">
        <v>0.09994881918549389</v>
      </c>
      <c r="N838" s="67" t="n">
        <v>1963</v>
      </c>
      <c r="O838" s="64" t="n">
        <v>4291</v>
      </c>
      <c r="Q838" s="59" t="n">
        <v>15</v>
      </c>
      <c r="R838" s="59" t="n">
        <v>3</v>
      </c>
      <c r="S838" s="59" t="n">
        <v>1</v>
      </c>
      <c r="T838" s="63" t="inlineStr">
        <is>
          <t xml:space="preserve">I0   </t>
        </is>
      </c>
      <c r="U838" s="63" t="n">
        <v>398</v>
      </c>
      <c r="V838" s="714" t="n">
        <v>18722</v>
      </c>
      <c r="W838" s="714" t="n">
        <v>19000</v>
      </c>
      <c r="X838" s="83" t="inlineStr">
        <is>
          <t>1.9:1</t>
        </is>
      </c>
      <c r="Y838" s="714">
        <f>ROUND(J838,-3)</f>
        <v/>
      </c>
      <c r="Z838" s="63" t="inlineStr">
        <is>
          <t xml:space="preserve">C </t>
        </is>
      </c>
      <c r="AA838" s="59" t="n">
        <v>3</v>
      </c>
      <c r="AB838" s="59" t="n">
        <v>3</v>
      </c>
      <c r="AC838" s="67" t="inlineStr">
        <is>
          <t>33</t>
        </is>
      </c>
      <c r="AD838" s="61" t="inlineStr"/>
      <c r="AE838" s="716" t="n"/>
      <c r="AF838" s="716" t="n"/>
      <c r="AG838" s="716" t="n"/>
      <c r="AH838" s="716" t="n"/>
      <c r="AI838" s="716" t="n"/>
      <c r="AJ838" s="716" t="n"/>
      <c r="AK838" s="716" t="inlineStr">
        <is>
          <t xml:space="preserve">S-T WHSE.; 2003 LEASE.                                            </t>
        </is>
      </c>
      <c r="AL838">
        <f>IF(AND(ISNUMBER($S838),$S838&gt;0,ISNUMBER($K838),ISNUMBER($J838)),($K838*$J838)/$S838,"")</f>
        <v/>
      </c>
    </row>
    <row r="839">
      <c r="A839" s="62" t="n">
        <v>8</v>
      </c>
      <c r="B839" s="93" t="n">
        <v>831</v>
      </c>
      <c r="C839" s="68" t="inlineStr">
        <is>
          <t>2009Q</t>
        </is>
      </c>
      <c r="D839" s="59" t="inlineStr">
        <is>
          <t xml:space="preserve">05084-01-008-000 </t>
        </is>
      </c>
      <c r="E839" s="72" t="inlineStr">
        <is>
          <t>Actual</t>
        </is>
      </c>
      <c r="F839" s="73" t="inlineStr">
        <is>
          <t>2744 W 4TH                  AV</t>
        </is>
      </c>
      <c r="G839" s="708" t="n">
        <v>44.1</v>
      </c>
      <c r="H839" s="67" t="n">
        <v>9508</v>
      </c>
      <c r="I839" s="69" t="n">
        <v>0</v>
      </c>
      <c r="J839" s="714" t="n">
        <v>7692</v>
      </c>
      <c r="K839" s="715" t="n">
        <v>15.600624024961</v>
      </c>
      <c r="L839" s="74" t="n">
        <v>0</v>
      </c>
      <c r="M839" s="76" t="n">
        <v>0</v>
      </c>
      <c r="N839" s="67" t="n">
        <v>1974</v>
      </c>
      <c r="P839" s="64" t="n">
        <v>3161</v>
      </c>
      <c r="Q839" s="59" t="n">
        <v>18</v>
      </c>
      <c r="R839" s="59" t="n">
        <v>14</v>
      </c>
      <c r="S839" s="59" t="n">
        <v>1</v>
      </c>
      <c r="T839" s="63" t="inlineStr">
        <is>
          <t xml:space="preserve">I0   </t>
        </is>
      </c>
      <c r="U839" s="63" t="n">
        <v>398</v>
      </c>
      <c r="V839" s="714" t="n">
        <v>16250</v>
      </c>
      <c r="W839" s="714" t="n">
        <v>16000</v>
      </c>
      <c r="X839" s="83" t="inlineStr">
        <is>
          <t>2.1:1</t>
        </is>
      </c>
      <c r="Y839" s="714">
        <f>ROUND(J839,-3)</f>
        <v/>
      </c>
      <c r="Z839" s="63" t="inlineStr">
        <is>
          <t xml:space="preserve">C </t>
        </is>
      </c>
      <c r="AA839" s="59" t="n">
        <v>3</v>
      </c>
      <c r="AB839" s="59" t="n">
        <v>3</v>
      </c>
      <c r="AC839" s="67" t="inlineStr">
        <is>
          <t>33</t>
        </is>
      </c>
      <c r="AD839" s="61" t="inlineStr"/>
      <c r="AE839" s="716" t="n"/>
      <c r="AF839" s="716" t="n"/>
      <c r="AG839" s="716" t="n"/>
      <c r="AH839" s="716" t="n"/>
      <c r="AI839" s="716" t="n"/>
      <c r="AJ839" s="716" t="n"/>
      <c r="AK839" s="716" t="inlineStr">
        <is>
          <t xml:space="preserve">S-T WHSE.; 2005 LEASE.                                            </t>
        </is>
      </c>
      <c r="AL839">
        <f>IF(AND(ISNUMBER($S839),$S839&gt;0,ISNUMBER($K839),ISNUMBER($J839)),($K839*$J839)/$S839,"")</f>
        <v/>
      </c>
    </row>
    <row r="840">
      <c r="A840" s="62" t="n">
        <v>8</v>
      </c>
      <c r="B840" s="93" t="n">
        <v>832</v>
      </c>
      <c r="C840" s="68" t="inlineStr">
        <is>
          <t>2009Q</t>
        </is>
      </c>
      <c r="D840" s="59" t="inlineStr">
        <is>
          <t xml:space="preserve">05084-04-017-000 </t>
        </is>
      </c>
      <c r="E840" s="72" t="inlineStr">
        <is>
          <t>Actual</t>
        </is>
      </c>
      <c r="F840" s="73" t="inlineStr">
        <is>
          <t>2737 W 2ND                  AV</t>
        </is>
      </c>
      <c r="G840" s="708" t="n">
        <v>44.2</v>
      </c>
      <c r="H840" s="67" t="n">
        <v>9508</v>
      </c>
      <c r="I840" s="69" t="n">
        <v>0</v>
      </c>
      <c r="J840" s="714" t="n">
        <v>6448</v>
      </c>
      <c r="K840" s="715" t="n">
        <v>7.111507444168734</v>
      </c>
      <c r="L840" s="74" t="n">
        <v>0</v>
      </c>
      <c r="M840" s="76" t="n">
        <v>0.03637553156689565</v>
      </c>
      <c r="N840" s="67" t="n">
        <v>1982</v>
      </c>
      <c r="O840" s="64" t="n">
        <v>1805</v>
      </c>
      <c r="Q840" s="59" t="n">
        <v>16</v>
      </c>
      <c r="R840" s="59" t="n">
        <v>3</v>
      </c>
      <c r="S840" s="59" t="n">
        <v>1</v>
      </c>
      <c r="T840" s="63" t="inlineStr">
        <is>
          <t xml:space="preserve">I0   </t>
        </is>
      </c>
      <c r="U840" s="63" t="n">
        <v>398</v>
      </c>
      <c r="V840" s="714" t="n">
        <v>17875</v>
      </c>
      <c r="W840" s="714" t="n">
        <v>18000</v>
      </c>
      <c r="X840" s="83" t="inlineStr">
        <is>
          <t>2.8:1</t>
        </is>
      </c>
      <c r="Y840" s="714">
        <f>ROUND(J840,-3)</f>
        <v/>
      </c>
      <c r="Z840" s="63" t="inlineStr">
        <is>
          <t xml:space="preserve">C </t>
        </is>
      </c>
      <c r="AA840" s="59" t="n">
        <v>3</v>
      </c>
      <c r="AB840" s="59" t="n">
        <v>3</v>
      </c>
      <c r="AC840" s="67" t="inlineStr">
        <is>
          <t>33</t>
        </is>
      </c>
      <c r="AD840" s="61" t="inlineStr"/>
      <c r="AE840" s="716" t="n"/>
      <c r="AF840" s="716" t="n"/>
      <c r="AG840" s="716" t="n"/>
      <c r="AH840" s="716" t="n"/>
      <c r="AI840" s="716" t="n"/>
      <c r="AJ840" s="716" t="n"/>
      <c r="AK840" s="716" t="inlineStr">
        <is>
          <t xml:space="preserve">S-T WHSE.; 2006 LEASE.                                            </t>
        </is>
      </c>
      <c r="AL840">
        <f>IF(AND(ISNUMBER($S840),$S840&gt;0,ISNUMBER($K840),ISNUMBER($J840)),($K840*$J840)/$S840,"")</f>
        <v/>
      </c>
    </row>
    <row r="841">
      <c r="A841" s="62" t="n">
        <v>8</v>
      </c>
      <c r="B841" s="93" t="n">
        <v>833</v>
      </c>
      <c r="C841" s="68" t="inlineStr">
        <is>
          <t>2009Q</t>
        </is>
      </c>
      <c r="D841" s="59" t="inlineStr">
        <is>
          <t xml:space="preserve">05084-09-037-037 </t>
        </is>
      </c>
      <c r="E841" s="72" t="inlineStr">
        <is>
          <t>Actual</t>
        </is>
      </c>
      <c r="F841" s="73" t="inlineStr">
        <is>
          <t>2550 W 2ND                  AV</t>
        </is>
      </c>
      <c r="G841" s="708" t="n">
        <v>44.8</v>
      </c>
      <c r="H841" s="67" t="n">
        <v>9508</v>
      </c>
      <c r="I841" s="69" t="n">
        <v>0</v>
      </c>
      <c r="J841" s="714" t="n">
        <v>8586</v>
      </c>
      <c r="K841" s="715" t="n">
        <v>10.48218029350105</v>
      </c>
      <c r="L841" s="74" t="n">
        <v>0</v>
      </c>
      <c r="M841" s="76" t="n">
        <v>0</v>
      </c>
      <c r="N841" s="67" t="n">
        <v>1968</v>
      </c>
      <c r="Q841" s="59" t="n">
        <v>20</v>
      </c>
      <c r="R841" s="59" t="n">
        <v>14</v>
      </c>
      <c r="S841" s="59" t="n">
        <v>1</v>
      </c>
      <c r="T841" s="63" t="inlineStr">
        <is>
          <t xml:space="preserve">I1   </t>
        </is>
      </c>
      <c r="U841" s="63" t="n">
        <v>398</v>
      </c>
      <c r="V841" s="714" t="n">
        <v>17648</v>
      </c>
      <c r="W841" s="714" t="n">
        <v>18000</v>
      </c>
      <c r="X841" s="83" t="inlineStr">
        <is>
          <t>2.1:1</t>
        </is>
      </c>
      <c r="Y841" s="714">
        <f>ROUND(J841,-3)</f>
        <v/>
      </c>
      <c r="Z841" s="63" t="inlineStr">
        <is>
          <t xml:space="preserve">C </t>
        </is>
      </c>
      <c r="AA841" s="59" t="n">
        <v>3</v>
      </c>
      <c r="AB841" s="59" t="n">
        <v>3</v>
      </c>
      <c r="AC841" s="67" t="inlineStr">
        <is>
          <t>33</t>
        </is>
      </c>
      <c r="AD841" s="61" t="inlineStr">
        <is>
          <t>BRYANT ST CONDO #102</t>
        </is>
      </c>
      <c r="AE841" s="716" t="n"/>
      <c r="AF841" s="716" t="n"/>
      <c r="AG841" s="716" t="n"/>
      <c r="AH841" s="716" t="n"/>
      <c r="AI841" s="716" t="n"/>
      <c r="AJ841" s="716" t="n"/>
      <c r="AK841" s="716" t="inlineStr">
        <is>
          <t xml:space="preserve">S-T WHSE. CONDO.                                                  </t>
        </is>
      </c>
      <c r="AL841">
        <f>IF(AND(ISNUMBER($S841),$S841&gt;0,ISNUMBER($K841),ISNUMBER($J841)),($K841*$J841)/$S841,"")</f>
        <v/>
      </c>
    </row>
    <row r="842">
      <c r="A842" s="62" t="n">
        <v>8</v>
      </c>
      <c r="B842" s="93" t="n">
        <v>834</v>
      </c>
      <c r="C842" s="68" t="inlineStr">
        <is>
          <t>2009Q</t>
        </is>
      </c>
      <c r="D842" s="59" t="inlineStr">
        <is>
          <t xml:space="preserve">05091-00-003-000 </t>
        </is>
      </c>
      <c r="E842" s="72" t="inlineStr">
        <is>
          <t>Actual</t>
        </is>
      </c>
      <c r="F842" s="73" t="inlineStr">
        <is>
          <t>577   OSAGE                ST</t>
        </is>
      </c>
      <c r="G842" s="708" t="n">
        <v>44.2</v>
      </c>
      <c r="H842" s="67" t="n">
        <v>9505</v>
      </c>
      <c r="I842" s="69" t="n">
        <v>0</v>
      </c>
      <c r="J842" s="714" t="n">
        <v>51985</v>
      </c>
      <c r="K842" s="715" t="n">
        <v>5.4</v>
      </c>
      <c r="L842" s="74" t="n">
        <v>0</v>
      </c>
      <c r="M842" s="76" t="n">
        <v>0</v>
      </c>
      <c r="N842" s="67" t="n">
        <v>1973</v>
      </c>
      <c r="O842" s="64" t="n">
        <v>2478</v>
      </c>
      <c r="Q842" s="59" t="n">
        <v>22</v>
      </c>
      <c r="R842" s="59" t="n">
        <v>14</v>
      </c>
      <c r="S842" s="59" t="n">
        <v>1</v>
      </c>
      <c r="T842" s="63" t="inlineStr">
        <is>
          <t xml:space="preserve">I1   </t>
        </is>
      </c>
      <c r="U842" s="63" t="n">
        <v>398</v>
      </c>
      <c r="V842" s="714" t="n">
        <v>54671</v>
      </c>
      <c r="W842" s="714" t="n">
        <v>50000</v>
      </c>
      <c r="X842" s="83" t="inlineStr">
        <is>
          <t>1.1:1</t>
        </is>
      </c>
      <c r="Y842" s="714">
        <f>ROUND(J842,-4)</f>
        <v/>
      </c>
      <c r="Z842" s="63" t="inlineStr">
        <is>
          <t xml:space="preserve">C </t>
        </is>
      </c>
      <c r="AA842" s="59" t="n">
        <v>2</v>
      </c>
      <c r="AB842" s="59" t="n">
        <v>1</v>
      </c>
      <c r="AC842" s="67" t="inlineStr">
        <is>
          <t>21</t>
        </is>
      </c>
      <c r="AD842" s="61" t="inlineStr"/>
      <c r="AE842" s="716" t="n"/>
      <c r="AF842" s="716" t="n"/>
      <c r="AG842" s="716" t="n"/>
      <c r="AH842" s="716" t="n"/>
      <c r="AI842" s="716" t="n"/>
      <c r="AJ842" s="716" t="n"/>
      <c r="AK842" s="716" t="inlineStr">
        <is>
          <t xml:space="preserve">S-T WHSE.                                                         </t>
        </is>
      </c>
      <c r="AL842">
        <f>IF(AND(ISNUMBER($S842),$S842&gt;0,ISNUMBER($K842),ISNUMBER($J842)),($K842*$J842)/$S842,"")</f>
        <v/>
      </c>
    </row>
    <row r="843">
      <c r="A843" s="62" t="n">
        <v>8</v>
      </c>
      <c r="B843" s="93" t="n">
        <v>835</v>
      </c>
      <c r="C843" s="68" t="inlineStr">
        <is>
          <t>2009Q</t>
        </is>
      </c>
      <c r="D843" s="59" t="inlineStr">
        <is>
          <t xml:space="preserve">05091-00-049-000 </t>
        </is>
      </c>
      <c r="E843" s="72" t="inlineStr">
        <is>
          <t>Actual</t>
        </is>
      </c>
      <c r="F843" s="73" t="inlineStr">
        <is>
          <t>123   RIO GRANDE           BV</t>
        </is>
      </c>
      <c r="G843" s="708" t="n">
        <v>44.2</v>
      </c>
      <c r="H843" s="67" t="n">
        <v>9505</v>
      </c>
      <c r="I843" s="69" t="n">
        <v>0</v>
      </c>
      <c r="J843" s="714" t="n">
        <v>12994</v>
      </c>
      <c r="K843" s="715" t="n">
        <v>7.107280283207634</v>
      </c>
      <c r="L843" s="74" t="n">
        <v>0</v>
      </c>
      <c r="M843" s="76" t="n">
        <v>0.1374631843381843</v>
      </c>
      <c r="N843" s="67" t="n">
        <v>1959</v>
      </c>
      <c r="O843" s="64" t="n">
        <v>2548</v>
      </c>
      <c r="Q843" s="59" t="n">
        <v>16</v>
      </c>
      <c r="R843" s="59" t="n">
        <v>1</v>
      </c>
      <c r="S843" s="59" t="n">
        <v>1</v>
      </c>
      <c r="T843" s="63" t="inlineStr">
        <is>
          <t xml:space="preserve">I1   </t>
        </is>
      </c>
      <c r="U843" s="63" t="n">
        <v>398</v>
      </c>
      <c r="V843" s="714" t="n">
        <v>20500</v>
      </c>
      <c r="W843" s="714" t="n">
        <v>21000</v>
      </c>
      <c r="X843" s="83" t="inlineStr">
        <is>
          <t>1.6:1</t>
        </is>
      </c>
      <c r="Y843" s="714">
        <f>ROUND(J843,-3)</f>
        <v/>
      </c>
      <c r="Z843" s="63" t="inlineStr">
        <is>
          <t xml:space="preserve">C </t>
        </is>
      </c>
      <c r="AA843" s="59" t="n">
        <v>3</v>
      </c>
      <c r="AB843" s="59" t="n">
        <v>3</v>
      </c>
      <c r="AC843" s="67" t="inlineStr">
        <is>
          <t>33</t>
        </is>
      </c>
      <c r="AD843" s="61" t="inlineStr">
        <is>
          <t xml:space="preserve">DIST                </t>
        </is>
      </c>
      <c r="AE843" s="716" t="n"/>
      <c r="AF843" s="716" t="n"/>
      <c r="AG843" s="716" t="n"/>
      <c r="AH843" s="716" t="n"/>
      <c r="AI843" s="716" t="n"/>
      <c r="AJ843" s="716" t="n"/>
      <c r="AK843" s="716" t="inlineStr">
        <is>
          <t xml:space="preserve">S-T WHSE.; 2005 LEASE.                                            </t>
        </is>
      </c>
      <c r="AL843">
        <f>IF(AND(ISNUMBER($S843),$S843&gt;0,ISNUMBER($K843),ISNUMBER($J843)),($K843*$J843)/$S843,"")</f>
        <v/>
      </c>
    </row>
    <row r="844">
      <c r="A844" s="62" t="n">
        <v>8</v>
      </c>
      <c r="B844" s="93" t="n">
        <v>836</v>
      </c>
      <c r="C844" s="68" t="inlineStr">
        <is>
          <t>2009Q</t>
        </is>
      </c>
      <c r="D844" s="59" t="inlineStr">
        <is>
          <t xml:space="preserve">05091-00-050-000 </t>
        </is>
      </c>
      <c r="E844" s="72" t="inlineStr">
        <is>
          <t>Actual</t>
        </is>
      </c>
      <c r="F844" s="73" t="inlineStr">
        <is>
          <t>1490 W 3RD                  AV</t>
        </is>
      </c>
      <c r="G844" s="708" t="n">
        <v>44.2</v>
      </c>
      <c r="H844" s="67" t="n">
        <v>9505</v>
      </c>
      <c r="I844" s="69" t="n">
        <v>0</v>
      </c>
      <c r="J844" s="714" t="n">
        <v>8502</v>
      </c>
      <c r="K844" s="715" t="n">
        <v>7.339449541284404</v>
      </c>
      <c r="L844" s="74" t="n">
        <v>0</v>
      </c>
      <c r="M844" s="76" t="n">
        <v>0</v>
      </c>
      <c r="N844" s="67" t="n">
        <v>1968</v>
      </c>
      <c r="O844" s="64">
        <f>7467+1642</f>
        <v/>
      </c>
      <c r="Q844" s="59" t="n">
        <v>16</v>
      </c>
      <c r="R844" s="59" t="n">
        <v>1</v>
      </c>
      <c r="S844" s="59" t="n">
        <v>1</v>
      </c>
      <c r="T844" s="63" t="inlineStr">
        <is>
          <t xml:space="preserve">I1   </t>
        </is>
      </c>
      <c r="U844" s="63" t="n">
        <v>398</v>
      </c>
      <c r="V844" s="714" t="n">
        <v>12400</v>
      </c>
      <c r="W844" s="714" t="n">
        <v>12000</v>
      </c>
      <c r="X844" s="83" t="inlineStr">
        <is>
          <t>1.5:1</t>
        </is>
      </c>
      <c r="Y844" s="714">
        <f>ROUND(J844,-3)</f>
        <v/>
      </c>
      <c r="Z844" s="63" t="inlineStr">
        <is>
          <t xml:space="preserve">C </t>
        </is>
      </c>
      <c r="AA844" s="59" t="n">
        <v>3</v>
      </c>
      <c r="AB844" s="59" t="n">
        <v>3</v>
      </c>
      <c r="AC844" s="67" t="inlineStr">
        <is>
          <t>33</t>
        </is>
      </c>
      <c r="AD844" s="61" t="inlineStr"/>
      <c r="AE844" s="716" t="n"/>
      <c r="AF844" s="716" t="n"/>
      <c r="AG844" s="716" t="n"/>
      <c r="AH844" s="716" t="n"/>
      <c r="AI844" s="716" t="n"/>
      <c r="AJ844" s="716" t="n"/>
      <c r="AK844" s="716" t="inlineStr">
        <is>
          <t xml:space="preserve">S-T WHSE.; 2005 LEASE.                                            </t>
        </is>
      </c>
      <c r="AL844">
        <f>IF(AND(ISNUMBER($S844),$S844&gt;0,ISNUMBER($K844),ISNUMBER($J844)),($K844*$J844)/$S844,"")</f>
        <v/>
      </c>
    </row>
    <row r="845">
      <c r="A845" s="62" t="n">
        <v>8</v>
      </c>
      <c r="B845" s="93" t="n">
        <v>837</v>
      </c>
      <c r="C845" s="68" t="inlineStr">
        <is>
          <t>2009Q</t>
        </is>
      </c>
      <c r="D845" s="59" t="inlineStr">
        <is>
          <t xml:space="preserve">05091-00-067-000 </t>
        </is>
      </c>
      <c r="E845" s="72" t="inlineStr">
        <is>
          <t>Actual</t>
        </is>
      </c>
      <c r="F845" s="73" t="inlineStr">
        <is>
          <t>1480 W 3RD                  AV</t>
        </is>
      </c>
      <c r="G845" s="708" t="n">
        <v>44.1</v>
      </c>
      <c r="H845" s="67" t="n">
        <v>9505</v>
      </c>
      <c r="I845" s="69" t="n">
        <v>0</v>
      </c>
      <c r="J845" s="714" t="n">
        <v>7200</v>
      </c>
      <c r="K845" s="715" t="n">
        <v>6.666666666666667</v>
      </c>
      <c r="L845" s="74" t="n">
        <v>0</v>
      </c>
      <c r="M845" s="76" t="n">
        <v>0</v>
      </c>
      <c r="N845" s="67" t="n">
        <v>1966</v>
      </c>
      <c r="O845" s="64" t="n">
        <v>4200</v>
      </c>
      <c r="Q845" s="59" t="n">
        <v>14</v>
      </c>
      <c r="R845" s="59" t="n">
        <v>3</v>
      </c>
      <c r="S845" s="59" t="n">
        <v>1</v>
      </c>
      <c r="T845" s="63" t="inlineStr">
        <is>
          <t xml:space="preserve">I1   </t>
        </is>
      </c>
      <c r="U845" s="63" t="n">
        <v>398</v>
      </c>
      <c r="V845" s="714" t="n">
        <v>11917</v>
      </c>
      <c r="W845" s="714" t="n">
        <v>12000</v>
      </c>
      <c r="X845" s="83" t="inlineStr">
        <is>
          <t>1.7:1</t>
        </is>
      </c>
      <c r="Y845" s="714">
        <f>ROUND(J845,-3)</f>
        <v/>
      </c>
      <c r="Z845" s="63" t="inlineStr">
        <is>
          <t xml:space="preserve">C </t>
        </is>
      </c>
      <c r="AA845" s="59" t="n">
        <v>3</v>
      </c>
      <c r="AB845" s="59" t="n">
        <v>3</v>
      </c>
      <c r="AC845" s="67" t="inlineStr">
        <is>
          <t>33</t>
        </is>
      </c>
      <c r="AD845" s="61" t="inlineStr"/>
      <c r="AE845" s="716" t="n"/>
      <c r="AF845" s="716" t="n"/>
      <c r="AG845" s="716" t="n"/>
      <c r="AH845" s="716" t="n"/>
      <c r="AI845" s="716" t="n"/>
      <c r="AJ845" s="716" t="n"/>
      <c r="AK845" s="716" t="inlineStr">
        <is>
          <t xml:space="preserve">S-T WHSE.; 2004 LEASE.                                            </t>
        </is>
      </c>
      <c r="AL845">
        <f>IF(AND(ISNUMBER($S845),$S845&gt;0,ISNUMBER($K845),ISNUMBER($J845)),($K845*$J845)/$S845,"")</f>
        <v/>
      </c>
    </row>
    <row r="846">
      <c r="A846" s="62" t="n">
        <v>8</v>
      </c>
      <c r="B846" s="93" t="n">
        <v>838</v>
      </c>
      <c r="C846" s="68" t="inlineStr">
        <is>
          <t>2009Q</t>
        </is>
      </c>
      <c r="D846" s="59" t="inlineStr">
        <is>
          <t xml:space="preserve">05091-00-082-000 </t>
        </is>
      </c>
      <c r="E846" s="72" t="inlineStr">
        <is>
          <t>Actual</t>
        </is>
      </c>
      <c r="F846" s="73" t="inlineStr">
        <is>
          <t>485   OSAGE                ST</t>
        </is>
      </c>
      <c r="G846" s="708" t="n">
        <v>44.1</v>
      </c>
      <c r="H846" s="67" t="n">
        <v>9505</v>
      </c>
      <c r="I846" s="69" t="n">
        <v>0</v>
      </c>
      <c r="J846" s="714" t="n">
        <v>19565</v>
      </c>
      <c r="K846" s="715" t="n">
        <v>6.133401482238692</v>
      </c>
      <c r="L846" s="74" t="n">
        <v>0</v>
      </c>
      <c r="M846" s="76" t="n">
        <v>0.001125</v>
      </c>
      <c r="N846" s="67" t="n">
        <v>1960</v>
      </c>
      <c r="O846" s="64" t="n">
        <v>2015</v>
      </c>
      <c r="Q846" s="59" t="n">
        <v>17</v>
      </c>
      <c r="R846" s="59" t="n">
        <v>3</v>
      </c>
      <c r="S846" s="59" t="n">
        <v>1</v>
      </c>
      <c r="T846" s="63" t="inlineStr">
        <is>
          <t xml:space="preserve">I1   </t>
        </is>
      </c>
      <c r="U846" s="63" t="n">
        <v>398</v>
      </c>
      <c r="V846" s="714" t="n">
        <v>43372</v>
      </c>
      <c r="W846" s="714" t="n">
        <v>43000</v>
      </c>
      <c r="X846" s="83" t="inlineStr">
        <is>
          <t>2.2:1</t>
        </is>
      </c>
      <c r="Y846" s="714">
        <f>ROUND(J846,-3)</f>
        <v/>
      </c>
      <c r="Z846" s="63" t="inlineStr">
        <is>
          <t xml:space="preserve">C </t>
        </is>
      </c>
      <c r="AA846" s="59" t="n">
        <v>3</v>
      </c>
      <c r="AB846" s="59" t="n">
        <v>3</v>
      </c>
      <c r="AC846" s="67" t="inlineStr">
        <is>
          <t>33</t>
        </is>
      </c>
      <c r="AD846" s="61" t="inlineStr">
        <is>
          <t xml:space="preserve">COLO WIRE &amp; CABLE   </t>
        </is>
      </c>
      <c r="AE846" s="716" t="n"/>
      <c r="AF846" s="716" t="n"/>
      <c r="AG846" s="716" t="n"/>
      <c r="AH846" s="716" t="n"/>
      <c r="AI846" s="716" t="n"/>
      <c r="AJ846" s="716" t="n"/>
      <c r="AK846" s="716" t="inlineStr">
        <is>
          <t xml:space="preserve">S-T WHSE.; AGE OF LEASE UNKNOWN.                                  </t>
        </is>
      </c>
      <c r="AL846">
        <f>IF(AND(ISNUMBER($S846),$S846&gt;0,ISNUMBER($K846),ISNUMBER($J846)),($K846*$J846)/$S846,"")</f>
        <v/>
      </c>
    </row>
    <row r="847">
      <c r="A847" s="62" t="n">
        <v>8</v>
      </c>
      <c r="B847" s="93" t="n">
        <v>839</v>
      </c>
      <c r="C847" s="68" t="inlineStr">
        <is>
          <t>2009Q</t>
        </is>
      </c>
      <c r="D847" s="59" t="inlineStr">
        <is>
          <t xml:space="preserve">05091-00-133-000 </t>
        </is>
      </c>
      <c r="E847" s="72" t="inlineStr">
        <is>
          <t>Actual</t>
        </is>
      </c>
      <c r="F847" s="73" t="inlineStr">
        <is>
          <t>275   RIO GRANDE           BV</t>
        </is>
      </c>
      <c r="G847" s="708" t="n">
        <v>44.1</v>
      </c>
      <c r="H847" s="67" t="n">
        <v>9505</v>
      </c>
      <c r="I847" s="69" t="n">
        <v>0</v>
      </c>
      <c r="J847" s="714" t="n">
        <v>51633</v>
      </c>
      <c r="K847" s="715" t="n">
        <v>4.069993996087773</v>
      </c>
      <c r="L847" s="74" t="n">
        <v>0</v>
      </c>
      <c r="M847" s="76" t="n">
        <v>0</v>
      </c>
      <c r="N847" s="67" t="n">
        <v>1957</v>
      </c>
      <c r="O847" s="64" t="n">
        <v>6565</v>
      </c>
      <c r="Q847" s="59" t="n">
        <v>14</v>
      </c>
      <c r="R847" s="59" t="n">
        <v>3</v>
      </c>
      <c r="S847" s="59" t="n">
        <v>1</v>
      </c>
      <c r="T847" s="63" t="inlineStr">
        <is>
          <t xml:space="preserve">I1   </t>
        </is>
      </c>
      <c r="U847" s="63" t="n">
        <v>398</v>
      </c>
      <c r="V847" s="714" t="n">
        <v>74400</v>
      </c>
      <c r="W847" s="714" t="n">
        <v>70000</v>
      </c>
      <c r="X847" s="83" t="inlineStr">
        <is>
          <t>1.4:1</t>
        </is>
      </c>
      <c r="Y847" s="714">
        <f>ROUND(J847,-4)</f>
        <v/>
      </c>
      <c r="Z847" s="63" t="inlineStr">
        <is>
          <t xml:space="preserve">A </t>
        </is>
      </c>
      <c r="AA847" s="59" t="n">
        <v>3</v>
      </c>
      <c r="AB847" s="59" t="n">
        <v>3</v>
      </c>
      <c r="AC847" s="67" t="inlineStr">
        <is>
          <t>33</t>
        </is>
      </c>
      <c r="AD847" s="61" t="inlineStr">
        <is>
          <t xml:space="preserve">DIST/WATER SYSTEMS  </t>
        </is>
      </c>
      <c r="AE847" s="716" t="n"/>
      <c r="AF847" s="716" t="n"/>
      <c r="AG847" s="716" t="n"/>
      <c r="AH847" s="716" t="n"/>
      <c r="AI847" s="716" t="n"/>
      <c r="AJ847" s="716" t="n"/>
      <c r="AK847" s="716" t="inlineStr">
        <is>
          <t xml:space="preserve">S-T WHSE.; 2005 LEASE.                                            </t>
        </is>
      </c>
      <c r="AL847">
        <f>IF(AND(ISNUMBER($S847),$S847&gt;0,ISNUMBER($K847),ISNUMBER($J847)),($K847*$J847)/$S847,"")</f>
        <v/>
      </c>
    </row>
    <row r="848">
      <c r="A848" s="62" t="n">
        <v>8</v>
      </c>
      <c r="B848" s="93" t="n">
        <v>840</v>
      </c>
      <c r="C848" s="68" t="inlineStr">
        <is>
          <t>2009Q</t>
        </is>
      </c>
      <c r="D848" s="59" t="inlineStr">
        <is>
          <t xml:space="preserve">05091-00-147-000 </t>
        </is>
      </c>
      <c r="E848" s="72" t="inlineStr">
        <is>
          <t>Actual</t>
        </is>
      </c>
      <c r="F848" s="73" t="inlineStr">
        <is>
          <t>480   OSAGE                ST</t>
        </is>
      </c>
      <c r="G848" s="708" t="n">
        <v>44.2</v>
      </c>
      <c r="H848" s="67" t="n">
        <v>9505</v>
      </c>
      <c r="I848" s="69" t="n">
        <v>0</v>
      </c>
      <c r="J848" s="714" t="n">
        <v>37478</v>
      </c>
      <c r="K848" s="715" t="n">
        <v>5.944607503068466</v>
      </c>
      <c r="L848" s="74" t="n">
        <v>0</v>
      </c>
      <c r="M848" s="76" t="n">
        <v>0</v>
      </c>
      <c r="N848" s="67" t="n">
        <v>1962</v>
      </c>
      <c r="Q848" s="59" t="n">
        <v>21</v>
      </c>
      <c r="R848" s="59" t="n">
        <v>3</v>
      </c>
      <c r="S848" s="59" t="n">
        <v>1</v>
      </c>
      <c r="T848" s="63" t="inlineStr">
        <is>
          <t xml:space="preserve">I2   </t>
        </is>
      </c>
      <c r="U848" s="63" t="n">
        <v>398</v>
      </c>
      <c r="V848" s="714" t="n">
        <v>117467</v>
      </c>
      <c r="W848" s="714" t="n">
        <v>120000</v>
      </c>
      <c r="X848" s="83" t="inlineStr">
        <is>
          <t>3.1:1</t>
        </is>
      </c>
      <c r="Y848" s="714">
        <f>ROUND(J848,-3)</f>
        <v/>
      </c>
      <c r="Z848" s="63" t="inlineStr">
        <is>
          <t xml:space="preserve">C </t>
        </is>
      </c>
      <c r="AA848" s="59" t="n">
        <v>2</v>
      </c>
      <c r="AB848" s="59" t="n">
        <v>3</v>
      </c>
      <c r="AC848" s="67" t="inlineStr">
        <is>
          <t>23</t>
        </is>
      </c>
      <c r="AD848" s="61" t="inlineStr">
        <is>
          <t xml:space="preserve">CAL EXPNDED METAL   </t>
        </is>
      </c>
      <c r="AE848" s="716" t="n"/>
      <c r="AF848" s="716" t="n"/>
      <c r="AG848" s="716" t="n"/>
      <c r="AH848" s="716" t="n"/>
      <c r="AI848" s="716" t="n"/>
      <c r="AJ848" s="716" t="n"/>
      <c r="AK848" s="716" t="inlineStr">
        <is>
          <t xml:space="preserve">S-T WHSE.                                                         </t>
        </is>
      </c>
      <c r="AL848">
        <f>IF(AND(ISNUMBER($S848),$S848&gt;0,ISNUMBER($K848),ISNUMBER($J848)),($K848*$J848)/$S848,"")</f>
        <v/>
      </c>
    </row>
    <row r="849">
      <c r="A849" s="62" t="n">
        <v>8</v>
      </c>
      <c r="B849" s="93" t="n">
        <v>841</v>
      </c>
      <c r="C849" s="68" t="inlineStr">
        <is>
          <t>2009Q</t>
        </is>
      </c>
      <c r="D849" s="59" t="inlineStr">
        <is>
          <t xml:space="preserve">05091-00-150-000 </t>
        </is>
      </c>
      <c r="E849" s="72" t="inlineStr">
        <is>
          <t>Actual</t>
        </is>
      </c>
      <c r="F849" s="73" t="inlineStr">
        <is>
          <t>1440 W 3RD                  AV</t>
        </is>
      </c>
      <c r="G849" s="708" t="n">
        <v>44.1</v>
      </c>
      <c r="H849" s="67" t="n">
        <v>9505</v>
      </c>
      <c r="I849" s="69" t="n">
        <v>0</v>
      </c>
      <c r="J849" s="714" t="n">
        <v>13440</v>
      </c>
      <c r="K849" s="715" t="n">
        <v>4.069940476190476</v>
      </c>
      <c r="L849" s="74" t="n">
        <v>0</v>
      </c>
      <c r="M849" s="76" t="n">
        <v>0</v>
      </c>
      <c r="N849" s="67" t="n">
        <v>1952</v>
      </c>
      <c r="O849" s="64" t="n">
        <v>2360</v>
      </c>
      <c r="Q849" s="59" t="n">
        <v>17</v>
      </c>
      <c r="R849" s="59" t="n">
        <v>1</v>
      </c>
      <c r="S849" s="59" t="n">
        <v>1</v>
      </c>
      <c r="T849" s="63" t="inlineStr">
        <is>
          <t xml:space="preserve">I1   </t>
        </is>
      </c>
      <c r="U849" s="63" t="n">
        <v>398</v>
      </c>
      <c r="V849" s="714" t="n">
        <v>34439</v>
      </c>
      <c r="W849" s="714" t="n">
        <v>34000</v>
      </c>
      <c r="X849" s="83" t="inlineStr">
        <is>
          <t>2.6:1</t>
        </is>
      </c>
      <c r="Y849" s="714">
        <f>ROUND(J849,-3)</f>
        <v/>
      </c>
      <c r="Z849" s="63" t="inlineStr">
        <is>
          <t xml:space="preserve">C </t>
        </is>
      </c>
      <c r="AA849" s="59" t="n">
        <v>3</v>
      </c>
      <c r="AB849" s="59" t="n">
        <v>3</v>
      </c>
      <c r="AC849" s="67" t="inlineStr">
        <is>
          <t>33</t>
        </is>
      </c>
      <c r="AD849" s="61" t="inlineStr">
        <is>
          <t xml:space="preserve">S-W WATER SYSTEMS   </t>
        </is>
      </c>
      <c r="AE849" s="716" t="n"/>
      <c r="AF849" s="716" t="n"/>
      <c r="AG849" s="716" t="n"/>
      <c r="AH849" s="716" t="n"/>
      <c r="AI849" s="716" t="n"/>
      <c r="AJ849" s="716" t="n"/>
      <c r="AK849" s="716" t="inlineStr">
        <is>
          <t xml:space="preserve">S-T WHSE.; 2005 LEASE.                                            </t>
        </is>
      </c>
      <c r="AL849">
        <f>IF(AND(ISNUMBER($S849),$S849&gt;0,ISNUMBER($K849),ISNUMBER($J849)),($K849*$J849)/$S849,"")</f>
        <v/>
      </c>
    </row>
    <row r="850">
      <c r="A850" s="62" t="n">
        <v>8</v>
      </c>
      <c r="B850" s="93" t="n">
        <v>842</v>
      </c>
      <c r="C850" s="68" t="inlineStr">
        <is>
          <t>2009Q</t>
        </is>
      </c>
      <c r="D850" s="59" t="inlineStr">
        <is>
          <t xml:space="preserve">05091-02-008-000 </t>
        </is>
      </c>
      <c r="E850" s="72" t="inlineStr">
        <is>
          <t>Actual</t>
        </is>
      </c>
      <c r="F850" s="73" t="inlineStr">
        <is>
          <t>530   SANTA FE             DR</t>
        </is>
      </c>
      <c r="G850" s="708" t="n">
        <v>43.1</v>
      </c>
      <c r="H850" s="67" t="n">
        <v>9505</v>
      </c>
      <c r="I850" s="69" t="n">
        <v>3</v>
      </c>
      <c r="J850" s="714" t="n">
        <v>2380</v>
      </c>
      <c r="K850" s="715" t="n">
        <v>6.050420168067227</v>
      </c>
      <c r="L850" s="74" t="n">
        <v>0.5</v>
      </c>
      <c r="M850" s="76" t="n">
        <v>0</v>
      </c>
      <c r="N850" s="67" t="n">
        <v>1942</v>
      </c>
      <c r="O850" s="64" t="inlineStr"/>
      <c r="Q850" s="59" t="n">
        <v>10</v>
      </c>
      <c r="R850" s="59" t="n">
        <v>3</v>
      </c>
      <c r="S850" s="59" t="n">
        <v>1</v>
      </c>
      <c r="T850" s="63" t="inlineStr">
        <is>
          <t xml:space="preserve">B4   </t>
        </is>
      </c>
      <c r="U850" s="63" t="n">
        <v>401</v>
      </c>
      <c r="V850" s="714" t="n">
        <v>2624</v>
      </c>
      <c r="W850" s="714" t="n">
        <v>3000</v>
      </c>
      <c r="X850" s="83" t="inlineStr">
        <is>
          <t>1.1:1</t>
        </is>
      </c>
      <c r="Y850" s="714">
        <f>ROUND(J850,-3)</f>
        <v/>
      </c>
      <c r="Z850" s="63" t="inlineStr">
        <is>
          <t xml:space="preserve">C </t>
        </is>
      </c>
      <c r="AA850" s="59" t="n">
        <v>3</v>
      </c>
      <c r="AB850" s="59" t="n">
        <v>3</v>
      </c>
      <c r="AC850" s="67" t="inlineStr">
        <is>
          <t>33</t>
        </is>
      </c>
      <c r="AD850" s="61" t="inlineStr">
        <is>
          <t>S-F TOM MEYER SHEETM</t>
        </is>
      </c>
      <c r="AE850" s="716" t="n"/>
      <c r="AF850" s="716" t="n"/>
      <c r="AG850" s="716" t="n"/>
      <c r="AH850" s="716" t="n"/>
      <c r="AI850" s="716" t="n"/>
      <c r="AJ850" s="716" t="n"/>
      <c r="AK850" s="716" t="inlineStr">
        <is>
          <t xml:space="preserve">S-T WHSE.                                                         </t>
        </is>
      </c>
      <c r="AL850">
        <f>IF(AND(ISNUMBER($S850),$S850&gt;0,ISNUMBER($K850),ISNUMBER($J850)),($K850*$J850)/$S850,"")</f>
        <v/>
      </c>
    </row>
    <row r="851">
      <c r="A851" s="62" t="n">
        <v>8</v>
      </c>
      <c r="B851" s="93" t="n">
        <v>843</v>
      </c>
      <c r="C851" s="68" t="inlineStr">
        <is>
          <t>2009Q</t>
        </is>
      </c>
      <c r="D851" s="59" t="inlineStr">
        <is>
          <t xml:space="preserve">05091-03-046-000 </t>
        </is>
      </c>
      <c r="E851" s="72" t="inlineStr">
        <is>
          <t>Actual</t>
        </is>
      </c>
      <c r="F851" s="73" t="inlineStr">
        <is>
          <t>525   SANTA FE             DR</t>
        </is>
      </c>
      <c r="G851" s="708" t="n">
        <v>44.1</v>
      </c>
      <c r="H851" s="67" t="n">
        <v>9505</v>
      </c>
      <c r="I851" s="69" t="n">
        <v>3</v>
      </c>
      <c r="J851" s="714" t="n">
        <v>21594</v>
      </c>
      <c r="K851" s="715" t="n">
        <v>7.219690654811521</v>
      </c>
      <c r="L851" s="74" t="n">
        <v>0</v>
      </c>
      <c r="M851" s="76" t="n">
        <v>0</v>
      </c>
      <c r="N851" s="67" t="n">
        <v>1975</v>
      </c>
      <c r="O851" s="64" t="n">
        <v>5148</v>
      </c>
      <c r="P851" s="64" t="n">
        <v>8100</v>
      </c>
      <c r="Q851" s="59" t="n">
        <v>17</v>
      </c>
      <c r="R851" s="59" t="n">
        <v>3</v>
      </c>
      <c r="S851" s="59" t="n">
        <v>3</v>
      </c>
      <c r="T851" s="63" t="inlineStr">
        <is>
          <t xml:space="preserve">B4   </t>
        </is>
      </c>
      <c r="U851" s="63" t="n">
        <v>398</v>
      </c>
      <c r="V851" s="714" t="n">
        <v>26775</v>
      </c>
      <c r="W851" s="714" t="n">
        <v>27000</v>
      </c>
      <c r="X851" s="83" t="inlineStr">
        <is>
          <t>1.2:1</t>
        </is>
      </c>
      <c r="Y851" s="714">
        <f>ROUND(J851,-3)</f>
        <v/>
      </c>
      <c r="Z851" s="63" t="inlineStr">
        <is>
          <t xml:space="preserve">C </t>
        </is>
      </c>
      <c r="AA851" s="59" t="n">
        <v>3</v>
      </c>
      <c r="AB851" s="59" t="n">
        <v>3</v>
      </c>
      <c r="AC851" s="67" t="inlineStr">
        <is>
          <t>33</t>
        </is>
      </c>
      <c r="AD851" s="61" t="inlineStr">
        <is>
          <t>MULTI/DISTRIB/OFFICE</t>
        </is>
      </c>
      <c r="AE851" s="716" t="n"/>
      <c r="AF851" s="716" t="n"/>
      <c r="AG851" s="716" t="n"/>
      <c r="AH851" s="716" t="n"/>
      <c r="AI851" s="716" t="n"/>
      <c r="AJ851" s="716" t="n"/>
      <c r="AK851" s="716" t="inlineStr">
        <is>
          <t xml:space="preserve">TRIPLE NET-2 STORY 8,100 SF OF OFFICE ON 2ND-TWO TENANTS          </t>
        </is>
      </c>
      <c r="AL851">
        <f>IF(AND(ISNUMBER($S851),$S851&gt;0,ISNUMBER($K851),ISNUMBER($J851)),($K851*$J851)/$S851,"")</f>
        <v/>
      </c>
    </row>
    <row r="852">
      <c r="A852" s="62" t="n">
        <v>8</v>
      </c>
      <c r="B852" s="93" t="n">
        <v>844</v>
      </c>
      <c r="C852" s="68" t="inlineStr">
        <is>
          <t>2009Q</t>
        </is>
      </c>
      <c r="D852" s="59" t="inlineStr">
        <is>
          <t xml:space="preserve">05091-03-047-000 </t>
        </is>
      </c>
      <c r="E852" s="72" t="inlineStr">
        <is>
          <t>Actual</t>
        </is>
      </c>
      <c r="F852" s="73" t="inlineStr">
        <is>
          <t>925 W 5TH                  AV</t>
        </is>
      </c>
      <c r="G852" s="708" t="n">
        <v>44.1</v>
      </c>
      <c r="H852" s="67" t="n">
        <v>9505</v>
      </c>
      <c r="I852" s="69" t="n">
        <v>3</v>
      </c>
      <c r="J852" s="714" t="n">
        <v>1995</v>
      </c>
      <c r="K852" s="715" t="n">
        <v>3.007518796992481</v>
      </c>
      <c r="L852" s="74" t="n">
        <v>0</v>
      </c>
      <c r="M852" s="76" t="n">
        <v>0</v>
      </c>
      <c r="N852" s="67" t="n">
        <v>1929</v>
      </c>
      <c r="Q852" s="59" t="n">
        <v>14</v>
      </c>
      <c r="R852" s="59" t="n">
        <v>1</v>
      </c>
      <c r="S852" s="59" t="n">
        <v>1</v>
      </c>
      <c r="T852" s="63" t="inlineStr">
        <is>
          <t xml:space="preserve">B4   </t>
        </is>
      </c>
      <c r="U852" s="63" t="n">
        <v>398</v>
      </c>
      <c r="V852" s="714" t="n">
        <v>17850</v>
      </c>
      <c r="W852" s="714" t="n">
        <v>18000</v>
      </c>
      <c r="X852" s="83" t="inlineStr">
        <is>
          <t>8.9:1</t>
        </is>
      </c>
      <c r="Y852" s="714">
        <f>ROUND(J852,-2)</f>
        <v/>
      </c>
      <c r="Z852" s="63" t="inlineStr">
        <is>
          <t xml:space="preserve">C </t>
        </is>
      </c>
      <c r="AA852" s="59" t="n">
        <v>3</v>
      </c>
      <c r="AB852" s="59" t="n">
        <v>3</v>
      </c>
      <c r="AC852" s="67" t="inlineStr">
        <is>
          <t>33</t>
        </is>
      </c>
      <c r="AD852" s="61" t="inlineStr">
        <is>
          <t xml:space="preserve">WAREHOUSE           </t>
        </is>
      </c>
      <c r="AE852" s="716" t="n"/>
      <c r="AF852" s="716" t="n"/>
      <c r="AG852" s="716" t="n"/>
      <c r="AH852" s="716" t="n"/>
      <c r="AI852" s="716" t="n"/>
      <c r="AJ852" s="716" t="n"/>
      <c r="AK852" s="716" t="inlineStr"/>
      <c r="AL852">
        <f>IF(AND(ISNUMBER($S852),$S852&gt;0,ISNUMBER($K852),ISNUMBER($J852)),($K852*$J852)/$S852,"")</f>
        <v/>
      </c>
    </row>
    <row r="853">
      <c r="A853" s="62" t="n">
        <v>8</v>
      </c>
      <c r="B853" s="93" t="n">
        <v>845</v>
      </c>
      <c r="C853" s="68" t="inlineStr">
        <is>
          <t>2009Q</t>
        </is>
      </c>
      <c r="D853" s="59" t="inlineStr">
        <is>
          <t xml:space="preserve">05091-03-048-000 </t>
        </is>
      </c>
      <c r="E853" s="72" t="inlineStr">
        <is>
          <t>Actual</t>
        </is>
      </c>
      <c r="F853" s="73" t="inlineStr">
        <is>
          <t>525   SANTA FE             DR</t>
        </is>
      </c>
      <c r="G853" s="708" t="n">
        <v>44.1</v>
      </c>
      <c r="H853" s="67" t="n">
        <v>9505</v>
      </c>
      <c r="I853" s="69" t="n">
        <v>3</v>
      </c>
      <c r="J853" s="714" t="n">
        <v>7555</v>
      </c>
      <c r="K853" s="715" t="n">
        <v>11.56796823295831</v>
      </c>
      <c r="L853" s="74" t="n">
        <v>0</v>
      </c>
      <c r="M853" s="76" t="n">
        <v>0</v>
      </c>
      <c r="N853" s="67" t="n">
        <v>1975</v>
      </c>
      <c r="O853" s="64" t="n">
        <v>287</v>
      </c>
      <c r="Q853" s="59" t="n">
        <v>17</v>
      </c>
      <c r="R853" s="59" t="n">
        <v>3</v>
      </c>
      <c r="S853" s="59" t="n">
        <v>1</v>
      </c>
      <c r="T853" s="63" t="inlineStr">
        <is>
          <t xml:space="preserve">B4   </t>
        </is>
      </c>
      <c r="U853" s="63" t="n">
        <v>398</v>
      </c>
      <c r="V853" s="714" t="n">
        <v>8925</v>
      </c>
      <c r="W853" s="714" t="n">
        <v>9000</v>
      </c>
      <c r="X853" s="83" t="inlineStr">
        <is>
          <t>1.2:1</t>
        </is>
      </c>
      <c r="Y853" s="714">
        <f>ROUND(J853,-3)</f>
        <v/>
      </c>
      <c r="Z853" s="63" t="inlineStr">
        <is>
          <t xml:space="preserve">C </t>
        </is>
      </c>
      <c r="AA853" s="59" t="n">
        <v>3</v>
      </c>
      <c r="AB853" s="59" t="n">
        <v>3</v>
      </c>
      <c r="AC853" s="67" t="inlineStr">
        <is>
          <t>33</t>
        </is>
      </c>
      <c r="AD853" s="61" t="inlineStr">
        <is>
          <t xml:space="preserve">WAREHOUSE           </t>
        </is>
      </c>
      <c r="AE853" s="716" t="n"/>
      <c r="AF853" s="716" t="n"/>
      <c r="AG853" s="716" t="n"/>
      <c r="AH853" s="716" t="n"/>
      <c r="AI853" s="716" t="n"/>
      <c r="AJ853" s="716" t="n"/>
      <c r="AK853" s="716" t="inlineStr"/>
      <c r="AL853">
        <f>IF(AND(ISNUMBER($S853),$S853&gt;0,ISNUMBER($K853),ISNUMBER($J853)),($K853*$J853)/$S853,"")</f>
        <v/>
      </c>
    </row>
    <row r="854">
      <c r="A854" s="62" t="n">
        <v>8</v>
      </c>
      <c r="B854" s="93" t="n">
        <v>846</v>
      </c>
      <c r="C854" s="68" t="inlineStr">
        <is>
          <t>2009Q</t>
        </is>
      </c>
      <c r="D854" s="59" t="inlineStr">
        <is>
          <t xml:space="preserve">05091-04-018-000 </t>
        </is>
      </c>
      <c r="E854" s="72" t="inlineStr">
        <is>
          <t>Actual</t>
        </is>
      </c>
      <c r="F854" s="73" t="inlineStr">
        <is>
          <t>527   KALAMATH             ST</t>
        </is>
      </c>
      <c r="G854" s="708" t="n">
        <v>44.1</v>
      </c>
      <c r="H854" s="67" t="n">
        <v>9505</v>
      </c>
      <c r="I854" s="69" t="n">
        <v>0</v>
      </c>
      <c r="J854" s="714" t="n">
        <v>2500</v>
      </c>
      <c r="K854" s="715" t="n">
        <v>4.8</v>
      </c>
      <c r="L854" s="74" t="n">
        <v>0</v>
      </c>
      <c r="M854" s="76" t="n">
        <v>0.10025</v>
      </c>
      <c r="N854" s="67" t="n">
        <v>1973</v>
      </c>
      <c r="O854" s="64" t="n">
        <v>336</v>
      </c>
      <c r="Q854" s="59" t="n">
        <v>13</v>
      </c>
      <c r="R854" s="59" t="n">
        <v>3</v>
      </c>
      <c r="S854" s="59" t="n">
        <v>1</v>
      </c>
      <c r="T854" s="63" t="inlineStr">
        <is>
          <t xml:space="preserve">I1   </t>
        </is>
      </c>
      <c r="U854" s="63" t="n">
        <v>398</v>
      </c>
      <c r="V854" s="714" t="n">
        <v>3900</v>
      </c>
      <c r="W854" s="714" t="n">
        <v>4000</v>
      </c>
      <c r="X854" s="83" t="inlineStr">
        <is>
          <t>1.6:1</t>
        </is>
      </c>
      <c r="Y854" s="714">
        <f>ROUND(J854,-3)</f>
        <v/>
      </c>
      <c r="Z854" s="63" t="inlineStr">
        <is>
          <t xml:space="preserve">C </t>
        </is>
      </c>
      <c r="AA854" s="59" t="n">
        <v>3</v>
      </c>
      <c r="AB854" s="59" t="n">
        <v>3</v>
      </c>
      <c r="AC854" s="67" t="inlineStr">
        <is>
          <t>33</t>
        </is>
      </c>
      <c r="AD854" s="61" t="inlineStr">
        <is>
          <t>S-W COLO MOLD SUPPLY</t>
        </is>
      </c>
      <c r="AE854" s="716" t="n"/>
      <c r="AF854" s="716" t="n"/>
      <c r="AG854" s="716" t="n"/>
      <c r="AH854" s="716" t="n"/>
      <c r="AI854" s="716" t="n"/>
      <c r="AJ854" s="716" t="n"/>
      <c r="AK854" s="716" t="inlineStr"/>
      <c r="AL854">
        <f>IF(AND(ISNUMBER($S854),$S854&gt;0,ISNUMBER($K854),ISNUMBER($J854)),($K854*$J854)/$S854,"")</f>
        <v/>
      </c>
    </row>
    <row r="855">
      <c r="A855" s="62" t="n">
        <v>8</v>
      </c>
      <c r="B855" s="93" t="n">
        <v>847</v>
      </c>
      <c r="C855" s="68" t="inlineStr">
        <is>
          <t>2009Q</t>
        </is>
      </c>
      <c r="D855" s="59" t="inlineStr">
        <is>
          <t xml:space="preserve">05091-04-037-000 </t>
        </is>
      </c>
      <c r="E855" s="72" t="inlineStr">
        <is>
          <t>Actual</t>
        </is>
      </c>
      <c r="F855" s="73" t="inlineStr">
        <is>
          <t>550   LIPAN                ST</t>
        </is>
      </c>
      <c r="G855" s="708" t="n">
        <v>44.1</v>
      </c>
      <c r="H855" s="67" t="n">
        <v>9505</v>
      </c>
      <c r="I855" s="69" t="n">
        <v>0</v>
      </c>
      <c r="J855" s="714" t="n">
        <v>16340</v>
      </c>
      <c r="K855" s="715" t="n">
        <v>6.536107711138311</v>
      </c>
      <c r="L855" s="74" t="n">
        <v>0</v>
      </c>
      <c r="M855" s="76" t="n">
        <v>0</v>
      </c>
      <c r="N855" s="67" t="n">
        <v>1958</v>
      </c>
      <c r="O855" s="64">
        <f>980+1118+658</f>
        <v/>
      </c>
      <c r="P855" s="64">
        <f>1466*2</f>
        <v/>
      </c>
      <c r="Q855" s="59" t="n">
        <v>16</v>
      </c>
      <c r="R855" s="59" t="n">
        <v>7</v>
      </c>
      <c r="S855" s="59" t="n">
        <v>1</v>
      </c>
      <c r="T855" s="63" t="inlineStr">
        <is>
          <t xml:space="preserve">I1   </t>
        </is>
      </c>
      <c r="U855" s="63" t="n">
        <v>398</v>
      </c>
      <c r="V855" s="714" t="n">
        <v>35625</v>
      </c>
      <c r="W855" s="714" t="n">
        <v>36000</v>
      </c>
      <c r="X855" s="83" t="inlineStr">
        <is>
          <t>2.2:1</t>
        </is>
      </c>
      <c r="Y855" s="714">
        <f>ROUND(J855,-3)</f>
        <v/>
      </c>
      <c r="Z855" s="63" t="inlineStr">
        <is>
          <t xml:space="preserve">C </t>
        </is>
      </c>
      <c r="AA855" s="59" t="n">
        <v>3</v>
      </c>
      <c r="AB855" s="59" t="n">
        <v>1</v>
      </c>
      <c r="AC855" s="67" t="inlineStr">
        <is>
          <t>31</t>
        </is>
      </c>
      <c r="AD855" s="61" t="inlineStr">
        <is>
          <t xml:space="preserve">HOWELL CONSTRUCTION </t>
        </is>
      </c>
      <c r="AE855" s="716" t="n"/>
      <c r="AF855" s="716" t="n"/>
      <c r="AG855" s="716" t="n"/>
      <c r="AH855" s="716" t="n"/>
      <c r="AI855" s="716" t="n"/>
      <c r="AJ855" s="716" t="n"/>
      <c r="AK855" s="716" t="inlineStr"/>
      <c r="AL855">
        <f>IF(AND(ISNUMBER($S855),$S855&gt;0,ISNUMBER($K855),ISNUMBER($J855)),($K855*$J855)/$S855,"")</f>
        <v/>
      </c>
    </row>
    <row r="856">
      <c r="A856" s="62" t="n">
        <v>8</v>
      </c>
      <c r="B856" s="93" t="n">
        <v>848</v>
      </c>
      <c r="C856" s="68" t="inlineStr">
        <is>
          <t>2009Q</t>
        </is>
      </c>
      <c r="D856" s="59" t="inlineStr">
        <is>
          <t xml:space="preserve">05091-07-022-000 </t>
        </is>
      </c>
      <c r="E856" s="72" t="inlineStr">
        <is>
          <t>Actual</t>
        </is>
      </c>
      <c r="F856" s="73" t="inlineStr">
        <is>
          <t>425   SANTA FE             DR</t>
        </is>
      </c>
      <c r="G856" s="708" t="n">
        <v>44.2</v>
      </c>
      <c r="H856" s="67" t="n">
        <v>9505</v>
      </c>
      <c r="I856" s="69" t="n">
        <v>3</v>
      </c>
      <c r="J856" s="714" t="n">
        <v>8925</v>
      </c>
      <c r="K856" s="715" t="n">
        <v>5.378151260504202</v>
      </c>
      <c r="L856" s="74" t="n">
        <v>0</v>
      </c>
      <c r="M856" s="76" t="n">
        <v>0</v>
      </c>
      <c r="N856" s="67" t="n">
        <v>1959</v>
      </c>
      <c r="O856" s="64" t="n">
        <v>2775</v>
      </c>
      <c r="Q856" s="59" t="n">
        <v>11</v>
      </c>
      <c r="R856" s="59" t="n">
        <v>1</v>
      </c>
      <c r="S856" s="59" t="n">
        <v>1</v>
      </c>
      <c r="T856" s="63" t="inlineStr">
        <is>
          <t xml:space="preserve">B4   </t>
        </is>
      </c>
      <c r="U856" s="63" t="n">
        <v>398</v>
      </c>
      <c r="V856" s="714" t="n">
        <v>8925</v>
      </c>
      <c r="W856" s="714" t="n">
        <v>9000</v>
      </c>
      <c r="X856" s="83" t="inlineStr">
        <is>
          <t>1.0:1</t>
        </is>
      </c>
      <c r="Y856" s="714">
        <f>ROUND(J856,-3)</f>
        <v/>
      </c>
      <c r="Z856" s="63" t="inlineStr">
        <is>
          <t xml:space="preserve">C </t>
        </is>
      </c>
      <c r="AA856" s="59" t="n">
        <v>3</v>
      </c>
      <c r="AB856" s="59" t="n">
        <v>3</v>
      </c>
      <c r="AC856" s="67" t="inlineStr">
        <is>
          <t>33</t>
        </is>
      </c>
      <c r="AD856" s="61" t="inlineStr">
        <is>
          <t xml:space="preserve">S-W                 </t>
        </is>
      </c>
      <c r="AE856" s="716" t="n"/>
      <c r="AF856" s="716" t="n"/>
      <c r="AG856" s="716" t="n"/>
      <c r="AH856" s="716" t="n"/>
      <c r="AI856" s="716" t="n"/>
      <c r="AJ856" s="716" t="n"/>
      <c r="AK856" s="716" t="inlineStr"/>
      <c r="AL856">
        <f>IF(AND(ISNUMBER($S856),$S856&gt;0,ISNUMBER($K856),ISNUMBER($J856)),($K856*$J856)/$S856,"")</f>
        <v/>
      </c>
    </row>
    <row r="857">
      <c r="A857" s="62" t="n">
        <v>8</v>
      </c>
      <c r="B857" s="93" t="n">
        <v>849</v>
      </c>
      <c r="C857" s="68" t="inlineStr">
        <is>
          <t>2009Q</t>
        </is>
      </c>
      <c r="D857" s="59" t="inlineStr">
        <is>
          <t xml:space="preserve">05091-08-001-000 </t>
        </is>
      </c>
      <c r="E857" s="72" t="inlineStr">
        <is>
          <t>Actual</t>
        </is>
      </c>
      <c r="F857" s="73" t="inlineStr">
        <is>
          <t>490   SANTA FE             DR</t>
        </is>
      </c>
      <c r="G857" s="708" t="n">
        <v>42.1</v>
      </c>
      <c r="H857" s="67" t="n">
        <v>9505</v>
      </c>
      <c r="I857" s="69" t="n">
        <v>3</v>
      </c>
      <c r="J857" s="714" t="n">
        <v>4020</v>
      </c>
      <c r="K857" s="715" t="n">
        <v>5.970149253731344</v>
      </c>
      <c r="L857" s="74" t="n">
        <v>0</v>
      </c>
      <c r="M857" s="76" t="n">
        <v>0.04166666666666666</v>
      </c>
      <c r="N857" s="67" t="n">
        <v>1975</v>
      </c>
      <c r="O857" s="64" t="n">
        <v>705</v>
      </c>
      <c r="Q857" s="59" t="n">
        <v>17</v>
      </c>
      <c r="R857" s="59" t="n">
        <v>1</v>
      </c>
      <c r="S857" s="59" t="n">
        <v>1</v>
      </c>
      <c r="T857" s="63" t="inlineStr">
        <is>
          <t xml:space="preserve">B4   </t>
        </is>
      </c>
      <c r="U857" s="63" t="n">
        <v>401</v>
      </c>
      <c r="V857" s="714" t="n">
        <v>5247</v>
      </c>
      <c r="W857" s="714" t="n">
        <v>5000</v>
      </c>
      <c r="X857" s="83" t="inlineStr">
        <is>
          <t>1.3:1</t>
        </is>
      </c>
      <c r="Y857" s="714">
        <f>ROUND(J857,-3)</f>
        <v/>
      </c>
      <c r="Z857" s="63" t="inlineStr">
        <is>
          <t xml:space="preserve">C </t>
        </is>
      </c>
      <c r="AA857" s="59" t="n">
        <v>3</v>
      </c>
      <c r="AB857" s="59" t="n">
        <v>3</v>
      </c>
      <c r="AC857" s="67" t="inlineStr">
        <is>
          <t>33</t>
        </is>
      </c>
      <c r="AD857" s="61" t="inlineStr">
        <is>
          <t xml:space="preserve">S-W                 </t>
        </is>
      </c>
      <c r="AE857" s="716" t="n"/>
      <c r="AF857" s="716" t="n"/>
      <c r="AG857" s="716" t="n"/>
      <c r="AH857" s="716" t="n"/>
      <c r="AI857" s="716" t="n"/>
      <c r="AJ857" s="716" t="n"/>
      <c r="AK857" s="716" t="inlineStr"/>
      <c r="AL857">
        <f>IF(AND(ISNUMBER($S857),$S857&gt;0,ISNUMBER($K857),ISNUMBER($J857)),($K857*$J857)/$S857,"")</f>
        <v/>
      </c>
    </row>
    <row r="858">
      <c r="A858" s="62" t="n">
        <v>8</v>
      </c>
      <c r="B858" s="93" t="n">
        <v>850</v>
      </c>
      <c r="C858" s="68" t="inlineStr">
        <is>
          <t>2009Q</t>
        </is>
      </c>
      <c r="D858" s="59" t="inlineStr">
        <is>
          <t xml:space="preserve">05091-11-011-000 </t>
        </is>
      </c>
      <c r="E858" s="72" t="inlineStr">
        <is>
          <t>Actual</t>
        </is>
      </c>
      <c r="F858" s="73" t="inlineStr">
        <is>
          <t>320   SANTA FE             DR</t>
        </is>
      </c>
      <c r="G858" s="708" t="n">
        <v>44.2</v>
      </c>
      <c r="H858" s="67" t="n">
        <v>9505</v>
      </c>
      <c r="I858" s="69" t="n">
        <v>3</v>
      </c>
      <c r="J858" s="714" t="n">
        <v>1615</v>
      </c>
      <c r="K858" s="715" t="n">
        <v>6.315789473684211</v>
      </c>
      <c r="L858" s="74" t="n">
        <v>0</v>
      </c>
      <c r="M858" s="76" t="n">
        <v>0.05098039215686274</v>
      </c>
      <c r="N858" s="67" t="n">
        <v>1983</v>
      </c>
      <c r="O858" s="64" t="n">
        <v>324</v>
      </c>
      <c r="Q858" s="59" t="n">
        <v>14</v>
      </c>
      <c r="R858" s="59" t="n">
        <v>1</v>
      </c>
      <c r="S858" s="59" t="n">
        <v>1</v>
      </c>
      <c r="T858" s="63" t="inlineStr">
        <is>
          <t xml:space="preserve">B4   </t>
        </is>
      </c>
      <c r="U858" s="63" t="n">
        <v>398</v>
      </c>
      <c r="V858" s="714" t="n">
        <v>2698</v>
      </c>
      <c r="W858" s="714" t="n">
        <v>3000</v>
      </c>
      <c r="X858" s="83" t="inlineStr">
        <is>
          <t>1.7:1</t>
        </is>
      </c>
      <c r="Y858" s="714">
        <f>ROUND(J858,-2)</f>
        <v/>
      </c>
      <c r="Z858" s="63" t="inlineStr">
        <is>
          <t xml:space="preserve">C </t>
        </is>
      </c>
      <c r="AA858" s="59" t="n">
        <v>3</v>
      </c>
      <c r="AB858" s="59" t="n">
        <v>3</v>
      </c>
      <c r="AC858" s="67" t="inlineStr">
        <is>
          <t>33</t>
        </is>
      </c>
      <c r="AD858" s="61" t="inlineStr">
        <is>
          <t>S-W MNT PRKING EQUIP</t>
        </is>
      </c>
      <c r="AE858" s="716" t="n"/>
      <c r="AF858" s="716" t="n"/>
      <c r="AG858" s="716" t="n"/>
      <c r="AH858" s="716" t="n"/>
      <c r="AI858" s="716" t="n"/>
      <c r="AJ858" s="716" t="n"/>
      <c r="AK858" s="716" t="inlineStr"/>
      <c r="AL858">
        <f>IF(AND(ISNUMBER($S858),$S858&gt;0,ISNUMBER($K858),ISNUMBER($J858)),($K858*$J858)/$S858,"")</f>
        <v/>
      </c>
    </row>
    <row r="859">
      <c r="A859" s="62" t="n">
        <v>8</v>
      </c>
      <c r="B859" s="93" t="n">
        <v>851</v>
      </c>
      <c r="C859" s="68" t="inlineStr">
        <is>
          <t>2009Q</t>
        </is>
      </c>
      <c r="D859" s="59" t="inlineStr">
        <is>
          <t xml:space="preserve">05091-12-026-000 </t>
        </is>
      </c>
      <c r="E859" s="72" t="inlineStr">
        <is>
          <t>Actual</t>
        </is>
      </c>
      <c r="F859" s="73" t="inlineStr">
        <is>
          <t>357   SANTA FE             DR</t>
        </is>
      </c>
      <c r="G859" s="708" t="n">
        <v>47.2</v>
      </c>
      <c r="H859" s="67" t="n">
        <v>9505</v>
      </c>
      <c r="I859" s="69" t="n">
        <v>3</v>
      </c>
      <c r="J859" s="714" t="n">
        <v>8271</v>
      </c>
      <c r="K859" s="715" t="n">
        <v>4.352557127312296</v>
      </c>
      <c r="L859" s="74" t="n">
        <v>0</v>
      </c>
      <c r="M859" s="76" t="n">
        <v>0.05</v>
      </c>
      <c r="N859" s="67" t="n">
        <v>1957</v>
      </c>
      <c r="O859" s="64" t="n">
        <v>945</v>
      </c>
      <c r="Q859" s="59" t="n">
        <v>11</v>
      </c>
      <c r="R859" s="59" t="n">
        <v>3</v>
      </c>
      <c r="S859" s="59" t="n">
        <v>1</v>
      </c>
      <c r="T859" s="63" t="inlineStr">
        <is>
          <t xml:space="preserve">B4   </t>
        </is>
      </c>
      <c r="U859" s="63" t="n">
        <v>401</v>
      </c>
      <c r="V859" s="714" t="n">
        <v>11591</v>
      </c>
      <c r="W859" s="714" t="n">
        <v>12000</v>
      </c>
      <c r="X859" s="83" t="inlineStr">
        <is>
          <t>1.4:1</t>
        </is>
      </c>
      <c r="Y859" s="714">
        <f>ROUND(J859,-3)</f>
        <v/>
      </c>
      <c r="Z859" s="63" t="inlineStr">
        <is>
          <t xml:space="preserve">C </t>
        </is>
      </c>
      <c r="AA859" s="59" t="n">
        <v>3</v>
      </c>
      <c r="AB859" s="59" t="n">
        <v>2</v>
      </c>
      <c r="AC859" s="67" t="inlineStr">
        <is>
          <t>32</t>
        </is>
      </c>
      <c r="AD859" s="61" t="inlineStr"/>
      <c r="AE859" s="716" t="n"/>
      <c r="AF859" s="716" t="n"/>
      <c r="AG859" s="716" t="n"/>
      <c r="AH859" s="716" t="n"/>
      <c r="AI859" s="716" t="n"/>
      <c r="AJ859" s="716" t="n"/>
      <c r="AK859" s="716" t="inlineStr">
        <is>
          <t xml:space="preserve">OWNER PAYS TAXES                                                  </t>
        </is>
      </c>
      <c r="AL859">
        <f>IF(AND(ISNUMBER($S859),$S859&gt;0,ISNUMBER($K859),ISNUMBER($J859)),($K859*$J859)/$S859,"")</f>
        <v/>
      </c>
    </row>
    <row r="860">
      <c r="A860" s="62" t="n">
        <v>8</v>
      </c>
      <c r="B860" s="93" t="n">
        <v>852</v>
      </c>
      <c r="C860" s="68" t="inlineStr">
        <is>
          <t>2009Q</t>
        </is>
      </c>
      <c r="D860" s="59" t="inlineStr">
        <is>
          <t xml:space="preserve">05091-20-016-000 </t>
        </is>
      </c>
      <c r="E860" s="72" t="inlineStr">
        <is>
          <t>Actual</t>
        </is>
      </c>
      <c r="F860" s="73" t="inlineStr">
        <is>
          <t>275   KALAMATH             ST</t>
        </is>
      </c>
      <c r="G860" s="708" t="n">
        <v>44.2</v>
      </c>
      <c r="H860" s="67" t="n">
        <v>9505</v>
      </c>
      <c r="I860" s="69" t="n">
        <v>0</v>
      </c>
      <c r="J860" s="714" t="n">
        <v>17286</v>
      </c>
      <c r="K860" s="715" t="n">
        <v>3.362374175633461</v>
      </c>
      <c r="L860" s="74" t="n">
        <v>0</v>
      </c>
      <c r="M860" s="76" t="n">
        <v>0.04585182891159974</v>
      </c>
      <c r="N860" s="67" t="n">
        <v>1959</v>
      </c>
      <c r="O860" s="64" t="n">
        <v>2902</v>
      </c>
      <c r="Q860" s="59" t="n">
        <v>15</v>
      </c>
      <c r="R860" s="59" t="n">
        <v>3</v>
      </c>
      <c r="S860" s="59" t="n">
        <v>1</v>
      </c>
      <c r="T860" s="63" t="inlineStr">
        <is>
          <t xml:space="preserve">I1   </t>
        </is>
      </c>
      <c r="U860" s="63" t="n">
        <v>398</v>
      </c>
      <c r="V860" s="714" t="n">
        <v>36500</v>
      </c>
      <c r="W860" s="714" t="n">
        <v>37000</v>
      </c>
      <c r="X860" s="83" t="inlineStr">
        <is>
          <t>2.1:1</t>
        </is>
      </c>
      <c r="Y860" s="714">
        <f>ROUND(J860,-3)</f>
        <v/>
      </c>
      <c r="Z860" s="63" t="inlineStr">
        <is>
          <t xml:space="preserve">C </t>
        </is>
      </c>
      <c r="AA860" s="59" t="n">
        <v>3</v>
      </c>
      <c r="AB860" s="59" t="n">
        <v>3</v>
      </c>
      <c r="AC860" s="67" t="inlineStr">
        <is>
          <t>33</t>
        </is>
      </c>
      <c r="AD860" s="61" t="inlineStr">
        <is>
          <t xml:space="preserve">WHSE DIST.          </t>
        </is>
      </c>
      <c r="AE860" s="716" t="n"/>
      <c r="AF860" s="716" t="n"/>
      <c r="AG860" s="716" t="n"/>
      <c r="AH860" s="716" t="n"/>
      <c r="AI860" s="716" t="n"/>
      <c r="AJ860" s="716" t="n"/>
      <c r="AK860" s="716" t="inlineStr">
        <is>
          <t xml:space="preserve">OWNER PAYS TAXES                                                  </t>
        </is>
      </c>
      <c r="AL860">
        <f>IF(AND(ISNUMBER($S860),$S860&gt;0,ISNUMBER($K860),ISNUMBER($J860)),($K860*$J860)/$S860,"")</f>
        <v/>
      </c>
    </row>
    <row r="861">
      <c r="A861" s="62" t="n">
        <v>8</v>
      </c>
      <c r="B861" s="93" t="n">
        <v>853</v>
      </c>
      <c r="C861" s="68" t="inlineStr">
        <is>
          <t>2009Q</t>
        </is>
      </c>
      <c r="D861" s="59" t="inlineStr">
        <is>
          <t xml:space="preserve">05091-20-029-000 </t>
        </is>
      </c>
      <c r="E861" s="72" t="inlineStr">
        <is>
          <t>Actual</t>
        </is>
      </c>
      <c r="F861" s="73" t="inlineStr">
        <is>
          <t>200   LIPAN                ST</t>
        </is>
      </c>
      <c r="G861" s="708" t="n">
        <v>44.2</v>
      </c>
      <c r="H861" s="67" t="n">
        <v>9505</v>
      </c>
      <c r="I861" s="69" t="n">
        <v>0</v>
      </c>
      <c r="J861" s="714" t="n">
        <v>17945</v>
      </c>
      <c r="K861" s="715" t="n">
        <v>4.463304541655057</v>
      </c>
      <c r="L861" s="74" t="n">
        <v>0</v>
      </c>
      <c r="M861" s="76" t="n">
        <v>0.01498239568507004</v>
      </c>
      <c r="N861" s="67" t="n">
        <v>1952</v>
      </c>
      <c r="O861" s="64" t="n">
        <v>3083</v>
      </c>
      <c r="Q861" s="59" t="n">
        <v>14</v>
      </c>
      <c r="R861" s="59" t="n">
        <v>1</v>
      </c>
      <c r="S861" s="59" t="n">
        <v>1</v>
      </c>
      <c r="T861" s="63" t="inlineStr">
        <is>
          <t xml:space="preserve">I1   </t>
        </is>
      </c>
      <c r="U861" s="63" t="n">
        <v>398</v>
      </c>
      <c r="V861" s="714" t="n">
        <v>34960</v>
      </c>
      <c r="W861" s="714" t="n">
        <v>35000</v>
      </c>
      <c r="X861" s="83" t="inlineStr">
        <is>
          <t>1.9:1</t>
        </is>
      </c>
      <c r="Y861" s="714">
        <f>ROUND(J861,-3)</f>
        <v/>
      </c>
      <c r="Z861" s="63" t="inlineStr">
        <is>
          <t xml:space="preserve">C </t>
        </is>
      </c>
      <c r="AA861" s="59" t="n">
        <v>3</v>
      </c>
      <c r="AB861" s="59" t="n">
        <v>3</v>
      </c>
      <c r="AC861" s="67" t="inlineStr">
        <is>
          <t>33</t>
        </is>
      </c>
      <c r="AD861" s="61" t="inlineStr">
        <is>
          <t xml:space="preserve">S-W J.K. CONCEPTS   </t>
        </is>
      </c>
      <c r="AE861" s="716" t="n"/>
      <c r="AF861" s="716" t="n"/>
      <c r="AG861" s="716" t="n"/>
      <c r="AH861" s="716" t="n"/>
      <c r="AI861" s="716" t="n"/>
      <c r="AJ861" s="716" t="n"/>
      <c r="AK861" s="716" t="inlineStr">
        <is>
          <t xml:space="preserve">RELATED LEASE                                                     </t>
        </is>
      </c>
      <c r="AL861">
        <f>IF(AND(ISNUMBER($S861),$S861&gt;0,ISNUMBER($K861),ISNUMBER($J861)),($K861*$J861)/$S861,"")</f>
        <v/>
      </c>
    </row>
    <row r="862">
      <c r="A862" s="62" t="n">
        <v>8</v>
      </c>
      <c r="B862" s="93" t="n">
        <v>854</v>
      </c>
      <c r="C862" s="68" t="inlineStr">
        <is>
          <t>2009Q</t>
        </is>
      </c>
      <c r="D862" s="59" t="inlineStr">
        <is>
          <t xml:space="preserve">05091-26-009-000 </t>
        </is>
      </c>
      <c r="E862" s="72" t="inlineStr">
        <is>
          <t>Actual</t>
        </is>
      </c>
      <c r="F862" s="73" t="inlineStr">
        <is>
          <t>100   LIPAN                ST</t>
        </is>
      </c>
      <c r="G862" s="708" t="n">
        <v>44.2</v>
      </c>
      <c r="H862" s="67" t="n">
        <v>9505</v>
      </c>
      <c r="I862" s="69" t="n">
        <v>0</v>
      </c>
      <c r="J862" s="714" t="n">
        <v>11626</v>
      </c>
      <c r="K862" s="715" t="n">
        <v>3.571305694133838</v>
      </c>
      <c r="L862" s="74" t="n">
        <v>0</v>
      </c>
      <c r="M862" s="76" t="n">
        <v>0.09470134874759152</v>
      </c>
      <c r="N862" s="67" t="n">
        <v>1957</v>
      </c>
      <c r="O862" s="64" t="n">
        <v>3018</v>
      </c>
      <c r="Q862" s="59" t="n">
        <v>14</v>
      </c>
      <c r="R862" s="59" t="n">
        <v>1</v>
      </c>
      <c r="S862" s="59" t="n">
        <v>1</v>
      </c>
      <c r="T862" s="63" t="inlineStr">
        <is>
          <t xml:space="preserve">I1   </t>
        </is>
      </c>
      <c r="U862" s="63" t="n">
        <v>398</v>
      </c>
      <c r="V862" s="714" t="n">
        <v>17625</v>
      </c>
      <c r="W862" s="714" t="n">
        <v>18000</v>
      </c>
      <c r="X862" s="83" t="inlineStr">
        <is>
          <t>1.5:1</t>
        </is>
      </c>
      <c r="Y862" s="714">
        <f>ROUND(J862,-3)</f>
        <v/>
      </c>
      <c r="Z862" s="63" t="inlineStr">
        <is>
          <t xml:space="preserve">C </t>
        </is>
      </c>
      <c r="AA862" s="59" t="n">
        <v>3</v>
      </c>
      <c r="AB862" s="59" t="n">
        <v>3</v>
      </c>
      <c r="AC862" s="67" t="inlineStr">
        <is>
          <t>33</t>
        </is>
      </c>
      <c r="AD862" s="61" t="inlineStr">
        <is>
          <t xml:space="preserve">TURBO PRESS         </t>
        </is>
      </c>
      <c r="AE862" s="716" t="n"/>
      <c r="AF862" s="716" t="n"/>
      <c r="AG862" s="716" t="n"/>
      <c r="AH862" s="716" t="n"/>
      <c r="AI862" s="716" t="n"/>
      <c r="AJ862" s="716" t="n"/>
      <c r="AK862" s="716" t="inlineStr">
        <is>
          <t xml:space="preserve">OWNER PAYS PROPERTY TAXES                                         </t>
        </is>
      </c>
      <c r="AL862">
        <f>IF(AND(ISNUMBER($S862),$S862&gt;0,ISNUMBER($K862),ISNUMBER($J862)),($K862*$J862)/$S862,"")</f>
        <v/>
      </c>
    </row>
    <row r="863">
      <c r="A863" s="62" t="n">
        <v>8</v>
      </c>
      <c r="B863" s="93" t="n">
        <v>855</v>
      </c>
      <c r="C863" s="68" t="inlineStr">
        <is>
          <t>2009Q</t>
        </is>
      </c>
      <c r="D863" s="59" t="inlineStr">
        <is>
          <t xml:space="preserve">05092-00-035-000 </t>
        </is>
      </c>
      <c r="E863" s="72" t="inlineStr">
        <is>
          <t>Actual</t>
        </is>
      </c>
      <c r="F863" s="73" t="inlineStr">
        <is>
          <t>555   QUIVAS               ST</t>
        </is>
      </c>
      <c r="G863" s="708" t="n">
        <v>44.1</v>
      </c>
      <c r="H863" s="67" t="n">
        <v>9505</v>
      </c>
      <c r="I863" s="69" t="n">
        <v>0</v>
      </c>
      <c r="J863" s="714" t="n">
        <v>22750</v>
      </c>
      <c r="K863" s="715" t="n">
        <v>6.153846153846154</v>
      </c>
      <c r="L863" s="74" t="n">
        <v>0.6301098901098902</v>
      </c>
      <c r="M863" s="76" t="n">
        <v>0</v>
      </c>
      <c r="N863" s="67" t="n">
        <v>1956</v>
      </c>
      <c r="O863" s="64" t="n">
        <v>6221</v>
      </c>
      <c r="Q863" s="59" t="n">
        <v>14</v>
      </c>
      <c r="R863" s="59" t="n">
        <v>1</v>
      </c>
      <c r="S863" s="59" t="n">
        <v>1</v>
      </c>
      <c r="T863" s="63" t="inlineStr">
        <is>
          <t xml:space="preserve">I1   </t>
        </is>
      </c>
      <c r="U863" s="63" t="n">
        <v>398</v>
      </c>
      <c r="V863" s="714" t="n">
        <v>50000</v>
      </c>
      <c r="W863" s="714" t="n">
        <v>50000</v>
      </c>
      <c r="X863" s="83" t="inlineStr">
        <is>
          <t>2.2:1</t>
        </is>
      </c>
      <c r="Y863" s="714">
        <f>ROUND(J863,-3)</f>
        <v/>
      </c>
      <c r="Z863" s="63" t="inlineStr">
        <is>
          <t xml:space="preserve">C </t>
        </is>
      </c>
      <c r="AA863" s="59" t="n">
        <v>3</v>
      </c>
      <c r="AB863" s="59" t="n">
        <v>3</v>
      </c>
      <c r="AC863" s="67" t="inlineStr">
        <is>
          <t>33</t>
        </is>
      </c>
      <c r="AD863" s="61" t="inlineStr"/>
      <c r="AE863" s="716" t="n"/>
      <c r="AF863" s="716" t="n"/>
      <c r="AG863" s="716" t="n"/>
      <c r="AH863" s="716" t="n"/>
      <c r="AI863" s="716" t="n"/>
      <c r="AJ863" s="716" t="n"/>
      <c r="AK863" s="716" t="inlineStr"/>
      <c r="AL863">
        <f>IF(AND(ISNUMBER($S863),$S863&gt;0,ISNUMBER($K863),ISNUMBER($J863)),($K863*$J863)/$S863,"")</f>
        <v/>
      </c>
    </row>
    <row r="864">
      <c r="A864" s="62" t="n">
        <v>8</v>
      </c>
      <c r="B864" s="93" t="n">
        <v>856</v>
      </c>
      <c r="C864" s="68" t="inlineStr">
        <is>
          <t>2009Q</t>
        </is>
      </c>
      <c r="D864" s="59" t="inlineStr">
        <is>
          <t xml:space="preserve">05092-00-076-000 </t>
        </is>
      </c>
      <c r="E864" s="72" t="inlineStr">
        <is>
          <t>Actual</t>
        </is>
      </c>
      <c r="F864" s="73" t="inlineStr">
        <is>
          <t>657   OSAGE                ST</t>
        </is>
      </c>
      <c r="G864" s="708" t="n">
        <v>44.1</v>
      </c>
      <c r="H864" s="67" t="n">
        <v>9505</v>
      </c>
      <c r="I864" s="69" t="n">
        <v>0</v>
      </c>
      <c r="J864" s="714" t="n">
        <v>9361</v>
      </c>
      <c r="K864" s="715" t="n">
        <v>6.703023181284051</v>
      </c>
      <c r="L864" s="74" t="n">
        <v>0</v>
      </c>
      <c r="M864" s="76" t="n">
        <v>0.001115591183642246</v>
      </c>
      <c r="N864" s="67" t="n">
        <v>1965</v>
      </c>
      <c r="O864" s="64" t="n">
        <v>1260</v>
      </c>
      <c r="Q864" s="59" t="n">
        <v>14</v>
      </c>
      <c r="R864" s="59" t="n">
        <v>1</v>
      </c>
      <c r="S864" s="59" t="n">
        <v>1</v>
      </c>
      <c r="T864" s="63" t="inlineStr">
        <is>
          <t xml:space="preserve">I1   </t>
        </is>
      </c>
      <c r="U864" s="63" t="n">
        <v>398</v>
      </c>
      <c r="V864" s="714" t="n">
        <v>17908</v>
      </c>
      <c r="W864" s="714" t="n">
        <v>18000</v>
      </c>
      <c r="X864" s="83" t="inlineStr">
        <is>
          <t>1.9:1</t>
        </is>
      </c>
      <c r="Y864" s="714">
        <f>ROUND(J864,-3)</f>
        <v/>
      </c>
      <c r="Z864" s="63" t="inlineStr">
        <is>
          <t xml:space="preserve">C </t>
        </is>
      </c>
      <c r="AA864" s="59" t="n">
        <v>3</v>
      </c>
      <c r="AB864" s="59" t="n">
        <v>3</v>
      </c>
      <c r="AC864" s="67" t="inlineStr">
        <is>
          <t>33</t>
        </is>
      </c>
      <c r="AD864" s="61" t="inlineStr"/>
      <c r="AE864" s="716" t="n"/>
      <c r="AF864" s="716" t="n"/>
      <c r="AG864" s="716" t="n"/>
      <c r="AH864" s="716" t="n"/>
      <c r="AI864" s="716" t="n"/>
      <c r="AJ864" s="716" t="n"/>
      <c r="AK864" s="716" t="inlineStr"/>
      <c r="AL864">
        <f>IF(AND(ISNUMBER($S864),$S864&gt;0,ISNUMBER($K864),ISNUMBER($J864)),($K864*$J864)/$S864,"")</f>
        <v/>
      </c>
    </row>
    <row r="865">
      <c r="A865" s="62" t="n">
        <v>8</v>
      </c>
      <c r="B865" s="93" t="n">
        <v>857</v>
      </c>
      <c r="C865" s="68" t="inlineStr">
        <is>
          <t>2009Q</t>
        </is>
      </c>
      <c r="D865" s="59" t="inlineStr">
        <is>
          <t xml:space="preserve">05092-05-017-000 </t>
        </is>
      </c>
      <c r="E865" s="72" t="inlineStr">
        <is>
          <t>Actual</t>
        </is>
      </c>
      <c r="F865" s="73" t="inlineStr">
        <is>
          <t>2000 W 8TH                  AV</t>
        </is>
      </c>
      <c r="G865" s="708" t="n">
        <v>44.1</v>
      </c>
      <c r="H865" s="67" t="n">
        <v>9505</v>
      </c>
      <c r="I865" s="69" t="n">
        <v>0</v>
      </c>
      <c r="J865" s="714" t="n">
        <v>10702</v>
      </c>
      <c r="K865" s="715" t="n">
        <v>5.606428704914969</v>
      </c>
      <c r="L865" s="74" t="n">
        <v>0</v>
      </c>
      <c r="M865" s="76" t="n">
        <v>0</v>
      </c>
      <c r="N865" s="67" t="n">
        <v>1933</v>
      </c>
      <c r="O865" s="64">
        <f>1200+384+4384</f>
        <v/>
      </c>
      <c r="Q865" s="59" t="n">
        <v>12</v>
      </c>
      <c r="R865" s="59" t="n">
        <v>1</v>
      </c>
      <c r="S865" s="59" t="n">
        <v>1</v>
      </c>
      <c r="T865" s="63" t="inlineStr">
        <is>
          <t xml:space="preserve">I1   </t>
        </is>
      </c>
      <c r="U865" s="63" t="n">
        <v>398</v>
      </c>
      <c r="V865" s="714" t="n">
        <v>28801</v>
      </c>
      <c r="W865" s="714" t="n">
        <v>29000</v>
      </c>
      <c r="X865" s="83" t="inlineStr">
        <is>
          <t>2.7:1</t>
        </is>
      </c>
      <c r="Y865" s="714">
        <f>ROUND(J865,-3)</f>
        <v/>
      </c>
      <c r="Z865" s="63" t="inlineStr">
        <is>
          <t xml:space="preserve">C </t>
        </is>
      </c>
      <c r="AA865" s="59" t="n">
        <v>3</v>
      </c>
      <c r="AB865" s="59" t="n">
        <v>3</v>
      </c>
      <c r="AC865" s="67" t="inlineStr">
        <is>
          <t>33</t>
        </is>
      </c>
      <c r="AD865" s="61" t="inlineStr">
        <is>
          <t>CITY BARK DOGDAYCARE</t>
        </is>
      </c>
      <c r="AE865" s="716" t="n"/>
      <c r="AF865" s="716" t="n"/>
      <c r="AG865" s="716" t="n"/>
      <c r="AH865" s="716" t="n"/>
      <c r="AI865" s="716" t="n"/>
      <c r="AJ865" s="716" t="n"/>
      <c r="AK865" s="716" t="inlineStr">
        <is>
          <t xml:space="preserve">PROPERTY RENOVATED-OWNER PAID MORE EXPENSES                       </t>
        </is>
      </c>
      <c r="AL865">
        <f>IF(AND(ISNUMBER($S865),$S865&gt;0,ISNUMBER($K865),ISNUMBER($J865)),($K865*$J865)/$S865,"")</f>
        <v/>
      </c>
    </row>
    <row r="866">
      <c r="A866" s="62" t="n">
        <v>8</v>
      </c>
      <c r="B866" s="93" t="n">
        <v>858</v>
      </c>
      <c r="C866" s="68" t="inlineStr">
        <is>
          <t>2009Q</t>
        </is>
      </c>
      <c r="D866" s="59" t="inlineStr">
        <is>
          <t xml:space="preserve">05092-05-021-000 </t>
        </is>
      </c>
      <c r="E866" s="72" t="inlineStr">
        <is>
          <t>Actual</t>
        </is>
      </c>
      <c r="F866" s="73" t="inlineStr">
        <is>
          <t>730   UMATILLA             ST</t>
        </is>
      </c>
      <c r="G866" s="708" t="n">
        <v>47.1</v>
      </c>
      <c r="H866" s="67" t="n">
        <v>9505</v>
      </c>
      <c r="I866" s="69" t="n">
        <v>0</v>
      </c>
      <c r="J866" s="714" t="n">
        <v>12791</v>
      </c>
      <c r="K866" s="715" t="n">
        <v>7.116879055585959</v>
      </c>
      <c r="L866" s="74" t="n">
        <v>0</v>
      </c>
      <c r="M866" s="76" t="n">
        <v>0.0998220406011073</v>
      </c>
      <c r="N866" s="67" t="n">
        <v>1959</v>
      </c>
      <c r="O866" s="64">
        <f>1431+150</f>
        <v/>
      </c>
      <c r="Q866" s="59" t="n">
        <v>24</v>
      </c>
      <c r="R866" s="59" t="n">
        <v>3</v>
      </c>
      <c r="S866" s="59" t="n">
        <v>1</v>
      </c>
      <c r="T866" s="63" t="inlineStr">
        <is>
          <t xml:space="preserve">I1   </t>
        </is>
      </c>
      <c r="U866" s="63" t="n">
        <v>401</v>
      </c>
      <c r="V866" s="714" t="n">
        <v>51701</v>
      </c>
      <c r="W866" s="714" t="n">
        <v>50000</v>
      </c>
      <c r="X866" s="83" t="inlineStr">
        <is>
          <t>4.0:1</t>
        </is>
      </c>
      <c r="Y866" s="714">
        <f>ROUND(J866,-3)</f>
        <v/>
      </c>
      <c r="Z866" s="63" t="inlineStr">
        <is>
          <t xml:space="preserve">C </t>
        </is>
      </c>
      <c r="AA866" s="59" t="n">
        <v>3</v>
      </c>
      <c r="AB866" s="59" t="n">
        <v>3</v>
      </c>
      <c r="AC866" s="67" t="inlineStr">
        <is>
          <t>33</t>
        </is>
      </c>
      <c r="AD866" s="61" t="inlineStr"/>
      <c r="AE866" s="716" t="n"/>
      <c r="AF866" s="716" t="n"/>
      <c r="AG866" s="716" t="n"/>
      <c r="AH866" s="716" t="n"/>
      <c r="AI866" s="716" t="n"/>
      <c r="AJ866" s="716" t="n"/>
      <c r="AK866" s="716" t="inlineStr">
        <is>
          <t xml:space="preserve">OWNER PAID TAXES IN 2007-LEASE 1/01/08 AT $139,596                </t>
        </is>
      </c>
      <c r="AL866">
        <f>IF(AND(ISNUMBER($S866),$S866&gt;0,ISNUMBER($K866),ISNUMBER($J866)),($K866*$J866)/$S866,"")</f>
        <v/>
      </c>
    </row>
    <row r="867">
      <c r="A867" s="62" t="n">
        <v>8</v>
      </c>
      <c r="B867" s="93" t="n">
        <v>859</v>
      </c>
      <c r="C867" s="68" t="inlineStr">
        <is>
          <t>2009Q</t>
        </is>
      </c>
      <c r="D867" s="59" t="inlineStr">
        <is>
          <t xml:space="preserve">05092-06-015-000 </t>
        </is>
      </c>
      <c r="E867" s="72" t="inlineStr">
        <is>
          <t>Actual</t>
        </is>
      </c>
      <c r="F867" s="73" t="inlineStr">
        <is>
          <t>707   UMATILLA             ST</t>
        </is>
      </c>
      <c r="G867" s="708" t="n">
        <v>44.1</v>
      </c>
      <c r="H867" s="67" t="n">
        <v>9505</v>
      </c>
      <c r="I867" s="69" t="n">
        <v>0</v>
      </c>
      <c r="J867" s="714" t="n">
        <v>18270</v>
      </c>
      <c r="K867" s="715" t="n">
        <v>5.289381499726328</v>
      </c>
      <c r="L867" s="74" t="n">
        <v>0</v>
      </c>
      <c r="M867" s="76" t="n">
        <v>0.004139201341101234</v>
      </c>
      <c r="N867" s="67" t="n">
        <v>1982</v>
      </c>
      <c r="O867" s="64" t="n">
        <v>1128</v>
      </c>
      <c r="P867" s="64" t="n">
        <v>1293</v>
      </c>
      <c r="Q867" s="59" t="n">
        <v>17</v>
      </c>
      <c r="R867" s="59" t="n">
        <v>7</v>
      </c>
      <c r="S867" s="59" t="n">
        <v>1</v>
      </c>
      <c r="T867" s="63" t="inlineStr">
        <is>
          <t xml:space="preserve">I1   </t>
        </is>
      </c>
      <c r="U867" s="63" t="n">
        <v>398</v>
      </c>
      <c r="V867" s="714" t="n">
        <v>29950</v>
      </c>
      <c r="W867" s="714" t="n">
        <v>30000</v>
      </c>
      <c r="X867" s="83" t="inlineStr">
        <is>
          <t>1.6:1</t>
        </is>
      </c>
      <c r="Y867" s="714">
        <f>ROUND(J867,-3)</f>
        <v/>
      </c>
      <c r="Z867" s="63" t="inlineStr">
        <is>
          <t xml:space="preserve">C </t>
        </is>
      </c>
      <c r="AA867" s="59" t="n">
        <v>3</v>
      </c>
      <c r="AB867" s="59" t="n">
        <v>3</v>
      </c>
      <c r="AC867" s="67" t="inlineStr">
        <is>
          <t>33</t>
        </is>
      </c>
      <c r="AD867" s="61" t="inlineStr"/>
      <c r="AE867" s="716" t="n"/>
      <c r="AF867" s="716" t="n"/>
      <c r="AG867" s="716" t="n"/>
      <c r="AH867" s="716" t="n"/>
      <c r="AI867" s="716" t="n"/>
      <c r="AJ867" s="716" t="n"/>
      <c r="AK867" s="716" t="inlineStr"/>
      <c r="AL867">
        <f>IF(AND(ISNUMBER($S867),$S867&gt;0,ISNUMBER($K867),ISNUMBER($J867)),($K867*$J867)/$S867,"")</f>
        <v/>
      </c>
    </row>
    <row r="868">
      <c r="A868" s="62" t="n">
        <v>8</v>
      </c>
      <c r="B868" s="93" t="n">
        <v>860</v>
      </c>
      <c r="C868" s="68" t="inlineStr">
        <is>
          <t>2009Q</t>
        </is>
      </c>
      <c r="D868" s="59" t="inlineStr">
        <is>
          <t xml:space="preserve">05092-06-019-000 </t>
        </is>
      </c>
      <c r="E868" s="72" t="inlineStr">
        <is>
          <t>Actual</t>
        </is>
      </c>
      <c r="F868" s="73" t="inlineStr">
        <is>
          <t>2177 W 7TH                  AV</t>
        </is>
      </c>
      <c r="G868" s="708" t="n">
        <v>47.1</v>
      </c>
      <c r="H868" s="67" t="n">
        <v>9505</v>
      </c>
      <c r="I868" s="69" t="n">
        <v>0</v>
      </c>
      <c r="J868" s="714" t="n">
        <v>9000</v>
      </c>
      <c r="K868" s="715" t="n">
        <v>4</v>
      </c>
      <c r="L868" s="74" t="n">
        <v>0.1146566131602472</v>
      </c>
      <c r="M868" s="76" t="n">
        <v>0.2361111111111111</v>
      </c>
      <c r="N868" s="67" t="n">
        <v>1969</v>
      </c>
      <c r="O868" s="64" t="n">
        <v>668</v>
      </c>
      <c r="P868" s="64">
        <f>2942*2</f>
        <v/>
      </c>
      <c r="Q868" s="59" t="n">
        <v>12</v>
      </c>
      <c r="R868" s="59" t="n">
        <v>14</v>
      </c>
      <c r="S868" s="59" t="n">
        <v>1</v>
      </c>
      <c r="T868" s="63" t="inlineStr">
        <is>
          <t xml:space="preserve">I1   </t>
        </is>
      </c>
      <c r="U868" s="63" t="n">
        <v>401</v>
      </c>
      <c r="V868" s="714" t="n">
        <v>50950</v>
      </c>
      <c r="W868" s="714" t="n">
        <v>50000</v>
      </c>
      <c r="X868" s="83" t="inlineStr">
        <is>
          <t>2.0:1</t>
        </is>
      </c>
      <c r="Y868" s="714">
        <f>ROUND(J868,-3)</f>
        <v/>
      </c>
      <c r="Z868" s="63" t="inlineStr">
        <is>
          <t xml:space="preserve">C </t>
        </is>
      </c>
      <c r="AA868" s="59" t="n">
        <v>3</v>
      </c>
      <c r="AB868" s="59" t="n">
        <v>3</v>
      </c>
      <c r="AC868" s="67" t="inlineStr">
        <is>
          <t>33</t>
        </is>
      </c>
      <c r="AD868" s="61" t="inlineStr"/>
      <c r="AE868" s="716" t="n"/>
      <c r="AF868" s="716" t="n"/>
      <c r="AG868" s="716" t="n"/>
      <c r="AH868" s="716" t="n"/>
      <c r="AI868" s="716" t="n"/>
      <c r="AJ868" s="716" t="n"/>
      <c r="AK868" s="716" t="inlineStr">
        <is>
          <t xml:space="preserve">ACTUAL INCOME FOR 1 UNIT 6,050 SF-$4.12/SF                        </t>
        </is>
      </c>
      <c r="AL868">
        <f>IF(AND(ISNUMBER($S868),$S868&gt;0,ISNUMBER($K868),ISNUMBER($J868)),($K868*$J868)/$S868,"")</f>
        <v/>
      </c>
    </row>
    <row r="869">
      <c r="A869" s="62" t="n">
        <v>8</v>
      </c>
      <c r="B869" s="93" t="n">
        <v>861</v>
      </c>
      <c r="C869" s="68" t="inlineStr">
        <is>
          <t>2009Q</t>
        </is>
      </c>
      <c r="D869" s="59" t="inlineStr">
        <is>
          <t xml:space="preserve">05092-07-013-000 </t>
        </is>
      </c>
      <c r="E869" s="72" t="inlineStr">
        <is>
          <t>Actual</t>
        </is>
      </c>
      <c r="F869" s="73" t="inlineStr">
        <is>
          <t>745   VALLEJO              ST</t>
        </is>
      </c>
      <c r="G869" s="708" t="n">
        <v>44.1</v>
      </c>
      <c r="H869" s="67" t="n">
        <v>9505</v>
      </c>
      <c r="I869" s="69" t="n">
        <v>0</v>
      </c>
      <c r="J869" s="714" t="n">
        <v>2800</v>
      </c>
      <c r="K869" s="715" t="n">
        <v>8.207142857142857</v>
      </c>
      <c r="L869" s="74" t="n">
        <v>0</v>
      </c>
      <c r="M869" s="76" t="n">
        <v>0</v>
      </c>
      <c r="N869" s="67" t="n">
        <v>1964</v>
      </c>
      <c r="O869" s="64" t="n">
        <v>198</v>
      </c>
      <c r="Q869" s="59" t="n">
        <v>14</v>
      </c>
      <c r="R869" s="59" t="n">
        <v>3</v>
      </c>
      <c r="S869" s="59" t="n">
        <v>1</v>
      </c>
      <c r="T869" s="63" t="inlineStr">
        <is>
          <t xml:space="preserve">I1   </t>
        </is>
      </c>
      <c r="U869" s="63" t="n">
        <v>398</v>
      </c>
      <c r="V869" s="714" t="n">
        <v>6000</v>
      </c>
      <c r="W869" s="714" t="n">
        <v>6000</v>
      </c>
      <c r="X869" s="83" t="inlineStr">
        <is>
          <t>2.1:1</t>
        </is>
      </c>
      <c r="Y869" s="714">
        <f>ROUND(J869,-3)</f>
        <v/>
      </c>
      <c r="Z869" s="63" t="inlineStr">
        <is>
          <t xml:space="preserve">C </t>
        </is>
      </c>
      <c r="AA869" s="59" t="n">
        <v>3</v>
      </c>
      <c r="AB869" s="59" t="n">
        <v>3</v>
      </c>
      <c r="AC869" s="67" t="inlineStr">
        <is>
          <t>33</t>
        </is>
      </c>
      <c r="AD869" s="61" t="inlineStr">
        <is>
          <t>S-W DENVER WIRE WORK</t>
        </is>
      </c>
      <c r="AE869" s="716" t="n"/>
      <c r="AF869" s="716" t="n"/>
      <c r="AG869" s="716" t="n"/>
      <c r="AH869" s="716" t="n"/>
      <c r="AI869" s="716" t="n"/>
      <c r="AJ869" s="716" t="n"/>
      <c r="AK869" s="716" t="inlineStr">
        <is>
          <t xml:space="preserve">VACANT FOR 2007-LEASED ON 03/2008-ASSUME NNN                      </t>
        </is>
      </c>
      <c r="AL869">
        <f>IF(AND(ISNUMBER($S869),$S869&gt;0,ISNUMBER($K869),ISNUMBER($J869)),($K869*$J869)/$S869,"")</f>
        <v/>
      </c>
    </row>
    <row r="870">
      <c r="A870" s="62" t="n">
        <v>8</v>
      </c>
      <c r="B870" s="93" t="n">
        <v>862</v>
      </c>
      <c r="C870" s="68" t="inlineStr">
        <is>
          <t>2009Q</t>
        </is>
      </c>
      <c r="D870" s="59" t="inlineStr">
        <is>
          <t xml:space="preserve">05092-07-032-000 </t>
        </is>
      </c>
      <c r="E870" s="72" t="inlineStr">
        <is>
          <t>Actual</t>
        </is>
      </c>
      <c r="F870" s="73" t="inlineStr">
        <is>
          <t>755   VALLEJO              ST</t>
        </is>
      </c>
      <c r="G870" s="708" t="n">
        <v>44.2</v>
      </c>
      <c r="H870" s="67" t="n">
        <v>9505</v>
      </c>
      <c r="I870" s="69" t="n">
        <v>0</v>
      </c>
      <c r="J870" s="714" t="n">
        <v>11867</v>
      </c>
      <c r="K870" s="715" t="n">
        <v>6.281199966293082</v>
      </c>
      <c r="L870" s="74" t="n">
        <v>0.4054099603943709</v>
      </c>
      <c r="M870" s="76" t="n">
        <v>0.1382229436939052</v>
      </c>
      <c r="N870" s="67" t="n">
        <v>1970</v>
      </c>
      <c r="O870" s="64" t="n">
        <v>5575</v>
      </c>
      <c r="Q870" s="59" t="n">
        <v>18</v>
      </c>
      <c r="R870" s="59" t="n">
        <v>1</v>
      </c>
      <c r="S870" s="59" t="n">
        <v>1</v>
      </c>
      <c r="T870" s="63" t="inlineStr">
        <is>
          <t xml:space="preserve">I1   </t>
        </is>
      </c>
      <c r="U870" s="63" t="n">
        <v>398</v>
      </c>
      <c r="V870" s="714" t="n">
        <v>18000</v>
      </c>
      <c r="W870" s="714" t="n">
        <v>18000</v>
      </c>
      <c r="X870" s="83" t="inlineStr">
        <is>
          <t>1.5:1</t>
        </is>
      </c>
      <c r="Y870" s="714">
        <f>ROUND(J870,-3)</f>
        <v/>
      </c>
      <c r="Z870" s="63" t="inlineStr">
        <is>
          <t xml:space="preserve">C </t>
        </is>
      </c>
      <c r="AA870" s="59" t="n">
        <v>3</v>
      </c>
      <c r="AB870" s="59" t="n">
        <v>3</v>
      </c>
      <c r="AC870" s="67" t="inlineStr">
        <is>
          <t>33</t>
        </is>
      </c>
      <c r="AD870" s="61" t="inlineStr">
        <is>
          <t xml:space="preserve">M-W                 </t>
        </is>
      </c>
      <c r="AE870" s="716" t="n"/>
      <c r="AF870" s="716" t="n"/>
      <c r="AG870" s="716" t="n"/>
      <c r="AH870" s="716" t="n"/>
      <c r="AI870" s="716" t="n"/>
      <c r="AJ870" s="716" t="n"/>
      <c r="AK870" s="716" t="inlineStr">
        <is>
          <t xml:space="preserve">OWNER PAYS TAXES                                                  </t>
        </is>
      </c>
      <c r="AL870">
        <f>IF(AND(ISNUMBER($S870),$S870&gt;0,ISNUMBER($K870),ISNUMBER($J870)),($K870*$J870)/$S870,"")</f>
        <v/>
      </c>
    </row>
    <row r="871">
      <c r="A871" s="62" t="n">
        <v>8</v>
      </c>
      <c r="B871" s="93" t="n">
        <v>863</v>
      </c>
      <c r="C871" s="68" t="inlineStr">
        <is>
          <t>2009Q</t>
        </is>
      </c>
      <c r="D871" s="59" t="inlineStr">
        <is>
          <t xml:space="preserve">05093-00-052-000 </t>
        </is>
      </c>
      <c r="E871" s="72" t="inlineStr">
        <is>
          <t>Actual</t>
        </is>
      </c>
      <c r="F871" s="73" t="inlineStr">
        <is>
          <t>163   VALLEJO              ST</t>
        </is>
      </c>
      <c r="G871" s="708" t="n">
        <v>44.1</v>
      </c>
      <c r="H871" s="67" t="n">
        <v>9508</v>
      </c>
      <c r="I871" s="69" t="n">
        <v>0</v>
      </c>
      <c r="J871" s="714" t="n">
        <v>4681</v>
      </c>
      <c r="K871" s="715" t="n">
        <v>9.67741935483871</v>
      </c>
      <c r="L871" s="74" t="n">
        <v>0</v>
      </c>
      <c r="M871" s="76" t="n">
        <v>0.04187637969094923</v>
      </c>
      <c r="N871" s="67" t="n">
        <v>1937</v>
      </c>
      <c r="O871" s="64">
        <f>1100+1922</f>
        <v/>
      </c>
      <c r="Q871" s="59" t="n">
        <v>18</v>
      </c>
      <c r="R871" s="59" t="n">
        <v>3</v>
      </c>
      <c r="S871" s="59" t="n">
        <v>1</v>
      </c>
      <c r="T871" s="63" t="inlineStr">
        <is>
          <t xml:space="preserve">I1   </t>
        </is>
      </c>
      <c r="U871" s="63" t="n">
        <v>398</v>
      </c>
      <c r="V871" s="714" t="n">
        <v>14136</v>
      </c>
      <c r="W871" s="714" t="n">
        <v>14000</v>
      </c>
      <c r="X871" s="83" t="inlineStr">
        <is>
          <t>3.0:1</t>
        </is>
      </c>
      <c r="Y871" s="714">
        <f>ROUND(J871,-3)</f>
        <v/>
      </c>
      <c r="Z871" s="63" t="inlineStr">
        <is>
          <t xml:space="preserve">C </t>
        </is>
      </c>
      <c r="AA871" s="59" t="n">
        <v>3</v>
      </c>
      <c r="AB871" s="59" t="n">
        <v>3</v>
      </c>
      <c r="AC871" s="67" t="inlineStr">
        <is>
          <t>33</t>
        </is>
      </c>
      <c r="AD871" s="61" t="inlineStr">
        <is>
          <t>IAI CONSTRUCTION CO.</t>
        </is>
      </c>
      <c r="AE871" s="716" t="n"/>
      <c r="AF871" s="716" t="n"/>
      <c r="AG871" s="716" t="n"/>
      <c r="AH871" s="716" t="n"/>
      <c r="AI871" s="716" t="n"/>
      <c r="AJ871" s="716" t="n"/>
      <c r="AK871" s="716" t="inlineStr">
        <is>
          <t xml:space="preserve">TWO TENANTS                                                       </t>
        </is>
      </c>
      <c r="AL871">
        <f>IF(AND(ISNUMBER($S871),$S871&gt;0,ISNUMBER($K871),ISNUMBER($J871)),($K871*$J871)/$S871,"")</f>
        <v/>
      </c>
    </row>
    <row r="872">
      <c r="A872" s="62" t="n">
        <v>8</v>
      </c>
      <c r="B872" s="93" t="n">
        <v>864</v>
      </c>
      <c r="C872" s="68" t="inlineStr">
        <is>
          <t>2009Q</t>
        </is>
      </c>
      <c r="D872" s="59" t="inlineStr">
        <is>
          <t xml:space="preserve">05093-00-054-000 </t>
        </is>
      </c>
      <c r="E872" s="72" t="inlineStr">
        <is>
          <t>Actual</t>
        </is>
      </c>
      <c r="F872" s="73" t="inlineStr">
        <is>
          <t>148   VALLEJO              ST</t>
        </is>
      </c>
      <c r="G872" s="708" t="n">
        <v>47.1</v>
      </c>
      <c r="H872" s="67" t="n">
        <v>9508</v>
      </c>
      <c r="I872" s="69" t="n">
        <v>0</v>
      </c>
      <c r="J872" s="714" t="n">
        <v>7203</v>
      </c>
      <c r="K872" s="715" t="n">
        <v>3.665139525197834</v>
      </c>
      <c r="L872" s="74" t="n">
        <v>0</v>
      </c>
      <c r="M872" s="76" t="n">
        <v>0</v>
      </c>
      <c r="N872" s="67" t="n">
        <v>1965</v>
      </c>
      <c r="O872" s="64" t="n">
        <v>640</v>
      </c>
      <c r="Q872" s="59" t="n">
        <v>13</v>
      </c>
      <c r="R872" s="59" t="n">
        <v>3</v>
      </c>
      <c r="S872" s="59" t="n">
        <v>1</v>
      </c>
      <c r="T872" s="63" t="inlineStr">
        <is>
          <t xml:space="preserve">I2   </t>
        </is>
      </c>
      <c r="U872" s="63" t="n">
        <v>401</v>
      </c>
      <c r="V872" s="714" t="n">
        <v>14230</v>
      </c>
      <c r="W872" s="714" t="n">
        <v>14000</v>
      </c>
      <c r="X872" s="83" t="inlineStr">
        <is>
          <t>2.0:1</t>
        </is>
      </c>
      <c r="Y872" s="714">
        <f>ROUND(J872,-3)</f>
        <v/>
      </c>
      <c r="Z872" s="63" t="inlineStr">
        <is>
          <t xml:space="preserve">C </t>
        </is>
      </c>
      <c r="AA872" s="59" t="n">
        <v>3</v>
      </c>
      <c r="AB872" s="59" t="n">
        <v>3</v>
      </c>
      <c r="AC872" s="67" t="inlineStr">
        <is>
          <t>33</t>
        </is>
      </c>
      <c r="AD872" s="61" t="inlineStr"/>
      <c r="AE872" s="716" t="n"/>
      <c r="AF872" s="716" t="n"/>
      <c r="AG872" s="716" t="n"/>
      <c r="AH872" s="716" t="n"/>
      <c r="AI872" s="716" t="n"/>
      <c r="AJ872" s="716" t="n"/>
      <c r="AK872" s="716" t="inlineStr">
        <is>
          <t xml:space="preserve">OWNER PAY PROPERTY TAXES                                          </t>
        </is>
      </c>
      <c r="AL872">
        <f>IF(AND(ISNUMBER($S872),$S872&gt;0,ISNUMBER($K872),ISNUMBER($J872)),($K872*$J872)/$S872,"")</f>
        <v/>
      </c>
    </row>
    <row r="873">
      <c r="A873" s="62" t="n">
        <v>8</v>
      </c>
      <c r="B873" s="93" t="n">
        <v>865</v>
      </c>
      <c r="C873" s="68" t="inlineStr">
        <is>
          <t>2009Q</t>
        </is>
      </c>
      <c r="D873" s="59" t="inlineStr">
        <is>
          <t xml:space="preserve">05093-04-023-000 </t>
        </is>
      </c>
      <c r="E873" s="72" t="inlineStr">
        <is>
          <t>Actual</t>
        </is>
      </c>
      <c r="F873" s="73" t="inlineStr">
        <is>
          <t>415   YUMA                 ST</t>
        </is>
      </c>
      <c r="G873" s="708" t="n">
        <v>45.7</v>
      </c>
      <c r="H873" s="67" t="n">
        <v>9508</v>
      </c>
      <c r="I873" s="69" t="n">
        <v>0</v>
      </c>
      <c r="J873" s="714" t="n">
        <v>15659</v>
      </c>
      <c r="K873" s="715" t="n">
        <v>3.924963279902931</v>
      </c>
      <c r="L873" s="74" t="n">
        <v>0</v>
      </c>
      <c r="M873" s="76" t="n">
        <v>0.02464977790794162</v>
      </c>
      <c r="N873" s="67" t="n">
        <v>1977</v>
      </c>
      <c r="O873" s="64" t="n">
        <v>2787</v>
      </c>
      <c r="Q873" s="59" t="n">
        <v>14</v>
      </c>
      <c r="R873" s="59" t="n">
        <v>3</v>
      </c>
      <c r="S873" s="59" t="n">
        <v>1</v>
      </c>
      <c r="T873" s="63" t="inlineStr">
        <is>
          <t xml:space="preserve">I1   </t>
        </is>
      </c>
      <c r="U873" s="63" t="n">
        <v>391</v>
      </c>
      <c r="V873" s="714" t="n">
        <v>35054</v>
      </c>
      <c r="W873" s="714" t="n">
        <v>35000</v>
      </c>
      <c r="X873" s="83" t="inlineStr">
        <is>
          <t>2.2:1</t>
        </is>
      </c>
      <c r="Y873" s="714">
        <f>ROUND(J873,-3)</f>
        <v/>
      </c>
      <c r="Z873" s="63" t="inlineStr">
        <is>
          <t xml:space="preserve">C </t>
        </is>
      </c>
      <c r="AA873" s="59" t="n">
        <v>5</v>
      </c>
      <c r="AB873" s="59" t="n">
        <v>3</v>
      </c>
      <c r="AC873" s="67" t="inlineStr">
        <is>
          <t>53</t>
        </is>
      </c>
      <c r="AD873" s="61" t="inlineStr">
        <is>
          <t xml:space="preserve">S-W CONAGRA BEEF CO </t>
        </is>
      </c>
      <c r="AE873" s="716" t="n"/>
      <c r="AF873" s="716" t="n"/>
      <c r="AG873" s="716" t="n"/>
      <c r="AH873" s="716" t="n"/>
      <c r="AI873" s="716" t="n"/>
      <c r="AJ873" s="716" t="n"/>
      <c r="AK873" s="716" t="inlineStr"/>
      <c r="AL873">
        <f>IF(AND(ISNUMBER($S873),$S873&gt;0,ISNUMBER($K873),ISNUMBER($J873)),($K873*$J873)/$S873,"")</f>
        <v/>
      </c>
    </row>
    <row r="874">
      <c r="A874" s="62" t="n">
        <v>8</v>
      </c>
      <c r="B874" s="93" t="n">
        <v>866</v>
      </c>
      <c r="C874" s="68" t="inlineStr">
        <is>
          <t>2009Q</t>
        </is>
      </c>
      <c r="D874" s="59" t="inlineStr">
        <is>
          <t xml:space="preserve">05093-05-008-000 </t>
        </is>
      </c>
      <c r="E874" s="72" t="inlineStr">
        <is>
          <t>Actual</t>
        </is>
      </c>
      <c r="F874" s="73" t="inlineStr">
        <is>
          <t>355   YUMA                 ST</t>
        </is>
      </c>
      <c r="G874" s="708" t="n">
        <v>44.1</v>
      </c>
      <c r="H874" s="67" t="n">
        <v>9508</v>
      </c>
      <c r="I874" s="69" t="n">
        <v>0</v>
      </c>
      <c r="J874" s="714" t="n">
        <v>5500</v>
      </c>
      <c r="K874" s="715" t="n">
        <v>8.624545454545455</v>
      </c>
      <c r="L874" s="74" t="n">
        <v>0</v>
      </c>
      <c r="M874" s="76" t="n">
        <v>0.02072309476125224</v>
      </c>
      <c r="N874" s="67" t="n">
        <v>1964</v>
      </c>
      <c r="O874" s="64" t="n">
        <v>1150</v>
      </c>
      <c r="Q874" s="59" t="n">
        <v>13</v>
      </c>
      <c r="R874" s="59" t="n">
        <v>1</v>
      </c>
      <c r="S874" s="59" t="n">
        <v>1</v>
      </c>
      <c r="T874" s="63" t="inlineStr">
        <is>
          <t xml:space="preserve">I1   </t>
        </is>
      </c>
      <c r="U874" s="63" t="n">
        <v>398</v>
      </c>
      <c r="V874" s="714" t="n">
        <v>17250</v>
      </c>
      <c r="W874" s="714" t="n">
        <v>17000</v>
      </c>
      <c r="X874" s="83" t="inlineStr">
        <is>
          <t>3.1:1</t>
        </is>
      </c>
      <c r="Y874" s="714">
        <f>ROUND(J874,-3)</f>
        <v/>
      </c>
      <c r="Z874" s="63" t="inlineStr">
        <is>
          <t xml:space="preserve">C </t>
        </is>
      </c>
      <c r="AA874" s="59" t="n">
        <v>3</v>
      </c>
      <c r="AB874" s="59" t="n">
        <v>3</v>
      </c>
      <c r="AC874" s="67" t="inlineStr">
        <is>
          <t>33</t>
        </is>
      </c>
      <c r="AD874" s="61" t="inlineStr">
        <is>
          <t xml:space="preserve">PARASOL             </t>
        </is>
      </c>
      <c r="AE874" s="716" t="n"/>
      <c r="AF874" s="716" t="n"/>
      <c r="AG874" s="716" t="n"/>
      <c r="AH874" s="716" t="n"/>
      <c r="AI874" s="716" t="n"/>
      <c r="AJ874" s="716" t="n"/>
      <c r="AK874" s="716" t="inlineStr"/>
      <c r="AL874">
        <f>IF(AND(ISNUMBER($S874),$S874&gt;0,ISNUMBER($K874),ISNUMBER($J874)),($K874*$J874)/$S874,"")</f>
        <v/>
      </c>
    </row>
    <row r="875">
      <c r="A875" s="62" t="n">
        <v>8</v>
      </c>
      <c r="B875" s="93" t="n">
        <v>867</v>
      </c>
      <c r="C875" s="68" t="inlineStr">
        <is>
          <t>2009Q</t>
        </is>
      </c>
      <c r="D875" s="59" t="inlineStr">
        <is>
          <t xml:space="preserve">05093-11-008-000 </t>
        </is>
      </c>
      <c r="E875" s="72" t="inlineStr">
        <is>
          <t>Actual</t>
        </is>
      </c>
      <c r="F875" s="73" t="inlineStr">
        <is>
          <t>145   YUMA                 ST</t>
        </is>
      </c>
      <c r="G875" s="708" t="n">
        <v>44.1</v>
      </c>
      <c r="H875" s="67" t="n">
        <v>9508</v>
      </c>
      <c r="I875" s="69" t="n">
        <v>0</v>
      </c>
      <c r="J875" s="714" t="n">
        <v>6930</v>
      </c>
      <c r="K875" s="715" t="n">
        <v>5.96969696969697</v>
      </c>
      <c r="L875" s="74" t="n">
        <v>0</v>
      </c>
      <c r="M875" s="76" t="n">
        <v>0.122673434856176</v>
      </c>
      <c r="N875" s="67" t="n">
        <v>1965</v>
      </c>
      <c r="O875" s="64" t="n">
        <v>1260</v>
      </c>
      <c r="Q875" s="59" t="n">
        <v>13</v>
      </c>
      <c r="R875" s="59" t="n">
        <v>1</v>
      </c>
      <c r="S875" s="59" t="n">
        <v>1</v>
      </c>
      <c r="T875" s="63" t="inlineStr">
        <is>
          <t xml:space="preserve">I1   </t>
        </is>
      </c>
      <c r="U875" s="63" t="n">
        <v>398</v>
      </c>
      <c r="V875" s="714" t="n">
        <v>18900</v>
      </c>
      <c r="W875" s="714" t="n">
        <v>19000</v>
      </c>
      <c r="X875" s="83" t="inlineStr">
        <is>
          <t>2.7:1</t>
        </is>
      </c>
      <c r="Y875" s="714">
        <f>ROUND(J875,-3)</f>
        <v/>
      </c>
      <c r="Z875" s="63" t="inlineStr">
        <is>
          <t xml:space="preserve">C </t>
        </is>
      </c>
      <c r="AA875" s="59" t="n">
        <v>3</v>
      </c>
      <c r="AB875" s="59" t="n">
        <v>3</v>
      </c>
      <c r="AC875" s="67" t="inlineStr">
        <is>
          <t>33</t>
        </is>
      </c>
      <c r="AD875" s="61" t="inlineStr"/>
      <c r="AE875" s="716" t="n"/>
      <c r="AF875" s="716" t="n"/>
      <c r="AG875" s="716" t="n"/>
      <c r="AH875" s="716" t="n"/>
      <c r="AI875" s="716" t="n"/>
      <c r="AJ875" s="716" t="n"/>
      <c r="AK875" s="716" t="inlineStr">
        <is>
          <t xml:space="preserve">100% VACANT AS OF 6/30/2008                                       </t>
        </is>
      </c>
      <c r="AL875">
        <f>IF(AND(ISNUMBER($S875),$S875&gt;0,ISNUMBER($K875),ISNUMBER($J875)),($K875*$J875)/$S875,"")</f>
        <v/>
      </c>
    </row>
    <row r="876">
      <c r="A876" s="62" t="n">
        <v>8</v>
      </c>
      <c r="B876" s="93" t="n">
        <v>868</v>
      </c>
      <c r="C876" s="68" t="inlineStr">
        <is>
          <t>2009Q</t>
        </is>
      </c>
      <c r="D876" s="59" t="inlineStr">
        <is>
          <t xml:space="preserve">05094-04-016-000 </t>
        </is>
      </c>
      <c r="E876" s="72" t="inlineStr">
        <is>
          <t>Actual</t>
        </is>
      </c>
      <c r="F876" s="73" t="inlineStr">
        <is>
          <t>1455 W CEDAR                AV</t>
        </is>
      </c>
      <c r="G876" s="708" t="n">
        <v>44.1</v>
      </c>
      <c r="H876" s="67" t="n">
        <v>9508</v>
      </c>
      <c r="I876" s="69" t="n">
        <v>0</v>
      </c>
      <c r="J876" s="714" t="n">
        <v>2400</v>
      </c>
      <c r="K876" s="715" t="n">
        <v>9</v>
      </c>
      <c r="L876" s="74" t="n">
        <v>0</v>
      </c>
      <c r="M876" s="76" t="n">
        <v>0.1436111111111111</v>
      </c>
      <c r="N876" s="67" t="n">
        <v>1982</v>
      </c>
      <c r="O876" s="64" t="n">
        <v>678</v>
      </c>
      <c r="Q876" s="59" t="n">
        <v>15</v>
      </c>
      <c r="R876" s="59" t="n">
        <v>7</v>
      </c>
      <c r="S876" s="59" t="n">
        <v>1</v>
      </c>
      <c r="T876" s="63" t="inlineStr">
        <is>
          <t xml:space="preserve">I0   </t>
        </is>
      </c>
      <c r="U876" s="63" t="n">
        <v>398</v>
      </c>
      <c r="V876" s="714" t="n">
        <v>9375</v>
      </c>
      <c r="W876" s="714" t="n">
        <v>9000</v>
      </c>
      <c r="X876" s="83" t="inlineStr">
        <is>
          <t>3.9:1</t>
        </is>
      </c>
      <c r="Y876" s="714">
        <f>ROUND(J876,-3)</f>
        <v/>
      </c>
      <c r="Z876" s="63" t="inlineStr">
        <is>
          <t xml:space="preserve">C </t>
        </is>
      </c>
      <c r="AA876" s="59" t="n">
        <v>3</v>
      </c>
      <c r="AB876" s="59" t="n">
        <v>3</v>
      </c>
      <c r="AC876" s="67" t="inlineStr">
        <is>
          <t>33</t>
        </is>
      </c>
      <c r="AD876" s="61" t="inlineStr">
        <is>
          <t>S-W COMM COMMUNCATNS</t>
        </is>
      </c>
      <c r="AE876" s="716" t="n"/>
      <c r="AF876" s="716" t="n"/>
      <c r="AG876" s="716" t="n"/>
      <c r="AH876" s="716" t="n"/>
      <c r="AI876" s="716" t="n"/>
      <c r="AJ876" s="716" t="n"/>
      <c r="AK876" s="716" t="inlineStr"/>
      <c r="AL876">
        <f>IF(AND(ISNUMBER($S876),$S876&gt;0,ISNUMBER($K876),ISNUMBER($J876)),($K876*$J876)/$S876,"")</f>
        <v/>
      </c>
    </row>
    <row r="877">
      <c r="A877" s="62" t="n">
        <v>8</v>
      </c>
      <c r="B877" s="93" t="n">
        <v>869</v>
      </c>
      <c r="C877" s="68" t="inlineStr">
        <is>
          <t>2009Q</t>
        </is>
      </c>
      <c r="D877" s="59" t="inlineStr">
        <is>
          <t xml:space="preserve">05094-04-021-000 </t>
        </is>
      </c>
      <c r="E877" s="72" t="inlineStr">
        <is>
          <t>Actual</t>
        </is>
      </c>
      <c r="F877" s="73" t="inlineStr">
        <is>
          <t>1415 W CEDAR                AV</t>
        </is>
      </c>
      <c r="G877" s="708" t="n">
        <v>44.1</v>
      </c>
      <c r="H877" s="67" t="n">
        <v>9508</v>
      </c>
      <c r="I877" s="69" t="n">
        <v>0</v>
      </c>
      <c r="J877" s="714" t="n">
        <v>3531</v>
      </c>
      <c r="K877" s="715" t="n">
        <v>11.46983857264231</v>
      </c>
      <c r="L877" s="74" t="n">
        <v>0</v>
      </c>
      <c r="M877" s="76" t="n">
        <v>0.3235308641975309</v>
      </c>
      <c r="N877" s="67" t="n">
        <v>1983</v>
      </c>
      <c r="O877" s="64">
        <f>1983+1194</f>
        <v/>
      </c>
      <c r="Q877" s="59" t="n">
        <v>17</v>
      </c>
      <c r="R877" s="59" t="n">
        <v>1</v>
      </c>
      <c r="S877" s="59" t="n">
        <v>1</v>
      </c>
      <c r="T877" s="63" t="inlineStr">
        <is>
          <t xml:space="preserve">I0   </t>
        </is>
      </c>
      <c r="U877" s="63" t="n">
        <v>398</v>
      </c>
      <c r="V877" s="714" t="n">
        <v>6875</v>
      </c>
      <c r="W877" s="714" t="n">
        <v>7000</v>
      </c>
      <c r="X877" s="83" t="inlineStr">
        <is>
          <t>1.9:1</t>
        </is>
      </c>
      <c r="Y877" s="714">
        <f>ROUND(J877,-3)</f>
        <v/>
      </c>
      <c r="Z877" s="63" t="inlineStr">
        <is>
          <t xml:space="preserve">C </t>
        </is>
      </c>
      <c r="AA877" s="59" t="n">
        <v>3</v>
      </c>
      <c r="AB877" s="59" t="n">
        <v>3</v>
      </c>
      <c r="AC877" s="67" t="inlineStr">
        <is>
          <t>33</t>
        </is>
      </c>
      <c r="AD877" s="61" t="inlineStr">
        <is>
          <t xml:space="preserve">S-W SASCO           </t>
        </is>
      </c>
      <c r="AE877" s="716" t="n"/>
      <c r="AF877" s="716" t="n"/>
      <c r="AG877" s="716" t="n"/>
      <c r="AH877" s="716" t="n"/>
      <c r="AI877" s="716" t="n"/>
      <c r="AJ877" s="716" t="n"/>
      <c r="AK877" s="716" t="inlineStr"/>
      <c r="AL877">
        <f>IF(AND(ISNUMBER($S877),$S877&gt;0,ISNUMBER($K877),ISNUMBER($J877)),($K877*$J877)/$S877,"")</f>
        <v/>
      </c>
    </row>
    <row r="878">
      <c r="A878" s="62" t="n">
        <v>8</v>
      </c>
      <c r="B878" s="93" t="n">
        <v>870</v>
      </c>
      <c r="C878" s="68" t="inlineStr">
        <is>
          <t>2009Q</t>
        </is>
      </c>
      <c r="D878" s="59" t="inlineStr">
        <is>
          <t xml:space="preserve">05094-04-024-000 </t>
        </is>
      </c>
      <c r="E878" s="72" t="inlineStr">
        <is>
          <t>Actual</t>
        </is>
      </c>
      <c r="F878" s="73" t="inlineStr">
        <is>
          <t>175 S PECOS                ST</t>
        </is>
      </c>
      <c r="G878" s="708" t="n">
        <v>44.2</v>
      </c>
      <c r="H878" s="67" t="n">
        <v>9508</v>
      </c>
      <c r="I878" s="69" t="n">
        <v>0</v>
      </c>
      <c r="J878" s="714" t="n">
        <v>2550</v>
      </c>
      <c r="K878" s="715" t="n">
        <v>6.588235294117647</v>
      </c>
      <c r="L878" s="74" t="n">
        <v>0</v>
      </c>
      <c r="M878" s="76" t="n">
        <v>0</v>
      </c>
      <c r="N878" s="67" t="n">
        <v>1977</v>
      </c>
      <c r="O878" s="64" t="n">
        <v>648</v>
      </c>
      <c r="Q878" s="59" t="n">
        <v>14</v>
      </c>
      <c r="R878" s="59" t="n">
        <v>1</v>
      </c>
      <c r="S878" s="59" t="n">
        <v>2</v>
      </c>
      <c r="T878" s="63" t="inlineStr">
        <is>
          <t xml:space="preserve">I0   </t>
        </is>
      </c>
      <c r="U878" s="63" t="n">
        <v>398</v>
      </c>
      <c r="V878" s="714" t="n">
        <v>6250</v>
      </c>
      <c r="W878" s="714" t="n">
        <v>6000</v>
      </c>
      <c r="X878" s="83" t="inlineStr">
        <is>
          <t>2.5:1</t>
        </is>
      </c>
      <c r="Y878" s="714">
        <f>ROUND(J878,-3)</f>
        <v/>
      </c>
      <c r="Z878" s="63" t="inlineStr">
        <is>
          <t xml:space="preserve">C </t>
        </is>
      </c>
      <c r="AA878" s="59" t="n">
        <v>3</v>
      </c>
      <c r="AB878" s="59" t="n">
        <v>3</v>
      </c>
      <c r="AC878" s="67" t="inlineStr">
        <is>
          <t>33</t>
        </is>
      </c>
      <c r="AD878" s="61" t="inlineStr">
        <is>
          <t xml:space="preserve">M-W                 </t>
        </is>
      </c>
      <c r="AE878" s="716" t="n"/>
      <c r="AF878" s="716" t="n"/>
      <c r="AG878" s="716" t="n"/>
      <c r="AH878" s="716" t="n"/>
      <c r="AI878" s="716" t="n"/>
      <c r="AJ878" s="716" t="n"/>
      <c r="AK878" s="716" t="inlineStr">
        <is>
          <t xml:space="preserve">1/2008 LEASE                                                      </t>
        </is>
      </c>
      <c r="AL878">
        <f>IF(AND(ISNUMBER($S878),$S878&gt;0,ISNUMBER($K878),ISNUMBER($J878)),($K878*$J878)/$S878,"")</f>
        <v/>
      </c>
    </row>
    <row r="879">
      <c r="A879" s="62" t="n">
        <v>8</v>
      </c>
      <c r="B879" s="93" t="n">
        <v>871</v>
      </c>
      <c r="C879" s="68" t="inlineStr">
        <is>
          <t>2009Q</t>
        </is>
      </c>
      <c r="D879" s="59" t="inlineStr">
        <is>
          <t xml:space="preserve">05094-04-028-000 </t>
        </is>
      </c>
      <c r="E879" s="72" t="inlineStr">
        <is>
          <t>Actual</t>
        </is>
      </c>
      <c r="F879" s="73" t="inlineStr">
        <is>
          <t>1441 W CEDAR                AV</t>
        </is>
      </c>
      <c r="G879" s="708" t="n">
        <v>44.1</v>
      </c>
      <c r="H879" s="67" t="n">
        <v>9508</v>
      </c>
      <c r="I879" s="69" t="n">
        <v>0</v>
      </c>
      <c r="J879" s="714" t="n">
        <v>6200</v>
      </c>
      <c r="K879" s="715" t="n">
        <v>7.580645161290323</v>
      </c>
      <c r="L879" s="74" t="n">
        <v>0</v>
      </c>
      <c r="M879" s="76" t="n">
        <v>0.01972340425531915</v>
      </c>
      <c r="N879" s="67" t="n">
        <v>1983</v>
      </c>
      <c r="O879" s="64" t="n">
        <v>962</v>
      </c>
      <c r="Q879" s="59" t="n">
        <v>13</v>
      </c>
      <c r="R879" s="59" t="n">
        <v>3</v>
      </c>
      <c r="S879" s="59" t="n">
        <v>1</v>
      </c>
      <c r="T879" s="63" t="inlineStr">
        <is>
          <t xml:space="preserve">I0   </t>
        </is>
      </c>
      <c r="U879" s="63" t="n">
        <v>398</v>
      </c>
      <c r="V879" s="714" t="n">
        <v>12500</v>
      </c>
      <c r="W879" s="714" t="n">
        <v>13000</v>
      </c>
      <c r="X879" s="83" t="inlineStr">
        <is>
          <t>2.0:1</t>
        </is>
      </c>
      <c r="Y879" s="714">
        <f>ROUND(J879,-3)</f>
        <v/>
      </c>
      <c r="Z879" s="63" t="inlineStr">
        <is>
          <t xml:space="preserve">C </t>
        </is>
      </c>
      <c r="AA879" s="59" t="n">
        <v>3</v>
      </c>
      <c r="AB879" s="59" t="n">
        <v>3</v>
      </c>
      <c r="AC879" s="67" t="inlineStr">
        <is>
          <t>33</t>
        </is>
      </c>
      <c r="AD879" s="61" t="inlineStr"/>
      <c r="AE879" s="716" t="n"/>
      <c r="AF879" s="716" t="n"/>
      <c r="AG879" s="716" t="n"/>
      <c r="AH879" s="716" t="n"/>
      <c r="AI879" s="716" t="n"/>
      <c r="AJ879" s="716" t="n"/>
      <c r="AK879" s="716" t="inlineStr">
        <is>
          <t xml:space="preserve">LEASES IN 2007-$7.60 TO $8.20 PER SF-FOUR UNITS                   </t>
        </is>
      </c>
      <c r="AL879">
        <f>IF(AND(ISNUMBER($S879),$S879&gt;0,ISNUMBER($K879),ISNUMBER($J879)),($K879*$J879)/$S879,"")</f>
        <v/>
      </c>
    </row>
    <row r="880">
      <c r="A880" s="62" t="n">
        <v>8</v>
      </c>
      <c r="B880" s="93" t="n">
        <v>872</v>
      </c>
      <c r="C880" s="68" t="inlineStr">
        <is>
          <t>2009Q</t>
        </is>
      </c>
      <c r="D880" s="59" t="inlineStr">
        <is>
          <t xml:space="preserve">05094-04-029-000 </t>
        </is>
      </c>
      <c r="E880" s="72" t="inlineStr">
        <is>
          <t>Actual</t>
        </is>
      </c>
      <c r="F880" s="73" t="inlineStr">
        <is>
          <t>1472 W MAPLE                AV</t>
        </is>
      </c>
      <c r="G880" s="708" t="n">
        <v>44.2</v>
      </c>
      <c r="H880" s="67" t="n">
        <v>9508</v>
      </c>
      <c r="I880" s="69" t="n">
        <v>0</v>
      </c>
      <c r="J880" s="714" t="n">
        <v>19008</v>
      </c>
      <c r="K880" s="715" t="n">
        <v>5.900042087542087</v>
      </c>
      <c r="L880" s="74" t="n">
        <v>0</v>
      </c>
      <c r="M880" s="76" t="n">
        <v>0.300272853729001</v>
      </c>
      <c r="N880" s="67" t="n">
        <v>1998</v>
      </c>
      <c r="O880" s="64" t="n">
        <v>2117</v>
      </c>
      <c r="Q880" s="59" t="n">
        <v>19</v>
      </c>
      <c r="R880" s="59" t="n">
        <v>14</v>
      </c>
      <c r="S880" s="59" t="n">
        <v>1</v>
      </c>
      <c r="T880" s="63" t="inlineStr">
        <is>
          <t xml:space="preserve">I0   </t>
        </is>
      </c>
      <c r="U880" s="63" t="n">
        <v>398</v>
      </c>
      <c r="V880" s="714" t="n">
        <v>25000</v>
      </c>
      <c r="W880" s="714" t="n">
        <v>25000</v>
      </c>
      <c r="X880" s="83" t="inlineStr">
        <is>
          <t>1.3:1</t>
        </is>
      </c>
      <c r="Y880" s="714">
        <f>ROUND(J880,-3)</f>
        <v/>
      </c>
      <c r="Z880" s="63" t="inlineStr">
        <is>
          <t xml:space="preserve">C </t>
        </is>
      </c>
      <c r="AA880" s="59" t="n">
        <v>3</v>
      </c>
      <c r="AB880" s="59" t="n">
        <v>3</v>
      </c>
      <c r="AC880" s="67" t="inlineStr">
        <is>
          <t>33</t>
        </is>
      </c>
      <c r="AD880" s="61" t="inlineStr">
        <is>
          <t xml:space="preserve">M-D DIST WHSE       </t>
        </is>
      </c>
      <c r="AE880" s="716" t="n"/>
      <c r="AF880" s="716" t="n"/>
      <c r="AG880" s="716" t="n"/>
      <c r="AH880" s="716" t="n"/>
      <c r="AI880" s="716" t="n"/>
      <c r="AJ880" s="716" t="n"/>
      <c r="AK880" s="716" t="inlineStr">
        <is>
          <t xml:space="preserve">TWO UNITS                                                         </t>
        </is>
      </c>
      <c r="AL880">
        <f>IF(AND(ISNUMBER($S880),$S880&gt;0,ISNUMBER($K880),ISNUMBER($J880)),($K880*$J880)/$S880,"")</f>
        <v/>
      </c>
    </row>
    <row r="881">
      <c r="A881" s="62" t="n">
        <v>8</v>
      </c>
      <c r="B881" s="93" t="n">
        <v>873</v>
      </c>
      <c r="C881" s="68" t="inlineStr">
        <is>
          <t>2009Q</t>
        </is>
      </c>
      <c r="D881" s="59" t="inlineStr">
        <is>
          <t xml:space="preserve">05094-06-001-000 </t>
        </is>
      </c>
      <c r="E881" s="72" t="inlineStr">
        <is>
          <t>Actual</t>
        </is>
      </c>
      <c r="F881" s="73" t="inlineStr">
        <is>
          <t>1500 W CEDAR                AV</t>
        </is>
      </c>
      <c r="G881" s="708" t="n">
        <v>44.1</v>
      </c>
      <c r="H881" s="67" t="n">
        <v>9508</v>
      </c>
      <c r="I881" s="69" t="n">
        <v>0</v>
      </c>
      <c r="J881" s="714" t="n">
        <v>3333</v>
      </c>
      <c r="K881" s="715" t="n">
        <v>11.16111611161116</v>
      </c>
      <c r="L881" s="74" t="n">
        <v>0</v>
      </c>
      <c r="M881" s="76" t="n">
        <v>0.4565322580645161</v>
      </c>
      <c r="N881" s="67" t="n">
        <v>1987</v>
      </c>
      <c r="O881" s="64">
        <f>1140*2</f>
        <v/>
      </c>
      <c r="Q881" s="59" t="n">
        <v>18</v>
      </c>
      <c r="R881" s="59" t="n">
        <v>1</v>
      </c>
      <c r="S881" s="59" t="n">
        <v>1</v>
      </c>
      <c r="T881" s="63" t="inlineStr">
        <is>
          <t xml:space="preserve">I0   </t>
        </is>
      </c>
      <c r="U881" s="63" t="n">
        <v>398</v>
      </c>
      <c r="V881" s="714" t="n">
        <v>6870</v>
      </c>
      <c r="W881" s="714" t="n">
        <v>7000</v>
      </c>
      <c r="X881" s="83" t="inlineStr">
        <is>
          <t>2.1:1</t>
        </is>
      </c>
      <c r="Y881" s="714">
        <f>ROUND(J881,-3)</f>
        <v/>
      </c>
      <c r="Z881" s="63" t="inlineStr">
        <is>
          <t xml:space="preserve">C </t>
        </is>
      </c>
      <c r="AA881" s="59" t="n">
        <v>3</v>
      </c>
      <c r="AB881" s="59" t="n">
        <v>3</v>
      </c>
      <c r="AC881" s="67" t="inlineStr">
        <is>
          <t>33</t>
        </is>
      </c>
      <c r="AD881" s="61" t="inlineStr">
        <is>
          <t xml:space="preserve">S-W CHATCO          </t>
        </is>
      </c>
      <c r="AE881" s="716" t="n"/>
      <c r="AF881" s="716" t="n"/>
      <c r="AG881" s="716" t="n"/>
      <c r="AH881" s="716" t="n"/>
      <c r="AI881" s="716" t="n"/>
      <c r="AJ881" s="716" t="n"/>
      <c r="AK881" s="716" t="inlineStr"/>
      <c r="AL881">
        <f>IF(AND(ISNUMBER($S881),$S881&gt;0,ISNUMBER($K881),ISNUMBER($J881)),($K881*$J881)/$S881,"")</f>
        <v/>
      </c>
    </row>
    <row r="882">
      <c r="A882" s="62" t="n">
        <v>8</v>
      </c>
      <c r="B882" s="93" t="n">
        <v>874</v>
      </c>
      <c r="C882" s="68" t="inlineStr">
        <is>
          <t>2009Q</t>
        </is>
      </c>
      <c r="D882" s="59" t="inlineStr">
        <is>
          <t xml:space="preserve">05095-05-005-000 </t>
        </is>
      </c>
      <c r="E882" s="72" t="inlineStr">
        <is>
          <t>Actual</t>
        </is>
      </c>
      <c r="F882" s="73" t="inlineStr">
        <is>
          <t>1345 W BAYAUD               AV</t>
        </is>
      </c>
      <c r="G882" s="708" t="n">
        <v>44.1</v>
      </c>
      <c r="H882" s="67" t="n">
        <v>9508</v>
      </c>
      <c r="I882" s="69" t="n">
        <v>0</v>
      </c>
      <c r="J882" s="714" t="n">
        <v>3424</v>
      </c>
      <c r="K882" s="715" t="n">
        <v>8.411214953271028</v>
      </c>
      <c r="L882" s="74" t="n">
        <v>0</v>
      </c>
      <c r="M882" s="76" t="n">
        <v>0.02888888888888889</v>
      </c>
      <c r="N882" s="67" t="n">
        <v>1966</v>
      </c>
      <c r="O882" s="64" t="n">
        <v>1024</v>
      </c>
      <c r="Q882" s="59" t="n">
        <v>12</v>
      </c>
      <c r="R882" s="59" t="n">
        <v>7</v>
      </c>
      <c r="S882" s="59" t="n">
        <v>1</v>
      </c>
      <c r="T882" s="63" t="inlineStr">
        <is>
          <t xml:space="preserve">I2   </t>
        </is>
      </c>
      <c r="U882" s="63" t="n">
        <v>398</v>
      </c>
      <c r="V882" s="714" t="n">
        <v>21106</v>
      </c>
      <c r="W882" s="714" t="n">
        <v>21000</v>
      </c>
      <c r="X882" s="83" t="inlineStr">
        <is>
          <t>6.2:1</t>
        </is>
      </c>
      <c r="Y882" s="714">
        <f>ROUND(J882,-3)</f>
        <v/>
      </c>
      <c r="Z882" s="63" t="inlineStr">
        <is>
          <t xml:space="preserve">C </t>
        </is>
      </c>
      <c r="AA882" s="59" t="n">
        <v>3</v>
      </c>
      <c r="AB882" s="59" t="n">
        <v>3</v>
      </c>
      <c r="AC882" s="67" t="inlineStr">
        <is>
          <t>33</t>
        </is>
      </c>
      <c r="AD882" s="61" t="inlineStr">
        <is>
          <t>S-W LINCOLN LANDSCPE</t>
        </is>
      </c>
      <c r="AE882" s="716" t="n"/>
      <c r="AF882" s="716" t="n"/>
      <c r="AG882" s="716" t="n"/>
      <c r="AH882" s="716" t="n"/>
      <c r="AI882" s="716" t="n"/>
      <c r="AJ882" s="716" t="n"/>
      <c r="AK882" s="716" t="inlineStr"/>
      <c r="AL882">
        <f>IF(AND(ISNUMBER($S882),$S882&gt;0,ISNUMBER($K882),ISNUMBER($J882)),($K882*$J882)/$S882,"")</f>
        <v/>
      </c>
    </row>
    <row r="883">
      <c r="A883" s="62" t="n">
        <v>8</v>
      </c>
      <c r="B883" s="93" t="n">
        <v>875</v>
      </c>
      <c r="C883" s="68" t="inlineStr">
        <is>
          <t>2009Q</t>
        </is>
      </c>
      <c r="D883" s="59" t="inlineStr">
        <is>
          <t xml:space="preserve">05095-07-029-000 </t>
        </is>
      </c>
      <c r="E883" s="72" t="inlineStr">
        <is>
          <t>Actual</t>
        </is>
      </c>
      <c r="F883" s="73" t="inlineStr">
        <is>
          <t>1531 W BAYAUD               AV</t>
        </is>
      </c>
      <c r="G883" s="708" t="n">
        <v>44.2</v>
      </c>
      <c r="H883" s="67" t="n">
        <v>9508</v>
      </c>
      <c r="I883" s="69" t="n">
        <v>0</v>
      </c>
      <c r="J883" s="714" t="n">
        <v>5238</v>
      </c>
      <c r="K883" s="715" t="n">
        <v>5.744177166857579</v>
      </c>
      <c r="L883" s="74" t="n">
        <v>0</v>
      </c>
      <c r="M883" s="76" t="n">
        <v>0.2670167508641319</v>
      </c>
      <c r="N883" s="67" t="n">
        <v>1985</v>
      </c>
      <c r="O883" s="64">
        <f>522+800</f>
        <v/>
      </c>
      <c r="Q883" s="59" t="n">
        <v>13</v>
      </c>
      <c r="R883" s="59" t="n">
        <v>3</v>
      </c>
      <c r="S883" s="59" t="n">
        <v>3</v>
      </c>
      <c r="T883" s="63" t="inlineStr">
        <is>
          <t xml:space="preserve">I0   </t>
        </is>
      </c>
      <c r="U883" s="63" t="n">
        <v>398</v>
      </c>
      <c r="V883" s="714" t="n">
        <v>19950</v>
      </c>
      <c r="W883" s="714" t="n">
        <v>20000</v>
      </c>
      <c r="X883" s="83" t="inlineStr">
        <is>
          <t>1.7:1</t>
        </is>
      </c>
      <c r="Y883" s="714">
        <f>ROUND(J883,-3)</f>
        <v/>
      </c>
      <c r="Z883" s="63" t="inlineStr">
        <is>
          <t xml:space="preserve">C </t>
        </is>
      </c>
      <c r="AA883" s="59" t="n">
        <v>3</v>
      </c>
      <c r="AB883" s="59" t="n">
        <v>3</v>
      </c>
      <c r="AC883" s="67" t="inlineStr">
        <is>
          <t>33</t>
        </is>
      </c>
      <c r="AD883" s="61" t="inlineStr">
        <is>
          <t xml:space="preserve">WAREHOUSE           </t>
        </is>
      </c>
      <c r="AE883" s="716" t="n"/>
      <c r="AF883" s="716" t="n"/>
      <c r="AG883" s="716" t="n"/>
      <c r="AH883" s="716" t="n"/>
      <c r="AI883" s="716" t="n"/>
      <c r="AJ883" s="716" t="n"/>
      <c r="AK883" s="716" t="inlineStr">
        <is>
          <t xml:space="preserve">THREE UNITS-OWNER OCCUPIES 6,450 SF                               </t>
        </is>
      </c>
      <c r="AL883">
        <f>IF(AND(ISNUMBER($S883),$S883&gt;0,ISNUMBER($K883),ISNUMBER($J883)),($K883*$J883)/$S883,"")</f>
        <v/>
      </c>
    </row>
    <row r="884">
      <c r="A884" s="62" t="n">
        <v>8</v>
      </c>
      <c r="B884" s="93" t="n">
        <v>876</v>
      </c>
      <c r="C884" s="68" t="inlineStr">
        <is>
          <t>2009Q</t>
        </is>
      </c>
      <c r="D884" s="59" t="inlineStr">
        <is>
          <t xml:space="preserve">05095-08-006-000 </t>
        </is>
      </c>
      <c r="E884" s="72" t="inlineStr">
        <is>
          <t>Actual</t>
        </is>
      </c>
      <c r="F884" s="73" t="inlineStr">
        <is>
          <t>1340 W BAYAUD               AV</t>
        </is>
      </c>
      <c r="G884" s="708" t="n">
        <v>44.1</v>
      </c>
      <c r="H884" s="67" t="n">
        <v>9508</v>
      </c>
      <c r="I884" s="69" t="n">
        <v>0</v>
      </c>
      <c r="J884" s="714" t="n">
        <v>21450</v>
      </c>
      <c r="K884" s="715" t="n">
        <v>4.884848484848485</v>
      </c>
      <c r="L884" s="74" t="n">
        <v>0</v>
      </c>
      <c r="M884" s="76" t="n">
        <v>0.2370776865814087</v>
      </c>
      <c r="N884" s="67" t="n">
        <v>1977</v>
      </c>
      <c r="O884" s="64">
        <f>-168+531</f>
        <v/>
      </c>
      <c r="P884" s="64" t="n">
        <v>3381</v>
      </c>
      <c r="Q884" s="59" t="n">
        <v>21</v>
      </c>
      <c r="R884" s="59" t="n">
        <v>14</v>
      </c>
      <c r="S884" s="59" t="n">
        <v>1</v>
      </c>
      <c r="T884" s="63" t="inlineStr">
        <is>
          <t xml:space="preserve">I2   </t>
        </is>
      </c>
      <c r="U884" s="63" t="n">
        <v>398</v>
      </c>
      <c r="V884" s="714" t="n">
        <v>33457</v>
      </c>
      <c r="W884" s="714" t="n">
        <v>33000</v>
      </c>
      <c r="X884" s="83" t="inlineStr">
        <is>
          <t>1.5:1</t>
        </is>
      </c>
      <c r="Y884" s="714">
        <f>ROUND(J884,-3)</f>
        <v/>
      </c>
      <c r="Z884" s="63" t="inlineStr">
        <is>
          <t xml:space="preserve">C </t>
        </is>
      </c>
      <c r="AA884" s="59" t="n">
        <v>3</v>
      </c>
      <c r="AB884" s="59" t="n">
        <v>2</v>
      </c>
      <c r="AC884" s="67" t="inlineStr">
        <is>
          <t>32</t>
        </is>
      </c>
      <c r="AD884" s="61" t="inlineStr">
        <is>
          <t xml:space="preserve">M-W                 </t>
        </is>
      </c>
      <c r="AE884" s="716" t="n"/>
      <c r="AF884" s="716" t="n"/>
      <c r="AG884" s="716" t="n"/>
      <c r="AH884" s="716" t="n"/>
      <c r="AI884" s="716" t="n"/>
      <c r="AJ884" s="716" t="n"/>
      <c r="AK884" s="716" t="inlineStr">
        <is>
          <t xml:space="preserve">4 UNITS-TWO BASE YEAR LEASES                                      </t>
        </is>
      </c>
      <c r="AL884">
        <f>IF(AND(ISNUMBER($S884),$S884&gt;0,ISNUMBER($K884),ISNUMBER($J884)),($K884*$J884)/$S884,"")</f>
        <v/>
      </c>
    </row>
    <row r="885">
      <c r="A885" s="62" t="n">
        <v>8</v>
      </c>
      <c r="B885" s="93" t="n">
        <v>877</v>
      </c>
      <c r="C885" s="68" t="inlineStr">
        <is>
          <t>2009Q</t>
        </is>
      </c>
      <c r="D885" s="59" t="inlineStr">
        <is>
          <t xml:space="preserve">05095-08-009-000 </t>
        </is>
      </c>
      <c r="E885" s="72" t="inlineStr">
        <is>
          <t>Actual</t>
        </is>
      </c>
      <c r="F885" s="73" t="inlineStr">
        <is>
          <t>140 S PECOS                ST</t>
        </is>
      </c>
      <c r="G885" s="708" t="n">
        <v>44.1</v>
      </c>
      <c r="H885" s="67" t="n">
        <v>9508</v>
      </c>
      <c r="I885" s="69" t="n">
        <v>0</v>
      </c>
      <c r="J885" s="714" t="n">
        <v>25496</v>
      </c>
      <c r="K885" s="715" t="n">
        <v>6.168418575462818</v>
      </c>
      <c r="L885" s="74" t="n">
        <v>0</v>
      </c>
      <c r="M885" s="76" t="n">
        <v>0.2084631525402175</v>
      </c>
      <c r="N885" s="67" t="n">
        <v>1996</v>
      </c>
      <c r="O885" s="64" t="n">
        <v>1703</v>
      </c>
      <c r="Q885" s="59" t="n">
        <v>24</v>
      </c>
      <c r="R885" s="59" t="n">
        <v>4</v>
      </c>
      <c r="S885" s="59" t="n">
        <v>2</v>
      </c>
      <c r="T885" s="63" t="inlineStr">
        <is>
          <t xml:space="preserve">I2   </t>
        </is>
      </c>
      <c r="U885" s="63" t="n">
        <v>398</v>
      </c>
      <c r="V885" s="714" t="n">
        <v>36816</v>
      </c>
      <c r="W885" s="714" t="n">
        <v>37000</v>
      </c>
      <c r="X885" s="83" t="inlineStr">
        <is>
          <t>1.4:1</t>
        </is>
      </c>
      <c r="Y885" s="714">
        <f>ROUND(J885,-3)</f>
        <v/>
      </c>
      <c r="Z885" s="63" t="inlineStr">
        <is>
          <t xml:space="preserve">C </t>
        </is>
      </c>
      <c r="AA885" s="59" t="n">
        <v>3</v>
      </c>
      <c r="AB885" s="59" t="n">
        <v>3</v>
      </c>
      <c r="AC885" s="67" t="inlineStr">
        <is>
          <t>33</t>
        </is>
      </c>
      <c r="AD885" s="61" t="inlineStr">
        <is>
          <t xml:space="preserve">DISTRIBUTION WHSE   </t>
        </is>
      </c>
      <c r="AE885" s="716" t="n"/>
      <c r="AF885" s="716" t="n"/>
      <c r="AG885" s="716" t="n"/>
      <c r="AH885" s="716" t="n"/>
      <c r="AI885" s="716" t="n"/>
      <c r="AJ885" s="716" t="n"/>
      <c r="AK885" s="716" t="inlineStr"/>
      <c r="AL885">
        <f>IF(AND(ISNUMBER($S885),$S885&gt;0,ISNUMBER($K885),ISNUMBER($J885)),($K885*$J885)/$S885,"")</f>
        <v/>
      </c>
    </row>
    <row r="886">
      <c r="A886" s="62" t="n">
        <v>8</v>
      </c>
      <c r="B886" s="93" t="n">
        <v>878</v>
      </c>
      <c r="C886" s="68" t="inlineStr">
        <is>
          <t>2009Q</t>
        </is>
      </c>
      <c r="D886" s="59" t="inlineStr">
        <is>
          <t xml:space="preserve">05095-12-015-000 </t>
        </is>
      </c>
      <c r="E886" s="72" t="inlineStr">
        <is>
          <t>Actual</t>
        </is>
      </c>
      <c r="F886" s="73" t="inlineStr">
        <is>
          <t>240 S PECOS                ST</t>
        </is>
      </c>
      <c r="G886" s="708" t="n">
        <v>44.1</v>
      </c>
      <c r="H886" s="67" t="n">
        <v>9508</v>
      </c>
      <c r="I886" s="69" t="n">
        <v>0</v>
      </c>
      <c r="J886" s="714" t="n">
        <v>2905</v>
      </c>
      <c r="K886" s="715" t="n">
        <v>4.130808950086059</v>
      </c>
      <c r="L886" s="74" t="n">
        <v>0</v>
      </c>
      <c r="M886" s="76" t="n">
        <v>0</v>
      </c>
      <c r="N886" s="67" t="n">
        <v>1978</v>
      </c>
      <c r="O886" s="64" t="n">
        <v>350</v>
      </c>
      <c r="Q886" s="59" t="n">
        <v>14</v>
      </c>
      <c r="R886" s="59" t="n">
        <v>3</v>
      </c>
      <c r="S886" s="59" t="n">
        <v>1</v>
      </c>
      <c r="T886" s="63" t="inlineStr">
        <is>
          <t xml:space="preserve">I0   </t>
        </is>
      </c>
      <c r="U886" s="63" t="n">
        <v>398</v>
      </c>
      <c r="V886" s="714" t="n">
        <v>6875</v>
      </c>
      <c r="W886" s="714" t="n">
        <v>7000</v>
      </c>
      <c r="X886" s="83" t="inlineStr">
        <is>
          <t>2.4:1</t>
        </is>
      </c>
      <c r="Y886" s="714">
        <f>ROUND(J886,-3)</f>
        <v/>
      </c>
      <c r="Z886" s="63" t="inlineStr">
        <is>
          <t xml:space="preserve">C </t>
        </is>
      </c>
      <c r="AA886" s="59" t="n">
        <v>3</v>
      </c>
      <c r="AB886" s="59" t="n">
        <v>3</v>
      </c>
      <c r="AC886" s="67" t="inlineStr">
        <is>
          <t>33</t>
        </is>
      </c>
      <c r="AD886" s="61" t="inlineStr">
        <is>
          <t>S-W UNTD MECH SYSTEM</t>
        </is>
      </c>
      <c r="AE886" s="716" t="n"/>
      <c r="AF886" s="716" t="n"/>
      <c r="AG886" s="716" t="n"/>
      <c r="AH886" s="716" t="n"/>
      <c r="AI886" s="716" t="n"/>
      <c r="AJ886" s="716" t="n"/>
      <c r="AK886" s="716" t="inlineStr"/>
      <c r="AL886">
        <f>IF(AND(ISNUMBER($S886),$S886&gt;0,ISNUMBER($K886),ISNUMBER($J886)),($K886*$J886)/$S886,"")</f>
        <v/>
      </c>
    </row>
    <row r="887">
      <c r="A887" s="62" t="n">
        <v>8</v>
      </c>
      <c r="B887" s="93" t="n">
        <v>879</v>
      </c>
      <c r="C887" s="68" t="inlineStr">
        <is>
          <t>2009Q</t>
        </is>
      </c>
      <c r="D887" s="59" t="inlineStr">
        <is>
          <t xml:space="preserve">05095-12-028-000 </t>
        </is>
      </c>
      <c r="E887" s="72" t="inlineStr">
        <is>
          <t>Actual</t>
        </is>
      </c>
      <c r="F887" s="73" t="inlineStr">
        <is>
          <t>1369 W BYERS                PL</t>
        </is>
      </c>
      <c r="G887" s="708" t="n">
        <v>44.2</v>
      </c>
      <c r="H887" s="67" t="n">
        <v>9508</v>
      </c>
      <c r="I887" s="69" t="n">
        <v>0</v>
      </c>
      <c r="J887" s="714" t="n">
        <v>8000</v>
      </c>
      <c r="K887" s="715" t="n">
        <v>6.374375</v>
      </c>
      <c r="L887" s="74" t="n">
        <v>0</v>
      </c>
      <c r="M887" s="76" t="n">
        <v>0.133856260417688</v>
      </c>
      <c r="N887" s="67" t="n">
        <v>1978</v>
      </c>
      <c r="O887" s="64" t="n">
        <v>1376</v>
      </c>
      <c r="Q887" s="59" t="n">
        <v>14</v>
      </c>
      <c r="R887" s="59" t="n">
        <v>3</v>
      </c>
      <c r="S887" s="59" t="n">
        <v>1</v>
      </c>
      <c r="T887" s="63" t="inlineStr">
        <is>
          <t xml:space="preserve">I0   </t>
        </is>
      </c>
      <c r="U887" s="63" t="n">
        <v>398</v>
      </c>
      <c r="V887" s="714" t="n">
        <v>17187</v>
      </c>
      <c r="W887" s="714" t="n">
        <v>17000</v>
      </c>
      <c r="X887" s="83" t="inlineStr">
        <is>
          <t>2.1:1</t>
        </is>
      </c>
      <c r="Y887" s="714">
        <f>ROUND(J887,-3)</f>
        <v/>
      </c>
      <c r="Z887" s="63" t="inlineStr">
        <is>
          <t xml:space="preserve">C </t>
        </is>
      </c>
      <c r="AA887" s="59" t="n">
        <v>3</v>
      </c>
      <c r="AB887" s="59" t="n">
        <v>3</v>
      </c>
      <c r="AC887" s="67" t="inlineStr">
        <is>
          <t>33</t>
        </is>
      </c>
      <c r="AD887" s="61" t="inlineStr">
        <is>
          <t>WESCO LASER MACHINRY</t>
        </is>
      </c>
      <c r="AE887" s="716" t="n"/>
      <c r="AF887" s="716" t="n"/>
      <c r="AG887" s="716" t="n"/>
      <c r="AH887" s="716" t="n"/>
      <c r="AI887" s="716" t="n"/>
      <c r="AJ887" s="716" t="n"/>
      <c r="AK887" s="716" t="inlineStr">
        <is>
          <t xml:space="preserve">4 UNIT-3 OCCUPIED BY ONE TENANT                                   </t>
        </is>
      </c>
      <c r="AL887">
        <f>IF(AND(ISNUMBER($S887),$S887&gt;0,ISNUMBER($K887),ISNUMBER($J887)),($K887*$J887)/$S887,"")</f>
        <v/>
      </c>
    </row>
    <row r="888">
      <c r="A888" s="62" t="n">
        <v>8</v>
      </c>
      <c r="B888" s="93" t="n">
        <v>880</v>
      </c>
      <c r="C888" s="68" t="inlineStr">
        <is>
          <t>2009Q</t>
        </is>
      </c>
      <c r="D888" s="59" t="inlineStr">
        <is>
          <t xml:space="preserve">05095-13-033-000 </t>
        </is>
      </c>
      <c r="E888" s="72" t="inlineStr">
        <is>
          <t>Actual</t>
        </is>
      </c>
      <c r="F888" s="73" t="inlineStr">
        <is>
          <t>1234 W CEDAR                AV</t>
        </is>
      </c>
      <c r="G888" s="708" t="n">
        <v>44.2</v>
      </c>
      <c r="H888" s="67" t="n">
        <v>9508</v>
      </c>
      <c r="I888" s="69" t="n">
        <v>0</v>
      </c>
      <c r="J888" s="714" t="n">
        <v>6558</v>
      </c>
      <c r="K888" s="715" t="n">
        <v>9.149130832570906</v>
      </c>
      <c r="L888" s="74" t="n">
        <v>0</v>
      </c>
      <c r="M888" s="76" t="n">
        <v>0</v>
      </c>
      <c r="N888" s="67" t="n">
        <v>1980</v>
      </c>
      <c r="O888" s="64" t="n">
        <v>2350</v>
      </c>
      <c r="Q888" s="59" t="n">
        <v>14</v>
      </c>
      <c r="R888" s="59" t="n">
        <v>3</v>
      </c>
      <c r="S888" s="59" t="n">
        <v>1</v>
      </c>
      <c r="T888" s="63" t="inlineStr">
        <is>
          <t xml:space="preserve">I0   </t>
        </is>
      </c>
      <c r="U888" s="63" t="n">
        <v>398</v>
      </c>
      <c r="V888" s="714" t="n">
        <v>12875</v>
      </c>
      <c r="W888" s="714" t="n">
        <v>13000</v>
      </c>
      <c r="X888" s="83" t="inlineStr">
        <is>
          <t>2.0:1</t>
        </is>
      </c>
      <c r="Y888" s="714">
        <f>ROUND(J888,-3)</f>
        <v/>
      </c>
      <c r="Z888" s="63" t="inlineStr">
        <is>
          <t xml:space="preserve">C </t>
        </is>
      </c>
      <c r="AA888" s="59" t="n">
        <v>3</v>
      </c>
      <c r="AB888" s="59" t="n">
        <v>3</v>
      </c>
      <c r="AC888" s="67" t="inlineStr">
        <is>
          <t>33</t>
        </is>
      </c>
      <c r="AD888" s="61" t="inlineStr"/>
      <c r="AE888" s="716" t="n"/>
      <c r="AF888" s="716" t="n"/>
      <c r="AG888" s="716" t="n"/>
      <c r="AH888" s="716" t="n"/>
      <c r="AI888" s="716" t="n"/>
      <c r="AJ888" s="716" t="n"/>
      <c r="AK888" s="716" t="inlineStr"/>
      <c r="AL888">
        <f>IF(AND(ISNUMBER($S888),$S888&gt;0,ISNUMBER($K888),ISNUMBER($J888)),($K888*$J888)/$S888,"")</f>
        <v/>
      </c>
    </row>
    <row r="889">
      <c r="A889" s="62" t="n">
        <v>8</v>
      </c>
      <c r="B889" s="93" t="n">
        <v>881</v>
      </c>
      <c r="C889" s="68" t="inlineStr">
        <is>
          <t>2009Q</t>
        </is>
      </c>
      <c r="D889" s="59" t="inlineStr">
        <is>
          <t xml:space="preserve">05095-14-038-000 </t>
        </is>
      </c>
      <c r="E889" s="72" t="inlineStr">
        <is>
          <t>Actual</t>
        </is>
      </c>
      <c r="F889" s="73" t="inlineStr">
        <is>
          <t>1258 W BYERS                PL</t>
        </is>
      </c>
      <c r="G889" s="708" t="n">
        <v>44.1</v>
      </c>
      <c r="H889" s="67" t="n">
        <v>9508</v>
      </c>
      <c r="I889" s="69" t="n">
        <v>0</v>
      </c>
      <c r="J889" s="714" t="n">
        <v>8588</v>
      </c>
      <c r="K889" s="715" t="n">
        <v>7.467396367023754</v>
      </c>
      <c r="L889" s="74" t="n">
        <v>0</v>
      </c>
      <c r="M889" s="76" t="n">
        <v>0.2682208014969593</v>
      </c>
      <c r="N889" s="67" t="n">
        <v>1984</v>
      </c>
      <c r="O889" s="64">
        <f>930+1920</f>
        <v/>
      </c>
      <c r="Q889" s="59" t="n">
        <v>21</v>
      </c>
      <c r="R889" s="59" t="n">
        <v>3</v>
      </c>
      <c r="S889" s="59" t="n">
        <v>1</v>
      </c>
      <c r="T889" s="63" t="inlineStr">
        <is>
          <t xml:space="preserve">I0   </t>
        </is>
      </c>
      <c r="U889" s="63" t="n">
        <v>398</v>
      </c>
      <c r="V889" s="714" t="n">
        <v>15459</v>
      </c>
      <c r="W889" s="714" t="n">
        <v>15000</v>
      </c>
      <c r="X889" s="83" t="inlineStr">
        <is>
          <t>1.8:1</t>
        </is>
      </c>
      <c r="Y889" s="714">
        <f>ROUND(J889,-3)</f>
        <v/>
      </c>
      <c r="Z889" s="63" t="inlineStr">
        <is>
          <t xml:space="preserve">C </t>
        </is>
      </c>
      <c r="AA889" s="59" t="n">
        <v>3</v>
      </c>
      <c r="AB889" s="59" t="n">
        <v>3</v>
      </c>
      <c r="AC889" s="67" t="inlineStr">
        <is>
          <t>33</t>
        </is>
      </c>
      <c r="AD889" s="61" t="inlineStr">
        <is>
          <t>S-W(NO NAME ON BLDG)</t>
        </is>
      </c>
      <c r="AE889" s="716" t="n"/>
      <c r="AF889" s="716" t="n"/>
      <c r="AG889" s="716" t="n"/>
      <c r="AH889" s="716" t="n"/>
      <c r="AI889" s="716" t="n"/>
      <c r="AJ889" s="716" t="n"/>
      <c r="AK889" s="716" t="inlineStr"/>
      <c r="AL889">
        <f>IF(AND(ISNUMBER($S889),$S889&gt;0,ISNUMBER($K889),ISNUMBER($J889)),($K889*$J889)/$S889,"")</f>
        <v/>
      </c>
    </row>
    <row r="890">
      <c r="A890" s="62" t="n">
        <v>8</v>
      </c>
      <c r="B890" s="93" t="n">
        <v>882</v>
      </c>
      <c r="C890" s="68" t="inlineStr">
        <is>
          <t>2009Q</t>
        </is>
      </c>
      <c r="D890" s="59" t="inlineStr">
        <is>
          <t xml:space="preserve">05096-00-009-000 </t>
        </is>
      </c>
      <c r="E890" s="72" t="inlineStr">
        <is>
          <t>Actual</t>
        </is>
      </c>
      <c r="F890" s="73" t="inlineStr">
        <is>
          <t>100 S SANTA FE             DR</t>
        </is>
      </c>
      <c r="G890" s="708" t="n">
        <v>44.2</v>
      </c>
      <c r="H890" s="67" t="n">
        <v>9505</v>
      </c>
      <c r="I890" s="69" t="n">
        <v>3</v>
      </c>
      <c r="J890" s="714" t="n">
        <v>36508</v>
      </c>
      <c r="K890" s="715" t="n">
        <v>4.108688506628684</v>
      </c>
      <c r="L890" s="74" t="n">
        <v>0</v>
      </c>
      <c r="M890" s="76" t="n">
        <v>0</v>
      </c>
      <c r="N890" s="67" t="n">
        <v>1955</v>
      </c>
      <c r="P890" s="64" t="n">
        <v>2944</v>
      </c>
      <c r="Q890" s="59" t="n">
        <v>14</v>
      </c>
      <c r="R890" s="59" t="n">
        <v>3</v>
      </c>
      <c r="S890" s="59" t="n">
        <v>1</v>
      </c>
      <c r="T890" s="63" t="inlineStr">
        <is>
          <t xml:space="preserve">I2   </t>
        </is>
      </c>
      <c r="U890" s="63" t="n">
        <v>398</v>
      </c>
      <c r="V890" s="714" t="n">
        <v>75794</v>
      </c>
      <c r="W890" s="714" t="n">
        <v>80000</v>
      </c>
      <c r="X890" s="83" t="inlineStr">
        <is>
          <t>2.1:1</t>
        </is>
      </c>
      <c r="Y890" s="714">
        <f>ROUND(J890,-3)</f>
        <v/>
      </c>
      <c r="Z890" s="63" t="inlineStr">
        <is>
          <t xml:space="preserve">C </t>
        </is>
      </c>
      <c r="AA890" s="59" t="n">
        <v>3</v>
      </c>
      <c r="AB890" s="59" t="n">
        <v>3</v>
      </c>
      <c r="AC890" s="67" t="inlineStr">
        <is>
          <t>33</t>
        </is>
      </c>
      <c r="AD890" s="61" t="inlineStr"/>
      <c r="AE890" s="716" t="n"/>
      <c r="AF890" s="716" t="n"/>
      <c r="AG890" s="716" t="n"/>
      <c r="AH890" s="716" t="n"/>
      <c r="AI890" s="716" t="n"/>
      <c r="AJ890" s="716" t="n"/>
      <c r="AK890" s="716" t="inlineStr"/>
      <c r="AL890">
        <f>IF(AND(ISNUMBER($S890),$S890&gt;0,ISNUMBER($K890),ISNUMBER($J890)),($K890*$J890)/$S890,"")</f>
        <v/>
      </c>
    </row>
    <row r="891">
      <c r="A891" s="62" t="n">
        <v>8</v>
      </c>
      <c r="B891" s="93" t="n">
        <v>883</v>
      </c>
      <c r="C891" s="68" t="inlineStr">
        <is>
          <t>2009Q</t>
        </is>
      </c>
      <c r="D891" s="59" t="inlineStr">
        <is>
          <t xml:space="preserve">05096-01-018-000 </t>
        </is>
      </c>
      <c r="E891" s="72" t="inlineStr">
        <is>
          <t>Actual</t>
        </is>
      </c>
      <c r="F891" s="73" t="inlineStr">
        <is>
          <t>875 W ELLSWORTH            AV</t>
        </is>
      </c>
      <c r="G891" s="708" t="n">
        <v>44.2</v>
      </c>
      <c r="H891" s="67" t="n">
        <v>9505</v>
      </c>
      <c r="I891" s="69" t="n">
        <v>0</v>
      </c>
      <c r="J891" s="714" t="n">
        <v>27373</v>
      </c>
      <c r="K891" s="715" t="n">
        <v>9.498410842801301</v>
      </c>
      <c r="L891" s="74" t="n">
        <v>0</v>
      </c>
      <c r="M891" s="76" t="n">
        <v>0</v>
      </c>
      <c r="N891" s="67" t="n">
        <v>2002</v>
      </c>
      <c r="O891" s="64">
        <f>6950+7220</f>
        <v/>
      </c>
      <c r="P891" s="64" t="inlineStr"/>
      <c r="Q891" s="59" t="n">
        <v>31</v>
      </c>
      <c r="R891" s="59" t="n">
        <v>7</v>
      </c>
      <c r="S891" s="59" t="n">
        <v>1</v>
      </c>
      <c r="T891" s="63" t="inlineStr">
        <is>
          <t xml:space="preserve">I1   </t>
        </is>
      </c>
      <c r="U891" s="63" t="n">
        <v>398</v>
      </c>
      <c r="V891" s="714" t="n">
        <v>51308</v>
      </c>
      <c r="W891" s="714" t="n">
        <v>50000</v>
      </c>
      <c r="X891" s="83" t="inlineStr">
        <is>
          <t>1.9:1</t>
        </is>
      </c>
      <c r="Y891" s="714">
        <f>ROUND(J891,-3)</f>
        <v/>
      </c>
      <c r="Z891" s="63" t="inlineStr">
        <is>
          <t xml:space="preserve">C </t>
        </is>
      </c>
      <c r="AA891" s="59" t="n">
        <v>3</v>
      </c>
      <c r="AB891" s="59" t="n">
        <v>3</v>
      </c>
      <c r="AC891" s="67" t="inlineStr">
        <is>
          <t>33</t>
        </is>
      </c>
      <c r="AD891" s="61" t="inlineStr">
        <is>
          <t xml:space="preserve">BRON TAPE           </t>
        </is>
      </c>
      <c r="AE891" s="716" t="n"/>
      <c r="AF891" s="716" t="n"/>
      <c r="AG891" s="716" t="n"/>
      <c r="AH891" s="716" t="n"/>
      <c r="AI891" s="716" t="n"/>
      <c r="AJ891" s="716" t="n"/>
      <c r="AK891" s="716" t="inlineStr"/>
      <c r="AL891">
        <f>IF(AND(ISNUMBER($S891),$S891&gt;0,ISNUMBER($K891),ISNUMBER($J891)),($K891*$J891)/$S891,"")</f>
        <v/>
      </c>
    </row>
    <row r="892">
      <c r="A892" s="62" t="n">
        <v>8</v>
      </c>
      <c r="B892" s="93" t="n">
        <v>884</v>
      </c>
      <c r="C892" s="68" t="inlineStr">
        <is>
          <t>2009Q</t>
        </is>
      </c>
      <c r="D892" s="59" t="inlineStr">
        <is>
          <t xml:space="preserve">05096-02-019-000 </t>
        </is>
      </c>
      <c r="E892" s="72" t="inlineStr">
        <is>
          <t>Actual</t>
        </is>
      </c>
      <c r="F892" s="73" t="inlineStr">
        <is>
          <t>70   SANTA FE             DR</t>
        </is>
      </c>
      <c r="G892" s="708" t="n">
        <v>44.1</v>
      </c>
      <c r="H892" s="67" t="n">
        <v>9505</v>
      </c>
      <c r="I892" s="69" t="n">
        <v>3</v>
      </c>
      <c r="J892" s="714" t="n">
        <v>33831</v>
      </c>
      <c r="K892" s="715" t="n">
        <v>5.075818036711891</v>
      </c>
      <c r="L892" s="74" t="n">
        <v>0</v>
      </c>
      <c r="M892" s="76" t="n">
        <v>0</v>
      </c>
      <c r="N892" s="67" t="n">
        <v>1974</v>
      </c>
      <c r="O892" s="64">
        <f>832+640</f>
        <v/>
      </c>
      <c r="P892" s="64" t="n">
        <v>3025</v>
      </c>
      <c r="Q892" s="59" t="n">
        <v>16</v>
      </c>
      <c r="R892" s="59" t="n">
        <v>7</v>
      </c>
      <c r="S892" s="59" t="n">
        <v>1</v>
      </c>
      <c r="T892" s="63" t="inlineStr">
        <is>
          <t xml:space="preserve">I1   </t>
        </is>
      </c>
      <c r="U892" s="63" t="n">
        <v>398</v>
      </c>
      <c r="V892" s="714" t="n">
        <v>42180</v>
      </c>
      <c r="W892" s="714" t="n">
        <v>42000</v>
      </c>
      <c r="X892" s="83" t="inlineStr">
        <is>
          <t>1.2:1</t>
        </is>
      </c>
      <c r="Y892" s="714">
        <f>ROUND(J892,-3)</f>
        <v/>
      </c>
      <c r="Z892" s="63" t="inlineStr">
        <is>
          <t xml:space="preserve">C </t>
        </is>
      </c>
      <c r="AA892" s="59" t="n">
        <v>2</v>
      </c>
      <c r="AB892" s="59" t="n">
        <v>2</v>
      </c>
      <c r="AC892" s="67" t="inlineStr">
        <is>
          <t>22</t>
        </is>
      </c>
      <c r="AD892" s="61" t="inlineStr">
        <is>
          <t xml:space="preserve">DISTRIBUTION WHSE   </t>
        </is>
      </c>
      <c r="AE892" s="716" t="n"/>
      <c r="AF892" s="716" t="n"/>
      <c r="AG892" s="716" t="n"/>
      <c r="AH892" s="716" t="n"/>
      <c r="AI892" s="716" t="n"/>
      <c r="AJ892" s="716" t="n"/>
      <c r="AK892" s="716" t="inlineStr"/>
      <c r="AL892">
        <f>IF(AND(ISNUMBER($S892),$S892&gt;0,ISNUMBER($K892),ISNUMBER($J892)),($K892*$J892)/$S892,"")</f>
        <v/>
      </c>
    </row>
    <row r="893">
      <c r="A893" s="62" t="n">
        <v>8</v>
      </c>
      <c r="B893" s="93" t="n">
        <v>885</v>
      </c>
      <c r="C893" s="68" t="inlineStr">
        <is>
          <t>2009Q</t>
        </is>
      </c>
      <c r="D893" s="59" t="inlineStr">
        <is>
          <t xml:space="preserve">05096-03-029-000 </t>
        </is>
      </c>
      <c r="E893" s="72" t="inlineStr">
        <is>
          <t>Actual</t>
        </is>
      </c>
      <c r="F893" s="73" t="inlineStr">
        <is>
          <t>924 W 1ST                  AV</t>
        </is>
      </c>
      <c r="G893" s="708" t="n">
        <v>44.1</v>
      </c>
      <c r="H893" s="67" t="n">
        <v>9505</v>
      </c>
      <c r="I893" s="69" t="n">
        <v>0</v>
      </c>
      <c r="J893" s="714" t="n">
        <v>43000</v>
      </c>
      <c r="K893" s="715" t="n">
        <v>5.023255813953488</v>
      </c>
      <c r="L893" s="74" t="n">
        <v>0</v>
      </c>
      <c r="M893" s="76" t="n">
        <v>0</v>
      </c>
      <c r="N893" s="67" t="n">
        <v>1937</v>
      </c>
      <c r="O893" s="64" t="n">
        <v>1540</v>
      </c>
      <c r="Q893" s="59" t="n">
        <v>10</v>
      </c>
      <c r="R893" s="59" t="n">
        <v>1</v>
      </c>
      <c r="S893" s="59" t="n">
        <v>1</v>
      </c>
      <c r="T893" s="63" t="inlineStr">
        <is>
          <t xml:space="preserve">I1   </t>
        </is>
      </c>
      <c r="U893" s="63" t="n">
        <v>398</v>
      </c>
      <c r="V893" s="714" t="n">
        <v>79830</v>
      </c>
      <c r="W893" s="714" t="n">
        <v>80000</v>
      </c>
      <c r="X893" s="83" t="inlineStr">
        <is>
          <t>3.0:1</t>
        </is>
      </c>
      <c r="Y893" s="714">
        <f>ROUND(J893,-3)</f>
        <v/>
      </c>
      <c r="Z893" s="63" t="inlineStr">
        <is>
          <t xml:space="preserve">C </t>
        </is>
      </c>
      <c r="AA893" s="59" t="n">
        <v>3</v>
      </c>
      <c r="AB893" s="59" t="n">
        <v>3</v>
      </c>
      <c r="AC893" s="67" t="inlineStr">
        <is>
          <t>33</t>
        </is>
      </c>
      <c r="AD893" s="61" t="inlineStr">
        <is>
          <t xml:space="preserve">STARK LUMBER        </t>
        </is>
      </c>
      <c r="AE893" s="716" t="n"/>
      <c r="AF893" s="716" t="n"/>
      <c r="AG893" s="716" t="n"/>
      <c r="AH893" s="716" t="n"/>
      <c r="AI893" s="716" t="n"/>
      <c r="AJ893" s="716" t="n"/>
      <c r="AK893" s="716" t="inlineStr">
        <is>
          <t xml:space="preserve">STARK LUMBER-AREA FROM OWNER                                      </t>
        </is>
      </c>
      <c r="AL893">
        <f>IF(AND(ISNUMBER($S893),$S893&gt;0,ISNUMBER($K893),ISNUMBER($J893)),($K893*$J893)/$S893,"")</f>
        <v/>
      </c>
    </row>
    <row r="894">
      <c r="A894" s="62" t="n">
        <v>8</v>
      </c>
      <c r="B894" s="93" t="n">
        <v>886</v>
      </c>
      <c r="C894" s="68" t="inlineStr">
        <is>
          <t>2009Q</t>
        </is>
      </c>
      <c r="D894" s="59" t="inlineStr">
        <is>
          <t xml:space="preserve">05096-04-001-000 </t>
        </is>
      </c>
      <c r="E894" s="72" t="inlineStr">
        <is>
          <t>Actual</t>
        </is>
      </c>
      <c r="F894" s="73" t="inlineStr">
        <is>
          <t>88   LIPAN                ST</t>
        </is>
      </c>
      <c r="G894" s="708" t="n">
        <v>44.2</v>
      </c>
      <c r="H894" s="67" t="n">
        <v>9505</v>
      </c>
      <c r="I894" s="69" t="n">
        <v>0</v>
      </c>
      <c r="J894" s="714" t="n">
        <v>3479</v>
      </c>
      <c r="K894" s="715" t="n">
        <v>12.07243460764587</v>
      </c>
      <c r="L894" s="74" t="n">
        <v>0</v>
      </c>
      <c r="M894" s="76" t="n">
        <v>0</v>
      </c>
      <c r="N894" s="67" t="n">
        <v>1965</v>
      </c>
      <c r="O894" s="64" t="n">
        <v>1779</v>
      </c>
      <c r="Q894" s="59" t="n">
        <v>14</v>
      </c>
      <c r="R894" s="59" t="n">
        <v>3</v>
      </c>
      <c r="S894" s="59" t="n">
        <v>1</v>
      </c>
      <c r="T894" s="63" t="inlineStr">
        <is>
          <t xml:space="preserve">I1   </t>
        </is>
      </c>
      <c r="U894" s="63" t="n">
        <v>398</v>
      </c>
      <c r="V894" s="714" t="n">
        <v>5576</v>
      </c>
      <c r="W894" s="714" t="n">
        <v>6000</v>
      </c>
      <c r="X894" s="83" t="inlineStr">
        <is>
          <t>1.6:1</t>
        </is>
      </c>
      <c r="Y894" s="714">
        <f>ROUND(J894,-3)</f>
        <v/>
      </c>
      <c r="Z894" s="63" t="inlineStr">
        <is>
          <t xml:space="preserve">C </t>
        </is>
      </c>
      <c r="AA894" s="59" t="n">
        <v>3</v>
      </c>
      <c r="AB894" s="59" t="n">
        <v>3</v>
      </c>
      <c r="AC894" s="67" t="inlineStr">
        <is>
          <t>33</t>
        </is>
      </c>
      <c r="AD894" s="61" t="inlineStr">
        <is>
          <t>S-W IND. WESTERN INC</t>
        </is>
      </c>
      <c r="AE894" s="716" t="n"/>
      <c r="AF894" s="716" t="n"/>
      <c r="AG894" s="716" t="n"/>
      <c r="AH894" s="716" t="n"/>
      <c r="AI894" s="716" t="n"/>
      <c r="AJ894" s="716" t="n"/>
      <c r="AK894" s="716" t="inlineStr"/>
      <c r="AL894">
        <f>IF(AND(ISNUMBER($S894),$S894&gt;0,ISNUMBER($K894),ISNUMBER($J894)),($K894*$J894)/$S894,"")</f>
        <v/>
      </c>
    </row>
    <row r="895">
      <c r="A895" s="62" t="n">
        <v>8</v>
      </c>
      <c r="B895" s="93" t="n">
        <v>887</v>
      </c>
      <c r="C895" s="68" t="inlineStr">
        <is>
          <t>2009Q</t>
        </is>
      </c>
      <c r="D895" s="59" t="inlineStr">
        <is>
          <t xml:space="preserve">05096-04-038-000 </t>
        </is>
      </c>
      <c r="E895" s="72" t="inlineStr">
        <is>
          <t>Actual</t>
        </is>
      </c>
      <c r="F895" s="73" t="inlineStr">
        <is>
          <t>60   LIPAN                ST</t>
        </is>
      </c>
      <c r="G895" s="708" t="n">
        <v>44.2</v>
      </c>
      <c r="H895" s="67" t="n">
        <v>9505</v>
      </c>
      <c r="I895" s="69" t="n">
        <v>0</v>
      </c>
      <c r="J895" s="714" t="n">
        <v>4950</v>
      </c>
      <c r="K895" s="715" t="n">
        <v>6.398585858585858</v>
      </c>
      <c r="L895" s="74" t="n">
        <v>0</v>
      </c>
      <c r="M895" s="76" t="n">
        <v>0.0535156126669403</v>
      </c>
      <c r="N895" s="67" t="n">
        <v>1966</v>
      </c>
      <c r="O895" s="64" t="n">
        <v>517</v>
      </c>
      <c r="Q895" s="59" t="n">
        <v>14</v>
      </c>
      <c r="R895" s="59" t="n">
        <v>3</v>
      </c>
      <c r="S895" s="59" t="n">
        <v>1</v>
      </c>
      <c r="T895" s="63" t="inlineStr">
        <is>
          <t xml:space="preserve">I1   </t>
        </is>
      </c>
      <c r="U895" s="63" t="n">
        <v>397</v>
      </c>
      <c r="V895" s="714" t="n">
        <v>7582</v>
      </c>
      <c r="W895" s="714" t="n">
        <v>8000</v>
      </c>
      <c r="X895" s="83" t="inlineStr">
        <is>
          <t>1.5:1</t>
        </is>
      </c>
      <c r="Y895" s="714">
        <f>ROUND(J895,-3)</f>
        <v/>
      </c>
      <c r="Z895" s="63" t="inlineStr">
        <is>
          <t xml:space="preserve">C </t>
        </is>
      </c>
      <c r="AA895" s="59" t="n">
        <v>3</v>
      </c>
      <c r="AB895" s="59" t="n">
        <v>3</v>
      </c>
      <c r="AC895" s="67" t="inlineStr">
        <is>
          <t>33</t>
        </is>
      </c>
      <c r="AD895" s="61" t="inlineStr">
        <is>
          <t>S-W AAA METRIC SUPPL</t>
        </is>
      </c>
      <c r="AE895" s="716" t="n"/>
      <c r="AF895" s="716" t="n"/>
      <c r="AG895" s="716" t="n"/>
      <c r="AH895" s="716" t="n"/>
      <c r="AI895" s="716" t="n"/>
      <c r="AJ895" s="716" t="n"/>
      <c r="AK895" s="716" t="inlineStr"/>
      <c r="AL895">
        <f>IF(AND(ISNUMBER($S895),$S895&gt;0,ISNUMBER($K895),ISNUMBER($J895)),($K895*$J895)/$S895,"")</f>
        <v/>
      </c>
    </row>
    <row r="896">
      <c r="A896" s="62" t="n">
        <v>8</v>
      </c>
      <c r="B896" s="93" t="n">
        <v>888</v>
      </c>
      <c r="C896" s="68" t="inlineStr">
        <is>
          <t>2009Q</t>
        </is>
      </c>
      <c r="D896" s="59" t="inlineStr">
        <is>
          <t xml:space="preserve">05096-15-056-000 </t>
        </is>
      </c>
      <c r="E896" s="72" t="inlineStr">
        <is>
          <t>Actual</t>
        </is>
      </c>
      <c r="F896" s="73" t="inlineStr">
        <is>
          <t>172 S KALAMATH             ST</t>
        </is>
      </c>
      <c r="G896" s="708" t="n">
        <v>44.1</v>
      </c>
      <c r="H896" s="67" t="n">
        <v>9505</v>
      </c>
      <c r="I896" s="69" t="n">
        <v>0</v>
      </c>
      <c r="J896" s="714" t="n">
        <v>17250</v>
      </c>
      <c r="K896" s="715" t="n">
        <v>5.565217391304348</v>
      </c>
      <c r="L896" s="74" t="n">
        <v>0</v>
      </c>
      <c r="M896" s="76" t="n">
        <v>0</v>
      </c>
      <c r="N896" s="67" t="n">
        <v>1972</v>
      </c>
      <c r="O896" s="64" t="n">
        <v>2500</v>
      </c>
      <c r="Q896" s="59" t="n">
        <v>12</v>
      </c>
      <c r="R896" s="59" t="n">
        <v>3</v>
      </c>
      <c r="S896" s="59" t="n">
        <v>1</v>
      </c>
      <c r="T896" s="63" t="inlineStr">
        <is>
          <t xml:space="preserve">I1   </t>
        </is>
      </c>
      <c r="U896" s="63" t="n">
        <v>398</v>
      </c>
      <c r="V896" s="714" t="n">
        <v>21875</v>
      </c>
      <c r="W896" s="714" t="n">
        <v>22000</v>
      </c>
      <c r="X896" s="83" t="inlineStr">
        <is>
          <t>1.3:1</t>
        </is>
      </c>
      <c r="Y896" s="714">
        <f>ROUND(J896,-3)</f>
        <v/>
      </c>
      <c r="Z896" s="63" t="inlineStr">
        <is>
          <t xml:space="preserve">C </t>
        </is>
      </c>
      <c r="AA896" s="59" t="n">
        <v>3</v>
      </c>
      <c r="AB896" s="59" t="n">
        <v>3</v>
      </c>
      <c r="AC896" s="67" t="inlineStr">
        <is>
          <t>33</t>
        </is>
      </c>
      <c r="AD896" s="61" t="inlineStr">
        <is>
          <t xml:space="preserve">DIST / PRINT SHOP   </t>
        </is>
      </c>
      <c r="AE896" s="716" t="n"/>
      <c r="AF896" s="716" t="n"/>
      <c r="AG896" s="716" t="n"/>
      <c r="AH896" s="716" t="n"/>
      <c r="AI896" s="716" t="n"/>
      <c r="AJ896" s="716" t="n"/>
      <c r="AK896" s="716" t="inlineStr"/>
      <c r="AL896">
        <f>IF(AND(ISNUMBER($S896),$S896&gt;0,ISNUMBER($K896),ISNUMBER($J896)),($K896*$J896)/$S896,"")</f>
        <v/>
      </c>
    </row>
    <row r="897">
      <c r="A897" s="62" t="n">
        <v>8</v>
      </c>
      <c r="B897" s="93" t="n">
        <v>889</v>
      </c>
      <c r="C897" s="68" t="inlineStr">
        <is>
          <t>2009Q</t>
        </is>
      </c>
      <c r="D897" s="59" t="inlineStr">
        <is>
          <t xml:space="preserve">05096-18-016-000 </t>
        </is>
      </c>
      <c r="E897" s="72" t="inlineStr">
        <is>
          <t>Actual</t>
        </is>
      </c>
      <c r="F897" s="73" t="inlineStr">
        <is>
          <t>285 S SANTA FE             DR</t>
        </is>
      </c>
      <c r="G897" s="708" t="n">
        <v>44.1</v>
      </c>
      <c r="H897" s="67" t="n">
        <v>9505</v>
      </c>
      <c r="I897" s="69" t="n">
        <v>3</v>
      </c>
      <c r="J897" s="714" t="n">
        <v>6802</v>
      </c>
      <c r="K897" s="715" t="n">
        <v>7.339017935901206</v>
      </c>
      <c r="L897" s="74" t="n">
        <v>0</v>
      </c>
      <c r="M897" s="76" t="n">
        <v>0</v>
      </c>
      <c r="N897" s="67" t="n">
        <v>1971</v>
      </c>
      <c r="O897" s="64" t="n">
        <v>1338</v>
      </c>
      <c r="Q897" s="59" t="n">
        <v>20</v>
      </c>
      <c r="R897" s="59" t="n">
        <v>7</v>
      </c>
      <c r="S897" s="59" t="n">
        <v>1</v>
      </c>
      <c r="T897" s="63" t="inlineStr">
        <is>
          <t xml:space="preserve">I1   </t>
        </is>
      </c>
      <c r="U897" s="63" t="n">
        <v>398</v>
      </c>
      <c r="V897" s="714" t="n">
        <v>13864</v>
      </c>
      <c r="W897" s="714" t="n">
        <v>14000</v>
      </c>
      <c r="X897" s="83" t="inlineStr">
        <is>
          <t>2.0:1</t>
        </is>
      </c>
      <c r="Y897" s="714">
        <f>ROUND(J897,-3)</f>
        <v/>
      </c>
      <c r="Z897" s="63" t="inlineStr">
        <is>
          <t xml:space="preserve">C </t>
        </is>
      </c>
      <c r="AA897" s="59" t="n">
        <v>3</v>
      </c>
      <c r="AB897" s="59" t="n">
        <v>3</v>
      </c>
      <c r="AC897" s="67" t="inlineStr">
        <is>
          <t>33</t>
        </is>
      </c>
      <c r="AD897" s="61" t="inlineStr">
        <is>
          <t xml:space="preserve">WHSE/DIST PLUMBING  </t>
        </is>
      </c>
      <c r="AE897" s="716" t="n"/>
      <c r="AF897" s="716" t="n"/>
      <c r="AG897" s="716" t="n"/>
      <c r="AH897" s="716" t="n"/>
      <c r="AI897" s="716" t="n"/>
      <c r="AJ897" s="716" t="n"/>
      <c r="AK897" s="716" t="inlineStr"/>
      <c r="AL897">
        <f>IF(AND(ISNUMBER($S897),$S897&gt;0,ISNUMBER($K897),ISNUMBER($J897)),($K897*$J897)/$S897,"")</f>
        <v/>
      </c>
    </row>
    <row r="898">
      <c r="A898" s="62" t="n">
        <v>8</v>
      </c>
      <c r="B898" s="93" t="n">
        <v>890</v>
      </c>
      <c r="C898" s="68" t="inlineStr">
        <is>
          <t>2009Q</t>
        </is>
      </c>
      <c r="D898" s="59" t="inlineStr">
        <is>
          <t xml:space="preserve">05102-01-002-000 </t>
        </is>
      </c>
      <c r="E898" s="72" t="inlineStr">
        <is>
          <t>Actual</t>
        </is>
      </c>
      <c r="F898" s="73" t="inlineStr">
        <is>
          <t>550   ACOMA                ST</t>
        </is>
      </c>
      <c r="G898" s="708" t="n">
        <v>44.2</v>
      </c>
      <c r="H898" s="67" t="n">
        <v>9505</v>
      </c>
      <c r="I898" s="69" t="n">
        <v>0</v>
      </c>
      <c r="J898" s="714" t="n">
        <v>19962</v>
      </c>
      <c r="K898" s="715" t="n">
        <v>5.427512273319307</v>
      </c>
      <c r="L898" s="74" t="n">
        <v>0</v>
      </c>
      <c r="M898" s="76" t="n">
        <v>0</v>
      </c>
      <c r="N898" s="67" t="n">
        <v>1951</v>
      </c>
      <c r="Q898" s="59" t="n">
        <v>16</v>
      </c>
      <c r="R898" s="59" t="n">
        <v>1</v>
      </c>
      <c r="S898" s="59" t="n">
        <v>1</v>
      </c>
      <c r="T898" s="63" t="inlineStr">
        <is>
          <t xml:space="preserve">B8   </t>
        </is>
      </c>
      <c r="U898" s="63" t="n">
        <v>398</v>
      </c>
      <c r="V898" s="714" t="n">
        <v>22875</v>
      </c>
      <c r="W898" s="714" t="n">
        <v>23000</v>
      </c>
      <c r="X898" s="83" t="inlineStr">
        <is>
          <t>1.1:1</t>
        </is>
      </c>
      <c r="Y898" s="714">
        <f>ROUND(J898,-3)</f>
        <v/>
      </c>
      <c r="Z898" s="63" t="inlineStr">
        <is>
          <t xml:space="preserve">C </t>
        </is>
      </c>
      <c r="AA898" s="59" t="n">
        <v>3</v>
      </c>
      <c r="AB898" s="59" t="n">
        <v>3</v>
      </c>
      <c r="AC898" s="67" t="inlineStr">
        <is>
          <t>33</t>
        </is>
      </c>
      <c r="AD898" s="61" t="inlineStr">
        <is>
          <t xml:space="preserve">LAND TITLE          </t>
        </is>
      </c>
      <c r="AE898" s="716" t="n"/>
      <c r="AF898" s="716" t="n"/>
      <c r="AG898" s="716" t="n"/>
      <c r="AH898" s="716" t="n"/>
      <c r="AI898" s="716" t="n"/>
      <c r="AJ898" s="716" t="n"/>
      <c r="AK898" s="716" t="inlineStr"/>
      <c r="AL898">
        <f>IF(AND(ISNUMBER($S898),$S898&gt;0,ISNUMBER($K898),ISNUMBER($J898)),($K898*$J898)/$S898,"")</f>
        <v/>
      </c>
    </row>
    <row r="899">
      <c r="A899" s="62" t="n">
        <v>8</v>
      </c>
      <c r="B899" s="93" t="n">
        <v>891</v>
      </c>
      <c r="C899" s="68" t="inlineStr">
        <is>
          <t>2009Q</t>
        </is>
      </c>
      <c r="D899" s="59" t="inlineStr">
        <is>
          <t xml:space="preserve">05102-01-013-000 </t>
        </is>
      </c>
      <c r="E899" s="72" t="inlineStr">
        <is>
          <t>Actual</t>
        </is>
      </c>
      <c r="F899" s="73" t="inlineStr">
        <is>
          <t>526   ACOMA                ST</t>
        </is>
      </c>
      <c r="G899" s="708" t="n">
        <v>47.1</v>
      </c>
      <c r="H899" s="67" t="n">
        <v>9505</v>
      </c>
      <c r="I899" s="69" t="n">
        <v>0</v>
      </c>
      <c r="J899" s="714" t="n">
        <v>16394</v>
      </c>
      <c r="K899" s="715" t="n">
        <v>4.942966939124069</v>
      </c>
      <c r="L899" s="74" t="n">
        <v>0</v>
      </c>
      <c r="M899" s="76" t="n">
        <v>0.2207071018695625</v>
      </c>
      <c r="N899" s="67" t="n">
        <v>1952</v>
      </c>
      <c r="O899" s="64" t="n">
        <v>3133</v>
      </c>
      <c r="Q899" s="59" t="n">
        <v>14</v>
      </c>
      <c r="R899" s="59" t="n">
        <v>3</v>
      </c>
      <c r="S899" s="59" t="n">
        <v>1</v>
      </c>
      <c r="T899" s="63" t="inlineStr">
        <is>
          <t xml:space="preserve">B8   </t>
        </is>
      </c>
      <c r="U899" s="63" t="n">
        <v>401</v>
      </c>
      <c r="V899" s="714" t="n">
        <v>22875</v>
      </c>
      <c r="W899" s="714" t="n">
        <v>23000</v>
      </c>
      <c r="X899" s="83" t="inlineStr">
        <is>
          <t>1.4:1</t>
        </is>
      </c>
      <c r="Y899" s="714">
        <f>ROUND(J899,-3)</f>
        <v/>
      </c>
      <c r="Z899" s="63" t="inlineStr">
        <is>
          <t xml:space="preserve">C </t>
        </is>
      </c>
      <c r="AA899" s="59" t="n">
        <v>3</v>
      </c>
      <c r="AB899" s="59" t="n">
        <v>3</v>
      </c>
      <c r="AC899" s="67" t="inlineStr">
        <is>
          <t>33</t>
        </is>
      </c>
      <c r="AD899" s="61" t="inlineStr">
        <is>
          <t xml:space="preserve">RICE PAPER BOX      </t>
        </is>
      </c>
      <c r="AE899" s="716" t="n"/>
      <c r="AF899" s="716" t="n"/>
      <c r="AG899" s="716" t="n"/>
      <c r="AH899" s="716" t="n"/>
      <c r="AI899" s="716" t="n"/>
      <c r="AJ899" s="716" t="n"/>
      <c r="AK899" s="716" t="inlineStr">
        <is>
          <t xml:space="preserve">4 UNITS ON MONTH TO MONTH LEASES                                  </t>
        </is>
      </c>
      <c r="AL899">
        <f>IF(AND(ISNUMBER($S899),$S899&gt;0,ISNUMBER($K899),ISNUMBER($J899)),($K899*$J899)/$S899,"")</f>
        <v/>
      </c>
    </row>
    <row r="900">
      <c r="A900" s="62" t="n">
        <v>8</v>
      </c>
      <c r="B900" s="93" t="n">
        <v>892</v>
      </c>
      <c r="C900" s="68" t="inlineStr">
        <is>
          <t>2009Q</t>
        </is>
      </c>
      <c r="D900" s="59" t="inlineStr">
        <is>
          <t xml:space="preserve">05103-00-027-000 </t>
        </is>
      </c>
      <c r="E900" s="72" t="inlineStr">
        <is>
          <t>Actual</t>
        </is>
      </c>
      <c r="F900" s="73" t="inlineStr">
        <is>
          <t>106 S SANTA FE             DR</t>
        </is>
      </c>
      <c r="G900" s="708" t="n">
        <v>44.1</v>
      </c>
      <c r="H900" s="67" t="n">
        <v>9505</v>
      </c>
      <c r="I900" s="69" t="n">
        <v>0</v>
      </c>
      <c r="J900" s="714" t="n">
        <v>16987</v>
      </c>
      <c r="K900" s="715" t="n">
        <v>6.607994348619533</v>
      </c>
      <c r="L900" s="74" t="n">
        <v>0</v>
      </c>
      <c r="M900" s="76" t="n">
        <v>0</v>
      </c>
      <c r="N900" s="67" t="n">
        <v>1974</v>
      </c>
      <c r="O900" s="64" t="n">
        <v>1044</v>
      </c>
      <c r="Q900" s="59" t="n">
        <v>19</v>
      </c>
      <c r="R900" s="59" t="n">
        <v>10</v>
      </c>
      <c r="S900" s="59" t="n">
        <v>1</v>
      </c>
      <c r="T900" s="63" t="inlineStr">
        <is>
          <t xml:space="preserve">I2   </t>
        </is>
      </c>
      <c r="U900" s="63" t="n">
        <v>398</v>
      </c>
      <c r="V900" s="714" t="n">
        <v>84931</v>
      </c>
      <c r="W900" s="714" t="n">
        <v>80000</v>
      </c>
      <c r="X900" s="83" t="inlineStr">
        <is>
          <t>2.6:1</t>
        </is>
      </c>
      <c r="Y900" s="714">
        <f>ROUND(J900,-3)</f>
        <v/>
      </c>
      <c r="Z900" s="63" t="inlineStr">
        <is>
          <t xml:space="preserve">C </t>
        </is>
      </c>
      <c r="AA900" s="59" t="n">
        <v>3</v>
      </c>
      <c r="AB900" s="59" t="n">
        <v>3</v>
      </c>
      <c r="AC900" s="67" t="inlineStr">
        <is>
          <t>33</t>
        </is>
      </c>
      <c r="AD900" s="61" t="inlineStr">
        <is>
          <t xml:space="preserve">XPEDX               </t>
        </is>
      </c>
      <c r="AE900" s="716" t="n"/>
      <c r="AF900" s="716" t="n"/>
      <c r="AG900" s="716" t="n"/>
      <c r="AH900" s="716" t="n"/>
      <c r="AI900" s="716" t="n"/>
      <c r="AJ900" s="716" t="n"/>
      <c r="AK900" s="716" t="inlineStr">
        <is>
          <t xml:space="preserve">LEASE IS FOR ONLY BUILDING 1                                      </t>
        </is>
      </c>
      <c r="AL900">
        <f>IF(AND(ISNUMBER($S900),$S900&gt;0,ISNUMBER($K900),ISNUMBER($J900)),($K900*$J900)/$S900,"")</f>
        <v/>
      </c>
    </row>
    <row r="901">
      <c r="A901" s="62" t="n">
        <v>8</v>
      </c>
      <c r="B901" s="93" t="n">
        <v>893</v>
      </c>
      <c r="C901" s="68" t="inlineStr">
        <is>
          <t>2009Q</t>
        </is>
      </c>
      <c r="D901" s="59" t="inlineStr">
        <is>
          <t xml:space="preserve">05103-23-001-000 </t>
        </is>
      </c>
      <c r="E901" s="72" t="inlineStr">
        <is>
          <t>Actual</t>
        </is>
      </c>
      <c r="F901" s="73" t="inlineStr">
        <is>
          <t>112 S ELATI                ST</t>
        </is>
      </c>
      <c r="G901" s="708" t="n">
        <v>44.1</v>
      </c>
      <c r="H901" s="67" t="n">
        <v>9505</v>
      </c>
      <c r="I901" s="69" t="n">
        <v>0</v>
      </c>
      <c r="J901" s="714" t="n">
        <v>4503</v>
      </c>
      <c r="K901" s="715" t="n">
        <v>3.997335109926715</v>
      </c>
      <c r="L901" s="74" t="n">
        <v>0</v>
      </c>
      <c r="M901" s="76" t="n">
        <v>0.2</v>
      </c>
      <c r="N901" s="67" t="n">
        <v>1947</v>
      </c>
      <c r="P901" s="64">
        <f>462+462+379</f>
        <v/>
      </c>
      <c r="Q901" s="59" t="n">
        <v>11</v>
      </c>
      <c r="R901" s="59" t="n">
        <v>1</v>
      </c>
      <c r="S901" s="59" t="n">
        <v>1</v>
      </c>
      <c r="T901" s="63" t="inlineStr">
        <is>
          <t xml:space="preserve">I1   </t>
        </is>
      </c>
      <c r="U901" s="63" t="n">
        <v>398</v>
      </c>
      <c r="V901" s="714" t="n">
        <v>12500</v>
      </c>
      <c r="W901" s="714" t="n">
        <v>13000</v>
      </c>
      <c r="X901" s="83" t="inlineStr">
        <is>
          <t>2.8:1</t>
        </is>
      </c>
      <c r="Y901" s="714">
        <f>ROUND(J901,-3)</f>
        <v/>
      </c>
      <c r="Z901" s="63" t="inlineStr">
        <is>
          <t xml:space="preserve">C </t>
        </is>
      </c>
      <c r="AA901" s="59" t="n">
        <v>3</v>
      </c>
      <c r="AB901" s="59" t="n">
        <v>1</v>
      </c>
      <c r="AC901" s="67" t="inlineStr">
        <is>
          <t>31</t>
        </is>
      </c>
      <c r="AD901" s="61" t="inlineStr">
        <is>
          <t>S-W NIELSEN PLASTRNG</t>
        </is>
      </c>
      <c r="AE901" s="716" t="n"/>
      <c r="AF901" s="716" t="n"/>
      <c r="AG901" s="716" t="n"/>
      <c r="AH901" s="716" t="n"/>
      <c r="AI901" s="716" t="n"/>
      <c r="AJ901" s="716" t="n"/>
      <c r="AK901" s="716" t="inlineStr"/>
      <c r="AL901">
        <f>IF(AND(ISNUMBER($S901),$S901&gt;0,ISNUMBER($K901),ISNUMBER($J901)),($K901*$J901)/$S901,"")</f>
        <v/>
      </c>
    </row>
    <row r="902">
      <c r="A902" s="62" t="n">
        <v>8</v>
      </c>
      <c r="B902" s="93" t="n">
        <v>894</v>
      </c>
      <c r="C902" s="68" t="inlineStr">
        <is>
          <t>2009Q</t>
        </is>
      </c>
      <c r="D902" s="59" t="inlineStr">
        <is>
          <t xml:space="preserve">05103-23-002-000 </t>
        </is>
      </c>
      <c r="E902" s="72" t="inlineStr">
        <is>
          <t>Actual</t>
        </is>
      </c>
      <c r="F902" s="73" t="inlineStr">
        <is>
          <t>140 S ELATI                ST</t>
        </is>
      </c>
      <c r="G902" s="708" t="n">
        <v>44.2</v>
      </c>
      <c r="H902" s="67" t="n">
        <v>9505</v>
      </c>
      <c r="I902" s="69" t="n">
        <v>0</v>
      </c>
      <c r="J902" s="714" t="n">
        <v>3750</v>
      </c>
      <c r="K902" s="715" t="n">
        <v>5.44</v>
      </c>
      <c r="L902" s="74" t="n">
        <v>0</v>
      </c>
      <c r="M902" s="76" t="n">
        <v>0.1568627450980392</v>
      </c>
      <c r="N902" s="67" t="n">
        <v>1935</v>
      </c>
      <c r="O902" s="64" t="n">
        <v>1340</v>
      </c>
      <c r="P902" s="64" t="n">
        <v>572</v>
      </c>
      <c r="Q902" s="59" t="n">
        <v>15</v>
      </c>
      <c r="R902" s="59" t="n">
        <v>1</v>
      </c>
      <c r="S902" s="59" t="n">
        <v>1</v>
      </c>
      <c r="T902" s="63" t="inlineStr">
        <is>
          <t xml:space="preserve">I1   </t>
        </is>
      </c>
      <c r="U902" s="63" t="n">
        <v>398</v>
      </c>
      <c r="V902" s="714" t="n">
        <v>25000</v>
      </c>
      <c r="W902" s="714" t="n">
        <v>25000</v>
      </c>
      <c r="X902" s="83" t="inlineStr">
        <is>
          <t>6.7:1</t>
        </is>
      </c>
      <c r="Y902" s="714">
        <f>ROUND(J902,-3)</f>
        <v/>
      </c>
      <c r="Z902" s="63" t="inlineStr">
        <is>
          <t xml:space="preserve">C </t>
        </is>
      </c>
      <c r="AA902" s="59" t="n">
        <v>2</v>
      </c>
      <c r="AB902" s="59" t="n">
        <v>2</v>
      </c>
      <c r="AC902" s="67" t="inlineStr">
        <is>
          <t>22</t>
        </is>
      </c>
      <c r="AD902" s="61" t="inlineStr">
        <is>
          <t>S-W NIELSON PLASTRNG</t>
        </is>
      </c>
      <c r="AE902" s="716" t="n"/>
      <c r="AF902" s="716" t="n"/>
      <c r="AG902" s="716" t="n"/>
      <c r="AH902" s="716" t="n"/>
      <c r="AI902" s="716" t="n"/>
      <c r="AJ902" s="716" t="n"/>
      <c r="AK902" s="716" t="inlineStr"/>
      <c r="AL902">
        <f>IF(AND(ISNUMBER($S902),$S902&gt;0,ISNUMBER($K902),ISNUMBER($J902)),($K902*$J902)/$S902,"")</f>
        <v/>
      </c>
    </row>
    <row r="903">
      <c r="A903" s="62" t="n">
        <v>8</v>
      </c>
      <c r="B903" s="93" t="n">
        <v>895</v>
      </c>
      <c r="C903" s="68" t="inlineStr">
        <is>
          <t>2009Q</t>
        </is>
      </c>
      <c r="D903" s="59" t="inlineStr">
        <is>
          <t xml:space="preserve">05103-23-018-000 </t>
        </is>
      </c>
      <c r="E903" s="72" t="inlineStr">
        <is>
          <t>Actual</t>
        </is>
      </c>
      <c r="F903" s="73" t="inlineStr">
        <is>
          <t>495 W CEDAR                AV</t>
        </is>
      </c>
      <c r="G903" s="708" t="n">
        <v>47.2</v>
      </c>
      <c r="H903" s="67" t="n">
        <v>9505</v>
      </c>
      <c r="I903" s="69" t="n">
        <v>0</v>
      </c>
      <c r="J903" s="714" t="n">
        <v>6624</v>
      </c>
      <c r="K903" s="715" t="n">
        <v>8.070652173913043</v>
      </c>
      <c r="L903" s="74" t="n">
        <v>0</v>
      </c>
      <c r="M903" s="76" t="n">
        <v>0.1491956603067714</v>
      </c>
      <c r="N903" s="67" t="n">
        <v>1976</v>
      </c>
      <c r="O903" s="64" t="n">
        <v>4224</v>
      </c>
      <c r="Q903" s="59" t="n">
        <v>12</v>
      </c>
      <c r="R903" s="59" t="n">
        <v>3</v>
      </c>
      <c r="S903" s="59" t="n">
        <v>1</v>
      </c>
      <c r="T903" s="63" t="inlineStr">
        <is>
          <t xml:space="preserve">I1   </t>
        </is>
      </c>
      <c r="U903" s="63" t="n">
        <v>401</v>
      </c>
      <c r="V903" s="714" t="n">
        <v>18200</v>
      </c>
      <c r="W903" s="714" t="n">
        <v>18000</v>
      </c>
      <c r="X903" s="83" t="inlineStr">
        <is>
          <t>2.7:1</t>
        </is>
      </c>
      <c r="Y903" s="714">
        <f>ROUND(J903,-3)</f>
        <v/>
      </c>
      <c r="Z903" s="63" t="inlineStr">
        <is>
          <t xml:space="preserve">C </t>
        </is>
      </c>
      <c r="AA903" s="59" t="n">
        <v>5</v>
      </c>
      <c r="AB903" s="59" t="n">
        <v>3</v>
      </c>
      <c r="AC903" s="67" t="inlineStr">
        <is>
          <t>53</t>
        </is>
      </c>
      <c r="AD903" s="61" t="inlineStr">
        <is>
          <t xml:space="preserve">WALMAN OPTICAL      </t>
        </is>
      </c>
      <c r="AE903" s="716" t="n"/>
      <c r="AF903" s="716" t="n"/>
      <c r="AG903" s="716" t="n"/>
      <c r="AH903" s="716" t="n"/>
      <c r="AI903" s="716" t="n"/>
      <c r="AJ903" s="716" t="n"/>
      <c r="AK903" s="716" t="inlineStr"/>
      <c r="AL903">
        <f>IF(AND(ISNUMBER($S903),$S903&gt;0,ISNUMBER($K903),ISNUMBER($J903)),($K903*$J903)/$S903,"")</f>
        <v/>
      </c>
    </row>
    <row r="904">
      <c r="A904" s="62" t="n">
        <v>8</v>
      </c>
      <c r="B904" s="93" t="n">
        <v>896</v>
      </c>
      <c r="C904" s="68" t="inlineStr">
        <is>
          <t>2009Q</t>
        </is>
      </c>
      <c r="D904" s="59" t="inlineStr">
        <is>
          <t xml:space="preserve">05112-16-003-000 </t>
        </is>
      </c>
      <c r="E904" s="72" t="inlineStr">
        <is>
          <t>Actual</t>
        </is>
      </c>
      <c r="F904" s="73" t="inlineStr">
        <is>
          <t>383   CORONA               ST</t>
        </is>
      </c>
      <c r="G904" s="708" t="n">
        <v>47.1</v>
      </c>
      <c r="H904" s="67" t="n">
        <v>9502</v>
      </c>
      <c r="I904" s="69" t="n">
        <v>0</v>
      </c>
      <c r="J904" s="714" t="n">
        <v>4660</v>
      </c>
      <c r="K904" s="715" t="n">
        <v>9.785407725321889</v>
      </c>
      <c r="L904" s="74" t="n">
        <v>0</v>
      </c>
      <c r="M904" s="76" t="n">
        <v>0.04385964912280702</v>
      </c>
      <c r="N904" s="67" t="n">
        <v>1955</v>
      </c>
      <c r="Q904" s="59" t="n">
        <v>10</v>
      </c>
      <c r="R904" s="59" t="n">
        <v>1</v>
      </c>
      <c r="S904" s="59" t="n">
        <v>1</v>
      </c>
      <c r="T904" s="63" t="inlineStr">
        <is>
          <t xml:space="preserve">B2   </t>
        </is>
      </c>
      <c r="U904" s="63" t="n">
        <v>401</v>
      </c>
      <c r="V904" s="714" t="n">
        <v>4687</v>
      </c>
      <c r="W904" s="714" t="n">
        <v>5000</v>
      </c>
      <c r="X904" s="83" t="inlineStr">
        <is>
          <t>1.0:1</t>
        </is>
      </c>
      <c r="Y904" s="714">
        <f>ROUND(J904,-3)</f>
        <v/>
      </c>
      <c r="Z904" s="63" t="inlineStr">
        <is>
          <t xml:space="preserve">C </t>
        </is>
      </c>
      <c r="AA904" s="59" t="n">
        <v>3</v>
      </c>
      <c r="AB904" s="59" t="n">
        <v>3</v>
      </c>
      <c r="AC904" s="67" t="inlineStr">
        <is>
          <t>33</t>
        </is>
      </c>
      <c r="AD904" s="61" t="inlineStr"/>
      <c r="AE904" s="716" t="n"/>
      <c r="AF904" s="716" t="n"/>
      <c r="AG904" s="716" t="n"/>
      <c r="AH904" s="716" t="n"/>
      <c r="AI904" s="716" t="n"/>
      <c r="AJ904" s="716" t="n"/>
      <c r="AK904" s="716" t="inlineStr"/>
      <c r="AL904">
        <f>IF(AND(ISNUMBER($S904),$S904&gt;0,ISNUMBER($K904),ISNUMBER($J904)),($K904*$J904)/$S904,"")</f>
        <v/>
      </c>
    </row>
    <row r="905">
      <c r="A905" s="62" t="n">
        <v>8</v>
      </c>
      <c r="B905" s="93" t="n">
        <v>897</v>
      </c>
      <c r="C905" s="68" t="inlineStr">
        <is>
          <t>2009Q</t>
        </is>
      </c>
      <c r="D905" s="59" t="inlineStr">
        <is>
          <t xml:space="preserve">05154-02-016-000 </t>
        </is>
      </c>
      <c r="E905" s="72" t="inlineStr">
        <is>
          <t>Actual</t>
        </is>
      </c>
      <c r="F905" s="73" t="inlineStr">
        <is>
          <t>500 W TENNESSEE            AV</t>
        </is>
      </c>
      <c r="G905" s="708" t="n">
        <v>44.1</v>
      </c>
      <c r="H905" s="67" t="n">
        <v>9506</v>
      </c>
      <c r="I905" s="69" t="n">
        <v>0</v>
      </c>
      <c r="J905" s="714" t="n">
        <v>30204</v>
      </c>
      <c r="K905" s="715" t="n">
        <v>5.611011786518342</v>
      </c>
      <c r="L905" s="74" t="n">
        <v>0</v>
      </c>
      <c r="M905" s="76" t="n">
        <v>0</v>
      </c>
      <c r="N905" s="67" t="n">
        <v>1972</v>
      </c>
      <c r="O905" s="64">
        <f>3325+3963</f>
        <v/>
      </c>
      <c r="P905" s="64">
        <f>1800+1404</f>
        <v/>
      </c>
      <c r="Q905" s="59" t="n">
        <v>24</v>
      </c>
      <c r="R905" s="59" t="n">
        <v>10</v>
      </c>
      <c r="S905" s="59" t="n">
        <v>1</v>
      </c>
      <c r="T905" s="63" t="inlineStr">
        <is>
          <t xml:space="preserve">I1   </t>
        </is>
      </c>
      <c r="U905" s="63" t="n">
        <v>398</v>
      </c>
      <c r="V905" s="714" t="n">
        <v>61900</v>
      </c>
      <c r="W905" s="714" t="n">
        <v>60000</v>
      </c>
      <c r="X905" s="83" t="inlineStr">
        <is>
          <t>2.0:1</t>
        </is>
      </c>
      <c r="Y905" s="714">
        <f>ROUND(J905,-3)</f>
        <v/>
      </c>
      <c r="Z905" s="63" t="inlineStr">
        <is>
          <t xml:space="preserve">C </t>
        </is>
      </c>
      <c r="AA905" s="59" t="n">
        <v>3</v>
      </c>
      <c r="AB905" s="59" t="n">
        <v>3</v>
      </c>
      <c r="AC905" s="67" t="inlineStr">
        <is>
          <t>33</t>
        </is>
      </c>
      <c r="AD905" s="61" t="inlineStr"/>
      <c r="AE905" s="716" t="n"/>
      <c r="AF905" s="716" t="n"/>
      <c r="AG905" s="716" t="n"/>
      <c r="AH905" s="716" t="n"/>
      <c r="AI905" s="716" t="n"/>
      <c r="AJ905" s="716" t="n"/>
      <c r="AK905" s="716" t="inlineStr"/>
      <c r="AL905">
        <f>IF(AND(ISNUMBER($S905),$S905&gt;0,ISNUMBER($K905),ISNUMBER($J905)),($K905*$J905)/$S905,"")</f>
        <v/>
      </c>
    </row>
    <row r="906">
      <c r="A906" s="62" t="n">
        <v>8</v>
      </c>
      <c r="B906" s="93" t="n">
        <v>898</v>
      </c>
      <c r="C906" s="68" t="inlineStr">
        <is>
          <t>2009Q</t>
        </is>
      </c>
      <c r="D906" s="59" t="inlineStr">
        <is>
          <t xml:space="preserve">05154-03-016-000 </t>
        </is>
      </c>
      <c r="E906" s="72" t="inlineStr">
        <is>
          <t>Actual</t>
        </is>
      </c>
      <c r="F906" s="73" t="inlineStr">
        <is>
          <t>640 W TENNESSEE            AV</t>
        </is>
      </c>
      <c r="G906" s="708" t="n">
        <v>44.2</v>
      </c>
      <c r="H906" s="67" t="n">
        <v>9506</v>
      </c>
      <c r="I906" s="69" t="n">
        <v>0</v>
      </c>
      <c r="J906" s="714" t="n">
        <v>35000</v>
      </c>
      <c r="K906" s="715" t="n">
        <v>6.576</v>
      </c>
      <c r="L906" s="74" t="n">
        <v>0</v>
      </c>
      <c r="M906" s="76" t="n">
        <v>0.1462113312478276</v>
      </c>
      <c r="N906" s="67" t="n">
        <v>1974</v>
      </c>
      <c r="O906" s="64">
        <f>2782+748+748+2782</f>
        <v/>
      </c>
      <c r="Q906" s="59" t="n">
        <v>21</v>
      </c>
      <c r="R906" s="59" t="n">
        <v>14</v>
      </c>
      <c r="S906" s="59" t="n">
        <v>1</v>
      </c>
      <c r="T906" s="63" t="inlineStr">
        <is>
          <t xml:space="preserve">I1   </t>
        </is>
      </c>
      <c r="U906" s="63" t="n">
        <v>398</v>
      </c>
      <c r="V906" s="714" t="n">
        <v>70320</v>
      </c>
      <c r="W906" s="714" t="n">
        <v>70000</v>
      </c>
      <c r="X906" s="83" t="inlineStr">
        <is>
          <t>2.0:1</t>
        </is>
      </c>
      <c r="Y906" s="714">
        <f>ROUND(J906,-3)</f>
        <v/>
      </c>
      <c r="Z906" s="63" t="inlineStr">
        <is>
          <t xml:space="preserve">C </t>
        </is>
      </c>
      <c r="AA906" s="59" t="n">
        <v>3</v>
      </c>
      <c r="AB906" s="59" t="n">
        <v>3</v>
      </c>
      <c r="AC906" s="67" t="inlineStr">
        <is>
          <t>33</t>
        </is>
      </c>
      <c r="AD906" s="61" t="inlineStr">
        <is>
          <t xml:space="preserve">M-W                 </t>
        </is>
      </c>
      <c r="AE906" s="716" t="n"/>
      <c r="AF906" s="716" t="n"/>
      <c r="AG906" s="716" t="n"/>
      <c r="AH906" s="716" t="n"/>
      <c r="AI906" s="716" t="n"/>
      <c r="AJ906" s="716" t="n"/>
      <c r="AK906" s="716" t="inlineStr">
        <is>
          <t xml:space="preserve">MULTI-TENANT 5 UNITS                                              </t>
        </is>
      </c>
      <c r="AL906">
        <f>IF(AND(ISNUMBER($S906),$S906&gt;0,ISNUMBER($K906),ISNUMBER($J906)),($K906*$J906)/$S906,"")</f>
        <v/>
      </c>
    </row>
    <row r="907">
      <c r="A907" s="62" t="n">
        <v>8</v>
      </c>
      <c r="B907" s="93" t="n">
        <v>899</v>
      </c>
      <c r="C907" s="68" t="inlineStr">
        <is>
          <t>2009Q</t>
        </is>
      </c>
      <c r="D907" s="59" t="inlineStr">
        <is>
          <t xml:space="preserve">05154-03-017-000 </t>
        </is>
      </c>
      <c r="E907" s="72" t="inlineStr">
        <is>
          <t>Actual</t>
        </is>
      </c>
      <c r="F907" s="73" t="inlineStr">
        <is>
          <t>1070 S GALAPAGO             ST</t>
        </is>
      </c>
      <c r="G907" s="708" t="n">
        <v>44.2</v>
      </c>
      <c r="H907" s="67" t="n">
        <v>9506</v>
      </c>
      <c r="I907" s="69" t="n">
        <v>0</v>
      </c>
      <c r="J907" s="714" t="n">
        <v>13570</v>
      </c>
      <c r="K907" s="715" t="n">
        <v>7.958732498157701</v>
      </c>
      <c r="L907" s="74" t="n">
        <v>0</v>
      </c>
      <c r="M907" s="76" t="n">
        <v>0</v>
      </c>
      <c r="N907" s="67" t="n">
        <v>1974</v>
      </c>
      <c r="O907" s="64" t="n">
        <v>3360</v>
      </c>
      <c r="Q907" s="59" t="n">
        <v>13</v>
      </c>
      <c r="R907" s="59" t="n">
        <v>3</v>
      </c>
      <c r="S907" s="59" t="n">
        <v>1</v>
      </c>
      <c r="T907" s="63" t="inlineStr">
        <is>
          <t xml:space="preserve">I1   </t>
        </is>
      </c>
      <c r="U907" s="63" t="n">
        <v>398</v>
      </c>
      <c r="V907" s="714" t="n">
        <v>53150</v>
      </c>
      <c r="W907" s="714" t="n">
        <v>50000</v>
      </c>
      <c r="X907" s="83" t="inlineStr">
        <is>
          <t>3.9:1</t>
        </is>
      </c>
      <c r="Y907" s="714">
        <f>ROUND(J907,-3)</f>
        <v/>
      </c>
      <c r="Z907" s="63" t="inlineStr">
        <is>
          <t xml:space="preserve">C </t>
        </is>
      </c>
      <c r="AA907" s="59" t="n">
        <v>3</v>
      </c>
      <c r="AB907" s="59" t="n">
        <v>3</v>
      </c>
      <c r="AC907" s="67" t="inlineStr">
        <is>
          <t>33</t>
        </is>
      </c>
      <c r="AD907" s="61" t="inlineStr"/>
      <c r="AE907" s="716" t="n"/>
      <c r="AF907" s="716" t="n"/>
      <c r="AG907" s="716" t="n"/>
      <c r="AH907" s="716" t="n"/>
      <c r="AI907" s="716" t="n"/>
      <c r="AJ907" s="716" t="n"/>
      <c r="AK907" s="716" t="inlineStr">
        <is>
          <t xml:space="preserve">1997 LEASE                                                        </t>
        </is>
      </c>
      <c r="AL907">
        <f>IF(AND(ISNUMBER($S907),$S907&gt;0,ISNUMBER($K907),ISNUMBER($J907)),($K907*$J907)/$S907,"")</f>
        <v/>
      </c>
    </row>
    <row r="908">
      <c r="A908" s="62" t="n">
        <v>8</v>
      </c>
      <c r="B908" s="93" t="n">
        <v>900</v>
      </c>
      <c r="C908" s="68" t="inlineStr">
        <is>
          <t>2009Q</t>
        </is>
      </c>
      <c r="D908" s="59" t="inlineStr">
        <is>
          <t xml:space="preserve">05161-00-034-000 </t>
        </is>
      </c>
      <c r="E908" s="72" t="inlineStr">
        <is>
          <t>Actual</t>
        </is>
      </c>
      <c r="F908" s="73" t="inlineStr">
        <is>
          <t>320 S LIPAN                ST</t>
        </is>
      </c>
      <c r="G908" s="708" t="n">
        <v>44.1</v>
      </c>
      <c r="H908" s="67" t="n">
        <v>9506</v>
      </c>
      <c r="I908" s="69" t="n">
        <v>0</v>
      </c>
      <c r="J908" s="714" t="n">
        <v>69120</v>
      </c>
      <c r="K908" s="715" t="n">
        <v>4.532146990740741</v>
      </c>
      <c r="L908" s="74" t="n">
        <v>0</v>
      </c>
      <c r="M908" s="76" t="n">
        <v>0.005407614073842343</v>
      </c>
      <c r="N908" s="67" t="n">
        <v>1974</v>
      </c>
      <c r="O908" s="64">
        <f>5480+10619</f>
        <v/>
      </c>
      <c r="Q908" s="59" t="n">
        <v>24</v>
      </c>
      <c r="R908" s="59" t="n">
        <v>1</v>
      </c>
      <c r="S908" s="59" t="n">
        <v>1</v>
      </c>
      <c r="T908" s="63" t="inlineStr">
        <is>
          <t xml:space="preserve">I1   </t>
        </is>
      </c>
      <c r="U908" s="63" t="n">
        <v>398</v>
      </c>
      <c r="V908" s="714" t="n">
        <v>124000</v>
      </c>
      <c r="W908" s="714" t="n">
        <v>120000</v>
      </c>
      <c r="X908" s="83" t="inlineStr">
        <is>
          <t>1.8:1</t>
        </is>
      </c>
      <c r="Y908" s="714">
        <f>ROUND(J908,-4)</f>
        <v/>
      </c>
      <c r="Z908" s="63" t="inlineStr">
        <is>
          <t xml:space="preserve">C </t>
        </is>
      </c>
      <c r="AA908" s="59" t="n">
        <v>3</v>
      </c>
      <c r="AB908" s="59" t="n">
        <v>3</v>
      </c>
      <c r="AC908" s="67" t="inlineStr">
        <is>
          <t>33</t>
        </is>
      </c>
      <c r="AD908" s="61" t="inlineStr"/>
      <c r="AE908" s="716" t="n"/>
      <c r="AF908" s="716" t="n"/>
      <c r="AG908" s="716" t="n"/>
      <c r="AH908" s="716" t="n"/>
      <c r="AI908" s="716" t="n"/>
      <c r="AJ908" s="716" t="n"/>
      <c r="AK908" s="716" t="inlineStr"/>
      <c r="AL908">
        <f>IF(AND(ISNUMBER($S908),$S908&gt;0,ISNUMBER($K908),ISNUMBER($J908)),($K908*$J908)/$S908,"")</f>
        <v/>
      </c>
    </row>
    <row r="909">
      <c r="A909" s="62" t="n">
        <v>8</v>
      </c>
      <c r="B909" s="93" t="n">
        <v>901</v>
      </c>
      <c r="C909" s="68" t="inlineStr">
        <is>
          <t>2009Q</t>
        </is>
      </c>
      <c r="D909" s="59" t="inlineStr">
        <is>
          <t xml:space="preserve">05161-08-001-000 </t>
        </is>
      </c>
      <c r="E909" s="72" t="inlineStr">
        <is>
          <t>Actual</t>
        </is>
      </c>
      <c r="F909" s="73" t="inlineStr">
        <is>
          <t>451 S LIPAN                ST</t>
        </is>
      </c>
      <c r="G909" s="708" t="n">
        <v>44.1</v>
      </c>
      <c r="H909" s="67" t="n">
        <v>9506</v>
      </c>
      <c r="I909" s="69" t="n">
        <v>0</v>
      </c>
      <c r="J909" s="714" t="n">
        <v>3027</v>
      </c>
      <c r="K909" s="715" t="n">
        <v>9.80773042616452</v>
      </c>
      <c r="L909" s="74" t="n">
        <v>0</v>
      </c>
      <c r="M909" s="76" t="n">
        <v>0</v>
      </c>
      <c r="N909" s="67" t="n">
        <v>1959</v>
      </c>
      <c r="O909" s="64" t="n">
        <v>629</v>
      </c>
      <c r="Q909" s="59" t="n">
        <v>11</v>
      </c>
      <c r="R909" s="59" t="n">
        <v>3</v>
      </c>
      <c r="S909" s="59" t="n">
        <v>1</v>
      </c>
      <c r="T909" s="63" t="inlineStr">
        <is>
          <t xml:space="preserve">I1   </t>
        </is>
      </c>
      <c r="U909" s="63" t="n">
        <v>398</v>
      </c>
      <c r="V909" s="714" t="n">
        <v>4837</v>
      </c>
      <c r="W909" s="714" t="n">
        <v>5000</v>
      </c>
      <c r="X909" s="83" t="inlineStr">
        <is>
          <t>1.6:1</t>
        </is>
      </c>
      <c r="Y909" s="714">
        <f>ROUND(J909,-3)</f>
        <v/>
      </c>
      <c r="Z909" s="63" t="inlineStr">
        <is>
          <t xml:space="preserve">C </t>
        </is>
      </c>
      <c r="AA909" s="59" t="n">
        <v>3</v>
      </c>
      <c r="AB909" s="59" t="n">
        <v>3</v>
      </c>
      <c r="AC909" s="67" t="inlineStr">
        <is>
          <t>33</t>
        </is>
      </c>
      <c r="AD909" s="61" t="inlineStr">
        <is>
          <t>OMNI-PRO CLEAN'NG CO</t>
        </is>
      </c>
      <c r="AE909" s="716" t="n"/>
      <c r="AF909" s="716" t="n"/>
      <c r="AG909" s="716" t="n"/>
      <c r="AH909" s="716" t="n"/>
      <c r="AI909" s="716" t="n"/>
      <c r="AJ909" s="716" t="n"/>
      <c r="AK909" s="716" t="inlineStr">
        <is>
          <t xml:space="preserve">NNN LEASE SIGNED IN 09/2007-VACANT 8 MOS IN 2007                  </t>
        </is>
      </c>
      <c r="AL909">
        <f>IF(AND(ISNUMBER($S909),$S909&gt;0,ISNUMBER($K909),ISNUMBER($J909)),($K909*$J909)/$S909,"")</f>
        <v/>
      </c>
    </row>
    <row r="910">
      <c r="A910" s="62" t="n">
        <v>8</v>
      </c>
      <c r="B910" s="93" t="n">
        <v>902</v>
      </c>
      <c r="C910" s="68" t="inlineStr">
        <is>
          <t>2009Q</t>
        </is>
      </c>
      <c r="D910" s="59" t="inlineStr">
        <is>
          <t xml:space="preserve">05161-08-010-000 </t>
        </is>
      </c>
      <c r="E910" s="72" t="inlineStr">
        <is>
          <t>Actual</t>
        </is>
      </c>
      <c r="F910" s="73" t="inlineStr">
        <is>
          <t>460 S NAVAJO               ST</t>
        </is>
      </c>
      <c r="G910" s="708" t="n">
        <v>46.1</v>
      </c>
      <c r="H910" s="67" t="n">
        <v>9506</v>
      </c>
      <c r="I910" s="69" t="n">
        <v>0</v>
      </c>
      <c r="J910" s="714" t="n">
        <v>4000</v>
      </c>
      <c r="K910" s="715" t="n">
        <v>5.4</v>
      </c>
      <c r="L910" s="74" t="n">
        <v>0</v>
      </c>
      <c r="M910" s="76" t="n">
        <v>0</v>
      </c>
      <c r="N910" s="67" t="n">
        <v>1966</v>
      </c>
      <c r="O910" s="64" t="n">
        <v>500</v>
      </c>
      <c r="Q910" s="59" t="n">
        <v>14</v>
      </c>
      <c r="R910" s="59" t="n">
        <v>3</v>
      </c>
      <c r="S910" s="59" t="n">
        <v>1</v>
      </c>
      <c r="T910" s="63" t="inlineStr">
        <is>
          <t xml:space="preserve">I0   </t>
        </is>
      </c>
      <c r="U910" s="63" t="n">
        <v>401</v>
      </c>
      <c r="V910" s="714" t="n">
        <v>10000</v>
      </c>
      <c r="W910" s="714" t="n">
        <v>10000</v>
      </c>
      <c r="X910" s="83" t="inlineStr">
        <is>
          <t>2.5:1</t>
        </is>
      </c>
      <c r="Y910" s="714">
        <f>ROUND(J910,-3)</f>
        <v/>
      </c>
      <c r="Z910" s="63" t="inlineStr">
        <is>
          <t xml:space="preserve">C </t>
        </is>
      </c>
      <c r="AA910" s="59" t="n">
        <v>3</v>
      </c>
      <c r="AB910" s="59" t="n">
        <v>3</v>
      </c>
      <c r="AC910" s="67" t="inlineStr">
        <is>
          <t>33</t>
        </is>
      </c>
      <c r="AD910" s="61" t="inlineStr">
        <is>
          <t xml:space="preserve">S-F CHILD'S PASTRY  </t>
        </is>
      </c>
      <c r="AE910" s="716" t="n"/>
      <c r="AF910" s="716" t="n"/>
      <c r="AG910" s="716" t="n"/>
      <c r="AH910" s="716" t="n"/>
      <c r="AI910" s="716" t="n"/>
      <c r="AJ910" s="716" t="n"/>
      <c r="AK910" s="716" t="inlineStr"/>
      <c r="AL910">
        <f>IF(AND(ISNUMBER($S910),$S910&gt;0,ISNUMBER($K910),ISNUMBER($J910)),($K910*$J910)/$S910,"")</f>
        <v/>
      </c>
    </row>
    <row r="911">
      <c r="A911" s="62" t="n">
        <v>8</v>
      </c>
      <c r="B911" s="93" t="n">
        <v>903</v>
      </c>
      <c r="C911" s="68" t="inlineStr">
        <is>
          <t>2009Q</t>
        </is>
      </c>
      <c r="D911" s="59" t="inlineStr">
        <is>
          <t xml:space="preserve">05161-09-025-000 </t>
        </is>
      </c>
      <c r="E911" s="72" t="inlineStr">
        <is>
          <t>Actual</t>
        </is>
      </c>
      <c r="F911" s="73" t="inlineStr">
        <is>
          <t>1128 W VIRGINIA             AV</t>
        </is>
      </c>
      <c r="G911" s="708" t="n">
        <v>44.2</v>
      </c>
      <c r="H911" s="67" t="n">
        <v>9506</v>
      </c>
      <c r="I911" s="69" t="n">
        <v>0</v>
      </c>
      <c r="J911" s="714" t="n">
        <v>7881</v>
      </c>
      <c r="K911" s="715" t="n">
        <v>7.917776931861439</v>
      </c>
      <c r="L911" s="74" t="n">
        <v>0</v>
      </c>
      <c r="M911" s="76" t="n">
        <v>0.1708814102564103</v>
      </c>
      <c r="N911" s="67" t="n">
        <v>1981</v>
      </c>
      <c r="O911" s="64">
        <f>1487+603</f>
        <v/>
      </c>
      <c r="Q911" s="59" t="n">
        <v>17</v>
      </c>
      <c r="R911" s="59" t="n">
        <v>3</v>
      </c>
      <c r="S911" s="59" t="n">
        <v>1</v>
      </c>
      <c r="T911" s="63" t="inlineStr">
        <is>
          <t xml:space="preserve">I1   </t>
        </is>
      </c>
      <c r="U911" s="63" t="n">
        <v>398</v>
      </c>
      <c r="V911" s="714" t="n">
        <v>12500</v>
      </c>
      <c r="W911" s="714" t="n">
        <v>13000</v>
      </c>
      <c r="X911" s="83" t="inlineStr">
        <is>
          <t>1.6:1</t>
        </is>
      </c>
      <c r="Y911" s="714">
        <f>ROUND(J911,-3)</f>
        <v/>
      </c>
      <c r="Z911" s="63" t="inlineStr">
        <is>
          <t xml:space="preserve">C </t>
        </is>
      </c>
      <c r="AA911" s="59" t="n">
        <v>3</v>
      </c>
      <c r="AB911" s="59" t="n">
        <v>3</v>
      </c>
      <c r="AC911" s="67" t="inlineStr">
        <is>
          <t>33</t>
        </is>
      </c>
      <c r="AD911" s="61" t="inlineStr"/>
      <c r="AE911" s="716" t="n"/>
      <c r="AF911" s="716" t="n"/>
      <c r="AG911" s="716" t="n"/>
      <c r="AH911" s="716" t="n"/>
      <c r="AI911" s="716" t="n"/>
      <c r="AJ911" s="716" t="n"/>
      <c r="AK911" s="716" t="inlineStr"/>
      <c r="AL911">
        <f>IF(AND(ISNUMBER($S911),$S911&gt;0,ISNUMBER($K911),ISNUMBER($J911)),($K911*$J911)/$S911,"")</f>
        <v/>
      </c>
    </row>
    <row r="912">
      <c r="A912" s="62" t="n">
        <v>8</v>
      </c>
      <c r="B912" s="93" t="n">
        <v>904</v>
      </c>
      <c r="C912" s="68" t="inlineStr">
        <is>
          <t>2009Q</t>
        </is>
      </c>
      <c r="D912" s="59" t="inlineStr">
        <is>
          <t xml:space="preserve">05161-10-002-000 </t>
        </is>
      </c>
      <c r="E912" s="72" t="inlineStr">
        <is>
          <t>Actual</t>
        </is>
      </c>
      <c r="F912" s="73" t="inlineStr">
        <is>
          <t>1216 W VIRGINIA             AV</t>
        </is>
      </c>
      <c r="G912" s="708" t="n">
        <v>44.5</v>
      </c>
      <c r="H912" s="67" t="n">
        <v>9506</v>
      </c>
      <c r="I912" s="69" t="n">
        <v>0</v>
      </c>
      <c r="J912" s="714" t="n">
        <v>3285</v>
      </c>
      <c r="K912" s="715" t="n">
        <v>6.210045662100456</v>
      </c>
      <c r="L912" s="74" t="n">
        <v>0.6312769010043041</v>
      </c>
      <c r="M912" s="76" t="n">
        <v>0</v>
      </c>
      <c r="N912" s="67" t="n">
        <v>1973</v>
      </c>
      <c r="Q912" s="59" t="n">
        <v>12</v>
      </c>
      <c r="R912" s="59" t="n">
        <v>7</v>
      </c>
      <c r="S912" s="59" t="n">
        <v>20</v>
      </c>
      <c r="T912" s="63" t="inlineStr">
        <is>
          <t xml:space="preserve">I0   </t>
        </is>
      </c>
      <c r="U912" s="63" t="n">
        <v>396</v>
      </c>
      <c r="V912" s="714" t="n">
        <v>9375</v>
      </c>
      <c r="W912" s="714" t="n">
        <v>9000</v>
      </c>
      <c r="X912" s="83" t="inlineStr">
        <is>
          <t>2.7:1</t>
        </is>
      </c>
      <c r="Y912" s="714">
        <f>ROUND(J912,-3)</f>
        <v/>
      </c>
      <c r="Z912" s="63" t="inlineStr">
        <is>
          <t xml:space="preserve">C </t>
        </is>
      </c>
      <c r="AA912" s="59" t="n">
        <v>3</v>
      </c>
      <c r="AB912" s="59" t="n">
        <v>3</v>
      </c>
      <c r="AC912" s="67" t="inlineStr">
        <is>
          <t>33</t>
        </is>
      </c>
      <c r="AD912" s="61" t="inlineStr">
        <is>
          <t xml:space="preserve">MINI STORAGE        </t>
        </is>
      </c>
      <c r="AE912" s="716" t="n"/>
      <c r="AF912" s="716" t="n"/>
      <c r="AG912" s="716" t="n"/>
      <c r="AH912" s="716" t="n"/>
      <c r="AI912" s="716" t="n"/>
      <c r="AJ912" s="716" t="n"/>
      <c r="AK912" s="716" t="inlineStr">
        <is>
          <t xml:space="preserve">4 UNIT LEASED MONTH TO MONTH                                      </t>
        </is>
      </c>
      <c r="AL912">
        <f>IF(AND(ISNUMBER($S912),$S912&gt;0,ISNUMBER($K912),ISNUMBER($J912)),($K912*$J912)/$S912,"")</f>
        <v/>
      </c>
    </row>
    <row r="913">
      <c r="A913" s="62" t="n">
        <v>8</v>
      </c>
      <c r="B913" s="93" t="n">
        <v>905</v>
      </c>
      <c r="C913" s="68" t="inlineStr">
        <is>
          <t>2009Q</t>
        </is>
      </c>
      <c r="D913" s="59" t="inlineStr">
        <is>
          <t xml:space="preserve">05161-13-026-000 </t>
        </is>
      </c>
      <c r="E913" s="72" t="inlineStr">
        <is>
          <t>Actual</t>
        </is>
      </c>
      <c r="F913" s="73" t="inlineStr">
        <is>
          <t>1210 W CUSTER               PL</t>
        </is>
      </c>
      <c r="G913" s="708" t="n">
        <v>44.2</v>
      </c>
      <c r="H913" s="67" t="n">
        <v>9506</v>
      </c>
      <c r="I913" s="69" t="n">
        <v>0</v>
      </c>
      <c r="J913" s="714" t="n">
        <v>6000</v>
      </c>
      <c r="K913" s="715" t="n">
        <v>5.729166666666667</v>
      </c>
      <c r="L913" s="74" t="n">
        <v>0</v>
      </c>
      <c r="M913" s="76" t="n">
        <v>0.06053818181818182</v>
      </c>
      <c r="N913" s="67" t="n">
        <v>1971</v>
      </c>
      <c r="O913" s="64" t="n">
        <v>630</v>
      </c>
      <c r="Q913" s="59" t="n">
        <v>13</v>
      </c>
      <c r="R913" s="59" t="n">
        <v>3</v>
      </c>
      <c r="S913" s="59" t="n">
        <v>1</v>
      </c>
      <c r="T913" s="63" t="inlineStr">
        <is>
          <t xml:space="preserve">I0   </t>
        </is>
      </c>
      <c r="U913" s="63" t="n">
        <v>398</v>
      </c>
      <c r="V913" s="714" t="n">
        <v>12500</v>
      </c>
      <c r="W913" s="714" t="n">
        <v>13000</v>
      </c>
      <c r="X913" s="83" t="inlineStr">
        <is>
          <t>2.1:1</t>
        </is>
      </c>
      <c r="Y913" s="714">
        <f>ROUND(J913,-3)</f>
        <v/>
      </c>
      <c r="Z913" s="63" t="inlineStr">
        <is>
          <t xml:space="preserve">C </t>
        </is>
      </c>
      <c r="AA913" s="59" t="n">
        <v>3</v>
      </c>
      <c r="AB913" s="59" t="n">
        <v>3</v>
      </c>
      <c r="AC913" s="67" t="inlineStr">
        <is>
          <t>33</t>
        </is>
      </c>
      <c r="AD913" s="61" t="inlineStr"/>
      <c r="AE913" s="716" t="n"/>
      <c r="AF913" s="716" t="n"/>
      <c r="AG913" s="716" t="n"/>
      <c r="AH913" s="716" t="n"/>
      <c r="AI913" s="716" t="n"/>
      <c r="AJ913" s="716" t="n"/>
      <c r="AK913" s="716" t="inlineStr">
        <is>
          <t xml:space="preserve">MULTI TENANT 3 UNITS                                              </t>
        </is>
      </c>
      <c r="AL913">
        <f>IF(AND(ISNUMBER($S913),$S913&gt;0,ISNUMBER($K913),ISNUMBER($J913)),($K913*$J913)/$S913,"")</f>
        <v/>
      </c>
    </row>
    <row r="914">
      <c r="A914" s="62" t="n">
        <v>8</v>
      </c>
      <c r="B914" s="93" t="n">
        <v>906</v>
      </c>
      <c r="C914" s="68" t="inlineStr">
        <is>
          <t>2009Q</t>
        </is>
      </c>
      <c r="D914" s="59" t="inlineStr">
        <is>
          <t xml:space="preserve">05161-13-027-000 </t>
        </is>
      </c>
      <c r="E914" s="72" t="inlineStr">
        <is>
          <t>Actual</t>
        </is>
      </c>
      <c r="F914" s="73" t="inlineStr">
        <is>
          <t>1205 W CENTER               AV</t>
        </is>
      </c>
      <c r="G914" s="708" t="n">
        <v>44.2</v>
      </c>
      <c r="H914" s="67" t="n">
        <v>9506</v>
      </c>
      <c r="I914" s="69" t="n">
        <v>0</v>
      </c>
      <c r="J914" s="714" t="n">
        <v>7775</v>
      </c>
      <c r="K914" s="715" t="n">
        <v>13.42456591639871</v>
      </c>
      <c r="L914" s="74" t="n">
        <v>0</v>
      </c>
      <c r="M914" s="76" t="n">
        <v>0.2118877902966199</v>
      </c>
      <c r="N914" s="67" t="n">
        <v>2000</v>
      </c>
      <c r="O914" s="64" t="n">
        <v>4188</v>
      </c>
      <c r="Q914" s="59" t="n">
        <v>16</v>
      </c>
      <c r="R914" s="59" t="n">
        <v>1</v>
      </c>
      <c r="S914" s="59" t="n">
        <v>3</v>
      </c>
      <c r="T914" s="63" t="inlineStr">
        <is>
          <t xml:space="preserve">I0   </t>
        </is>
      </c>
      <c r="U914" s="63" t="n">
        <v>398</v>
      </c>
      <c r="V914" s="714" t="n">
        <v>18750</v>
      </c>
      <c r="W914" s="714" t="n">
        <v>19000</v>
      </c>
      <c r="X914" s="83" t="inlineStr">
        <is>
          <t>2.4:1</t>
        </is>
      </c>
      <c r="Y914" s="714">
        <f>ROUND(J914,-3)</f>
        <v/>
      </c>
      <c r="Z914" s="63" t="inlineStr">
        <is>
          <t xml:space="preserve">C </t>
        </is>
      </c>
      <c r="AA914" s="59" t="n">
        <v>3</v>
      </c>
      <c r="AB914" s="59" t="n">
        <v>3</v>
      </c>
      <c r="AC914" s="67" t="inlineStr">
        <is>
          <t>33</t>
        </is>
      </c>
      <c r="AD914" s="61" t="inlineStr">
        <is>
          <t xml:space="preserve">M-W                 </t>
        </is>
      </c>
      <c r="AE914" s="716" t="n"/>
      <c r="AF914" s="716" t="n"/>
      <c r="AG914" s="716" t="n"/>
      <c r="AH914" s="716" t="n"/>
      <c r="AI914" s="716" t="n"/>
      <c r="AJ914" s="716" t="n"/>
      <c r="AK914" s="716" t="inlineStr">
        <is>
          <t xml:space="preserve">3 UNITS-TOTAL EXPENSES ARE CAM RECOVERY                           </t>
        </is>
      </c>
      <c r="AL914">
        <f>IF(AND(ISNUMBER($S914),$S914&gt;0,ISNUMBER($K914),ISNUMBER($J914)),($K914*$J914)/$S914,"")</f>
        <v/>
      </c>
    </row>
    <row r="915">
      <c r="A915" s="62" t="n">
        <v>8</v>
      </c>
      <c r="B915" s="93" t="n">
        <v>907</v>
      </c>
      <c r="C915" s="68" t="inlineStr">
        <is>
          <t>2009Q</t>
        </is>
      </c>
      <c r="D915" s="59" t="inlineStr">
        <is>
          <t xml:space="preserve">05161-15-015-000 </t>
        </is>
      </c>
      <c r="E915" s="72" t="inlineStr">
        <is>
          <t>Actual</t>
        </is>
      </c>
      <c r="F915" s="73" t="inlineStr">
        <is>
          <t>610 S LIPAN                ST</t>
        </is>
      </c>
      <c r="G915" s="708" t="n">
        <v>43.1</v>
      </c>
      <c r="H915" s="67" t="n">
        <v>9506</v>
      </c>
      <c r="I915" s="69" t="n">
        <v>0</v>
      </c>
      <c r="J915" s="714" t="n">
        <v>9132</v>
      </c>
      <c r="K915" s="715" t="n">
        <v>3.942181340341656</v>
      </c>
      <c r="L915" s="74" t="n">
        <v>0</v>
      </c>
      <c r="M915" s="76" t="n">
        <v>0</v>
      </c>
      <c r="N915" s="67" t="n">
        <v>1969</v>
      </c>
      <c r="O915" s="64" t="n">
        <v>7162</v>
      </c>
      <c r="Q915" s="59" t="n">
        <v>12</v>
      </c>
      <c r="R915" s="59" t="n">
        <v>3</v>
      </c>
      <c r="S915" s="59" t="n">
        <v>1</v>
      </c>
      <c r="T915" s="63" t="inlineStr">
        <is>
          <t xml:space="preserve">I0   </t>
        </is>
      </c>
      <c r="U915" s="63" t="n">
        <v>401</v>
      </c>
      <c r="V915" s="714" t="n">
        <v>16500</v>
      </c>
      <c r="W915" s="714" t="n">
        <v>17000</v>
      </c>
      <c r="X915" s="83" t="inlineStr">
        <is>
          <t>1.8:1</t>
        </is>
      </c>
      <c r="Y915" s="714">
        <f>ROUND(J915,-3)</f>
        <v/>
      </c>
      <c r="Z915" s="63" t="inlineStr">
        <is>
          <t xml:space="preserve">C </t>
        </is>
      </c>
      <c r="AA915" s="59" t="n">
        <v>3</v>
      </c>
      <c r="AB915" s="59" t="n">
        <v>3</v>
      </c>
      <c r="AC915" s="67" t="inlineStr">
        <is>
          <t>33</t>
        </is>
      </c>
      <c r="AD915" s="61" t="inlineStr">
        <is>
          <t>LANGE GRAPHICS/PRINT</t>
        </is>
      </c>
      <c r="AE915" s="716" t="n"/>
      <c r="AF915" s="716" t="n"/>
      <c r="AG915" s="716" t="n"/>
      <c r="AH915" s="716" t="n"/>
      <c r="AI915" s="716" t="n"/>
      <c r="AJ915" s="716" t="n"/>
      <c r="AK915" s="716" t="inlineStr">
        <is>
          <t xml:space="preserve">OWNER PAYS PROPERTY TAXES                                         </t>
        </is>
      </c>
      <c r="AL915">
        <f>IF(AND(ISNUMBER($S915),$S915&gt;0,ISNUMBER($K915),ISNUMBER($J915)),($K915*$J915)/$S915,"")</f>
        <v/>
      </c>
    </row>
    <row r="916">
      <c r="A916" s="62" t="n">
        <v>8</v>
      </c>
      <c r="B916" s="93" t="n">
        <v>908</v>
      </c>
      <c r="C916" s="68" t="inlineStr">
        <is>
          <t>2009Q</t>
        </is>
      </c>
      <c r="D916" s="59" t="inlineStr">
        <is>
          <t xml:space="preserve">05161-16-024-000 </t>
        </is>
      </c>
      <c r="E916" s="72" t="inlineStr">
        <is>
          <t>Actual</t>
        </is>
      </c>
      <c r="F916" s="73" t="inlineStr">
        <is>
          <t>1204 W CENTER               AV</t>
        </is>
      </c>
      <c r="G916" s="708" t="n">
        <v>44.2</v>
      </c>
      <c r="H916" s="67" t="n">
        <v>9506</v>
      </c>
      <c r="I916" s="69" t="n">
        <v>0</v>
      </c>
      <c r="J916" s="714" t="n">
        <v>5000</v>
      </c>
      <c r="K916" s="715" t="n">
        <v>6.7</v>
      </c>
      <c r="L916" s="74" t="n">
        <v>0</v>
      </c>
      <c r="M916" s="76" t="n">
        <v>0</v>
      </c>
      <c r="N916" s="67" t="n">
        <v>1995</v>
      </c>
      <c r="O916" s="64" t="n">
        <v>576</v>
      </c>
      <c r="Q916" s="59" t="n">
        <v>16</v>
      </c>
      <c r="R916" s="59" t="n">
        <v>8</v>
      </c>
      <c r="S916" s="59" t="n">
        <v>1</v>
      </c>
      <c r="T916" s="63" t="inlineStr">
        <is>
          <t xml:space="preserve">I0   </t>
        </is>
      </c>
      <c r="U916" s="63" t="n">
        <v>398</v>
      </c>
      <c r="V916" s="714" t="n">
        <v>15625</v>
      </c>
      <c r="W916" s="714" t="n">
        <v>16000</v>
      </c>
      <c r="X916" s="83" t="inlineStr">
        <is>
          <t>3.1:1</t>
        </is>
      </c>
      <c r="Y916" s="714">
        <f>ROUND(J916,-3)</f>
        <v/>
      </c>
      <c r="Z916" s="63" t="inlineStr">
        <is>
          <t xml:space="preserve">C </t>
        </is>
      </c>
      <c r="AA916" s="59" t="n">
        <v>3</v>
      </c>
      <c r="AB916" s="59" t="n">
        <v>3</v>
      </c>
      <c r="AC916" s="67" t="inlineStr">
        <is>
          <t>33</t>
        </is>
      </c>
      <c r="AD916" s="61" t="inlineStr">
        <is>
          <t xml:space="preserve">WAREHOUSE / STORAGE </t>
        </is>
      </c>
      <c r="AE916" s="716" t="n"/>
      <c r="AF916" s="716" t="n"/>
      <c r="AG916" s="716" t="n"/>
      <c r="AH916" s="716" t="n"/>
      <c r="AI916" s="716" t="n"/>
      <c r="AJ916" s="716" t="n"/>
      <c r="AK916" s="716" t="inlineStr">
        <is>
          <t xml:space="preserve">PURCHASED IN 2007-LEASE STARTED 01/2008                           </t>
        </is>
      </c>
      <c r="AL916">
        <f>IF(AND(ISNUMBER($S916),$S916&gt;0,ISNUMBER($K916),ISNUMBER($J916)),($K916*$J916)/$S916,"")</f>
        <v/>
      </c>
    </row>
    <row r="917">
      <c r="A917" s="62" t="n">
        <v>8</v>
      </c>
      <c r="B917" s="93" t="n">
        <v>909</v>
      </c>
      <c r="C917" s="68" t="inlineStr">
        <is>
          <t>2009Q</t>
        </is>
      </c>
      <c r="D917" s="59" t="inlineStr">
        <is>
          <t xml:space="preserve">05161-20-022-000 </t>
        </is>
      </c>
      <c r="E917" s="72" t="inlineStr">
        <is>
          <t>Actual</t>
        </is>
      </c>
      <c r="F917" s="73" t="inlineStr">
        <is>
          <t>687 S JASON                ST</t>
        </is>
      </c>
      <c r="G917" s="708" t="n">
        <v>44.1</v>
      </c>
      <c r="H917" s="67" t="n">
        <v>9506</v>
      </c>
      <c r="I917" s="69" t="n">
        <v>0</v>
      </c>
      <c r="J917" s="714" t="n">
        <v>5615</v>
      </c>
      <c r="K917" s="715" t="n">
        <v>7.212822796081923</v>
      </c>
      <c r="L917" s="74" t="n">
        <v>0</v>
      </c>
      <c r="M917" s="76" t="n">
        <v>0.1024691358024691</v>
      </c>
      <c r="N917" s="67" t="n">
        <v>1963</v>
      </c>
      <c r="O917" s="64" t="n">
        <v>1057</v>
      </c>
      <c r="P917" s="64" t="inlineStr"/>
      <c r="Q917" s="59" t="n">
        <v>13</v>
      </c>
      <c r="R917" s="59" t="n">
        <v>1</v>
      </c>
      <c r="S917" s="59" t="n">
        <v>2</v>
      </c>
      <c r="T917" s="63" t="inlineStr">
        <is>
          <t xml:space="preserve">I1   </t>
        </is>
      </c>
      <c r="U917" s="63" t="n">
        <v>398</v>
      </c>
      <c r="V917" s="714" t="n">
        <v>10027</v>
      </c>
      <c r="W917" s="714" t="n">
        <v>10000</v>
      </c>
      <c r="X917" s="83" t="inlineStr">
        <is>
          <t>1.5:1</t>
        </is>
      </c>
      <c r="Y917" s="714">
        <f>ROUND(J917,-3)</f>
        <v/>
      </c>
      <c r="Z917" s="63" t="inlineStr">
        <is>
          <t xml:space="preserve">C </t>
        </is>
      </c>
      <c r="AA917" s="59" t="n">
        <v>3</v>
      </c>
      <c r="AB917" s="59" t="n">
        <v>3</v>
      </c>
      <c r="AC917" s="67" t="inlineStr">
        <is>
          <t>33</t>
        </is>
      </c>
      <c r="AD917" s="61" t="inlineStr">
        <is>
          <t xml:space="preserve">MOTHER TRUCKERS     </t>
        </is>
      </c>
      <c r="AE917" s="716" t="n"/>
      <c r="AF917" s="716" t="n"/>
      <c r="AG917" s="716" t="n"/>
      <c r="AH917" s="716" t="n"/>
      <c r="AI917" s="716" t="n"/>
      <c r="AJ917" s="716" t="n"/>
      <c r="AK917" s="716" t="inlineStr">
        <is>
          <t xml:space="preserve">3 UNITS-1 BASE YEAR LEASE                                         </t>
        </is>
      </c>
      <c r="AL917">
        <f>IF(AND(ISNUMBER($S917),$S917&gt;0,ISNUMBER($K917),ISNUMBER($J917)),($K917*$J917)/$S917,"")</f>
        <v/>
      </c>
    </row>
    <row r="918">
      <c r="A918" s="62" t="n">
        <v>8</v>
      </c>
      <c r="B918" s="93" t="n">
        <v>910</v>
      </c>
      <c r="C918" s="68" t="inlineStr">
        <is>
          <t>2009Q</t>
        </is>
      </c>
      <c r="D918" s="59" t="inlineStr">
        <is>
          <t xml:space="preserve">05164-00-029-000 </t>
        </is>
      </c>
      <c r="E918" s="72" t="inlineStr">
        <is>
          <t>Actual</t>
        </is>
      </c>
      <c r="F918" s="73" t="inlineStr">
        <is>
          <t>1055 S JASON                ST</t>
        </is>
      </c>
      <c r="G918" s="708" t="n">
        <v>47.1</v>
      </c>
      <c r="H918" s="67" t="n">
        <v>9506</v>
      </c>
      <c r="I918" s="69" t="n">
        <v>0</v>
      </c>
      <c r="J918" s="714" t="n">
        <v>47216</v>
      </c>
      <c r="K918" s="715" t="n">
        <v>5.083022704168078</v>
      </c>
      <c r="L918" s="74" t="n">
        <v>0</v>
      </c>
      <c r="M918" s="76" t="n">
        <v>0</v>
      </c>
      <c r="N918" s="67" t="n">
        <v>1956</v>
      </c>
      <c r="O918" s="64">
        <f>4222+420</f>
        <v/>
      </c>
      <c r="Q918" s="59" t="n">
        <v>14</v>
      </c>
      <c r="R918" s="59" t="n">
        <v>10</v>
      </c>
      <c r="S918" s="59" t="n">
        <v>1</v>
      </c>
      <c r="T918" s="63" t="inlineStr">
        <is>
          <t xml:space="preserve">I1   </t>
        </is>
      </c>
      <c r="U918" s="63" t="n">
        <v>401</v>
      </c>
      <c r="V918" s="714" t="n">
        <v>89364</v>
      </c>
      <c r="W918" s="714" t="n">
        <v>90000</v>
      </c>
      <c r="X918" s="83" t="inlineStr">
        <is>
          <t>1.9:1</t>
        </is>
      </c>
      <c r="Y918" s="714">
        <f>ROUND(J918,-3)</f>
        <v/>
      </c>
      <c r="Z918" s="63" t="inlineStr">
        <is>
          <t xml:space="preserve">C </t>
        </is>
      </c>
      <c r="AA918" s="59" t="n">
        <v>3</v>
      </c>
      <c r="AB918" s="59" t="n">
        <v>3</v>
      </c>
      <c r="AC918" s="67" t="inlineStr">
        <is>
          <t>33</t>
        </is>
      </c>
      <c r="AD918" s="61" t="inlineStr">
        <is>
          <t xml:space="preserve">SPRING AIR MATTRESS </t>
        </is>
      </c>
      <c r="AE918" s="716" t="n"/>
      <c r="AF918" s="716" t="n"/>
      <c r="AG918" s="716" t="n"/>
      <c r="AH918" s="716" t="n"/>
      <c r="AI918" s="716" t="n"/>
      <c r="AJ918" s="716" t="n"/>
      <c r="AK918" s="716" t="inlineStr"/>
      <c r="AL918">
        <f>IF(AND(ISNUMBER($S918),$S918&gt;0,ISNUMBER($K918),ISNUMBER($J918)),($K918*$J918)/$S918,"")</f>
        <v/>
      </c>
    </row>
    <row r="919">
      <c r="A919" s="62" t="n">
        <v>8</v>
      </c>
      <c r="B919" s="93" t="n">
        <v>911</v>
      </c>
      <c r="C919" s="68" t="inlineStr">
        <is>
          <t>2009Q</t>
        </is>
      </c>
      <c r="D919" s="59" t="inlineStr">
        <is>
          <t xml:space="preserve">05164-00-030-000 </t>
        </is>
      </c>
      <c r="E919" s="72" t="inlineStr">
        <is>
          <t>Actual</t>
        </is>
      </c>
      <c r="F919" s="73" t="inlineStr">
        <is>
          <t>1002 S JASON                ST</t>
        </is>
      </c>
      <c r="G919" s="708" t="n">
        <v>44.2</v>
      </c>
      <c r="H919" s="67" t="n">
        <v>9506</v>
      </c>
      <c r="I919" s="69" t="n">
        <v>0</v>
      </c>
      <c r="J919" s="714" t="n">
        <v>22290</v>
      </c>
      <c r="K919" s="715" t="n">
        <v>4.586137281292059</v>
      </c>
      <c r="L919" s="74" t="n">
        <v>0.2781516375056079</v>
      </c>
      <c r="M919" s="76" t="n">
        <v>0.4692785522132551</v>
      </c>
      <c r="N919" s="67" t="n">
        <v>1954</v>
      </c>
      <c r="O919" s="64">
        <f>2507+2517</f>
        <v/>
      </c>
      <c r="P919" s="64" t="n">
        <v>651</v>
      </c>
      <c r="Q919" s="59" t="n">
        <v>9</v>
      </c>
      <c r="R919" s="59" t="n">
        <v>3</v>
      </c>
      <c r="S919" s="59" t="n">
        <v>4</v>
      </c>
      <c r="T919" s="63" t="inlineStr">
        <is>
          <t xml:space="preserve">I1   </t>
        </is>
      </c>
      <c r="U919" s="63" t="n">
        <v>398</v>
      </c>
      <c r="V919" s="714" t="n">
        <v>52850</v>
      </c>
      <c r="W919" s="714" t="n">
        <v>50000</v>
      </c>
      <c r="X919" s="83" t="inlineStr">
        <is>
          <t>2.0:1</t>
        </is>
      </c>
      <c r="Y919" s="714">
        <f>ROUND(J919,-3)</f>
        <v/>
      </c>
      <c r="Z919" s="63" t="inlineStr">
        <is>
          <t xml:space="preserve">C </t>
        </is>
      </c>
      <c r="AA919" s="59" t="n">
        <v>3</v>
      </c>
      <c r="AB919" s="59" t="n">
        <v>2</v>
      </c>
      <c r="AC919" s="67" t="inlineStr">
        <is>
          <t>32</t>
        </is>
      </c>
      <c r="AD919" s="61" t="inlineStr">
        <is>
          <t xml:space="preserve">DENVER STONE &amp; TILE </t>
        </is>
      </c>
      <c r="AE919" s="716" t="n"/>
      <c r="AF919" s="716" t="n"/>
      <c r="AG919" s="716" t="n"/>
      <c r="AH919" s="716" t="n"/>
      <c r="AI919" s="716" t="n"/>
      <c r="AJ919" s="716" t="n"/>
      <c r="AK919" s="716" t="inlineStr">
        <is>
          <t xml:space="preserve">INCOME INCLUDES RECOVERY-MULTI TENANT-7 UNITS                     </t>
        </is>
      </c>
      <c r="AL919">
        <f>IF(AND(ISNUMBER($S919),$S919&gt;0,ISNUMBER($K919),ISNUMBER($J919)),($K919*$J919)/$S919,"")</f>
        <v/>
      </c>
    </row>
    <row r="920">
      <c r="A920" s="62" t="n">
        <v>8</v>
      </c>
      <c r="B920" s="93" t="n">
        <v>912</v>
      </c>
      <c r="C920" s="68" t="inlineStr">
        <is>
          <t>2009W</t>
        </is>
      </c>
      <c r="D920" s="59" t="inlineStr">
        <is>
          <t>05164-00-030-000</t>
        </is>
      </c>
      <c r="E920" s="63" t="inlineStr">
        <is>
          <t>Actual</t>
        </is>
      </c>
      <c r="F920" s="59" t="inlineStr">
        <is>
          <t>1002 S Jason St.</t>
        </is>
      </c>
      <c r="G920" s="708" t="n">
        <v>44.2</v>
      </c>
      <c r="H920" s="59" t="n">
        <v>9506</v>
      </c>
      <c r="I920" s="63" t="n">
        <v>0</v>
      </c>
      <c r="J920" s="64" t="n">
        <v>26251</v>
      </c>
      <c r="K920" s="722" t="n">
        <v>5.23</v>
      </c>
      <c r="L920" s="88" t="n">
        <v>0.39</v>
      </c>
      <c r="M920" s="88" t="n">
        <v>0</v>
      </c>
      <c r="N920" s="59" t="n">
        <v>1954</v>
      </c>
      <c r="O920" s="714" t="n">
        <v>6211</v>
      </c>
      <c r="P920" s="714" t="n">
        <v>651</v>
      </c>
      <c r="Q920" s="59" t="n">
        <v>9</v>
      </c>
      <c r="R920" s="59" t="n">
        <v>3</v>
      </c>
      <c r="S920" s="59" t="n">
        <v>5</v>
      </c>
      <c r="T920" s="63" t="inlineStr">
        <is>
          <t>I1</t>
        </is>
      </c>
      <c r="U920" s="63" t="n">
        <v>398</v>
      </c>
      <c r="V920" s="64" t="n">
        <v>52850</v>
      </c>
      <c r="W920" s="64" t="n">
        <v>50000</v>
      </c>
      <c r="X920" s="67" t="inlineStr">
        <is>
          <t>2.0:1</t>
        </is>
      </c>
      <c r="Y920" s="64" t="n">
        <v>25000</v>
      </c>
      <c r="Z920" s="63" t="inlineStr">
        <is>
          <t>C</t>
        </is>
      </c>
      <c r="AA920" s="59" t="n">
        <v>2</v>
      </c>
      <c r="AB920" s="59" t="n">
        <v>2</v>
      </c>
      <c r="AC920" s="59" t="n">
        <v>22</v>
      </c>
      <c r="AD920" s="59" t="inlineStr">
        <is>
          <t>DENVER TILE &amp; STONE</t>
        </is>
      </c>
      <c r="AE920" s="701" t="n">
        <v>5.23</v>
      </c>
      <c r="AF920" s="723">
        <f>AE920*0.61</f>
        <v/>
      </c>
      <c r="AG920" s="723" t="n">
        <v>3.19</v>
      </c>
      <c r="AH920" s="723" t="n">
        <v>0</v>
      </c>
      <c r="AI920" s="723" t="n"/>
      <c r="AJ920" s="701" t="n"/>
      <c r="AK920" s="59" t="inlineStr">
        <is>
          <t>Only rent roll, presume NNN. No operating statement supplied</t>
        </is>
      </c>
      <c r="AL920">
        <f>IF(AND(ISNUMBER($S920),$S920&gt;0,ISNUMBER($K920),ISNUMBER($J920)),($K920*$J920)/$S920,"")</f>
        <v/>
      </c>
      <c r="AN920" s="716" t="n"/>
      <c r="AO920" s="716" t="n"/>
      <c r="AP920" s="716" t="n"/>
    </row>
    <row r="921">
      <c r="A921" s="62" t="n">
        <v>8</v>
      </c>
      <c r="B921" s="93" t="n">
        <v>913</v>
      </c>
      <c r="C921" s="68" t="inlineStr">
        <is>
          <t>2009Q</t>
        </is>
      </c>
      <c r="D921" s="59" t="inlineStr">
        <is>
          <t xml:space="preserve">05164-00-129-000 </t>
        </is>
      </c>
      <c r="E921" s="72" t="inlineStr">
        <is>
          <t>Actual</t>
        </is>
      </c>
      <c r="F921" s="73" t="inlineStr">
        <is>
          <t>1050 S JASON                ST</t>
        </is>
      </c>
      <c r="G921" s="708" t="n">
        <v>44.1</v>
      </c>
      <c r="H921" s="67" t="n">
        <v>9506</v>
      </c>
      <c r="I921" s="69" t="n">
        <v>0</v>
      </c>
      <c r="J921" s="714" t="n">
        <v>17064</v>
      </c>
      <c r="K921" s="715" t="n">
        <v>3.881856540084388</v>
      </c>
      <c r="L921" s="74" t="n">
        <v>0</v>
      </c>
      <c r="M921" s="76" t="n">
        <v>0</v>
      </c>
      <c r="N921" s="67" t="n">
        <v>2000</v>
      </c>
      <c r="O921" s="64" t="inlineStr"/>
      <c r="Q921" s="59" t="n">
        <v>25</v>
      </c>
      <c r="R921" s="59" t="n">
        <v>7</v>
      </c>
      <c r="S921" s="59" t="n">
        <v>1</v>
      </c>
      <c r="T921" s="63" t="inlineStr">
        <is>
          <t xml:space="preserve">I1   </t>
        </is>
      </c>
      <c r="U921" s="63" t="n">
        <v>398</v>
      </c>
      <c r="V921" s="714" t="n">
        <v>93000</v>
      </c>
      <c r="W921" s="714" t="n">
        <v>90000</v>
      </c>
      <c r="X921" s="83" t="inlineStr">
        <is>
          <t>5.5:1</t>
        </is>
      </c>
      <c r="Y921" s="714">
        <f>ROUND(J921,-3)</f>
        <v/>
      </c>
      <c r="Z921" s="63" t="inlineStr">
        <is>
          <t xml:space="preserve">C </t>
        </is>
      </c>
      <c r="AA921" s="59" t="n">
        <v>3</v>
      </c>
      <c r="AB921" s="59" t="n">
        <v>1</v>
      </c>
      <c r="AC921" s="67" t="inlineStr">
        <is>
          <t>31</t>
        </is>
      </c>
      <c r="AD921" s="61" t="inlineStr">
        <is>
          <t xml:space="preserve">DRY STORAGE ONLY    </t>
        </is>
      </c>
      <c r="AE921" s="716" t="n"/>
      <c r="AF921" s="716" t="n"/>
      <c r="AG921" s="716" t="n"/>
      <c r="AH921" s="716" t="n"/>
      <c r="AI921" s="716" t="n"/>
      <c r="AJ921" s="716" t="n"/>
      <c r="AK921" s="716" t="inlineStr">
        <is>
          <t xml:space="preserve">PROPERTY TAXES PAID BY OWNER                                      </t>
        </is>
      </c>
      <c r="AL921">
        <f>IF(AND(ISNUMBER($S921),$S921&gt;0,ISNUMBER($K921),ISNUMBER($J921)),($K921*$J921)/$S921,"")</f>
        <v/>
      </c>
    </row>
    <row r="922">
      <c r="A922" s="62" t="n">
        <v>8</v>
      </c>
      <c r="B922" s="93" t="n">
        <v>914</v>
      </c>
      <c r="C922" s="68" t="inlineStr">
        <is>
          <t>2009Q</t>
        </is>
      </c>
      <c r="D922" s="59" t="inlineStr">
        <is>
          <t xml:space="preserve">05164-00-134-000 </t>
        </is>
      </c>
      <c r="E922" s="72" t="inlineStr">
        <is>
          <t>Actual</t>
        </is>
      </c>
      <c r="F922" s="73" t="inlineStr">
        <is>
          <t>1030 S LIPAN                ST</t>
        </is>
      </c>
      <c r="G922" s="708" t="n">
        <v>44.1</v>
      </c>
      <c r="H922" s="67" t="n">
        <v>9506</v>
      </c>
      <c r="I922" s="69" t="n">
        <v>0</v>
      </c>
      <c r="J922" s="714" t="n">
        <v>2746</v>
      </c>
      <c r="K922" s="715" t="n">
        <v>9.067734887108521</v>
      </c>
      <c r="L922" s="74" t="n">
        <v>0</v>
      </c>
      <c r="M922" s="76" t="n">
        <v>0</v>
      </c>
      <c r="N922" s="67" t="n">
        <v>1959</v>
      </c>
      <c r="O922" s="64" t="n">
        <v>197</v>
      </c>
      <c r="Q922" s="59" t="n">
        <v>11</v>
      </c>
      <c r="R922" s="59" t="n">
        <v>3</v>
      </c>
      <c r="S922" s="59" t="n">
        <v>1</v>
      </c>
      <c r="T922" s="63" t="inlineStr">
        <is>
          <t xml:space="preserve">I0   </t>
        </is>
      </c>
      <c r="U922" s="63" t="n">
        <v>398</v>
      </c>
      <c r="V922" s="714" t="n">
        <v>9910</v>
      </c>
      <c r="W922" s="714" t="n">
        <v>10000</v>
      </c>
      <c r="X922" s="83" t="inlineStr">
        <is>
          <t>3.6:1</t>
        </is>
      </c>
      <c r="Y922" s="714">
        <f>ROUND(J922,-3)</f>
        <v/>
      </c>
      <c r="Z922" s="63" t="inlineStr">
        <is>
          <t xml:space="preserve">C </t>
        </is>
      </c>
      <c r="AA922" s="59" t="n">
        <v>3</v>
      </c>
      <c r="AB922" s="59" t="n">
        <v>3</v>
      </c>
      <c r="AC922" s="67" t="inlineStr">
        <is>
          <t>33</t>
        </is>
      </c>
      <c r="AD922" s="61" t="inlineStr">
        <is>
          <t xml:space="preserve">S-W                 </t>
        </is>
      </c>
      <c r="AE922" s="716" t="n"/>
      <c r="AF922" s="716" t="n"/>
      <c r="AG922" s="716" t="n"/>
      <c r="AH922" s="716" t="n"/>
      <c r="AI922" s="716" t="n"/>
      <c r="AJ922" s="716" t="n"/>
      <c r="AK922" s="716" t="inlineStr"/>
      <c r="AL922">
        <f>IF(AND(ISNUMBER($S922),$S922&gt;0,ISNUMBER($K922),ISNUMBER($J922)),($K922*$J922)/$S922,"")</f>
        <v/>
      </c>
    </row>
    <row r="923">
      <c r="A923" s="62" t="n">
        <v>8</v>
      </c>
      <c r="B923" s="93" t="n">
        <v>915</v>
      </c>
      <c r="C923" s="68" t="inlineStr">
        <is>
          <t>2009W</t>
        </is>
      </c>
      <c r="D923" s="59" t="inlineStr">
        <is>
          <t>05164-00-141-000</t>
        </is>
      </c>
      <c r="E923" s="63" t="inlineStr">
        <is>
          <t>Actual</t>
        </is>
      </c>
      <c r="F923" s="59" t="inlineStr">
        <is>
          <t>755 S. Jason St.</t>
        </is>
      </c>
      <c r="G923" s="708" t="n">
        <v>44.2</v>
      </c>
      <c r="H923" s="59" t="n">
        <v>9506</v>
      </c>
      <c r="I923" s="63" t="n">
        <v>0</v>
      </c>
      <c r="J923" s="64" t="n">
        <v>14819</v>
      </c>
      <c r="K923" s="722" t="n">
        <v>4.8</v>
      </c>
      <c r="L923" s="88" t="n">
        <v>0</v>
      </c>
      <c r="M923" s="88" t="n">
        <v>0.17</v>
      </c>
      <c r="N923" s="59" t="n">
        <v>1963</v>
      </c>
      <c r="O923" s="714" t="n">
        <v>1824</v>
      </c>
      <c r="P923" s="714" t="n">
        <v>0</v>
      </c>
      <c r="Q923" s="59" t="n">
        <v>14</v>
      </c>
      <c r="R923" s="59" t="n">
        <v>1</v>
      </c>
      <c r="S923" s="59" t="n">
        <v>1</v>
      </c>
      <c r="T923" s="63" t="inlineStr">
        <is>
          <t>I1</t>
        </is>
      </c>
      <c r="U923" s="59" t="n">
        <v>398</v>
      </c>
      <c r="V923" s="64" t="n">
        <v>20000</v>
      </c>
      <c r="W923" s="64" t="n">
        <v>20000</v>
      </c>
      <c r="X923" s="67" t="inlineStr">
        <is>
          <t>1.3:1</t>
        </is>
      </c>
      <c r="Y923" s="64" t="n">
        <v>15000</v>
      </c>
      <c r="Z923" s="63" t="inlineStr">
        <is>
          <t>C</t>
        </is>
      </c>
      <c r="AA923" s="59" t="n">
        <v>3</v>
      </c>
      <c r="AB923" s="59" t="n">
        <v>3</v>
      </c>
      <c r="AC923" s="59" t="n">
        <v>33</v>
      </c>
      <c r="AE923" s="701" t="n">
        <v>4.8</v>
      </c>
      <c r="AF923" s="723" t="n">
        <v>4.05</v>
      </c>
      <c r="AG923" s="723" t="n">
        <v>3.34</v>
      </c>
      <c r="AH923" s="723" t="n">
        <v>0.7</v>
      </c>
      <c r="AI923" s="723" t="inlineStr">
        <is>
          <t>-</t>
        </is>
      </c>
      <c r="AJ923" s="701" t="inlineStr">
        <is>
          <t>-</t>
        </is>
      </c>
      <c r="AL923">
        <f>IF(AND(ISNUMBER($S923),$S923&gt;0,ISNUMBER($K923),ISNUMBER($J923)),($K923*$J923)/$S923,"")</f>
        <v/>
      </c>
      <c r="AN923" s="716" t="n"/>
      <c r="AO923" s="716" t="n"/>
      <c r="AP923" s="716" t="n"/>
    </row>
    <row r="924">
      <c r="A924" s="62" t="n">
        <v>8</v>
      </c>
      <c r="B924" s="93" t="n">
        <v>916</v>
      </c>
      <c r="C924" s="68" t="inlineStr">
        <is>
          <t>2009Q</t>
        </is>
      </c>
      <c r="D924" s="59" t="inlineStr">
        <is>
          <t xml:space="preserve">05164-03-006-000 </t>
        </is>
      </c>
      <c r="E924" s="72" t="inlineStr">
        <is>
          <t>Actual</t>
        </is>
      </c>
      <c r="F924" s="73" t="inlineStr">
        <is>
          <t>975 W MISSISSIPPI          AV</t>
        </is>
      </c>
      <c r="G924" s="708" t="n">
        <v>44.1</v>
      </c>
      <c r="H924" s="67" t="n">
        <v>9506</v>
      </c>
      <c r="I924" s="69" t="n">
        <v>0</v>
      </c>
      <c r="J924" s="714" t="n">
        <v>71142</v>
      </c>
      <c r="K924" s="715" t="n">
        <v>6.518512271232184</v>
      </c>
      <c r="L924" s="74" t="n">
        <v>0</v>
      </c>
      <c r="M924" s="76" t="n">
        <v>0</v>
      </c>
      <c r="N924" s="67" t="n">
        <v>2001</v>
      </c>
      <c r="Q924" s="59" t="n">
        <v>22</v>
      </c>
      <c r="R924" s="59" t="n">
        <v>7</v>
      </c>
      <c r="S924" s="59" t="n">
        <v>1</v>
      </c>
      <c r="T924" s="63" t="inlineStr">
        <is>
          <t xml:space="preserve">I1   </t>
        </is>
      </c>
      <c r="U924" s="63" t="n">
        <v>398</v>
      </c>
      <c r="V924" s="714" t="n">
        <v>187236</v>
      </c>
      <c r="W924" s="714" t="n">
        <v>190000</v>
      </c>
      <c r="X924" s="83" t="inlineStr">
        <is>
          <t>2.6:1</t>
        </is>
      </c>
      <c r="Y924" s="714">
        <f>ROUND(J924,-4)</f>
        <v/>
      </c>
      <c r="Z924" s="63" t="inlineStr">
        <is>
          <t xml:space="preserve">C </t>
        </is>
      </c>
      <c r="AA924" s="59" t="n">
        <v>3</v>
      </c>
      <c r="AB924" s="59" t="n">
        <v>3</v>
      </c>
      <c r="AC924" s="67" t="inlineStr">
        <is>
          <t>33</t>
        </is>
      </c>
      <c r="AD924" s="61" t="inlineStr">
        <is>
          <t xml:space="preserve">AUSTIN HARDWOOD     </t>
        </is>
      </c>
      <c r="AE924" s="716" t="n"/>
      <c r="AF924" s="716" t="n"/>
      <c r="AG924" s="716" t="n"/>
      <c r="AH924" s="716" t="n"/>
      <c r="AI924" s="716" t="n"/>
      <c r="AJ924" s="716" t="n"/>
      <c r="AK924" s="716" t="inlineStr">
        <is>
          <t xml:space="preserve">OWNER PAYS PROPERTY TAXES                                         </t>
        </is>
      </c>
      <c r="AL924">
        <f>IF(AND(ISNUMBER($S924),$S924&gt;0,ISNUMBER($K924),ISNUMBER($J924)),($K924*$J924)/$S924,"")</f>
        <v/>
      </c>
    </row>
    <row r="925">
      <c r="A925" s="62" t="n">
        <v>8</v>
      </c>
      <c r="B925" s="93" t="n">
        <v>917</v>
      </c>
      <c r="C925" s="68" t="inlineStr">
        <is>
          <t>2009Q</t>
        </is>
      </c>
      <c r="D925" s="59" t="inlineStr">
        <is>
          <t xml:space="preserve">05181-20-014-000 </t>
        </is>
      </c>
      <c r="E925" s="72" t="inlineStr">
        <is>
          <t>Actual</t>
        </is>
      </c>
      <c r="F925" s="73" t="inlineStr">
        <is>
          <t>3715   MORRISON             RD</t>
        </is>
      </c>
      <c r="G925" s="708" t="n">
        <v>44.1</v>
      </c>
      <c r="H925" s="67" t="n">
        <v>9506</v>
      </c>
      <c r="I925" s="69" t="n">
        <v>5</v>
      </c>
      <c r="J925" s="714" t="n">
        <v>5077</v>
      </c>
      <c r="K925" s="715" t="n">
        <v>7.090801654520386</v>
      </c>
      <c r="L925" s="74" t="n">
        <v>0</v>
      </c>
      <c r="M925" s="76" t="n">
        <v>0</v>
      </c>
      <c r="N925" s="67" t="n">
        <v>1956</v>
      </c>
      <c r="O925" s="64" t="n">
        <v>480</v>
      </c>
      <c r="Q925" s="59" t="n">
        <v>15</v>
      </c>
      <c r="R925" s="59" t="n">
        <v>1</v>
      </c>
      <c r="S925" s="59" t="n">
        <v>1</v>
      </c>
      <c r="T925" s="63" t="inlineStr">
        <is>
          <t xml:space="preserve">B4   </t>
        </is>
      </c>
      <c r="U925" s="63" t="n">
        <v>398</v>
      </c>
      <c r="V925" s="714" t="n">
        <v>15254</v>
      </c>
      <c r="W925" s="714" t="n">
        <v>15000</v>
      </c>
      <c r="X925" s="83" t="inlineStr">
        <is>
          <t>3.0:1</t>
        </is>
      </c>
      <c r="Y925" s="714">
        <f>ROUND(J925,-3)</f>
        <v/>
      </c>
      <c r="Z925" s="63" t="inlineStr">
        <is>
          <t xml:space="preserve">C </t>
        </is>
      </c>
      <c r="AA925" s="59" t="n">
        <v>3</v>
      </c>
      <c r="AB925" s="59" t="n">
        <v>3</v>
      </c>
      <c r="AC925" s="67" t="inlineStr">
        <is>
          <t>33</t>
        </is>
      </c>
      <c r="AD925" s="61" t="inlineStr"/>
      <c r="AE925" s="716" t="n"/>
      <c r="AF925" s="716" t="n"/>
      <c r="AG925" s="716" t="n"/>
      <c r="AH925" s="716" t="n"/>
      <c r="AI925" s="716" t="n"/>
      <c r="AJ925" s="716" t="n"/>
      <c r="AK925" s="716" t="inlineStr"/>
      <c r="AL925">
        <f>IF(AND(ISNUMBER($S925),$S925&gt;0,ISNUMBER($K925),ISNUMBER($J925)),($K925*$J925)/$S925,"")</f>
        <v/>
      </c>
    </row>
    <row r="926">
      <c r="A926" s="62" t="n">
        <v>8</v>
      </c>
      <c r="B926" s="93" t="n">
        <v>918</v>
      </c>
      <c r="C926" s="68" t="inlineStr">
        <is>
          <t>2009Q</t>
        </is>
      </c>
      <c r="D926" s="59" t="inlineStr">
        <is>
          <t xml:space="preserve">05211-01-003-000 </t>
        </is>
      </c>
      <c r="E926" s="72" t="inlineStr">
        <is>
          <t>Actual</t>
        </is>
      </c>
      <c r="F926" s="73" t="inlineStr">
        <is>
          <t>1155 S HURON                ST</t>
        </is>
      </c>
      <c r="G926" s="708" t="n">
        <v>44.5</v>
      </c>
      <c r="H926" s="67" t="n">
        <v>9506</v>
      </c>
      <c r="I926" s="69" t="n">
        <v>0</v>
      </c>
      <c r="J926" s="714" t="n">
        <v>88065</v>
      </c>
      <c r="K926" s="715" t="n">
        <v>8.179855788338159</v>
      </c>
      <c r="L926" s="74" t="n">
        <v>0</v>
      </c>
      <c r="M926" s="76" t="n">
        <v>0.3601093343735554</v>
      </c>
      <c r="N926" s="67" t="n">
        <v>1977</v>
      </c>
      <c r="O926" s="64">
        <f>14230+6035</f>
        <v/>
      </c>
      <c r="Q926" s="59" t="n">
        <v>18</v>
      </c>
      <c r="R926" s="59" t="n">
        <v>1</v>
      </c>
      <c r="S926" s="59" t="n">
        <v>1</v>
      </c>
      <c r="T926" s="63" t="inlineStr">
        <is>
          <t xml:space="preserve">I2   </t>
        </is>
      </c>
      <c r="U926" s="63" t="n">
        <v>396</v>
      </c>
      <c r="V926" s="714" t="n">
        <v>161280</v>
      </c>
      <c r="W926" s="714" t="n">
        <v>160000</v>
      </c>
      <c r="X926" s="83" t="inlineStr">
        <is>
          <t>1.8:1</t>
        </is>
      </c>
      <c r="Y926" s="714">
        <f>ROUND(J926,-4)</f>
        <v/>
      </c>
      <c r="Z926" s="63" t="inlineStr">
        <is>
          <t xml:space="preserve">C </t>
        </is>
      </c>
      <c r="AA926" s="59" t="n">
        <v>3</v>
      </c>
      <c r="AB926" s="59" t="n">
        <v>3</v>
      </c>
      <c r="AC926" s="67" t="inlineStr">
        <is>
          <t>33</t>
        </is>
      </c>
      <c r="AD926" s="61" t="inlineStr">
        <is>
          <t xml:space="preserve">U STOR ALL          </t>
        </is>
      </c>
      <c r="AE926" s="716" t="n"/>
      <c r="AF926" s="716" t="n"/>
      <c r="AG926" s="716" t="n"/>
      <c r="AH926" s="716" t="n"/>
      <c r="AI926" s="716" t="n"/>
      <c r="AJ926" s="716" t="n"/>
      <c r="AK926" s="716" t="inlineStr"/>
      <c r="AL926">
        <f>IF(AND(ISNUMBER($S926),$S926&gt;0,ISNUMBER($K926),ISNUMBER($J926)),($K926*$J926)/$S926,"")</f>
        <v/>
      </c>
    </row>
    <row r="927">
      <c r="A927" s="62" t="n">
        <v>8</v>
      </c>
      <c r="B927" s="93" t="n">
        <v>919</v>
      </c>
      <c r="C927" s="68" t="inlineStr">
        <is>
          <t>2009Q</t>
        </is>
      </c>
      <c r="D927" s="59" t="inlineStr">
        <is>
          <t xml:space="preserve">05211-02-001-000 </t>
        </is>
      </c>
      <c r="E927" s="72" t="inlineStr">
        <is>
          <t>Actual</t>
        </is>
      </c>
      <c r="F927" s="73" t="inlineStr">
        <is>
          <t>900 W MISSISSIPPI          AV</t>
        </is>
      </c>
      <c r="G927" s="708" t="n">
        <v>44.1</v>
      </c>
      <c r="H927" s="67" t="n">
        <v>9506</v>
      </c>
      <c r="I927" s="69" t="n">
        <v>0</v>
      </c>
      <c r="J927" s="714" t="n">
        <v>3720</v>
      </c>
      <c r="K927" s="715" t="n">
        <v>6.913172043010753</v>
      </c>
      <c r="L927" s="74" t="n">
        <v>0</v>
      </c>
      <c r="M927" s="76" t="n">
        <v>0.1690710425010693</v>
      </c>
      <c r="N927" s="67" t="n">
        <v>1965</v>
      </c>
      <c r="O927" s="64" t="n">
        <v>1347</v>
      </c>
      <c r="Q927" s="59" t="n">
        <v>12</v>
      </c>
      <c r="R927" s="59" t="n">
        <v>1</v>
      </c>
      <c r="S927" s="59" t="n">
        <v>1</v>
      </c>
      <c r="T927" s="63" t="inlineStr">
        <is>
          <t xml:space="preserve">I2   </t>
        </is>
      </c>
      <c r="U927" s="63" t="n">
        <v>398</v>
      </c>
      <c r="V927" s="714" t="n">
        <v>11135</v>
      </c>
      <c r="W927" s="714" t="n">
        <v>11000</v>
      </c>
      <c r="X927" s="83" t="inlineStr">
        <is>
          <t>3.0:1</t>
        </is>
      </c>
      <c r="Y927" s="714">
        <f>ROUND(J927,-3)</f>
        <v/>
      </c>
      <c r="Z927" s="63" t="inlineStr">
        <is>
          <t xml:space="preserve">C </t>
        </is>
      </c>
      <c r="AA927" s="59" t="n">
        <v>3</v>
      </c>
      <c r="AB927" s="59" t="n">
        <v>3</v>
      </c>
      <c r="AC927" s="67" t="inlineStr">
        <is>
          <t>33</t>
        </is>
      </c>
      <c r="AD927" s="61" t="inlineStr"/>
      <c r="AE927" s="716" t="n"/>
      <c r="AF927" s="716" t="n"/>
      <c r="AG927" s="716" t="n"/>
      <c r="AH927" s="716" t="n"/>
      <c r="AI927" s="716" t="n"/>
      <c r="AJ927" s="716" t="n"/>
      <c r="AK927" s="716" t="inlineStr">
        <is>
          <t xml:space="preserve">S-T WHSE.; AGE OF LEASE UNKNOWN.                                  </t>
        </is>
      </c>
      <c r="AL927">
        <f>IF(AND(ISNUMBER($S927),$S927&gt;0,ISNUMBER($K927),ISNUMBER($J927)),($K927*$J927)/$S927,"")</f>
        <v/>
      </c>
    </row>
    <row r="928">
      <c r="A928" s="62" t="n">
        <v>8</v>
      </c>
      <c r="B928" s="93" t="n">
        <v>920</v>
      </c>
      <c r="C928" s="68" t="inlineStr">
        <is>
          <t>2009Q</t>
        </is>
      </c>
      <c r="D928" s="59" t="inlineStr">
        <is>
          <t xml:space="preserve">05211-02-009-000 </t>
        </is>
      </c>
      <c r="E928" s="72" t="inlineStr">
        <is>
          <t>Actual</t>
        </is>
      </c>
      <c r="F928" s="73" t="inlineStr">
        <is>
          <t>1155 S INCA                 ST</t>
        </is>
      </c>
      <c r="G928" s="708" t="n">
        <v>44.1</v>
      </c>
      <c r="H928" s="67" t="n">
        <v>9506</v>
      </c>
      <c r="I928" s="69" t="n">
        <v>0</v>
      </c>
      <c r="J928" s="714" t="n">
        <v>9274</v>
      </c>
      <c r="K928" s="715" t="n">
        <v>6.25</v>
      </c>
      <c r="L928" s="74" t="n">
        <v>0</v>
      </c>
      <c r="M928" s="76" t="n">
        <v>0.1</v>
      </c>
      <c r="N928" s="67" t="n">
        <v>1959</v>
      </c>
      <c r="O928" s="64" t="n">
        <v>1584</v>
      </c>
      <c r="Q928" s="59" t="n">
        <v>17</v>
      </c>
      <c r="R928" s="59" t="n">
        <v>1</v>
      </c>
      <c r="S928" s="59" t="n">
        <v>1</v>
      </c>
      <c r="T928" s="63" t="inlineStr">
        <is>
          <t xml:space="preserve">I2   </t>
        </is>
      </c>
      <c r="U928" s="63" t="n">
        <v>398</v>
      </c>
      <c r="V928" s="714" t="n">
        <v>20250</v>
      </c>
      <c r="W928" s="714" t="n">
        <v>20000</v>
      </c>
      <c r="X928" s="83" t="inlineStr">
        <is>
          <t>2.2:1</t>
        </is>
      </c>
      <c r="Y928" s="714">
        <f>ROUND(J928,-3)</f>
        <v/>
      </c>
      <c r="Z928" s="63" t="inlineStr">
        <is>
          <t xml:space="preserve">C </t>
        </is>
      </c>
      <c r="AA928" s="59" t="n">
        <v>3</v>
      </c>
      <c r="AB928" s="59" t="n">
        <v>3</v>
      </c>
      <c r="AC928" s="67" t="inlineStr">
        <is>
          <t>33</t>
        </is>
      </c>
      <c r="AD928" s="61" t="inlineStr">
        <is>
          <t>S-W S.DENVER WINDUST</t>
        </is>
      </c>
      <c r="AE928" s="716" t="n"/>
      <c r="AF928" s="716" t="n"/>
      <c r="AG928" s="716" t="n"/>
      <c r="AH928" s="716" t="n"/>
      <c r="AI928" s="716" t="n"/>
      <c r="AJ928" s="716" t="n"/>
      <c r="AK928" s="716" t="inlineStr"/>
      <c r="AL928">
        <f>IF(AND(ISNUMBER($S928),$S928&gt;0,ISNUMBER($K928),ISNUMBER($J928)),($K928*$J928)/$S928,"")</f>
        <v/>
      </c>
    </row>
    <row r="929">
      <c r="A929" s="62" t="n">
        <v>8</v>
      </c>
      <c r="B929" s="93" t="n">
        <v>921</v>
      </c>
      <c r="C929" s="68" t="inlineStr">
        <is>
          <t>2009W</t>
        </is>
      </c>
      <c r="D929" s="59" t="inlineStr">
        <is>
          <t>05211-03-005-000</t>
        </is>
      </c>
      <c r="E929" s="63" t="inlineStr">
        <is>
          <t>Actual</t>
        </is>
      </c>
      <c r="F929" s="59" t="inlineStr">
        <is>
          <t>1001 W. Arizona Ave.</t>
        </is>
      </c>
      <c r="G929" s="708" t="n">
        <v>44.2</v>
      </c>
      <c r="H929" s="59" t="n">
        <v>9506</v>
      </c>
      <c r="I929" s="63" t="n">
        <v>0</v>
      </c>
      <c r="J929" s="64" t="n">
        <v>6919</v>
      </c>
      <c r="K929" s="722" t="n">
        <v>6.2</v>
      </c>
      <c r="L929" s="88" t="n">
        <v>0</v>
      </c>
      <c r="M929" s="88" t="n">
        <v>0.07000000000000001</v>
      </c>
      <c r="N929" s="59" t="n">
        <v>1961</v>
      </c>
      <c r="O929" s="714" t="n">
        <v>1014</v>
      </c>
      <c r="P929" s="714" t="n">
        <v>0</v>
      </c>
      <c r="Q929" s="59" t="n">
        <v>14</v>
      </c>
      <c r="R929" s="59" t="n">
        <v>1</v>
      </c>
      <c r="S929" s="59" t="n">
        <v>1</v>
      </c>
      <c r="T929" s="63" t="inlineStr">
        <is>
          <t>I2</t>
        </is>
      </c>
      <c r="U929" s="63" t="n">
        <v>398</v>
      </c>
      <c r="V929" s="714" t="n">
        <v>19113</v>
      </c>
      <c r="W929" s="714" t="n">
        <v>20000</v>
      </c>
      <c r="X929" s="67" t="inlineStr">
        <is>
          <t>2.9:1</t>
        </is>
      </c>
      <c r="Y929" s="714" t="n">
        <v>7000</v>
      </c>
      <c r="Z929" s="63" t="inlineStr">
        <is>
          <t>C</t>
        </is>
      </c>
      <c r="AA929" s="59" t="n">
        <v>3</v>
      </c>
      <c r="AB929" s="59" t="n">
        <v>3</v>
      </c>
      <c r="AC929" s="59" t="n">
        <v>33</v>
      </c>
      <c r="AE929" s="701" t="n">
        <v>6.2</v>
      </c>
      <c r="AF929" s="723" t="n">
        <v>6.2</v>
      </c>
      <c r="AG929" s="723" t="n">
        <v>5.75</v>
      </c>
      <c r="AH929" s="723" t="n">
        <v>0.44</v>
      </c>
      <c r="AI929" s="723" t="n">
        <v>0</v>
      </c>
      <c r="AJ929" s="701" t="n">
        <v>0</v>
      </c>
      <c r="AL929">
        <f>IF(AND(ISNUMBER($S929),$S929&gt;0,ISNUMBER($K929),ISNUMBER($J929)),($K929*$J929)/$S929,"")</f>
        <v/>
      </c>
      <c r="AN929" s="716" t="n"/>
      <c r="AO929" s="716" t="n"/>
    </row>
    <row r="930">
      <c r="A930" s="62" t="n">
        <v>8</v>
      </c>
      <c r="B930" s="93" t="n">
        <v>922</v>
      </c>
      <c r="C930" s="68" t="inlineStr">
        <is>
          <t>2009Q</t>
        </is>
      </c>
      <c r="D930" s="59" t="inlineStr">
        <is>
          <t xml:space="preserve">05211-03-020-000 </t>
        </is>
      </c>
      <c r="E930" s="72" t="inlineStr">
        <is>
          <t>Actual</t>
        </is>
      </c>
      <c r="F930" s="73" t="inlineStr">
        <is>
          <t>1124 S KALAMATH             ST</t>
        </is>
      </c>
      <c r="G930" s="708" t="n">
        <v>44.2</v>
      </c>
      <c r="H930" s="67" t="n">
        <v>9506</v>
      </c>
      <c r="I930" s="69" t="n">
        <v>0</v>
      </c>
      <c r="J930" s="714" t="n">
        <v>5906</v>
      </c>
      <c r="K930" s="715" t="n">
        <v>8.635286149678294</v>
      </c>
      <c r="L930" s="74" t="n">
        <v>0</v>
      </c>
      <c r="M930" s="76" t="n">
        <v>0</v>
      </c>
      <c r="N930" s="67" t="n">
        <v>1964</v>
      </c>
      <c r="O930" s="64" t="n">
        <v>1414</v>
      </c>
      <c r="Q930" s="59" t="n">
        <v>13</v>
      </c>
      <c r="R930" s="59" t="n">
        <v>4</v>
      </c>
      <c r="S930" s="59" t="n">
        <v>1</v>
      </c>
      <c r="T930" s="63" t="inlineStr">
        <is>
          <t xml:space="preserve">I2   </t>
        </is>
      </c>
      <c r="U930" s="63" t="n">
        <v>398</v>
      </c>
      <c r="V930" s="714" t="n">
        <v>9652</v>
      </c>
      <c r="W930" s="714" t="n">
        <v>10000</v>
      </c>
      <c r="X930" s="83" t="inlineStr">
        <is>
          <t>1.6:1</t>
        </is>
      </c>
      <c r="Y930" s="714">
        <f>ROUND(J930,-3)</f>
        <v/>
      </c>
      <c r="Z930" s="63" t="inlineStr">
        <is>
          <t xml:space="preserve">C </t>
        </is>
      </c>
      <c r="AA930" s="59" t="n">
        <v>3</v>
      </c>
      <c r="AB930" s="59" t="n">
        <v>3</v>
      </c>
      <c r="AC930" s="67" t="inlineStr">
        <is>
          <t>33</t>
        </is>
      </c>
      <c r="AD930" s="61" t="inlineStr">
        <is>
          <t xml:space="preserve">S-W DILLEY GRAPHICS </t>
        </is>
      </c>
      <c r="AE930" s="716" t="n"/>
      <c r="AF930" s="716" t="n"/>
      <c r="AG930" s="716" t="n"/>
      <c r="AH930" s="716" t="n"/>
      <c r="AI930" s="716" t="n"/>
      <c r="AJ930" s="716" t="n"/>
      <c r="AK930" s="716" t="inlineStr">
        <is>
          <t xml:space="preserve">S-T WHSE; 2004 LEASE.                                             </t>
        </is>
      </c>
      <c r="AL930">
        <f>IF(AND(ISNUMBER($S930),$S930&gt;0,ISNUMBER($K930),ISNUMBER($J930)),($K930*$J930)/$S930,"")</f>
        <v/>
      </c>
    </row>
    <row r="931">
      <c r="A931" s="62" t="n">
        <v>8</v>
      </c>
      <c r="B931" s="93" t="n">
        <v>923</v>
      </c>
      <c r="C931" s="68" t="inlineStr">
        <is>
          <t>2009W</t>
        </is>
      </c>
      <c r="D931" s="59" t="inlineStr">
        <is>
          <t>05211-03-033-000</t>
        </is>
      </c>
      <c r="E931" s="63" t="inlineStr">
        <is>
          <t>Actual</t>
        </is>
      </c>
      <c r="F931" s="59" t="inlineStr">
        <is>
          <t>1178-80 S. Kalamath St.</t>
        </is>
      </c>
      <c r="G931" s="708" t="n">
        <v>44.2</v>
      </c>
      <c r="H931" s="59" t="n">
        <v>9506</v>
      </c>
      <c r="I931" s="63" t="n">
        <v>0</v>
      </c>
      <c r="J931" s="64" t="n">
        <v>8000</v>
      </c>
      <c r="K931" s="722" t="n">
        <v>5</v>
      </c>
      <c r="L931" s="88" t="n">
        <v>0</v>
      </c>
      <c r="M931" s="88" t="n">
        <v>0.04</v>
      </c>
      <c r="N931" s="59" t="n">
        <v>1975</v>
      </c>
      <c r="O931" s="714" t="n">
        <v>1000</v>
      </c>
      <c r="P931" s="714" t="n">
        <v>2000</v>
      </c>
      <c r="Q931" s="59" t="n">
        <v>13</v>
      </c>
      <c r="R931" s="59" t="n">
        <v>1</v>
      </c>
      <c r="S931" s="59" t="n">
        <v>1</v>
      </c>
      <c r="T931" s="63" t="inlineStr">
        <is>
          <t>I2</t>
        </is>
      </c>
      <c r="U931" s="63" t="n">
        <v>398</v>
      </c>
      <c r="V931" s="714" t="n">
        <v>6477</v>
      </c>
      <c r="W931" s="64" t="n">
        <v>6500</v>
      </c>
      <c r="X931" s="67" t="inlineStr">
        <is>
          <t>0.8:1</t>
        </is>
      </c>
      <c r="Y931" s="64" t="n">
        <v>8000</v>
      </c>
      <c r="Z931" s="63" t="inlineStr">
        <is>
          <t>C</t>
        </is>
      </c>
      <c r="AA931" s="59" t="n">
        <v>2</v>
      </c>
      <c r="AB931" s="59" t="n">
        <v>2</v>
      </c>
      <c r="AC931" s="59" t="n">
        <v>22</v>
      </c>
      <c r="AE931" s="701" t="n">
        <v>5</v>
      </c>
      <c r="AF931" s="723" t="n">
        <v>5</v>
      </c>
      <c r="AG931" s="723" t="n">
        <v>4.4</v>
      </c>
      <c r="AH931" s="723" t="n">
        <v>0.21</v>
      </c>
      <c r="AI931" s="723" t="n">
        <v>0.86</v>
      </c>
      <c r="AJ931" s="701" t="inlineStr">
        <is>
          <t>-</t>
        </is>
      </c>
      <c r="AL931">
        <f>IF(AND(ISNUMBER($S931),$S931&gt;0,ISNUMBER($K931),ISNUMBER($J931)),($K931*$J931)/$S931,"")</f>
        <v/>
      </c>
      <c r="AN931" s="716" t="n"/>
      <c r="AO931" s="716" t="n"/>
      <c r="AP931" s="716" t="n"/>
    </row>
    <row r="932">
      <c r="A932" s="62" t="n">
        <v>8</v>
      </c>
      <c r="B932" s="93" t="n">
        <v>924</v>
      </c>
      <c r="C932" s="68" t="inlineStr">
        <is>
          <t>2009Q</t>
        </is>
      </c>
      <c r="D932" s="59" t="inlineStr">
        <is>
          <t xml:space="preserve">05211-12-031-000 </t>
        </is>
      </c>
      <c r="E932" s="72" t="inlineStr">
        <is>
          <t>Actual</t>
        </is>
      </c>
      <c r="F932" s="73" t="inlineStr">
        <is>
          <t>1219 S LIPAN                ST</t>
        </is>
      </c>
      <c r="G932" s="708" t="n">
        <v>44.2</v>
      </c>
      <c r="H932" s="67" t="n">
        <v>9506</v>
      </c>
      <c r="I932" s="69" t="n">
        <v>0</v>
      </c>
      <c r="J932" s="714" t="n">
        <v>7329</v>
      </c>
      <c r="K932" s="715" t="n">
        <v>7.654523127302497</v>
      </c>
      <c r="L932" s="74" t="n">
        <v>0</v>
      </c>
      <c r="M932" s="76" t="n">
        <v>0.1244206773618538</v>
      </c>
      <c r="N932" s="67" t="n">
        <v>1986</v>
      </c>
      <c r="O932" s="64" t="n">
        <v>2167</v>
      </c>
      <c r="Q932" s="59" t="n">
        <v>14</v>
      </c>
      <c r="R932" s="59" t="n">
        <v>3</v>
      </c>
      <c r="S932" s="59" t="n">
        <v>5</v>
      </c>
      <c r="T932" s="63" t="inlineStr">
        <is>
          <t xml:space="preserve">I0   </t>
        </is>
      </c>
      <c r="U932" s="63" t="n">
        <v>398</v>
      </c>
      <c r="V932" s="714" t="n">
        <v>15625</v>
      </c>
      <c r="W932" s="714" t="n">
        <v>16000</v>
      </c>
      <c r="X932" s="83" t="inlineStr">
        <is>
          <t>2.1:1</t>
        </is>
      </c>
      <c r="Y932" s="714">
        <f>ROUND(J932,-3)</f>
        <v/>
      </c>
      <c r="Z932" s="63" t="inlineStr">
        <is>
          <t xml:space="preserve">C </t>
        </is>
      </c>
      <c r="AA932" s="59" t="n">
        <v>3</v>
      </c>
      <c r="AB932" s="59" t="n">
        <v>3</v>
      </c>
      <c r="AC932" s="67" t="inlineStr">
        <is>
          <t>33</t>
        </is>
      </c>
      <c r="AD932" s="61" t="inlineStr">
        <is>
          <t xml:space="preserve">WAREHOUSE           </t>
        </is>
      </c>
      <c r="AE932" s="716" t="n"/>
      <c r="AF932" s="716" t="n"/>
      <c r="AG932" s="716" t="n"/>
      <c r="AH932" s="716" t="n"/>
      <c r="AI932" s="716" t="n"/>
      <c r="AJ932" s="716" t="n"/>
      <c r="AK932" s="716" t="inlineStr">
        <is>
          <t xml:space="preserve">M-T WHSE.; AT LEAST 4 TENANTS; MO-TO-MO LEASES.                   </t>
        </is>
      </c>
      <c r="AL932">
        <f>IF(AND(ISNUMBER($S932),$S932&gt;0,ISNUMBER($K932),ISNUMBER($J932)),($K932*$J932)/$S932,"")</f>
        <v/>
      </c>
    </row>
    <row r="933">
      <c r="A933" s="62" t="n">
        <v>8</v>
      </c>
      <c r="B933" s="93" t="n">
        <v>925</v>
      </c>
      <c r="C933" s="68" t="inlineStr">
        <is>
          <t>2009Q</t>
        </is>
      </c>
      <c r="D933" s="59" t="inlineStr">
        <is>
          <t xml:space="preserve">05211-14-002-000 </t>
        </is>
      </c>
      <c r="E933" s="72" t="inlineStr">
        <is>
          <t>Actual</t>
        </is>
      </c>
      <c r="F933" s="73" t="inlineStr">
        <is>
          <t>1225 S JASON                ST</t>
        </is>
      </c>
      <c r="G933" s="708" t="n">
        <v>44.2</v>
      </c>
      <c r="H933" s="67" t="n">
        <v>9506</v>
      </c>
      <c r="I933" s="69" t="n">
        <v>0</v>
      </c>
      <c r="J933" s="714" t="n">
        <v>1345</v>
      </c>
      <c r="K933" s="715" t="n">
        <v>10.70631970260223</v>
      </c>
      <c r="L933" s="74" t="n">
        <v>0</v>
      </c>
      <c r="M933" s="76" t="n">
        <v>0.1276388888888889</v>
      </c>
      <c r="N933" s="67" t="n">
        <v>1959</v>
      </c>
      <c r="Q933" s="59" t="n">
        <v>14</v>
      </c>
      <c r="R933" s="59" t="n">
        <v>8</v>
      </c>
      <c r="S933" s="59" t="n">
        <v>1</v>
      </c>
      <c r="T933" s="63" t="inlineStr">
        <is>
          <t xml:space="preserve">I0   </t>
        </is>
      </c>
      <c r="U933" s="63" t="n">
        <v>398</v>
      </c>
      <c r="V933" s="714" t="n">
        <v>12700</v>
      </c>
      <c r="W933" s="714" t="n">
        <v>13000</v>
      </c>
      <c r="X933" s="83" t="inlineStr">
        <is>
          <t>9.4:1</t>
        </is>
      </c>
      <c r="Y933" s="714">
        <f>ROUND(J933,-2)</f>
        <v/>
      </c>
      <c r="Z933" s="63" t="inlineStr">
        <is>
          <t xml:space="preserve">C </t>
        </is>
      </c>
      <c r="AA933" s="59" t="n">
        <v>3</v>
      </c>
      <c r="AB933" s="59" t="n">
        <v>3</v>
      </c>
      <c r="AC933" s="67" t="inlineStr">
        <is>
          <t>33</t>
        </is>
      </c>
      <c r="AD933" s="61" t="inlineStr">
        <is>
          <t xml:space="preserve">S-W BOUNDARY FENCE  </t>
        </is>
      </c>
      <c r="AE933" s="716" t="n"/>
      <c r="AF933" s="716" t="n"/>
      <c r="AG933" s="716" t="n"/>
      <c r="AH933" s="716" t="n"/>
      <c r="AI933" s="716" t="n"/>
      <c r="AJ933" s="716" t="n"/>
      <c r="AK933" s="716" t="inlineStr">
        <is>
          <t xml:space="preserve">S-T WHSE; AGE OF LEASE UNKNOWN.                                   </t>
        </is>
      </c>
      <c r="AL933">
        <f>IF(AND(ISNUMBER($S933),$S933&gt;0,ISNUMBER($K933),ISNUMBER($J933)),($K933*$J933)/$S933,"")</f>
        <v/>
      </c>
    </row>
    <row r="934">
      <c r="A934" s="62" t="n">
        <v>8</v>
      </c>
      <c r="B934" s="93" t="n">
        <v>926</v>
      </c>
      <c r="C934" s="68" t="inlineStr">
        <is>
          <t>2009Q</t>
        </is>
      </c>
      <c r="D934" s="59" t="inlineStr">
        <is>
          <t xml:space="preserve">05211-14-018-000 </t>
        </is>
      </c>
      <c r="E934" s="72" t="inlineStr">
        <is>
          <t>Actual</t>
        </is>
      </c>
      <c r="F934" s="73" t="inlineStr">
        <is>
          <t>1201 S JASON                ST</t>
        </is>
      </c>
      <c r="G934" s="708" t="n">
        <v>44.2</v>
      </c>
      <c r="H934" s="67" t="n">
        <v>9506</v>
      </c>
      <c r="I934" s="69" t="n">
        <v>0</v>
      </c>
      <c r="J934" s="714" t="n">
        <v>2404</v>
      </c>
      <c r="K934" s="715" t="n">
        <v>5.990016638935108</v>
      </c>
      <c r="L934" s="74" t="n">
        <v>0</v>
      </c>
      <c r="M934" s="76" t="n">
        <v>0.06506944444444444</v>
      </c>
      <c r="N934" s="67" t="n">
        <v>1942</v>
      </c>
      <c r="O934" s="64" t="n">
        <v>904</v>
      </c>
      <c r="Q934" s="59" t="n">
        <v>8</v>
      </c>
      <c r="R934" s="59" t="n">
        <v>1</v>
      </c>
      <c r="S934" s="59" t="n">
        <v>1</v>
      </c>
      <c r="T934" s="63" t="inlineStr">
        <is>
          <t xml:space="preserve">I0   </t>
        </is>
      </c>
      <c r="U934" s="63" t="n">
        <v>398</v>
      </c>
      <c r="V934" s="714" t="n">
        <v>12700</v>
      </c>
      <c r="W934" s="714" t="n">
        <v>13000</v>
      </c>
      <c r="X934" s="83" t="inlineStr">
        <is>
          <t>5.3:1</t>
        </is>
      </c>
      <c r="Y934" s="714">
        <f>ROUND(J934,-3)</f>
        <v/>
      </c>
      <c r="Z934" s="63" t="inlineStr">
        <is>
          <t xml:space="preserve">C </t>
        </is>
      </c>
      <c r="AA934" s="59" t="n">
        <v>2</v>
      </c>
      <c r="AB934" s="59" t="n">
        <v>3</v>
      </c>
      <c r="AC934" s="67" t="inlineStr">
        <is>
          <t>23</t>
        </is>
      </c>
      <c r="AD934" s="61" t="inlineStr">
        <is>
          <t xml:space="preserve">S-W                 </t>
        </is>
      </c>
      <c r="AE934" s="716" t="n"/>
      <c r="AF934" s="716" t="n"/>
      <c r="AG934" s="716" t="n"/>
      <c r="AH934" s="716" t="n"/>
      <c r="AI934" s="716" t="n"/>
      <c r="AJ934" s="716" t="n"/>
      <c r="AK934" s="716" t="inlineStr">
        <is>
          <t xml:space="preserve">S-T WHSE; AGE OF LEASE UNKNOWN.                                   </t>
        </is>
      </c>
      <c r="AL934">
        <f>IF(AND(ISNUMBER($S934),$S934&gt;0,ISNUMBER($K934),ISNUMBER($J934)),($K934*$J934)/$S934,"")</f>
        <v/>
      </c>
    </row>
    <row r="935">
      <c r="A935" s="62" t="n">
        <v>8</v>
      </c>
      <c r="B935" s="93" t="n">
        <v>927</v>
      </c>
      <c r="C935" s="68" t="inlineStr">
        <is>
          <t>2009Q</t>
        </is>
      </c>
      <c r="D935" s="59" t="inlineStr">
        <is>
          <t xml:space="preserve">05211-14-025-000 </t>
        </is>
      </c>
      <c r="E935" s="72" t="inlineStr">
        <is>
          <t>Actual</t>
        </is>
      </c>
      <c r="F935" s="73" t="inlineStr">
        <is>
          <t>1265 S JASON                ST</t>
        </is>
      </c>
      <c r="G935" s="708" t="n">
        <v>47.2</v>
      </c>
      <c r="H935" s="67" t="n">
        <v>9506</v>
      </c>
      <c r="I935" s="69" t="n">
        <v>0</v>
      </c>
      <c r="J935" s="714" t="n">
        <v>4900</v>
      </c>
      <c r="K935" s="715" t="n">
        <v>7.346938775510204</v>
      </c>
      <c r="L935" s="74" t="n">
        <v>0</v>
      </c>
      <c r="M935" s="76" t="n">
        <v>0.02536111111111111</v>
      </c>
      <c r="N935" s="67" t="n">
        <v>1960</v>
      </c>
      <c r="O935" s="64" t="n">
        <v>850</v>
      </c>
      <c r="Q935" s="59" t="n">
        <v>8</v>
      </c>
      <c r="R935" s="59" t="n">
        <v>1</v>
      </c>
      <c r="S935" s="59" t="n">
        <v>1</v>
      </c>
      <c r="T935" s="63" t="inlineStr">
        <is>
          <t xml:space="preserve">I0   </t>
        </is>
      </c>
      <c r="U935" s="63" t="n">
        <v>401</v>
      </c>
      <c r="V935" s="714" t="n">
        <v>15875</v>
      </c>
      <c r="W935" s="714" t="n">
        <v>16000</v>
      </c>
      <c r="X935" s="83" t="inlineStr">
        <is>
          <t>3.2:1</t>
        </is>
      </c>
      <c r="Y935" s="714">
        <f>ROUND(J935,-3)</f>
        <v/>
      </c>
      <c r="Z935" s="63" t="inlineStr">
        <is>
          <t xml:space="preserve">C </t>
        </is>
      </c>
      <c r="AA935" s="59" t="n">
        <v>2</v>
      </c>
      <c r="AB935" s="59" t="n">
        <v>2</v>
      </c>
      <c r="AC935" s="67" t="inlineStr">
        <is>
          <t>22</t>
        </is>
      </c>
      <c r="AD935" s="61" t="inlineStr">
        <is>
          <t xml:space="preserve">S-F COLO. MARBLE    </t>
        </is>
      </c>
      <c r="AE935" s="716" t="n"/>
      <c r="AF935" s="716" t="n"/>
      <c r="AG935" s="716" t="n"/>
      <c r="AH935" s="716" t="n"/>
      <c r="AI935" s="716" t="n"/>
      <c r="AJ935" s="716" t="n"/>
      <c r="AK935" s="716" t="inlineStr">
        <is>
          <t xml:space="preserve">S-T WHSE.; AGE OF LEASE UNKNOWN.                                  </t>
        </is>
      </c>
      <c r="AL935">
        <f>IF(AND(ISNUMBER($S935),$S935&gt;0,ISNUMBER($K935),ISNUMBER($J935)),($K935*$J935)/$S935,"")</f>
        <v/>
      </c>
    </row>
    <row r="936">
      <c r="A936" s="62" t="n">
        <v>8</v>
      </c>
      <c r="B936" s="93" t="n">
        <v>928</v>
      </c>
      <c r="C936" s="68" t="inlineStr">
        <is>
          <t>2009Q</t>
        </is>
      </c>
      <c r="D936" s="59" t="inlineStr">
        <is>
          <t xml:space="preserve">05211-15-031-000 </t>
        </is>
      </c>
      <c r="E936" s="72" t="inlineStr">
        <is>
          <t>Actual</t>
        </is>
      </c>
      <c r="F936" s="73" t="inlineStr">
        <is>
          <t>1236 S JASON                ST</t>
        </is>
      </c>
      <c r="G936" s="708" t="inlineStr">
        <is>
          <t>44.M</t>
        </is>
      </c>
      <c r="H936" s="67" t="n">
        <v>9506</v>
      </c>
      <c r="I936" s="69" t="n">
        <v>0</v>
      </c>
      <c r="J936" s="714" t="n">
        <v>1426</v>
      </c>
      <c r="K936" s="715" t="n">
        <v>4.628330995792426</v>
      </c>
      <c r="L936" s="74" t="n">
        <v>0</v>
      </c>
      <c r="M936" s="76" t="n">
        <v>0.2424242424242424</v>
      </c>
      <c r="N936" s="67" t="n">
        <v>1963</v>
      </c>
      <c r="Q936" s="59" t="n">
        <v>11</v>
      </c>
      <c r="R936" s="59" t="n">
        <v>1</v>
      </c>
      <c r="S936" s="59" t="n">
        <v>1</v>
      </c>
      <c r="T936" s="63" t="inlineStr">
        <is>
          <t xml:space="preserve">I1   </t>
        </is>
      </c>
      <c r="U936" s="63" t="n">
        <v>398</v>
      </c>
      <c r="V936" s="714" t="n">
        <v>12700</v>
      </c>
      <c r="W936" s="714" t="n">
        <v>13000</v>
      </c>
      <c r="X936" s="83" t="inlineStr">
        <is>
          <t>8.9:1</t>
        </is>
      </c>
      <c r="Y936" s="714">
        <f>ROUND(J936,-2)</f>
        <v/>
      </c>
      <c r="Z936" s="63" t="inlineStr">
        <is>
          <t xml:space="preserve">C </t>
        </is>
      </c>
      <c r="AA936" s="59" t="n">
        <v>3</v>
      </c>
      <c r="AB936" s="59" t="n">
        <v>3</v>
      </c>
      <c r="AC936" s="67" t="inlineStr">
        <is>
          <t>33</t>
        </is>
      </c>
      <c r="AD936" s="61" t="inlineStr">
        <is>
          <t xml:space="preserve">S-W                 </t>
        </is>
      </c>
      <c r="AE936" s="716" t="n"/>
      <c r="AF936" s="716" t="n"/>
      <c r="AG936" s="716" t="n"/>
      <c r="AH936" s="716" t="n"/>
      <c r="AI936" s="716" t="n"/>
      <c r="AJ936" s="716" t="n"/>
      <c r="AK936" s="716" t="inlineStr">
        <is>
          <t xml:space="preserve">S-T WHSE.; AGE OF LEASE UNKNOWN.                                  </t>
        </is>
      </c>
      <c r="AL936">
        <f>IF(AND(ISNUMBER($S936),$S936&gt;0,ISNUMBER($K936),ISNUMBER($J936)),($K936*$J936)/$S936,"")</f>
        <v/>
      </c>
    </row>
    <row r="937">
      <c r="A937" s="62" t="n">
        <v>8</v>
      </c>
      <c r="B937" s="93" t="n">
        <v>929</v>
      </c>
      <c r="C937" s="68" t="inlineStr">
        <is>
          <t>2009Q</t>
        </is>
      </c>
      <c r="D937" s="59" t="inlineStr">
        <is>
          <t xml:space="preserve">05211-16-017-000 </t>
        </is>
      </c>
      <c r="E937" s="72" t="inlineStr">
        <is>
          <t>Actual</t>
        </is>
      </c>
      <c r="F937" s="73" t="inlineStr">
        <is>
          <t>1230 S INCA                 ST</t>
        </is>
      </c>
      <c r="G937" s="708" t="n">
        <v>44.2</v>
      </c>
      <c r="H937" s="67" t="n">
        <v>9506</v>
      </c>
      <c r="I937" s="69" t="n">
        <v>0</v>
      </c>
      <c r="J937" s="714" t="n">
        <v>4350</v>
      </c>
      <c r="K937" s="715" t="n">
        <v>15.19931034482759</v>
      </c>
      <c r="L937" s="74" t="n">
        <v>0</v>
      </c>
      <c r="M937" s="76" t="n">
        <v>0.04324152638504469</v>
      </c>
      <c r="N937" s="67" t="n">
        <v>1968</v>
      </c>
      <c r="O937" s="64" t="n">
        <v>2300</v>
      </c>
      <c r="Q937" s="59" t="n">
        <v>12</v>
      </c>
      <c r="R937" s="59" t="n">
        <v>3</v>
      </c>
      <c r="S937" s="59" t="n">
        <v>1</v>
      </c>
      <c r="T937" s="63" t="inlineStr">
        <is>
          <t xml:space="preserve">I1   </t>
        </is>
      </c>
      <c r="U937" s="63" t="n">
        <v>398</v>
      </c>
      <c r="V937" s="714" t="n">
        <v>9525</v>
      </c>
      <c r="W937" s="714" t="n">
        <v>10000</v>
      </c>
      <c r="X937" s="83" t="inlineStr">
        <is>
          <t>2.2:1</t>
        </is>
      </c>
      <c r="Y937" s="714">
        <f>ROUND(J937,-3)</f>
        <v/>
      </c>
      <c r="Z937" s="63" t="inlineStr">
        <is>
          <t xml:space="preserve">C </t>
        </is>
      </c>
      <c r="AA937" s="59" t="n">
        <v>3</v>
      </c>
      <c r="AB937" s="59" t="n">
        <v>3</v>
      </c>
      <c r="AC937" s="67" t="inlineStr">
        <is>
          <t>33</t>
        </is>
      </c>
      <c r="AD937" s="61" t="inlineStr">
        <is>
          <t xml:space="preserve">S-W HYDRO PHYSICS   </t>
        </is>
      </c>
      <c r="AE937" s="716" t="n"/>
      <c r="AF937" s="716" t="n"/>
      <c r="AG937" s="716" t="n"/>
      <c r="AH937" s="716" t="n"/>
      <c r="AI937" s="716" t="n"/>
      <c r="AJ937" s="716" t="n"/>
      <c r="AK937" s="716" t="inlineStr">
        <is>
          <t xml:space="preserve">S-T WHSE.; 2006 LEASE.                                            </t>
        </is>
      </c>
      <c r="AL937">
        <f>IF(AND(ISNUMBER($S937),$S937&gt;0,ISNUMBER($K937),ISNUMBER($J937)),($K937*$J937)/$S937,"")</f>
        <v/>
      </c>
    </row>
    <row r="938">
      <c r="A938" s="62" t="n">
        <v>8</v>
      </c>
      <c r="B938" s="93" t="n">
        <v>930</v>
      </c>
      <c r="C938" s="68" t="inlineStr">
        <is>
          <t>2009Q</t>
        </is>
      </c>
      <c r="D938" s="59" t="inlineStr">
        <is>
          <t xml:space="preserve">05211-17-021-000 </t>
        </is>
      </c>
      <c r="E938" s="72" t="inlineStr">
        <is>
          <t>Actual</t>
        </is>
      </c>
      <c r="F938" s="73" t="inlineStr">
        <is>
          <t>1300 S INCA                 ST</t>
        </is>
      </c>
      <c r="G938" s="708" t="n">
        <v>44.2</v>
      </c>
      <c r="H938" s="67" t="n">
        <v>9506</v>
      </c>
      <c r="I938" s="69" t="n">
        <v>0</v>
      </c>
      <c r="J938" s="714" t="n">
        <v>4867</v>
      </c>
      <c r="K938" s="715" t="n">
        <v>7.396753647010478</v>
      </c>
      <c r="L938" s="74" t="n">
        <v>1</v>
      </c>
      <c r="M938" s="76" t="n">
        <v>0</v>
      </c>
      <c r="N938" s="67" t="n">
        <v>1977</v>
      </c>
      <c r="O938" s="64" t="n">
        <v>240</v>
      </c>
      <c r="P938" s="64" t="n">
        <v>2400</v>
      </c>
      <c r="Q938" s="59" t="n">
        <v>16</v>
      </c>
      <c r="R938" s="59" t="n">
        <v>8</v>
      </c>
      <c r="S938" s="59" t="n">
        <v>1</v>
      </c>
      <c r="T938" s="63" t="inlineStr">
        <is>
          <t xml:space="preserve">I1   </t>
        </is>
      </c>
      <c r="U938" s="63" t="n">
        <v>398</v>
      </c>
      <c r="V938" s="714" t="n">
        <v>13500</v>
      </c>
      <c r="W938" s="714" t="n">
        <v>14000</v>
      </c>
      <c r="X938" s="83" t="inlineStr">
        <is>
          <t>2.8:1</t>
        </is>
      </c>
      <c r="Y938" s="714">
        <f>ROUND(J938,-3)</f>
        <v/>
      </c>
      <c r="Z938" s="63" t="inlineStr">
        <is>
          <t xml:space="preserve">C </t>
        </is>
      </c>
      <c r="AA938" s="59" t="n">
        <v>3</v>
      </c>
      <c r="AB938" s="59" t="n">
        <v>3</v>
      </c>
      <c r="AC938" s="67" t="inlineStr">
        <is>
          <t>33</t>
        </is>
      </c>
      <c r="AD938" s="61" t="inlineStr">
        <is>
          <t xml:space="preserve">S-W GEI ELECTRIC    </t>
        </is>
      </c>
      <c r="AE938" s="716" t="n"/>
      <c r="AF938" s="716" t="n"/>
      <c r="AG938" s="716" t="n"/>
      <c r="AH938" s="716" t="n"/>
      <c r="AI938" s="716" t="n"/>
      <c r="AJ938" s="716" t="n"/>
      <c r="AK938" s="716" t="inlineStr">
        <is>
          <t xml:space="preserve">S-T WHSE                                                          </t>
        </is>
      </c>
      <c r="AL938">
        <f>IF(AND(ISNUMBER($S938),$S938&gt;0,ISNUMBER($K938),ISNUMBER($J938)),($K938*$J938)/$S938,"")</f>
        <v/>
      </c>
    </row>
    <row r="939">
      <c r="A939" s="62" t="n">
        <v>8</v>
      </c>
      <c r="B939" s="93" t="n">
        <v>931</v>
      </c>
      <c r="C939" s="68" t="inlineStr">
        <is>
          <t>2009Q</t>
        </is>
      </c>
      <c r="D939" s="59" t="inlineStr">
        <is>
          <t xml:space="preserve">05211-17-023-000 </t>
        </is>
      </c>
      <c r="E939" s="72" t="inlineStr">
        <is>
          <t>Actual</t>
        </is>
      </c>
      <c r="F939" s="73" t="inlineStr">
        <is>
          <t>1355 S HURON                ST</t>
        </is>
      </c>
      <c r="G939" s="708" t="n">
        <v>44.2</v>
      </c>
      <c r="H939" s="67" t="n">
        <v>9506</v>
      </c>
      <c r="I939" s="69" t="n">
        <v>0</v>
      </c>
      <c r="J939" s="714" t="n">
        <v>12495</v>
      </c>
      <c r="K939" s="715" t="n">
        <v>4.321728691476591</v>
      </c>
      <c r="L939" s="74" t="n">
        <v>0</v>
      </c>
      <c r="M939" s="76" t="n">
        <v>0.1579074074074074</v>
      </c>
      <c r="N939" s="67" t="n">
        <v>1984</v>
      </c>
      <c r="O939" s="64">
        <f>109+1550</f>
        <v/>
      </c>
      <c r="Q939" s="59" t="n">
        <v>23</v>
      </c>
      <c r="R939" s="59" t="n">
        <v>7</v>
      </c>
      <c r="S939" s="59" t="n">
        <v>1</v>
      </c>
      <c r="T939" s="63" t="inlineStr">
        <is>
          <t xml:space="preserve">I1   </t>
        </is>
      </c>
      <c r="U939" s="63" t="n">
        <v>398</v>
      </c>
      <c r="V939" s="714" t="n">
        <v>20250</v>
      </c>
      <c r="W939" s="714" t="n">
        <v>20000</v>
      </c>
      <c r="X939" s="83" t="inlineStr">
        <is>
          <t>1.6:1</t>
        </is>
      </c>
      <c r="Y939" s="714">
        <f>ROUND(J939,-3)</f>
        <v/>
      </c>
      <c r="Z939" s="63" t="inlineStr">
        <is>
          <t xml:space="preserve">C </t>
        </is>
      </c>
      <c r="AA939" s="59" t="n">
        <v>3</v>
      </c>
      <c r="AB939" s="59" t="n">
        <v>3</v>
      </c>
      <c r="AC939" s="67" t="inlineStr">
        <is>
          <t>33</t>
        </is>
      </c>
      <c r="AD939" s="61" t="inlineStr">
        <is>
          <t xml:space="preserve">WAREHOUSE/OFFICE    </t>
        </is>
      </c>
      <c r="AE939" s="716" t="n"/>
      <c r="AF939" s="716" t="n"/>
      <c r="AG939" s="716" t="n"/>
      <c r="AH939" s="716" t="n"/>
      <c r="AI939" s="716" t="n"/>
      <c r="AJ939" s="716" t="n"/>
      <c r="AK939" s="716" t="inlineStr">
        <is>
          <t xml:space="preserve">S-T WHSE.                                                         </t>
        </is>
      </c>
      <c r="AL939">
        <f>IF(AND(ISNUMBER($S939),$S939&gt;0,ISNUMBER($K939),ISNUMBER($J939)),($K939*$J939)/$S939,"")</f>
        <v/>
      </c>
    </row>
    <row r="940">
      <c r="A940" s="62" t="n">
        <v>8</v>
      </c>
      <c r="B940" s="93" t="n">
        <v>932</v>
      </c>
      <c r="C940" s="68" t="inlineStr">
        <is>
          <t>2009Q</t>
        </is>
      </c>
      <c r="D940" s="59" t="inlineStr">
        <is>
          <t xml:space="preserve">05211-18-003-000 </t>
        </is>
      </c>
      <c r="E940" s="72" t="inlineStr">
        <is>
          <t>Actual</t>
        </is>
      </c>
      <c r="F940" s="73" t="inlineStr">
        <is>
          <t>1351 S INCA                 ST</t>
        </is>
      </c>
      <c r="G940" s="708" t="n">
        <v>44.1</v>
      </c>
      <c r="H940" s="67" t="n">
        <v>9506</v>
      </c>
      <c r="I940" s="69" t="n">
        <v>0</v>
      </c>
      <c r="J940" s="714" t="n">
        <v>4000</v>
      </c>
      <c r="K940" s="715" t="n">
        <v>4.95</v>
      </c>
      <c r="L940" s="74" t="n">
        <v>0</v>
      </c>
      <c r="M940" s="76" t="n">
        <v>0.1166666666666667</v>
      </c>
      <c r="N940" s="67" t="n">
        <v>1965</v>
      </c>
      <c r="O940" s="64" t="n">
        <v>1100</v>
      </c>
      <c r="Q940" s="59" t="n">
        <v>13</v>
      </c>
      <c r="R940" s="59" t="n">
        <v>11</v>
      </c>
      <c r="S940" s="59" t="n">
        <v>1</v>
      </c>
      <c r="T940" s="63" t="inlineStr">
        <is>
          <t xml:space="preserve">I1   </t>
        </is>
      </c>
      <c r="U940" s="63" t="n">
        <v>397</v>
      </c>
      <c r="V940" s="714" t="n">
        <v>12700</v>
      </c>
      <c r="W940" s="714" t="n">
        <v>13000</v>
      </c>
      <c r="X940" s="83" t="inlineStr">
        <is>
          <t>2.0:1</t>
        </is>
      </c>
      <c r="Y940" s="714">
        <f>ROUND(J940,-3)</f>
        <v/>
      </c>
      <c r="Z940" s="63" t="inlineStr">
        <is>
          <t xml:space="preserve">C </t>
        </is>
      </c>
      <c r="AA940" s="59" t="n">
        <v>3</v>
      </c>
      <c r="AB940" s="59" t="n">
        <v>3</v>
      </c>
      <c r="AC940" s="67" t="inlineStr">
        <is>
          <t>33</t>
        </is>
      </c>
      <c r="AD940" s="61" t="inlineStr">
        <is>
          <t xml:space="preserve">M-W SEAT CO         </t>
        </is>
      </c>
      <c r="AE940" s="716" t="n"/>
      <c r="AF940" s="716" t="n"/>
      <c r="AG940" s="716" t="n"/>
      <c r="AH940" s="716" t="n"/>
      <c r="AI940" s="716" t="n"/>
      <c r="AJ940" s="716" t="n"/>
      <c r="AK940" s="716" t="inlineStr">
        <is>
          <t xml:space="preserve">M-T WHSE; AT LEAST 2 UNITS; DATE OF LEASE UNKNOWN.                </t>
        </is>
      </c>
      <c r="AL940">
        <f>IF(AND(ISNUMBER($S940),$S940&gt;0,ISNUMBER($K940),ISNUMBER($J940)),($K940*$J940)/$S940,"")</f>
        <v/>
      </c>
    </row>
    <row r="941">
      <c r="A941" s="62" t="n">
        <v>8</v>
      </c>
      <c r="B941" s="93" t="n">
        <v>933</v>
      </c>
      <c r="C941" s="68" t="inlineStr">
        <is>
          <t>2009Q</t>
        </is>
      </c>
      <c r="D941" s="59" t="inlineStr">
        <is>
          <t xml:space="preserve">05211-18-020-000 </t>
        </is>
      </c>
      <c r="E941" s="72" t="inlineStr">
        <is>
          <t>Actual</t>
        </is>
      </c>
      <c r="F941" s="73" t="inlineStr">
        <is>
          <t>1346 S JASON                ST</t>
        </is>
      </c>
      <c r="G941" s="708" t="n">
        <v>44.2</v>
      </c>
      <c r="H941" s="67" t="n">
        <v>9506</v>
      </c>
      <c r="I941" s="69" t="n">
        <v>0</v>
      </c>
      <c r="J941" s="714" t="n">
        <v>6000</v>
      </c>
      <c r="K941" s="715" t="n">
        <v>3.01</v>
      </c>
      <c r="L941" s="74" t="n">
        <v>0</v>
      </c>
      <c r="M941" s="76" t="n">
        <v>0.08095238095238096</v>
      </c>
      <c r="N941" s="67" t="n">
        <v>1968</v>
      </c>
      <c r="O941" s="64" t="n">
        <v>375</v>
      </c>
      <c r="Q941" s="59" t="n">
        <v>12</v>
      </c>
      <c r="R941" s="59" t="n">
        <v>3</v>
      </c>
      <c r="S941" s="59" t="n">
        <v>1</v>
      </c>
      <c r="T941" s="63" t="inlineStr">
        <is>
          <t xml:space="preserve">I1   </t>
        </is>
      </c>
      <c r="U941" s="63" t="n">
        <v>397</v>
      </c>
      <c r="V941" s="714" t="n">
        <v>9525</v>
      </c>
      <c r="W941" s="714" t="n">
        <v>10000</v>
      </c>
      <c r="X941" s="83" t="inlineStr">
        <is>
          <t>1.2:1</t>
        </is>
      </c>
      <c r="Y941" s="714">
        <f>ROUND(J941,-3)</f>
        <v/>
      </c>
      <c r="Z941" s="63" t="inlineStr">
        <is>
          <t xml:space="preserve">C </t>
        </is>
      </c>
      <c r="AA941" s="59" t="n">
        <v>3</v>
      </c>
      <c r="AB941" s="59" t="n">
        <v>3</v>
      </c>
      <c r="AC941" s="67" t="inlineStr">
        <is>
          <t>33</t>
        </is>
      </c>
      <c r="AD941" s="61" t="inlineStr"/>
      <c r="AE941" s="716" t="n"/>
      <c r="AF941" s="716" t="n"/>
      <c r="AG941" s="716" t="n"/>
      <c r="AH941" s="716" t="n"/>
      <c r="AI941" s="716" t="n"/>
      <c r="AJ941" s="716" t="n"/>
      <c r="AK941" s="716" t="inlineStr">
        <is>
          <t xml:space="preserve">M-T WHSE.; 2 TENANTS                                              </t>
        </is>
      </c>
      <c r="AL941">
        <f>IF(AND(ISNUMBER($S941),$S941&gt;0,ISNUMBER($K941),ISNUMBER($J941)),($K941*$J941)/$S941,"")</f>
        <v/>
      </c>
    </row>
    <row r="942">
      <c r="A942" s="62" t="n">
        <v>8</v>
      </c>
      <c r="B942" s="93" t="n">
        <v>934</v>
      </c>
      <c r="C942" s="68" t="inlineStr">
        <is>
          <t>2009Q</t>
        </is>
      </c>
      <c r="D942" s="59" t="inlineStr">
        <is>
          <t xml:space="preserve">05211-18-029-000 </t>
        </is>
      </c>
      <c r="E942" s="72" t="inlineStr">
        <is>
          <t>Actual</t>
        </is>
      </c>
      <c r="F942" s="73" t="inlineStr">
        <is>
          <t>1328 S JASON                ST</t>
        </is>
      </c>
      <c r="G942" s="708" t="n">
        <v>44.2</v>
      </c>
      <c r="H942" s="67" t="n">
        <v>9506</v>
      </c>
      <c r="I942" s="69" t="n">
        <v>0</v>
      </c>
      <c r="J942" s="714" t="n">
        <v>10500</v>
      </c>
      <c r="K942" s="715" t="n">
        <v>5.714285714285714</v>
      </c>
      <c r="L942" s="74" t="n">
        <v>0</v>
      </c>
      <c r="M942" s="76" t="n">
        <v>0.01175</v>
      </c>
      <c r="N942" s="67" t="n">
        <v>1983</v>
      </c>
      <c r="O942" s="64" t="n">
        <v>2300</v>
      </c>
      <c r="Q942" s="59" t="n">
        <v>14</v>
      </c>
      <c r="R942" s="59" t="n">
        <v>3</v>
      </c>
      <c r="S942" s="59" t="n">
        <v>1</v>
      </c>
      <c r="T942" s="63" t="inlineStr">
        <is>
          <t xml:space="preserve">I1   </t>
        </is>
      </c>
      <c r="U942" s="63" t="n">
        <v>398</v>
      </c>
      <c r="V942" s="714" t="n">
        <v>14224</v>
      </c>
      <c r="W942" s="714" t="n">
        <v>14000</v>
      </c>
      <c r="X942" s="83" t="inlineStr">
        <is>
          <t>1.4:1</t>
        </is>
      </c>
      <c r="Y942" s="714">
        <f>ROUND(J942,-3)</f>
        <v/>
      </c>
      <c r="Z942" s="63" t="inlineStr">
        <is>
          <t xml:space="preserve">C </t>
        </is>
      </c>
      <c r="AA942" s="59" t="n">
        <v>3</v>
      </c>
      <c r="AB942" s="59" t="n">
        <v>3</v>
      </c>
      <c r="AC942" s="67" t="inlineStr">
        <is>
          <t>33</t>
        </is>
      </c>
      <c r="AD942" s="61" t="inlineStr">
        <is>
          <t xml:space="preserve">AMERICAN TARGET     </t>
        </is>
      </c>
      <c r="AE942" s="716" t="n"/>
      <c r="AF942" s="716" t="n"/>
      <c r="AG942" s="716" t="n"/>
      <c r="AH942" s="716" t="n"/>
      <c r="AI942" s="716" t="n"/>
      <c r="AJ942" s="716" t="n"/>
      <c r="AK942" s="716" t="inlineStr">
        <is>
          <t xml:space="preserve">S-T WHSE; DATE OF LEASE COMMENCEMENT UNKNOWN.                     </t>
        </is>
      </c>
      <c r="AL942">
        <f>IF(AND(ISNUMBER($S942),$S942&gt;0,ISNUMBER($K942),ISNUMBER($J942)),($K942*$J942)/$S942,"")</f>
        <v/>
      </c>
    </row>
    <row r="943">
      <c r="A943" s="62" t="n">
        <v>8</v>
      </c>
      <c r="B943" s="93" t="n">
        <v>935</v>
      </c>
      <c r="C943" s="68" t="inlineStr">
        <is>
          <t>2009Q</t>
        </is>
      </c>
      <c r="D943" s="59" t="inlineStr">
        <is>
          <t xml:space="preserve">05211-18-030-000 </t>
        </is>
      </c>
      <c r="E943" s="72" t="inlineStr">
        <is>
          <t>Actual</t>
        </is>
      </c>
      <c r="F943" s="73" t="inlineStr">
        <is>
          <t>1308 S JASON                ST</t>
        </is>
      </c>
      <c r="G943" s="708" t="n">
        <v>44.2</v>
      </c>
      <c r="H943" s="67" t="n">
        <v>9506</v>
      </c>
      <c r="I943" s="69" t="n">
        <v>0</v>
      </c>
      <c r="J943" s="714" t="n">
        <v>6801</v>
      </c>
      <c r="K943" s="715" t="n">
        <v>7.003970004411116</v>
      </c>
      <c r="L943" s="74" t="n">
        <v>0</v>
      </c>
      <c r="M943" s="76" t="n">
        <v>0.02004870470672209</v>
      </c>
      <c r="N943" s="67" t="n">
        <v>1997</v>
      </c>
      <c r="O943" s="64" t="n">
        <v>2664</v>
      </c>
      <c r="Q943" s="59" t="n">
        <v>16</v>
      </c>
      <c r="R943" s="59" t="n">
        <v>3</v>
      </c>
      <c r="S943" s="59" t="n">
        <v>1</v>
      </c>
      <c r="T943" s="63" t="inlineStr">
        <is>
          <t xml:space="preserve">I1   </t>
        </is>
      </c>
      <c r="U943" s="63" t="n">
        <v>398</v>
      </c>
      <c r="V943" s="714" t="n">
        <v>11176</v>
      </c>
      <c r="W943" s="714" t="n">
        <v>11000</v>
      </c>
      <c r="X943" s="83" t="inlineStr">
        <is>
          <t>1.6:1</t>
        </is>
      </c>
      <c r="Y943" s="714">
        <f>ROUND(J943,-3)</f>
        <v/>
      </c>
      <c r="Z943" s="63" t="inlineStr">
        <is>
          <t xml:space="preserve">C </t>
        </is>
      </c>
      <c r="AA943" s="59" t="n">
        <v>3</v>
      </c>
      <c r="AB943" s="59" t="n">
        <v>3</v>
      </c>
      <c r="AC943" s="67" t="inlineStr">
        <is>
          <t>33</t>
        </is>
      </c>
      <c r="AD943" s="61" t="inlineStr">
        <is>
          <t xml:space="preserve">DIST WHSE           </t>
        </is>
      </c>
      <c r="AE943" s="716" t="n"/>
      <c r="AF943" s="716" t="n"/>
      <c r="AG943" s="716" t="n"/>
      <c r="AH943" s="716" t="n"/>
      <c r="AI943" s="716" t="n"/>
      <c r="AJ943" s="716" t="n"/>
      <c r="AK943" s="716" t="inlineStr">
        <is>
          <t xml:space="preserve">S-T WHSE.                                                         </t>
        </is>
      </c>
      <c r="AL943">
        <f>IF(AND(ISNUMBER($S943),$S943&gt;0,ISNUMBER($K943),ISNUMBER($J943)),($K943*$J943)/$S943,"")</f>
        <v/>
      </c>
    </row>
    <row r="944">
      <c r="A944" s="62" t="n">
        <v>8</v>
      </c>
      <c r="B944" s="93" t="n">
        <v>936</v>
      </c>
      <c r="C944" s="68" t="inlineStr">
        <is>
          <t>2009Q</t>
        </is>
      </c>
      <c r="D944" s="59" t="inlineStr">
        <is>
          <t xml:space="preserve">05211-19-011-000 </t>
        </is>
      </c>
      <c r="E944" s="72" t="inlineStr">
        <is>
          <t>Actual</t>
        </is>
      </c>
      <c r="F944" s="73" t="inlineStr">
        <is>
          <t>1301 S JASON                ST</t>
        </is>
      </c>
      <c r="G944" s="708" t="n">
        <v>44.2</v>
      </c>
      <c r="H944" s="67" t="n">
        <v>9506</v>
      </c>
      <c r="I944" s="69" t="n">
        <v>0</v>
      </c>
      <c r="J944" s="714" t="n">
        <v>9464</v>
      </c>
      <c r="K944" s="715" t="n">
        <v>5.806635672020287</v>
      </c>
      <c r="L944" s="74" t="n">
        <v>0</v>
      </c>
      <c r="M944" s="76" t="n">
        <v>0.236761655202533</v>
      </c>
      <c r="N944" s="67" t="n">
        <v>1997</v>
      </c>
      <c r="O944" s="64" t="n">
        <v>8666</v>
      </c>
      <c r="Q944" s="59" t="n">
        <v>26</v>
      </c>
      <c r="R944" s="59" t="n">
        <v>14</v>
      </c>
      <c r="S944" s="59" t="n">
        <v>4</v>
      </c>
      <c r="T944" s="63" t="inlineStr">
        <is>
          <t xml:space="preserve">I0   </t>
        </is>
      </c>
      <c r="U944" s="63" t="n">
        <v>398</v>
      </c>
      <c r="V944" s="714" t="n">
        <v>99255</v>
      </c>
      <c r="W944" s="714" t="n">
        <v>100000</v>
      </c>
      <c r="X944" s="83" t="inlineStr">
        <is>
          <t>2.0:1</t>
        </is>
      </c>
      <c r="Y944" s="714">
        <f>ROUND(J944,-3)</f>
        <v/>
      </c>
      <c r="Z944" s="63" t="inlineStr">
        <is>
          <t xml:space="preserve">C </t>
        </is>
      </c>
      <c r="AA944" s="59" t="n">
        <v>3</v>
      </c>
      <c r="AB944" s="59" t="n">
        <v>3</v>
      </c>
      <c r="AC944" s="67" t="inlineStr">
        <is>
          <t>33</t>
        </is>
      </c>
      <c r="AD944" s="61" t="inlineStr">
        <is>
          <t xml:space="preserve">M-W DISTRIBUTION    </t>
        </is>
      </c>
      <c r="AE944" s="716" t="n"/>
      <c r="AF944" s="716" t="n"/>
      <c r="AG944" s="716" t="n"/>
      <c r="AH944" s="716" t="n"/>
      <c r="AI944" s="716" t="n"/>
      <c r="AJ944" s="716" t="n"/>
      <c r="AK944" s="716" t="inlineStr">
        <is>
          <t xml:space="preserve">M-T WHSE; 5 TENANTS; ONLY 2007 LEASE INFO. ENCODED.               </t>
        </is>
      </c>
      <c r="AL944">
        <f>IF(AND(ISNUMBER($S944),$S944&gt;0,ISNUMBER($K944),ISNUMBER($J944)),($K944*$J944)/$S944,"")</f>
        <v/>
      </c>
    </row>
    <row r="945">
      <c r="A945" s="62" t="n">
        <v>8</v>
      </c>
      <c r="B945" s="93" t="n">
        <v>937</v>
      </c>
      <c r="C945" s="68" t="inlineStr">
        <is>
          <t>2009Q</t>
        </is>
      </c>
      <c r="D945" s="59" t="inlineStr">
        <is>
          <t xml:space="preserve">05211-30-013-000 </t>
        </is>
      </c>
      <c r="E945" s="72" t="inlineStr">
        <is>
          <t>Actual</t>
        </is>
      </c>
      <c r="F945" s="73" t="inlineStr">
        <is>
          <t>1455 S PLATTE RIVER         DR</t>
        </is>
      </c>
      <c r="G945" s="708" t="n">
        <v>44.2</v>
      </c>
      <c r="H945" s="67" t="n">
        <v>9506</v>
      </c>
      <c r="I945" s="69" t="n">
        <v>0</v>
      </c>
      <c r="J945" s="714" t="n">
        <v>25780</v>
      </c>
      <c r="K945" s="715" t="n">
        <v>7.951900698215671</v>
      </c>
      <c r="L945" s="74" t="n">
        <v>0</v>
      </c>
      <c r="M945" s="76" t="n">
        <v>0</v>
      </c>
      <c r="N945" s="67" t="n">
        <v>1973</v>
      </c>
      <c r="O945" s="64">
        <f>4991*2</f>
        <v/>
      </c>
      <c r="Q945" s="59" t="n">
        <v>27</v>
      </c>
      <c r="R945" s="59" t="n">
        <v>3</v>
      </c>
      <c r="S945" s="59" t="n">
        <v>1</v>
      </c>
      <c r="T945" s="63" t="inlineStr">
        <is>
          <t xml:space="preserve">I0   </t>
        </is>
      </c>
      <c r="U945" s="63" t="n">
        <v>397</v>
      </c>
      <c r="V945" s="714" t="n">
        <v>66660</v>
      </c>
      <c r="W945" s="714" t="n">
        <v>70000</v>
      </c>
      <c r="X945" s="83" t="inlineStr">
        <is>
          <t>2.6:1</t>
        </is>
      </c>
      <c r="Y945" s="714">
        <f>ROUND(J945,-3)</f>
        <v/>
      </c>
      <c r="Z945" s="63" t="inlineStr">
        <is>
          <t xml:space="preserve">C </t>
        </is>
      </c>
      <c r="AA945" s="59" t="n">
        <v>3</v>
      </c>
      <c r="AB945" s="59" t="n">
        <v>3</v>
      </c>
      <c r="AC945" s="67" t="inlineStr">
        <is>
          <t>33</t>
        </is>
      </c>
      <c r="AD945" s="61" t="inlineStr">
        <is>
          <t xml:space="preserve">POWERS BLG SOLUT'NS </t>
        </is>
      </c>
      <c r="AE945" s="716" t="n"/>
      <c r="AF945" s="716" t="n"/>
      <c r="AG945" s="716" t="n"/>
      <c r="AH945" s="716" t="n"/>
      <c r="AI945" s="716" t="n"/>
      <c r="AJ945" s="716" t="n"/>
      <c r="AK945" s="716" t="inlineStr">
        <is>
          <t xml:space="preserve">S-T WHSE.; 2006 LEASE.                                            </t>
        </is>
      </c>
      <c r="AL945">
        <f>IF(AND(ISNUMBER($S945),$S945&gt;0,ISNUMBER($K945),ISNUMBER($J945)),($K945*$J945)/$S945,"")</f>
        <v/>
      </c>
    </row>
    <row r="946">
      <c r="A946" s="62" t="n">
        <v>8</v>
      </c>
      <c r="B946" s="93" t="n">
        <v>938</v>
      </c>
      <c r="C946" s="68" t="inlineStr">
        <is>
          <t>2009Q</t>
        </is>
      </c>
      <c r="D946" s="59" t="inlineStr">
        <is>
          <t xml:space="preserve">05211-30-014-000 </t>
        </is>
      </c>
      <c r="E946" s="72" t="inlineStr">
        <is>
          <t>Actual</t>
        </is>
      </c>
      <c r="F946" s="73" t="inlineStr">
        <is>
          <t>1495 S PLATTE RIVER         DR</t>
        </is>
      </c>
      <c r="G946" s="708" t="n">
        <v>44.1</v>
      </c>
      <c r="H946" s="67" t="n">
        <v>9506</v>
      </c>
      <c r="I946" s="69" t="n">
        <v>0</v>
      </c>
      <c r="J946" s="714" t="n">
        <v>10120</v>
      </c>
      <c r="K946" s="715" t="n">
        <v>12.27164031620553</v>
      </c>
      <c r="L946" s="74" t="n">
        <v>0</v>
      </c>
      <c r="M946" s="76" t="n">
        <v>0.02926185088856501</v>
      </c>
      <c r="N946" s="67" t="n">
        <v>1985</v>
      </c>
      <c r="O946" s="64" t="n">
        <v>2300</v>
      </c>
      <c r="Q946" s="59" t="n">
        <v>16</v>
      </c>
      <c r="R946" s="59" t="n">
        <v>3</v>
      </c>
      <c r="S946" s="59" t="n">
        <v>1</v>
      </c>
      <c r="T946" s="63" t="inlineStr">
        <is>
          <t xml:space="preserve">I0   </t>
        </is>
      </c>
      <c r="U946" s="63" t="n">
        <v>397</v>
      </c>
      <c r="V946" s="714" t="n">
        <v>22600</v>
      </c>
      <c r="W946" s="714" t="n">
        <v>23000</v>
      </c>
      <c r="X946" s="83" t="inlineStr">
        <is>
          <t>2.2:1</t>
        </is>
      </c>
      <c r="Y946" s="714">
        <f>ROUND(J946,-3)</f>
        <v/>
      </c>
      <c r="Z946" s="63" t="inlineStr">
        <is>
          <t xml:space="preserve">C </t>
        </is>
      </c>
      <c r="AA946" s="59" t="n">
        <v>3</v>
      </c>
      <c r="AB946" s="59" t="n">
        <v>3</v>
      </c>
      <c r="AC946" s="67" t="inlineStr">
        <is>
          <t>33</t>
        </is>
      </c>
      <c r="AD946" s="61" t="inlineStr"/>
      <c r="AE946" s="716" t="n"/>
      <c r="AF946" s="716" t="n"/>
      <c r="AG946" s="716" t="n"/>
      <c r="AH946" s="716" t="n"/>
      <c r="AI946" s="716" t="n"/>
      <c r="AJ946" s="716" t="n"/>
      <c r="AK946" s="716" t="inlineStr">
        <is>
          <t xml:space="preserve">S-T WHSE.; AGE OF LEASE UNKNOWN.                                  </t>
        </is>
      </c>
      <c r="AL946">
        <f>IF(AND(ISNUMBER($S946),$S946&gt;0,ISNUMBER($K946),ISNUMBER($J946)),($K946*$J946)/$S946,"")</f>
        <v/>
      </c>
    </row>
    <row r="947">
      <c r="A947" s="62" t="n">
        <v>8</v>
      </c>
      <c r="B947" s="93" t="n">
        <v>939</v>
      </c>
      <c r="C947" s="68" t="inlineStr">
        <is>
          <t>2009Q</t>
        </is>
      </c>
      <c r="D947" s="59" t="inlineStr">
        <is>
          <t xml:space="preserve">05221-14-033-000 </t>
        </is>
      </c>
      <c r="E947" s="72" t="inlineStr">
        <is>
          <t>Actual</t>
        </is>
      </c>
      <c r="F947" s="73" t="inlineStr">
        <is>
          <t>1215 S PEARL                ST</t>
        </is>
      </c>
      <c r="G947" s="708" t="n">
        <v>44.1</v>
      </c>
      <c r="H947" s="67" t="n">
        <v>9509</v>
      </c>
      <c r="I947" s="69" t="n">
        <v>0</v>
      </c>
      <c r="J947" s="714" t="n">
        <v>5974</v>
      </c>
      <c r="K947" s="715" t="n">
        <v>5.155674589889522</v>
      </c>
      <c r="L947" s="74" t="n">
        <v>0</v>
      </c>
      <c r="M947" s="76" t="n">
        <v>0.1867857142857143</v>
      </c>
      <c r="N947" s="67" t="n">
        <v>1919</v>
      </c>
      <c r="O947" s="64" t="n">
        <v>1720</v>
      </c>
      <c r="Q947" s="59" t="n">
        <v>13</v>
      </c>
      <c r="R947" s="59" t="n">
        <v>1</v>
      </c>
      <c r="S947" s="59" t="n">
        <v>1</v>
      </c>
      <c r="T947" s="63" t="inlineStr">
        <is>
          <t xml:space="preserve">B4   </t>
        </is>
      </c>
      <c r="U947" s="63" t="n">
        <v>398</v>
      </c>
      <c r="V947" s="714" t="n">
        <v>10300</v>
      </c>
      <c r="W947" s="714" t="n">
        <v>10000</v>
      </c>
      <c r="X947" s="83" t="inlineStr">
        <is>
          <t>1.7:1</t>
        </is>
      </c>
      <c r="Y947" s="714">
        <f>ROUND(J947,-3)</f>
        <v/>
      </c>
      <c r="Z947" s="63" t="inlineStr">
        <is>
          <t xml:space="preserve">C </t>
        </is>
      </c>
      <c r="AA947" s="59" t="n">
        <v>3</v>
      </c>
      <c r="AB947" s="59" t="n">
        <v>3</v>
      </c>
      <c r="AC947" s="67" t="inlineStr">
        <is>
          <t>33</t>
        </is>
      </c>
      <c r="AD947" s="61" t="inlineStr">
        <is>
          <t>SYNERGY COMMUNICATIN</t>
        </is>
      </c>
      <c r="AE947" s="716" t="n"/>
      <c r="AF947" s="716" t="n"/>
      <c r="AG947" s="716" t="n"/>
      <c r="AH947" s="716" t="n"/>
      <c r="AI947" s="716" t="n"/>
      <c r="AJ947" s="716" t="n"/>
      <c r="AK947" s="716" t="inlineStr">
        <is>
          <t xml:space="preserve">M-T WHSE; 4 TENANTS; LEASES 2005 &amp; 2006.                          </t>
        </is>
      </c>
      <c r="AL947">
        <f>IF(AND(ISNUMBER($S947),$S947&gt;0,ISNUMBER($K947),ISNUMBER($J947)),($K947*$J947)/$S947,"")</f>
        <v/>
      </c>
    </row>
    <row r="948">
      <c r="A948" s="62" t="n">
        <v>8</v>
      </c>
      <c r="B948" s="93" t="n">
        <v>940</v>
      </c>
      <c r="C948" s="68" t="inlineStr">
        <is>
          <t>2009Q</t>
        </is>
      </c>
      <c r="D948" s="59" t="inlineStr">
        <is>
          <t xml:space="preserve">05221-15-013-000 </t>
        </is>
      </c>
      <c r="E948" s="72" t="inlineStr">
        <is>
          <t>Actual</t>
        </is>
      </c>
      <c r="F948" s="73" t="inlineStr">
        <is>
          <t>666   BUCHTEL              BV</t>
        </is>
      </c>
      <c r="G948" s="708" t="n">
        <v>44.2</v>
      </c>
      <c r="H948" s="67" t="n">
        <v>9509</v>
      </c>
      <c r="I948" s="69" t="n">
        <v>0</v>
      </c>
      <c r="J948" s="714" t="n">
        <v>8845</v>
      </c>
      <c r="K948" s="715" t="n">
        <v>6.783493499152064</v>
      </c>
      <c r="L948" s="74" t="n">
        <v>0</v>
      </c>
      <c r="M948" s="76" t="n">
        <v>0.06953333333333334</v>
      </c>
      <c r="N948" s="67" t="n">
        <v>1957</v>
      </c>
      <c r="O948" s="64" t="n">
        <v>576</v>
      </c>
      <c r="Q948" s="59" t="n">
        <v>20</v>
      </c>
      <c r="R948" s="59" t="n">
        <v>3</v>
      </c>
      <c r="S948" s="59" t="n">
        <v>1</v>
      </c>
      <c r="T948" s="63" t="inlineStr">
        <is>
          <t xml:space="preserve">B4   </t>
        </is>
      </c>
      <c r="U948" s="63" t="n">
        <v>398</v>
      </c>
      <c r="V948" s="714" t="n">
        <v>14300</v>
      </c>
      <c r="W948" s="714" t="n">
        <v>14000</v>
      </c>
      <c r="X948" s="83" t="inlineStr">
        <is>
          <t>1.6:1</t>
        </is>
      </c>
      <c r="Y948" s="714">
        <f>ROUND(J948,-3)</f>
        <v/>
      </c>
      <c r="Z948" s="63" t="inlineStr">
        <is>
          <t xml:space="preserve">C </t>
        </is>
      </c>
      <c r="AA948" s="59" t="n">
        <v>3</v>
      </c>
      <c r="AB948" s="59" t="n">
        <v>3</v>
      </c>
      <c r="AC948" s="67" t="inlineStr">
        <is>
          <t>33</t>
        </is>
      </c>
      <c r="AD948" s="61" t="inlineStr">
        <is>
          <t>ARTISANS STAIN GLASS</t>
        </is>
      </c>
      <c r="AE948" s="716" t="n"/>
      <c r="AF948" s="716" t="n"/>
      <c r="AG948" s="716" t="n"/>
      <c r="AH948" s="716" t="n"/>
      <c r="AI948" s="716" t="n"/>
      <c r="AJ948" s="716" t="n"/>
      <c r="AK948" s="716" t="inlineStr">
        <is>
          <t xml:space="preserve">S-T WHSE.                                                         </t>
        </is>
      </c>
      <c r="AL948">
        <f>IF(AND(ISNUMBER($S948),$S948&gt;0,ISNUMBER($K948),ISNUMBER($J948)),($K948*$J948)/$S948,"")</f>
        <v/>
      </c>
    </row>
    <row r="949">
      <c r="A949" s="62" t="n">
        <v>8</v>
      </c>
      <c r="B949" s="93" t="n">
        <v>941</v>
      </c>
      <c r="C949" s="68" t="inlineStr">
        <is>
          <t>2009Q</t>
        </is>
      </c>
      <c r="D949" s="59" t="inlineStr">
        <is>
          <t xml:space="preserve">05222-03-006-000 </t>
        </is>
      </c>
      <c r="E949" s="72" t="inlineStr">
        <is>
          <t>Actual</t>
        </is>
      </c>
      <c r="F949" s="73" t="inlineStr">
        <is>
          <t>1265 S BROADWAY             ST</t>
        </is>
      </c>
      <c r="G949" s="708" t="n">
        <v>47.1</v>
      </c>
      <c r="H949" s="67" t="n">
        <v>9506</v>
      </c>
      <c r="I949" s="69" t="n">
        <v>2</v>
      </c>
      <c r="J949" s="714" t="n">
        <v>43525</v>
      </c>
      <c r="K949" s="715" t="n">
        <v>3.914072372199885</v>
      </c>
      <c r="L949" s="74" t="n">
        <v>0</v>
      </c>
      <c r="M949" s="76" t="n">
        <v>0</v>
      </c>
      <c r="N949" s="67" t="n">
        <v>1975</v>
      </c>
      <c r="O949" s="64" t="inlineStr"/>
      <c r="P949" s="64" t="n">
        <v>8745</v>
      </c>
      <c r="Q949" s="59" t="n">
        <v>20</v>
      </c>
      <c r="R949" s="59" t="n">
        <v>10</v>
      </c>
      <c r="S949" s="59" t="n">
        <v>1</v>
      </c>
      <c r="T949" s="63" t="inlineStr">
        <is>
          <t xml:space="preserve">I1   </t>
        </is>
      </c>
      <c r="U949" s="63" t="n">
        <v>401</v>
      </c>
      <c r="V949" s="714" t="n">
        <v>90659</v>
      </c>
      <c r="W949" s="714" t="n">
        <v>90000</v>
      </c>
      <c r="X949" s="83" t="inlineStr">
        <is>
          <t>2.1:1</t>
        </is>
      </c>
      <c r="Y949" s="714">
        <f>ROUND(J949,-3)</f>
        <v/>
      </c>
      <c r="Z949" s="63" t="inlineStr">
        <is>
          <t xml:space="preserve">C </t>
        </is>
      </c>
      <c r="AA949" s="59" t="n">
        <v>3</v>
      </c>
      <c r="AB949" s="59" t="n">
        <v>3</v>
      </c>
      <c r="AC949" s="67" t="inlineStr">
        <is>
          <t>33</t>
        </is>
      </c>
      <c r="AD949" s="61" t="inlineStr"/>
      <c r="AE949" s="716" t="n"/>
      <c r="AF949" s="716" t="n"/>
      <c r="AG949" s="716" t="n"/>
      <c r="AH949" s="716" t="n"/>
      <c r="AI949" s="716" t="n"/>
      <c r="AJ949" s="716" t="n"/>
      <c r="AK949" s="716" t="inlineStr">
        <is>
          <t xml:space="preserve">S-T WHSE.                                                         </t>
        </is>
      </c>
      <c r="AL949">
        <f>IF(AND(ISNUMBER($S949),$S949&gt;0,ISNUMBER($K949),ISNUMBER($J949)),($K949*$J949)/$S949,"")</f>
        <v/>
      </c>
    </row>
    <row r="950">
      <c r="A950" s="62" t="n">
        <v>8</v>
      </c>
      <c r="B950" s="93" t="n">
        <v>942</v>
      </c>
      <c r="C950" s="68" t="inlineStr">
        <is>
          <t>2009W</t>
        </is>
      </c>
      <c r="D950" s="59" t="inlineStr">
        <is>
          <t>05223-02-039-000</t>
        </is>
      </c>
      <c r="E950" s="63" t="inlineStr">
        <is>
          <t>Actual</t>
        </is>
      </c>
      <c r="F950" s="59" t="inlineStr">
        <is>
          <t>1191-97 S. Bannock St.</t>
        </is>
      </c>
      <c r="G950" s="708" t="n">
        <v>44.2</v>
      </c>
      <c r="H950" s="59" t="n">
        <v>9506</v>
      </c>
      <c r="I950" s="63" t="n">
        <v>0</v>
      </c>
      <c r="J950" s="714" t="n">
        <v>7826</v>
      </c>
      <c r="K950" s="715" t="n">
        <v>6.51</v>
      </c>
      <c r="L950" s="88" t="n">
        <v>0</v>
      </c>
      <c r="M950" s="88" t="n">
        <v>0.06</v>
      </c>
      <c r="N950" s="59" t="n">
        <v>1979</v>
      </c>
      <c r="O950" s="714" t="n">
        <v>812</v>
      </c>
      <c r="P950" s="714" t="n">
        <v>0</v>
      </c>
      <c r="Q950" s="59" t="n">
        <v>15</v>
      </c>
      <c r="R950" s="59" t="n">
        <v>3</v>
      </c>
      <c r="S950" s="59" t="n">
        <v>4</v>
      </c>
      <c r="T950" s="63" t="inlineStr">
        <is>
          <t>I1</t>
        </is>
      </c>
      <c r="U950" s="63" t="n">
        <v>398</v>
      </c>
      <c r="V950" s="714" t="n">
        <v>12500</v>
      </c>
      <c r="W950" s="714" t="n">
        <v>12000</v>
      </c>
      <c r="X950" s="83">
        <f>FIXED(ROUND(W950/Y950,1),1,TRUE)&amp;":1"</f>
        <v/>
      </c>
      <c r="Y950" s="714" t="n">
        <v>8000</v>
      </c>
      <c r="Z950" s="63" t="inlineStr">
        <is>
          <t>C</t>
        </is>
      </c>
      <c r="AA950" s="59" t="n">
        <v>3</v>
      </c>
      <c r="AB950" s="59" t="n">
        <v>3</v>
      </c>
      <c r="AC950" s="59" t="n">
        <v>33</v>
      </c>
      <c r="AE950" s="701" t="n">
        <v>6.51</v>
      </c>
      <c r="AF950" s="723" t="n">
        <v>6.51</v>
      </c>
      <c r="AG950" s="723" t="n">
        <v>6.14</v>
      </c>
      <c r="AH950" s="723" t="n">
        <v>0.37</v>
      </c>
      <c r="AI950" s="723" t="n">
        <v>0</v>
      </c>
      <c r="AJ950" s="701" t="inlineStr">
        <is>
          <t>$                 -</t>
        </is>
      </c>
      <c r="AK950" s="59" t="inlineStr">
        <is>
          <t>4 Tenant Warehouse.</t>
        </is>
      </c>
      <c r="AL950">
        <f>IF(AND(ISNUMBER($S950),$S950&gt;0,ISNUMBER($K950),ISNUMBER($J950)),($K950*$J950)/$S950,"")</f>
        <v/>
      </c>
      <c r="AN950" s="716" t="n"/>
      <c r="AO950" s="716" t="n"/>
      <c r="AP950" s="716" t="n"/>
    </row>
    <row r="951">
      <c r="A951" s="62" t="n">
        <v>8</v>
      </c>
      <c r="B951" s="93" t="n">
        <v>943</v>
      </c>
      <c r="C951" s="68" t="inlineStr">
        <is>
          <t>2009Q</t>
        </is>
      </c>
      <c r="D951" s="59" t="inlineStr">
        <is>
          <t xml:space="preserve">05223-02-040-000 </t>
        </is>
      </c>
      <c r="E951" s="72" t="inlineStr">
        <is>
          <t>Actual</t>
        </is>
      </c>
      <c r="F951" s="73" t="inlineStr">
        <is>
          <t>1157 S BANNOCK              ST</t>
        </is>
      </c>
      <c r="G951" s="708" t="n">
        <v>44.2</v>
      </c>
      <c r="H951" s="67" t="n">
        <v>9506</v>
      </c>
      <c r="I951" s="69" t="n">
        <v>0</v>
      </c>
      <c r="J951" s="714" t="n">
        <v>5105</v>
      </c>
      <c r="K951" s="715" t="n">
        <v>31.7335945151812</v>
      </c>
      <c r="L951" s="74" t="n">
        <v>0</v>
      </c>
      <c r="M951" s="76" t="n">
        <v>0</v>
      </c>
      <c r="N951" s="67" t="n">
        <v>1980</v>
      </c>
      <c r="O951" s="64" t="n">
        <v>1674</v>
      </c>
      <c r="Q951" s="59" t="n">
        <v>14</v>
      </c>
      <c r="R951" s="59" t="n">
        <v>1</v>
      </c>
      <c r="S951" s="59" t="n">
        <v>1</v>
      </c>
      <c r="T951" s="63" t="inlineStr">
        <is>
          <t xml:space="preserve">I1   </t>
        </is>
      </c>
      <c r="U951" s="63" t="n">
        <v>398</v>
      </c>
      <c r="V951" s="714" t="n">
        <v>15627</v>
      </c>
      <c r="W951" s="714" t="n">
        <v>16000</v>
      </c>
      <c r="X951" s="83" t="inlineStr">
        <is>
          <t>3.1:1</t>
        </is>
      </c>
      <c r="Y951" s="714">
        <f>ROUND(J951,-3)</f>
        <v/>
      </c>
      <c r="Z951" s="63" t="inlineStr">
        <is>
          <t xml:space="preserve">C </t>
        </is>
      </c>
      <c r="AA951" s="59" t="n">
        <v>3</v>
      </c>
      <c r="AB951" s="59" t="n">
        <v>3</v>
      </c>
      <c r="AC951" s="67" t="inlineStr">
        <is>
          <t>33</t>
        </is>
      </c>
      <c r="AD951" s="61" t="inlineStr">
        <is>
          <t xml:space="preserve">DIAMOND DRILLING    </t>
        </is>
      </c>
      <c r="AE951" s="716" t="n"/>
      <c r="AF951" s="716" t="n"/>
      <c r="AG951" s="716" t="n"/>
      <c r="AH951" s="716" t="n"/>
      <c r="AI951" s="716" t="n"/>
      <c r="AJ951" s="716" t="n"/>
      <c r="AK951" s="716" t="inlineStr">
        <is>
          <t xml:space="preserve">S-T WHSE.                                                         </t>
        </is>
      </c>
      <c r="AL951">
        <f>IF(AND(ISNUMBER($S951),$S951&gt;0,ISNUMBER($K951),ISNUMBER($J951)),($K951*$J951)/$S951,"")</f>
        <v/>
      </c>
    </row>
    <row r="952">
      <c r="A952" s="62" t="n">
        <v>8</v>
      </c>
      <c r="B952" s="93" t="n">
        <v>944</v>
      </c>
      <c r="C952" s="68" t="inlineStr">
        <is>
          <t>2009Q</t>
        </is>
      </c>
      <c r="D952" s="59" t="inlineStr">
        <is>
          <t xml:space="preserve">05223-03-004-000 </t>
        </is>
      </c>
      <c r="E952" s="72" t="inlineStr">
        <is>
          <t>Actual</t>
        </is>
      </c>
      <c r="F952" s="73" t="inlineStr">
        <is>
          <t>1185 S CHEROKEE             ST</t>
        </is>
      </c>
      <c r="G952" s="708" t="n">
        <v>44.1</v>
      </c>
      <c r="H952" s="67" t="n">
        <v>9506</v>
      </c>
      <c r="I952" s="69" t="n">
        <v>0</v>
      </c>
      <c r="J952" s="714" t="n">
        <v>6162</v>
      </c>
      <c r="K952" s="715" t="n">
        <v>6.037000973709834</v>
      </c>
      <c r="L952" s="74" t="n">
        <v>0</v>
      </c>
      <c r="M952" s="76" t="n">
        <v>0</v>
      </c>
      <c r="N952" s="67" t="n">
        <v>1959</v>
      </c>
      <c r="O952" s="714" t="n">
        <v>792</v>
      </c>
      <c r="P952" s="714" t="n"/>
      <c r="Q952" s="59" t="n">
        <v>13</v>
      </c>
      <c r="R952" s="59" t="n">
        <v>3</v>
      </c>
      <c r="S952" s="59" t="n">
        <v>1</v>
      </c>
      <c r="T952" s="63" t="inlineStr">
        <is>
          <t xml:space="preserve">I1   </t>
        </is>
      </c>
      <c r="U952" s="63" t="n">
        <v>332</v>
      </c>
      <c r="V952" s="714" t="n">
        <v>9370</v>
      </c>
      <c r="W952" s="714" t="n">
        <v>9000</v>
      </c>
      <c r="X952" s="83" t="inlineStr">
        <is>
          <t>1.5:1</t>
        </is>
      </c>
      <c r="Y952" s="714">
        <f>ROUND(J952,-3)</f>
        <v/>
      </c>
      <c r="Z952" s="63" t="inlineStr">
        <is>
          <t xml:space="preserve">C </t>
        </is>
      </c>
      <c r="AA952" s="59" t="n">
        <v>3</v>
      </c>
      <c r="AB952" s="59" t="n">
        <v>3</v>
      </c>
      <c r="AC952" s="67" t="n">
        <v>33</v>
      </c>
      <c r="AD952" s="61" t="inlineStr"/>
      <c r="AE952" s="716" t="n"/>
      <c r="AF952" s="716" t="n"/>
      <c r="AG952" s="716" t="n"/>
      <c r="AH952" s="716" t="n"/>
      <c r="AI952" s="716" t="n"/>
      <c r="AJ952" s="716" t="n"/>
      <c r="AK952" s="716" t="inlineStr">
        <is>
          <t xml:space="preserve">TENANT PAYS $9,300 IN TOTAL EXPENSES                              </t>
        </is>
      </c>
      <c r="AL952">
        <f>IF(AND(ISNUMBER($S952),$S952&gt;0,ISNUMBER($K952),ISNUMBER($J952)),($K952*$J952)/$S952,"")</f>
        <v/>
      </c>
    </row>
    <row r="953">
      <c r="A953" s="62" t="n">
        <v>8</v>
      </c>
      <c r="B953" s="93" t="n">
        <v>945</v>
      </c>
      <c r="C953" s="68" t="inlineStr">
        <is>
          <t>2009Q</t>
        </is>
      </c>
      <c r="D953" s="59" t="inlineStr">
        <is>
          <t xml:space="preserve">05223-06-007-000 </t>
        </is>
      </c>
      <c r="E953" s="72" t="inlineStr">
        <is>
          <t>Actual</t>
        </is>
      </c>
      <c r="F953" s="73" t="inlineStr">
        <is>
          <t>1257 S BANNOCK              ST</t>
        </is>
      </c>
      <c r="G953" s="708" t="n">
        <v>44.2</v>
      </c>
      <c r="H953" s="67" t="n">
        <v>9506</v>
      </c>
      <c r="I953" s="69" t="n">
        <v>0</v>
      </c>
      <c r="J953" s="714" t="n">
        <v>2156</v>
      </c>
      <c r="K953" s="715" t="n">
        <v>9.183673469387756</v>
      </c>
      <c r="L953" s="74" t="n">
        <v>0</v>
      </c>
      <c r="M953" s="76" t="n">
        <v>0.06702020202020202</v>
      </c>
      <c r="N953" s="67" t="n">
        <v>1957</v>
      </c>
      <c r="Q953" s="59" t="n">
        <v>12</v>
      </c>
      <c r="R953" s="59" t="n">
        <v>3</v>
      </c>
      <c r="S953" s="59" t="n">
        <v>1</v>
      </c>
      <c r="T953" s="63" t="inlineStr">
        <is>
          <t xml:space="preserve">I1   </t>
        </is>
      </c>
      <c r="U953" s="63" t="n">
        <v>398</v>
      </c>
      <c r="V953" s="714" t="n">
        <v>9370</v>
      </c>
      <c r="W953" s="714" t="n">
        <v>9000</v>
      </c>
      <c r="X953" s="83" t="inlineStr">
        <is>
          <t>4.3:1</t>
        </is>
      </c>
      <c r="Y953" s="714">
        <f>ROUND(J953,-3)</f>
        <v/>
      </c>
      <c r="Z953" s="63" t="inlineStr">
        <is>
          <t xml:space="preserve">C </t>
        </is>
      </c>
      <c r="AA953" s="59" t="n">
        <v>3</v>
      </c>
      <c r="AB953" s="59" t="n">
        <v>3</v>
      </c>
      <c r="AC953" s="67" t="inlineStr">
        <is>
          <t>33</t>
        </is>
      </c>
      <c r="AD953" s="61" t="inlineStr"/>
      <c r="AE953" s="716" t="n"/>
      <c r="AF953" s="716" t="n"/>
      <c r="AG953" s="716" t="n"/>
      <c r="AH953" s="716" t="n"/>
      <c r="AI953" s="716" t="n"/>
      <c r="AJ953" s="716" t="n"/>
      <c r="AK953" s="716" t="inlineStr">
        <is>
          <t xml:space="preserve">S-T WHSE                                                          </t>
        </is>
      </c>
      <c r="AL953">
        <f>IF(AND(ISNUMBER($S953),$S953&gt;0,ISNUMBER($K953),ISNUMBER($J953)),($K953*$J953)/$S953,"")</f>
        <v/>
      </c>
    </row>
    <row r="954">
      <c r="A954" s="62" t="n">
        <v>8</v>
      </c>
      <c r="B954" s="93" t="n">
        <v>946</v>
      </c>
      <c r="C954" s="68" t="inlineStr">
        <is>
          <t>2009Q</t>
        </is>
      </c>
      <c r="D954" s="59" t="inlineStr">
        <is>
          <t xml:space="preserve">05223-07-017-000 </t>
        </is>
      </c>
      <c r="E954" s="72" t="inlineStr">
        <is>
          <t>Actual</t>
        </is>
      </c>
      <c r="F954" s="73" t="inlineStr">
        <is>
          <t>1220 S BANNOCK              ST</t>
        </is>
      </c>
      <c r="G954" s="708" t="n">
        <v>47.1</v>
      </c>
      <c r="H954" s="67" t="n">
        <v>9506</v>
      </c>
      <c r="I954" s="69" t="n">
        <v>0</v>
      </c>
      <c r="J954" s="714" t="n">
        <v>6800</v>
      </c>
      <c r="K954" s="715" t="n">
        <v>6</v>
      </c>
      <c r="L954" s="74" t="n">
        <v>0</v>
      </c>
      <c r="M954" s="76" t="n">
        <v>0.09105392156862745</v>
      </c>
      <c r="N954" s="67" t="n">
        <v>1967</v>
      </c>
      <c r="O954" s="64" t="n">
        <v>2000</v>
      </c>
      <c r="Q954" s="59" t="n">
        <v>16</v>
      </c>
      <c r="R954" s="59" t="n">
        <v>1</v>
      </c>
      <c r="S954" s="59" t="n">
        <v>1</v>
      </c>
      <c r="T954" s="63" t="inlineStr">
        <is>
          <t xml:space="preserve">I1   </t>
        </is>
      </c>
      <c r="U954" s="63" t="n">
        <v>401</v>
      </c>
      <c r="V954" s="714" t="n">
        <v>11800</v>
      </c>
      <c r="W954" s="714" t="n">
        <v>12000</v>
      </c>
      <c r="X954" s="83" t="inlineStr">
        <is>
          <t>1.4:1</t>
        </is>
      </c>
      <c r="Y954" s="714">
        <f>ROUND(J954,-3)</f>
        <v/>
      </c>
      <c r="Z954" s="63" t="inlineStr">
        <is>
          <t xml:space="preserve">C </t>
        </is>
      </c>
      <c r="AA954" s="59" t="n">
        <v>3</v>
      </c>
      <c r="AB954" s="59" t="n">
        <v>3</v>
      </c>
      <c r="AC954" s="67" t="inlineStr">
        <is>
          <t>33</t>
        </is>
      </c>
      <c r="AD954" s="61" t="inlineStr"/>
      <c r="AE954" s="716" t="n"/>
      <c r="AF954" s="716" t="n"/>
      <c r="AG954" s="716" t="n"/>
      <c r="AH954" s="716" t="n"/>
      <c r="AI954" s="716" t="n"/>
      <c r="AJ954" s="716" t="n"/>
      <c r="AK954" s="716" t="inlineStr">
        <is>
          <t xml:space="preserve">M-T WHSE.; 4 TENANTS                                              </t>
        </is>
      </c>
      <c r="AL954">
        <f>IF(AND(ISNUMBER($S954),$S954&gt;0,ISNUMBER($K954),ISNUMBER($J954)),($K954*$J954)/$S954,"")</f>
        <v/>
      </c>
    </row>
    <row r="955">
      <c r="A955" s="62" t="n">
        <v>8</v>
      </c>
      <c r="B955" s="93" t="n">
        <v>947</v>
      </c>
      <c r="C955" s="68" t="inlineStr">
        <is>
          <t>2009Q</t>
        </is>
      </c>
      <c r="D955" s="59" t="inlineStr">
        <is>
          <t xml:space="preserve">05223-07-018-000 </t>
        </is>
      </c>
      <c r="E955" s="72" t="inlineStr">
        <is>
          <t>Actual</t>
        </is>
      </c>
      <c r="F955" s="73" t="inlineStr">
        <is>
          <t>1240 S BANNOCK              ST</t>
        </is>
      </c>
      <c r="G955" s="708" t="n">
        <v>47.2</v>
      </c>
      <c r="H955" s="67" t="n">
        <v>9506</v>
      </c>
      <c r="I955" s="69" t="n">
        <v>0</v>
      </c>
      <c r="J955" s="714" t="n">
        <v>7720</v>
      </c>
      <c r="K955" s="715" t="n">
        <v>3.329533678756477</v>
      </c>
      <c r="L955" s="74" t="n">
        <v>0</v>
      </c>
      <c r="M955" s="76" t="n">
        <v>0.1270230314347962</v>
      </c>
      <c r="N955" s="67" t="n">
        <v>1967</v>
      </c>
      <c r="O955" s="64" t="n">
        <v>1068</v>
      </c>
      <c r="P955" s="64" t="n">
        <v>1005</v>
      </c>
      <c r="Q955" s="59" t="n">
        <v>13</v>
      </c>
      <c r="R955" s="59" t="n">
        <v>1</v>
      </c>
      <c r="S955" s="59" t="n">
        <v>1</v>
      </c>
      <c r="T955" s="63" t="inlineStr">
        <is>
          <t xml:space="preserve">I1   </t>
        </is>
      </c>
      <c r="U955" s="63" t="n">
        <v>401</v>
      </c>
      <c r="V955" s="714" t="n">
        <v>12063</v>
      </c>
      <c r="W955" s="714" t="n">
        <v>12000</v>
      </c>
      <c r="X955" s="83" t="inlineStr">
        <is>
          <t>1.6:1</t>
        </is>
      </c>
      <c r="Y955" s="714">
        <f>ROUND(J955,-3)</f>
        <v/>
      </c>
      <c r="Z955" s="63" t="inlineStr">
        <is>
          <t xml:space="preserve">C </t>
        </is>
      </c>
      <c r="AA955" s="59" t="n">
        <v>3</v>
      </c>
      <c r="AB955" s="59" t="n">
        <v>3</v>
      </c>
      <c r="AC955" s="67" t="inlineStr">
        <is>
          <t>33</t>
        </is>
      </c>
      <c r="AD955" s="61" t="inlineStr"/>
      <c r="AE955" s="716" t="n"/>
      <c r="AF955" s="716" t="n"/>
      <c r="AG955" s="716" t="n"/>
      <c r="AH955" s="716" t="n"/>
      <c r="AI955" s="716" t="n"/>
      <c r="AJ955" s="716" t="n"/>
      <c r="AK955" s="716" t="inlineStr">
        <is>
          <t xml:space="preserve">S-T INDUSTRIAL BLDG.; 2006 LEASE.                                 </t>
        </is>
      </c>
      <c r="AL955">
        <f>IF(AND(ISNUMBER($S955),$S955&gt;0,ISNUMBER($K955),ISNUMBER($J955)),($K955*$J955)/$S955,"")</f>
        <v/>
      </c>
    </row>
    <row r="956">
      <c r="A956" s="62" t="n">
        <v>8</v>
      </c>
      <c r="B956" s="93" t="n">
        <v>948</v>
      </c>
      <c r="C956" s="68" t="inlineStr">
        <is>
          <t>2009Q</t>
        </is>
      </c>
      <c r="D956" s="59" t="inlineStr">
        <is>
          <t xml:space="preserve">05223-10-015-000 </t>
        </is>
      </c>
      <c r="E956" s="72" t="inlineStr">
        <is>
          <t>Actual</t>
        </is>
      </c>
      <c r="F956" s="73" t="inlineStr">
        <is>
          <t>1439 S BANNOCK              ST</t>
        </is>
      </c>
      <c r="G956" s="708" t="n">
        <v>44.2</v>
      </c>
      <c r="H956" s="67" t="n">
        <v>9506</v>
      </c>
      <c r="I956" s="69" t="n">
        <v>0</v>
      </c>
      <c r="J956" s="714" t="n">
        <v>5048</v>
      </c>
      <c r="K956" s="715" t="n">
        <v>2.852614896988907</v>
      </c>
      <c r="L956" s="74" t="n">
        <v>0</v>
      </c>
      <c r="M956" s="76" t="n">
        <v>0.06083333333333334</v>
      </c>
      <c r="N956" s="67" t="n">
        <v>1945</v>
      </c>
      <c r="O956" s="64" t="n">
        <v>293</v>
      </c>
      <c r="Q956" s="59" t="n">
        <v>13</v>
      </c>
      <c r="R956" s="59" t="n">
        <v>3</v>
      </c>
      <c r="S956" s="59" t="n">
        <v>1</v>
      </c>
      <c r="T956" s="63" t="inlineStr">
        <is>
          <t xml:space="preserve">I1   </t>
        </is>
      </c>
      <c r="U956" s="63" t="n">
        <v>398</v>
      </c>
      <c r="V956" s="714" t="n">
        <v>7620</v>
      </c>
      <c r="W956" s="714" t="n">
        <v>8000</v>
      </c>
      <c r="X956" s="83" t="inlineStr">
        <is>
          <t>1.5:1</t>
        </is>
      </c>
      <c r="Y956" s="714">
        <f>ROUND(J956,-3)</f>
        <v/>
      </c>
      <c r="Z956" s="63" t="inlineStr">
        <is>
          <t xml:space="preserve">C </t>
        </is>
      </c>
      <c r="AA956" s="59" t="n">
        <v>2</v>
      </c>
      <c r="AB956" s="59" t="n">
        <v>1</v>
      </c>
      <c r="AC956" s="67" t="inlineStr">
        <is>
          <t>21</t>
        </is>
      </c>
      <c r="AD956" s="61" t="inlineStr"/>
      <c r="AE956" s="716" t="n"/>
      <c r="AF956" s="716" t="n"/>
      <c r="AG956" s="716" t="n"/>
      <c r="AH956" s="716" t="n"/>
      <c r="AI956" s="716" t="n"/>
      <c r="AJ956" s="716" t="n"/>
      <c r="AK956" s="716" t="inlineStr">
        <is>
          <t xml:space="preserve">S-T WHSE.; MO-TO-MO LEASES                                        </t>
        </is>
      </c>
      <c r="AL956">
        <f>IF(AND(ISNUMBER($S956),$S956&gt;0,ISNUMBER($K956),ISNUMBER($J956)),($K956*$J956)/$S956,"")</f>
        <v/>
      </c>
    </row>
    <row r="957">
      <c r="A957" s="62" t="n">
        <v>8</v>
      </c>
      <c r="B957" s="93" t="n">
        <v>949</v>
      </c>
      <c r="C957" s="68" t="inlineStr">
        <is>
          <t>2009Q</t>
        </is>
      </c>
      <c r="D957" s="59" t="inlineStr">
        <is>
          <t xml:space="preserve">05223-10-030-000 </t>
        </is>
      </c>
      <c r="E957" s="72" t="inlineStr">
        <is>
          <t>Actual</t>
        </is>
      </c>
      <c r="F957" s="73" t="inlineStr">
        <is>
          <t>200 W LOUISIANA            AV</t>
        </is>
      </c>
      <c r="G957" s="708" t="n">
        <v>44.2</v>
      </c>
      <c r="H957" s="67" t="n">
        <v>9506</v>
      </c>
      <c r="I957" s="69" t="n">
        <v>0</v>
      </c>
      <c r="J957" s="714" t="n">
        <v>9984</v>
      </c>
      <c r="K957" s="715" t="n">
        <v>7.211538461538462</v>
      </c>
      <c r="L957" s="74" t="n">
        <v>0</v>
      </c>
      <c r="M957" s="76" t="n">
        <v>0.01388888888888889</v>
      </c>
      <c r="N957" s="67" t="n">
        <v>1995</v>
      </c>
      <c r="O957" s="64">
        <f>1650+1398</f>
        <v/>
      </c>
      <c r="Q957" s="59" t="n">
        <v>20</v>
      </c>
      <c r="R957" s="59" t="n">
        <v>3</v>
      </c>
      <c r="S957" s="59" t="n">
        <v>1</v>
      </c>
      <c r="T957" s="63" t="inlineStr">
        <is>
          <t xml:space="preserve">I2   </t>
        </is>
      </c>
      <c r="U957" s="63" t="n">
        <v>398</v>
      </c>
      <c r="V957" s="714" t="n">
        <v>16886</v>
      </c>
      <c r="W957" s="714" t="n">
        <v>17000</v>
      </c>
      <c r="X957" s="83" t="inlineStr">
        <is>
          <t>1.7:1</t>
        </is>
      </c>
      <c r="Y957" s="714">
        <f>ROUND(J957,-3)</f>
        <v/>
      </c>
      <c r="Z957" s="63" t="inlineStr">
        <is>
          <t xml:space="preserve">C </t>
        </is>
      </c>
      <c r="AA957" s="59" t="n">
        <v>3</v>
      </c>
      <c r="AB957" s="59" t="n">
        <v>3</v>
      </c>
      <c r="AC957" s="67" t="inlineStr">
        <is>
          <t>33</t>
        </is>
      </c>
      <c r="AD957" s="61" t="inlineStr">
        <is>
          <t xml:space="preserve">DIST WAREHOUSE      </t>
        </is>
      </c>
      <c r="AE957" s="716" t="n"/>
      <c r="AF957" s="716" t="n"/>
      <c r="AG957" s="716" t="n"/>
      <c r="AH957" s="716" t="n"/>
      <c r="AI957" s="716" t="n"/>
      <c r="AJ957" s="716" t="n"/>
      <c r="AK957" s="716" t="inlineStr">
        <is>
          <t xml:space="preserve">S-T WHSE.; 2005 LEASE.                                            </t>
        </is>
      </c>
      <c r="AL957">
        <f>IF(AND(ISNUMBER($S957),$S957&gt;0,ISNUMBER($K957),ISNUMBER($J957)),($K957*$J957)/$S957,"")</f>
        <v/>
      </c>
    </row>
    <row r="958">
      <c r="A958" s="62" t="n">
        <v>8</v>
      </c>
      <c r="B958" s="93" t="n">
        <v>950</v>
      </c>
      <c r="C958" s="68" t="inlineStr">
        <is>
          <t>2009Q</t>
        </is>
      </c>
      <c r="D958" s="59" t="inlineStr">
        <is>
          <t xml:space="preserve">05223-10-032-000 </t>
        </is>
      </c>
      <c r="E958" s="72" t="inlineStr">
        <is>
          <t>Actual</t>
        </is>
      </c>
      <c r="F958" s="73" t="inlineStr">
        <is>
          <t>1438 S CHEROKEE             ST</t>
        </is>
      </c>
      <c r="G958" s="708" t="n">
        <v>44.1</v>
      </c>
      <c r="H958" s="67" t="n">
        <v>9506</v>
      </c>
      <c r="I958" s="69" t="n">
        <v>0</v>
      </c>
      <c r="J958" s="714" t="n">
        <v>11667</v>
      </c>
      <c r="K958" s="715" t="n">
        <v>5.999828576326391</v>
      </c>
      <c r="L958" s="74" t="n">
        <v>0</v>
      </c>
      <c r="M958" s="76" t="n">
        <v>0</v>
      </c>
      <c r="N958" s="67" t="n">
        <v>1954</v>
      </c>
      <c r="O958" s="64" t="n">
        <v>1351</v>
      </c>
      <c r="Q958" s="59" t="n">
        <v>14</v>
      </c>
      <c r="R958" s="59" t="n">
        <v>3</v>
      </c>
      <c r="S958" s="59" t="n">
        <v>1</v>
      </c>
      <c r="T958" s="63" t="inlineStr">
        <is>
          <t xml:space="preserve">I1   </t>
        </is>
      </c>
      <c r="U958" s="63" t="n">
        <v>398</v>
      </c>
      <c r="V958" s="714" t="n">
        <v>13750</v>
      </c>
      <c r="W958" s="714" t="n">
        <v>14000</v>
      </c>
      <c r="X958" s="83" t="inlineStr">
        <is>
          <t>2.1:1</t>
        </is>
      </c>
      <c r="Y958" s="714">
        <f>ROUND(J958,-3)</f>
        <v/>
      </c>
      <c r="Z958" s="63" t="inlineStr">
        <is>
          <t xml:space="preserve">C </t>
        </is>
      </c>
      <c r="AA958" s="59" t="n">
        <v>3</v>
      </c>
      <c r="AB958" s="59" t="n">
        <v>3</v>
      </c>
      <c r="AC958" s="67" t="inlineStr">
        <is>
          <t>33</t>
        </is>
      </c>
      <c r="AD958" s="61" t="inlineStr">
        <is>
          <t xml:space="preserve">CYCLO               </t>
        </is>
      </c>
      <c r="AE958" s="716" t="n"/>
      <c r="AF958" s="716" t="n"/>
      <c r="AG958" s="716" t="n"/>
      <c r="AH958" s="716" t="n"/>
      <c r="AI958" s="716" t="n"/>
      <c r="AJ958" s="716" t="n"/>
      <c r="AK958" s="716" t="inlineStr">
        <is>
          <t xml:space="preserve">S-T WHSE.; 2006 LEASE?;MUST BE 2ND BLDG INVOLVED TO TOTAL 12230SF </t>
        </is>
      </c>
      <c r="AL958">
        <f>IF(AND(ISNUMBER($S958),$S958&gt;0,ISNUMBER($K958),ISNUMBER($J958)),($K958*$J958)/$S958,"")</f>
        <v/>
      </c>
    </row>
    <row r="959">
      <c r="A959" s="62" t="n">
        <v>8</v>
      </c>
      <c r="B959" s="93" t="n">
        <v>951</v>
      </c>
      <c r="C959" s="68" t="inlineStr">
        <is>
          <t>2009Q</t>
        </is>
      </c>
      <c r="D959" s="59" t="inlineStr">
        <is>
          <t xml:space="preserve">05223-10-033-000 </t>
        </is>
      </c>
      <c r="E959" s="72" t="inlineStr">
        <is>
          <t>Actual</t>
        </is>
      </c>
      <c r="F959" s="73" t="inlineStr">
        <is>
          <t>1468 S CHEROKEE             ST</t>
        </is>
      </c>
      <c r="G959" s="708" t="n">
        <v>44.2</v>
      </c>
      <c r="H959" s="67" t="n">
        <v>9506</v>
      </c>
      <c r="I959" s="69" t="n">
        <v>0</v>
      </c>
      <c r="J959" s="714" t="n">
        <v>3400</v>
      </c>
      <c r="K959" s="715" t="n">
        <v>7.058823529411764</v>
      </c>
      <c r="L959" s="74" t="n">
        <v>0</v>
      </c>
      <c r="M959" s="76" t="n">
        <v>0.07666666666666666</v>
      </c>
      <c r="N959" s="67" t="n">
        <v>1998</v>
      </c>
      <c r="O959" s="64">
        <f>207+450</f>
        <v/>
      </c>
      <c r="Q959" s="59" t="n">
        <v>15</v>
      </c>
      <c r="R959" s="59" t="n">
        <v>7</v>
      </c>
      <c r="S959" s="59" t="n">
        <v>3</v>
      </c>
      <c r="T959" s="63" t="inlineStr">
        <is>
          <t xml:space="preserve">I1   </t>
        </is>
      </c>
      <c r="U959" s="63" t="n">
        <v>398</v>
      </c>
      <c r="V959" s="714" t="n">
        <v>10950</v>
      </c>
      <c r="W959" s="714" t="n">
        <v>11000</v>
      </c>
      <c r="X959" s="83" t="inlineStr">
        <is>
          <t>2.4:1</t>
        </is>
      </c>
      <c r="Y959" s="714">
        <f>ROUND(J959,-3)</f>
        <v/>
      </c>
      <c r="Z959" s="63" t="inlineStr">
        <is>
          <t xml:space="preserve">C </t>
        </is>
      </c>
      <c r="AA959" s="59" t="n">
        <v>3</v>
      </c>
      <c r="AB959" s="59" t="n">
        <v>3</v>
      </c>
      <c r="AC959" s="67" t="inlineStr">
        <is>
          <t>33</t>
        </is>
      </c>
      <c r="AD959" s="61" t="inlineStr">
        <is>
          <t xml:space="preserve">M-WHSE              </t>
        </is>
      </c>
      <c r="AE959" s="716" t="n"/>
      <c r="AF959" s="716" t="n"/>
      <c r="AG959" s="716" t="n"/>
      <c r="AH959" s="716" t="n"/>
      <c r="AI959" s="716" t="n"/>
      <c r="AJ959" s="716" t="n"/>
      <c r="AK959" s="716" t="inlineStr">
        <is>
          <t xml:space="preserve">M-T WHSE; 2 TENANTS; ONLY FIGURES FOR RENTED AREA SHOWN           </t>
        </is>
      </c>
      <c r="AL959">
        <f>IF(AND(ISNUMBER($S959),$S959&gt;0,ISNUMBER($K959),ISNUMBER($J959)),($K959*$J959)/$S959,"")</f>
        <v/>
      </c>
    </row>
    <row r="960">
      <c r="A960" s="62" t="n">
        <v>8</v>
      </c>
      <c r="B960" s="93" t="n">
        <v>952</v>
      </c>
      <c r="C960" s="68" t="inlineStr">
        <is>
          <t>2009Q</t>
        </is>
      </c>
      <c r="D960" s="59" t="inlineStr">
        <is>
          <t xml:space="preserve">05226-01-002-000 </t>
        </is>
      </c>
      <c r="E960" s="72" t="inlineStr">
        <is>
          <t>Actual</t>
        </is>
      </c>
      <c r="F960" s="73" t="inlineStr">
        <is>
          <t>1510 S ACOMA                ST</t>
        </is>
      </c>
      <c r="G960" s="708" t="n">
        <v>44.2</v>
      </c>
      <c r="H960" s="67" t="n">
        <v>9506</v>
      </c>
      <c r="I960" s="69" t="n">
        <v>0</v>
      </c>
      <c r="J960" s="714" t="n">
        <v>3486</v>
      </c>
      <c r="K960" s="715" t="n">
        <v>6.411359724612737</v>
      </c>
      <c r="L960" s="74" t="n">
        <v>0</v>
      </c>
      <c r="M960" s="76" t="n">
        <v>0.06997762863534676</v>
      </c>
      <c r="N960" s="67" t="n">
        <v>1963</v>
      </c>
      <c r="O960" s="64" t="n">
        <v>775</v>
      </c>
      <c r="Q960" s="59" t="n">
        <v>13</v>
      </c>
      <c r="R960" s="59" t="n">
        <v>1</v>
      </c>
      <c r="S960" s="59" t="n">
        <v>2</v>
      </c>
      <c r="T960" s="63" t="inlineStr">
        <is>
          <t xml:space="preserve">I1   </t>
        </is>
      </c>
      <c r="U960" s="63" t="n">
        <v>398</v>
      </c>
      <c r="V960" s="714" t="n">
        <v>6248</v>
      </c>
      <c r="W960" s="714" t="n">
        <v>6000</v>
      </c>
      <c r="X960" s="83" t="inlineStr">
        <is>
          <t>1.8:1</t>
        </is>
      </c>
      <c r="Y960" s="714">
        <f>ROUND(J960,-3)</f>
        <v/>
      </c>
      <c r="Z960" s="63" t="inlineStr">
        <is>
          <t xml:space="preserve">C </t>
        </is>
      </c>
      <c r="AA960" s="59" t="n">
        <v>3</v>
      </c>
      <c r="AB960" s="59" t="n">
        <v>3</v>
      </c>
      <c r="AC960" s="67" t="inlineStr">
        <is>
          <t>33</t>
        </is>
      </c>
      <c r="AD960" s="61" t="inlineStr">
        <is>
          <t>S-W AQUA CORP. /TERR</t>
        </is>
      </c>
      <c r="AE960" s="716" t="n"/>
      <c r="AF960" s="716" t="n"/>
      <c r="AG960" s="716" t="n"/>
      <c r="AH960" s="716" t="n"/>
      <c r="AI960" s="716" t="n"/>
      <c r="AJ960" s="716" t="n"/>
      <c r="AK960" s="716" t="inlineStr">
        <is>
          <t xml:space="preserve">M-T WHSE.; 2 TENANTS; YR-TO-YR LEASE.                             </t>
        </is>
      </c>
      <c r="AL960">
        <f>IF(AND(ISNUMBER($S960),$S960&gt;0,ISNUMBER($K960),ISNUMBER($J960)),($K960*$J960)/$S960,"")</f>
        <v/>
      </c>
    </row>
    <row r="961">
      <c r="A961" s="62" t="n">
        <v>8</v>
      </c>
      <c r="B961" s="93" t="n">
        <v>953</v>
      </c>
      <c r="C961" s="68" t="inlineStr">
        <is>
          <t>2009Q</t>
        </is>
      </c>
      <c r="D961" s="59" t="inlineStr">
        <is>
          <t xml:space="preserve">05226-01-028-000 </t>
        </is>
      </c>
      <c r="E961" s="72" t="inlineStr">
        <is>
          <t>Actual</t>
        </is>
      </c>
      <c r="F961" s="73" t="inlineStr">
        <is>
          <t>1586 S ACOMA                ST</t>
        </is>
      </c>
      <c r="G961" s="708" t="n">
        <v>44.2</v>
      </c>
      <c r="H961" s="67" t="n">
        <v>9506</v>
      </c>
      <c r="I961" s="69" t="n">
        <v>0</v>
      </c>
      <c r="J961" s="714" t="n">
        <v>7000</v>
      </c>
      <c r="K961" s="715" t="n">
        <v>6.857142857142857</v>
      </c>
      <c r="L961" s="74" t="n">
        <v>0.25</v>
      </c>
      <c r="M961" s="76" t="n">
        <v>0</v>
      </c>
      <c r="N961" s="67" t="n">
        <v>1967</v>
      </c>
      <c r="O961" s="64" t="n">
        <v>2500</v>
      </c>
      <c r="Q961" s="59" t="n">
        <v>14</v>
      </c>
      <c r="R961" s="59" t="n">
        <v>1</v>
      </c>
      <c r="S961" s="59" t="n">
        <v>1</v>
      </c>
      <c r="T961" s="63" t="inlineStr">
        <is>
          <t xml:space="preserve">I1   </t>
        </is>
      </c>
      <c r="U961" s="63" t="n">
        <v>398</v>
      </c>
      <c r="V961" s="714" t="n">
        <v>12500</v>
      </c>
      <c r="W961" s="714" t="n">
        <v>13000</v>
      </c>
      <c r="X961" s="83" t="inlineStr">
        <is>
          <t>1.8:1</t>
        </is>
      </c>
      <c r="Y961" s="714">
        <f>ROUND(J961,-3)</f>
        <v/>
      </c>
      <c r="Z961" s="63" t="inlineStr">
        <is>
          <t xml:space="preserve">C </t>
        </is>
      </c>
      <c r="AA961" s="59" t="n">
        <v>3</v>
      </c>
      <c r="AB961" s="59" t="n">
        <v>3</v>
      </c>
      <c r="AC961" s="67" t="inlineStr">
        <is>
          <t>33</t>
        </is>
      </c>
      <c r="AD961" s="61" t="inlineStr"/>
      <c r="AE961" s="716" t="n"/>
      <c r="AF961" s="716" t="n"/>
      <c r="AG961" s="716" t="n"/>
      <c r="AH961" s="716" t="n"/>
      <c r="AI961" s="716" t="n"/>
      <c r="AJ961" s="716" t="n"/>
      <c r="AK961" s="716" t="inlineStr">
        <is>
          <t xml:space="preserve">M-T WHSE.; 4 TENANTS; YR-TO-YR LEASES.                            </t>
        </is>
      </c>
      <c r="AL961">
        <f>IF(AND(ISNUMBER($S961),$S961&gt;0,ISNUMBER($K961),ISNUMBER($J961)),($K961*$J961)/$S961,"")</f>
        <v/>
      </c>
    </row>
    <row r="962">
      <c r="A962" s="62" t="n">
        <v>8</v>
      </c>
      <c r="B962" s="93" t="n">
        <v>954</v>
      </c>
      <c r="C962" s="68" t="inlineStr">
        <is>
          <t>2009Q</t>
        </is>
      </c>
      <c r="D962" s="59" t="inlineStr">
        <is>
          <t xml:space="preserve">05226-10-028-000 </t>
        </is>
      </c>
      <c r="E962" s="72" t="inlineStr">
        <is>
          <t>Actual</t>
        </is>
      </c>
      <c r="F962" s="73" t="inlineStr">
        <is>
          <t>1701 S BROADWAY             ST</t>
        </is>
      </c>
      <c r="G962" s="708" t="n">
        <v>44.2</v>
      </c>
      <c r="H962" s="67" t="n">
        <v>9506</v>
      </c>
      <c r="I962" s="69" t="n">
        <v>2</v>
      </c>
      <c r="J962" s="714" t="n">
        <v>12500</v>
      </c>
      <c r="K962" s="715" t="n">
        <v>6.98592</v>
      </c>
      <c r="L962" s="74" t="n">
        <v>0</v>
      </c>
      <c r="M962" s="76" t="n">
        <v>0</v>
      </c>
      <c r="N962" s="67" t="n">
        <v>1932</v>
      </c>
      <c r="O962" s="64" t="n">
        <v>1800</v>
      </c>
      <c r="Q962" s="59" t="n">
        <v>16</v>
      </c>
      <c r="R962" s="59" t="n">
        <v>1</v>
      </c>
      <c r="S962" s="59" t="n">
        <v>1</v>
      </c>
      <c r="T962" s="63" t="inlineStr">
        <is>
          <t xml:space="preserve">B4   </t>
        </is>
      </c>
      <c r="U962" s="63" t="n">
        <v>398</v>
      </c>
      <c r="V962" s="714" t="n">
        <v>15624</v>
      </c>
      <c r="W962" s="714" t="n">
        <v>16000</v>
      </c>
      <c r="X962" s="83" t="inlineStr">
        <is>
          <t>1.0:1</t>
        </is>
      </c>
      <c r="Y962" s="714">
        <f>ROUND(J962,-3)</f>
        <v/>
      </c>
      <c r="Z962" s="63" t="inlineStr">
        <is>
          <t xml:space="preserve">C </t>
        </is>
      </c>
      <c r="AA962" s="59" t="n">
        <v>3</v>
      </c>
      <c r="AB962" s="59" t="n">
        <v>3</v>
      </c>
      <c r="AC962" s="67" t="inlineStr">
        <is>
          <t>33</t>
        </is>
      </c>
      <c r="AD962" s="61" t="inlineStr"/>
      <c r="AE962" s="716" t="n"/>
      <c r="AF962" s="716" t="n"/>
      <c r="AG962" s="716" t="n"/>
      <c r="AH962" s="716" t="n"/>
      <c r="AI962" s="716" t="n"/>
      <c r="AJ962" s="716" t="n"/>
      <c r="AK962" s="716" t="inlineStr">
        <is>
          <t xml:space="preserve">S-T WHSE; 07/08 LEASE CONSIDERED NEGOTIATED IN BASE PERIOD.       </t>
        </is>
      </c>
      <c r="AL962">
        <f>IF(AND(ISNUMBER($S962),$S962&gt;0,ISNUMBER($K962),ISNUMBER($J962)),($K962*$J962)/$S962,"")</f>
        <v/>
      </c>
    </row>
    <row r="963">
      <c r="A963" s="62" t="n">
        <v>8</v>
      </c>
      <c r="B963" s="93" t="n">
        <v>955</v>
      </c>
      <c r="C963" s="68" t="inlineStr">
        <is>
          <t>2009Q</t>
        </is>
      </c>
      <c r="D963" s="59" t="inlineStr">
        <is>
          <t xml:space="preserve">05226-16-031-000 </t>
        </is>
      </c>
      <c r="E963" s="72" t="inlineStr">
        <is>
          <t>Actual</t>
        </is>
      </c>
      <c r="F963" s="73" t="inlineStr">
        <is>
          <t>1865 S ACOMA                ST</t>
        </is>
      </c>
      <c r="G963" s="708" t="n">
        <v>44.2</v>
      </c>
      <c r="H963" s="67" t="n">
        <v>9506</v>
      </c>
      <c r="I963" s="69" t="n">
        <v>0</v>
      </c>
      <c r="J963" s="714" t="n">
        <v>5920</v>
      </c>
      <c r="K963" s="715" t="n">
        <v>6.993243243243243</v>
      </c>
      <c r="L963" s="74" t="n">
        <v>0</v>
      </c>
      <c r="M963" s="76" t="n">
        <v>0.124975845410628</v>
      </c>
      <c r="N963" s="67" t="n">
        <v>1972</v>
      </c>
      <c r="O963" s="64" t="n">
        <v>1406</v>
      </c>
      <c r="Q963" s="59" t="n">
        <v>13</v>
      </c>
      <c r="R963" s="59" t="n">
        <v>3</v>
      </c>
      <c r="S963" s="59" t="n">
        <v>4</v>
      </c>
      <c r="T963" s="63" t="inlineStr">
        <is>
          <t xml:space="preserve">I1   </t>
        </is>
      </c>
      <c r="U963" s="63" t="n">
        <v>398</v>
      </c>
      <c r="V963" s="714" t="n">
        <v>9430</v>
      </c>
      <c r="W963" s="714" t="n">
        <v>9000</v>
      </c>
      <c r="X963" s="83" t="inlineStr">
        <is>
          <t>1.6:1</t>
        </is>
      </c>
      <c r="Y963" s="714">
        <f>ROUND(J963,-3)</f>
        <v/>
      </c>
      <c r="Z963" s="63" t="inlineStr">
        <is>
          <t xml:space="preserve">C </t>
        </is>
      </c>
      <c r="AA963" s="59" t="n">
        <v>3</v>
      </c>
      <c r="AB963" s="59" t="n">
        <v>3</v>
      </c>
      <c r="AC963" s="67" t="inlineStr">
        <is>
          <t>33</t>
        </is>
      </c>
      <c r="AD963" s="61" t="inlineStr"/>
      <c r="AE963" s="716" t="n"/>
      <c r="AF963" s="716" t="n"/>
      <c r="AG963" s="716" t="n"/>
      <c r="AH963" s="716" t="n"/>
      <c r="AI963" s="716" t="n"/>
      <c r="AJ963" s="716" t="n"/>
      <c r="AK963" s="716" t="inlineStr">
        <is>
          <t xml:space="preserve">M-T WHSE.; 3 TENANTS; AGE OF LEASES UNKNOWN.                      </t>
        </is>
      </c>
      <c r="AL963">
        <f>IF(AND(ISNUMBER($S963),$S963&gt;0,ISNUMBER($K963),ISNUMBER($J963)),($K963*$J963)/$S963,"")</f>
        <v/>
      </c>
    </row>
    <row r="964">
      <c r="A964" s="62" t="n">
        <v>8</v>
      </c>
      <c r="B964" s="93" t="n">
        <v>956</v>
      </c>
      <c r="C964" s="68" t="inlineStr">
        <is>
          <t>2009Q</t>
        </is>
      </c>
      <c r="D964" s="59" t="inlineStr">
        <is>
          <t xml:space="preserve">05226-16-033-000 </t>
        </is>
      </c>
      <c r="E964" s="72" t="inlineStr">
        <is>
          <t>Actual</t>
        </is>
      </c>
      <c r="F964" s="73" t="inlineStr">
        <is>
          <t>1879 S ACOMA                ST</t>
        </is>
      </c>
      <c r="G964" s="708" t="n">
        <v>44.2</v>
      </c>
      <c r="H964" s="67" t="n">
        <v>9506</v>
      </c>
      <c r="I964" s="69" t="n">
        <v>0</v>
      </c>
      <c r="J964" s="714" t="n">
        <v>4312</v>
      </c>
      <c r="K964" s="715" t="n">
        <v>6.957328385899815</v>
      </c>
      <c r="L964" s="74" t="n">
        <v>0</v>
      </c>
      <c r="M964" s="76" t="n">
        <v>0</v>
      </c>
      <c r="N964" s="67" t="n">
        <v>1973</v>
      </c>
      <c r="O964" s="64" t="n">
        <v>390</v>
      </c>
      <c r="Q964" s="59" t="n">
        <v>18</v>
      </c>
      <c r="R964" s="59" t="n">
        <v>9</v>
      </c>
      <c r="S964" s="59" t="n">
        <v>1</v>
      </c>
      <c r="T964" s="63" t="inlineStr">
        <is>
          <t xml:space="preserve">I1   </t>
        </is>
      </c>
      <c r="U964" s="63" t="n">
        <v>398</v>
      </c>
      <c r="V964" s="714" t="n">
        <v>6327</v>
      </c>
      <c r="W964" s="714" t="n">
        <v>6000</v>
      </c>
      <c r="X964" s="83" t="inlineStr">
        <is>
          <t>1.5:1</t>
        </is>
      </c>
      <c r="Y964" s="714">
        <f>ROUND(J964,-3)</f>
        <v/>
      </c>
      <c r="Z964" s="63" t="inlineStr">
        <is>
          <t xml:space="preserve">C </t>
        </is>
      </c>
      <c r="AA964" s="59" t="n">
        <v>3</v>
      </c>
      <c r="AB964" s="59" t="n">
        <v>3</v>
      </c>
      <c r="AC964" s="67" t="inlineStr">
        <is>
          <t>33</t>
        </is>
      </c>
      <c r="AD964" s="61" t="inlineStr">
        <is>
          <t xml:space="preserve">S-W THE PRESSROOM   </t>
        </is>
      </c>
      <c r="AE964" s="716" t="n"/>
      <c r="AF964" s="716" t="n"/>
      <c r="AG964" s="716" t="n"/>
      <c r="AH964" s="716" t="n"/>
      <c r="AI964" s="716" t="n"/>
      <c r="AJ964" s="716" t="n"/>
      <c r="AK964" s="716" t="inlineStr">
        <is>
          <t xml:space="preserve">S-T WHSE.; 2004 LEASE.                                            </t>
        </is>
      </c>
      <c r="AL964">
        <f>IF(AND(ISNUMBER($S964),$S964&gt;0,ISNUMBER($K964),ISNUMBER($J964)),($K964*$J964)/$S964,"")</f>
        <v/>
      </c>
    </row>
    <row r="965">
      <c r="A965" s="62" t="n">
        <v>8</v>
      </c>
      <c r="B965" s="93" t="n">
        <v>957</v>
      </c>
      <c r="C965" s="68" t="inlineStr">
        <is>
          <t>2009Q</t>
        </is>
      </c>
      <c r="D965" s="59" t="inlineStr">
        <is>
          <t xml:space="preserve">05226-16-040-000 </t>
        </is>
      </c>
      <c r="E965" s="72" t="inlineStr">
        <is>
          <t>Actual</t>
        </is>
      </c>
      <c r="F965" s="73" t="inlineStr">
        <is>
          <t>1853 S ACOMA                ST</t>
        </is>
      </c>
      <c r="G965" s="708" t="n">
        <v>44.2</v>
      </c>
      <c r="H965" s="67" t="n">
        <v>9506</v>
      </c>
      <c r="I965" s="69" t="n">
        <v>0</v>
      </c>
      <c r="J965" s="714" t="n">
        <v>4991</v>
      </c>
      <c r="K965" s="715" t="n">
        <v>5.40973752754959</v>
      </c>
      <c r="L965" s="74" t="n">
        <v>0</v>
      </c>
      <c r="M965" s="76" t="n">
        <v>0.08922222222222222</v>
      </c>
      <c r="N965" s="67" t="n">
        <v>1970</v>
      </c>
      <c r="O965" s="64" t="n">
        <v>744</v>
      </c>
      <c r="Q965" s="59" t="n">
        <v>14</v>
      </c>
      <c r="R965" s="59" t="n">
        <v>3</v>
      </c>
      <c r="S965" s="59" t="n">
        <v>1</v>
      </c>
      <c r="T965" s="63" t="inlineStr">
        <is>
          <t xml:space="preserve">I1   </t>
        </is>
      </c>
      <c r="U965" s="63" t="n">
        <v>398</v>
      </c>
      <c r="V965" s="714" t="n">
        <v>7751</v>
      </c>
      <c r="W965" s="714" t="n">
        <v>8000</v>
      </c>
      <c r="X965" s="83" t="inlineStr">
        <is>
          <t>1.6:1</t>
        </is>
      </c>
      <c r="Y965" s="714">
        <f>ROUND(J965,-3)</f>
        <v/>
      </c>
      <c r="Z965" s="63" t="inlineStr">
        <is>
          <t xml:space="preserve">C </t>
        </is>
      </c>
      <c r="AA965" s="59" t="n">
        <v>3</v>
      </c>
      <c r="AB965" s="59" t="n">
        <v>3</v>
      </c>
      <c r="AC965" s="67" t="inlineStr">
        <is>
          <t>33</t>
        </is>
      </c>
      <c r="AD965" s="61" t="inlineStr">
        <is>
          <t xml:space="preserve">S-W HAMMILL WEST    </t>
        </is>
      </c>
      <c r="AE965" s="716" t="n"/>
      <c r="AF965" s="716" t="n"/>
      <c r="AG965" s="716" t="n"/>
      <c r="AH965" s="716" t="n"/>
      <c r="AI965" s="716" t="n"/>
      <c r="AJ965" s="716" t="n"/>
      <c r="AK965" s="716" t="inlineStr">
        <is>
          <t xml:space="preserve">S-T WHSE.; YR-TO-YR LEASE.                                        </t>
        </is>
      </c>
      <c r="AL965">
        <f>IF(AND(ISNUMBER($S965),$S965&gt;0,ISNUMBER($K965),ISNUMBER($J965)),($K965*$J965)/$S965,"")</f>
        <v/>
      </c>
    </row>
    <row r="966">
      <c r="A966" s="62" t="n">
        <v>8</v>
      </c>
      <c r="B966" s="93" t="n">
        <v>958</v>
      </c>
      <c r="C966" s="68" t="inlineStr">
        <is>
          <t>2009Q</t>
        </is>
      </c>
      <c r="D966" s="59" t="inlineStr">
        <is>
          <t xml:space="preserve">05226-17-017-000 </t>
        </is>
      </c>
      <c r="E966" s="72" t="inlineStr">
        <is>
          <t>Actual</t>
        </is>
      </c>
      <c r="F966" s="73" t="inlineStr">
        <is>
          <t>1860 S ACOMA                ST</t>
        </is>
      </c>
      <c r="G966" s="708" t="n">
        <v>44.2</v>
      </c>
      <c r="H966" s="67" t="n">
        <v>9506</v>
      </c>
      <c r="I966" s="69" t="n">
        <v>0</v>
      </c>
      <c r="J966" s="714" t="n">
        <v>4704</v>
      </c>
      <c r="K966" s="715" t="n">
        <v>4.039115646258503</v>
      </c>
      <c r="L966" s="74" t="n">
        <v>0</v>
      </c>
      <c r="M966" s="76" t="n">
        <v>0</v>
      </c>
      <c r="N966" s="67" t="n">
        <v>1958</v>
      </c>
      <c r="P966" s="64" t="n">
        <v>1208</v>
      </c>
      <c r="Q966" s="59" t="n">
        <v>10</v>
      </c>
      <c r="R966" s="59" t="n">
        <v>1</v>
      </c>
      <c r="S966" s="59" t="n">
        <v>1</v>
      </c>
      <c r="T966" s="63" t="inlineStr">
        <is>
          <t xml:space="preserve">I1   </t>
        </is>
      </c>
      <c r="U966" s="63" t="n">
        <v>398</v>
      </c>
      <c r="V966" s="714" t="n">
        <v>6250</v>
      </c>
      <c r="W966" s="714" t="n">
        <v>6000</v>
      </c>
      <c r="X966" s="83" t="inlineStr">
        <is>
          <t>1.3:1</t>
        </is>
      </c>
      <c r="Y966" s="714">
        <f>ROUND(J966,-3)</f>
        <v/>
      </c>
      <c r="Z966" s="63" t="inlineStr">
        <is>
          <t xml:space="preserve">C </t>
        </is>
      </c>
      <c r="AA966" s="59" t="n">
        <v>3</v>
      </c>
      <c r="AB966" s="59" t="n">
        <v>3</v>
      </c>
      <c r="AC966" s="67" t="inlineStr">
        <is>
          <t>33</t>
        </is>
      </c>
      <c r="AD966" s="61" t="inlineStr">
        <is>
          <t xml:space="preserve">S-W ELECTRIC SUPPLY </t>
        </is>
      </c>
      <c r="AE966" s="716" t="n"/>
      <c r="AF966" s="716" t="n"/>
      <c r="AG966" s="716" t="n"/>
      <c r="AH966" s="716" t="n"/>
      <c r="AI966" s="716" t="n"/>
      <c r="AJ966" s="716" t="n"/>
      <c r="AK966" s="716" t="inlineStr">
        <is>
          <t xml:space="preserve">S-T WHSE.; MO-TO-MO LEASE.                                        </t>
        </is>
      </c>
      <c r="AL966">
        <f>IF(AND(ISNUMBER($S966),$S966&gt;0,ISNUMBER($K966),ISNUMBER($J966)),($K966*$J966)/$S966,"")</f>
        <v/>
      </c>
    </row>
    <row r="967">
      <c r="A967" s="62" t="n">
        <v>8</v>
      </c>
      <c r="B967" s="93" t="n">
        <v>959</v>
      </c>
      <c r="C967" s="68" t="inlineStr">
        <is>
          <t>2009Q</t>
        </is>
      </c>
      <c r="D967" s="59" t="inlineStr">
        <is>
          <t xml:space="preserve">05271-23-002-000 </t>
        </is>
      </c>
      <c r="E967" s="72" t="inlineStr">
        <is>
          <t>Actual</t>
        </is>
      </c>
      <c r="F967" s="73" t="inlineStr">
        <is>
          <t>2112 S WASHINGTON           ST</t>
        </is>
      </c>
      <c r="G967" s="708" t="n">
        <v>44.1</v>
      </c>
      <c r="H967" s="67" t="n">
        <v>9509</v>
      </c>
      <c r="I967" s="69" t="n">
        <v>0</v>
      </c>
      <c r="J967" s="714" t="n">
        <v>798</v>
      </c>
      <c r="K967" s="715" t="n">
        <v>11.2781954887218</v>
      </c>
      <c r="L967" s="74" t="n">
        <v>0</v>
      </c>
      <c r="M967" s="76" t="n">
        <v>0</v>
      </c>
      <c r="N967" s="67" t="n">
        <v>1956</v>
      </c>
      <c r="O967" s="64" t="n">
        <v>200</v>
      </c>
      <c r="Q967" s="59" t="n">
        <v>14</v>
      </c>
      <c r="R967" s="59" t="n">
        <v>3</v>
      </c>
      <c r="S967" s="59" t="n">
        <v>1</v>
      </c>
      <c r="T967" s="63" t="inlineStr">
        <is>
          <t xml:space="preserve">R2   </t>
        </is>
      </c>
      <c r="U967" s="63" t="n">
        <v>398</v>
      </c>
      <c r="V967" s="714" t="n">
        <v>4700</v>
      </c>
      <c r="W967" s="714" t="n">
        <v>5000</v>
      </c>
      <c r="X967" s="83" t="inlineStr">
        <is>
          <t>5.9:1</t>
        </is>
      </c>
      <c r="Y967" s="714">
        <f>ROUND(J967,-2)</f>
        <v/>
      </c>
      <c r="Z967" s="63" t="inlineStr">
        <is>
          <t xml:space="preserve">C </t>
        </is>
      </c>
      <c r="AA967" s="59" t="n">
        <v>3</v>
      </c>
      <c r="AB967" s="59" t="n">
        <v>3</v>
      </c>
      <c r="AC967" s="67" t="inlineStr">
        <is>
          <t>33</t>
        </is>
      </c>
      <c r="AD967" s="61" t="inlineStr">
        <is>
          <t xml:space="preserve">S-W D.C. PLUMBING   </t>
        </is>
      </c>
      <c r="AE967" s="716" t="n"/>
      <c r="AF967" s="716" t="n"/>
      <c r="AG967" s="716" t="n"/>
      <c r="AH967" s="716" t="n"/>
      <c r="AI967" s="716" t="n"/>
      <c r="AJ967" s="716" t="n"/>
      <c r="AK967" s="716" t="inlineStr">
        <is>
          <t xml:space="preserve">S-T WHSE.; NO LEASE.                                              </t>
        </is>
      </c>
      <c r="AL967">
        <f>IF(AND(ISNUMBER($S967),$S967&gt;0,ISNUMBER($K967),ISNUMBER($J967)),($K967*$J967)/$S967,"")</f>
        <v/>
      </c>
    </row>
    <row r="968">
      <c r="A968" s="62" t="n">
        <v>8</v>
      </c>
      <c r="B968" s="93" t="n">
        <v>960</v>
      </c>
      <c r="C968" s="68" t="inlineStr">
        <is>
          <t>2009Q</t>
        </is>
      </c>
      <c r="D968" s="59" t="inlineStr">
        <is>
          <t xml:space="preserve">05272-03-007-000 </t>
        </is>
      </c>
      <c r="E968" s="72" t="inlineStr">
        <is>
          <t>Actual</t>
        </is>
      </c>
      <c r="F968" s="73" t="inlineStr">
        <is>
          <t>1950 S CHEROKEE             ST</t>
        </is>
      </c>
      <c r="G968" s="708" t="n">
        <v>44.2</v>
      </c>
      <c r="H968" s="67" t="n">
        <v>9506</v>
      </c>
      <c r="I968" s="69" t="n">
        <v>0</v>
      </c>
      <c r="J968" s="714" t="n">
        <v>3594</v>
      </c>
      <c r="K968" s="715" t="n">
        <v>4.006677796327212</v>
      </c>
      <c r="L968" s="74" t="n">
        <v>0</v>
      </c>
      <c r="M968" s="76" t="n">
        <v>0</v>
      </c>
      <c r="N968" s="67" t="n">
        <v>1953</v>
      </c>
      <c r="Q968" s="59" t="n">
        <v>14</v>
      </c>
      <c r="R968" s="59" t="n">
        <v>3</v>
      </c>
      <c r="S968" s="59" t="n">
        <v>1</v>
      </c>
      <c r="T968" s="63" t="inlineStr">
        <is>
          <t xml:space="preserve">I1   </t>
        </is>
      </c>
      <c r="U968" s="63" t="n">
        <v>398</v>
      </c>
      <c r="V968" s="714" t="n">
        <v>12500</v>
      </c>
      <c r="W968" s="714" t="n">
        <v>13000</v>
      </c>
      <c r="X968" s="83" t="inlineStr">
        <is>
          <t>3.5:1</t>
        </is>
      </c>
      <c r="Y968" s="714">
        <f>ROUND(J968,-3)</f>
        <v/>
      </c>
      <c r="Z968" s="63" t="inlineStr">
        <is>
          <t xml:space="preserve">C </t>
        </is>
      </c>
      <c r="AA968" s="59" t="n">
        <v>3</v>
      </c>
      <c r="AB968" s="59" t="n">
        <v>3</v>
      </c>
      <c r="AC968" s="67" t="inlineStr">
        <is>
          <t>33</t>
        </is>
      </c>
      <c r="AD968" s="61" t="inlineStr">
        <is>
          <t>S-W PASTERKAMPS HEAT</t>
        </is>
      </c>
      <c r="AE968" s="716" t="n"/>
      <c r="AF968" s="716" t="n"/>
      <c r="AG968" s="716" t="n"/>
      <c r="AH968" s="716" t="n"/>
      <c r="AI968" s="716" t="n"/>
      <c r="AJ968" s="716" t="n"/>
      <c r="AK968" s="716" t="inlineStr">
        <is>
          <t xml:space="preserve">S-T WHSE.                                                         </t>
        </is>
      </c>
      <c r="AL968">
        <f>IF(AND(ISNUMBER($S968),$S968&gt;0,ISNUMBER($K968),ISNUMBER($J968)),($K968*$J968)/$S968,"")</f>
        <v/>
      </c>
    </row>
    <row r="969">
      <c r="A969" s="62" t="n">
        <v>8</v>
      </c>
      <c r="B969" s="93" t="n">
        <v>961</v>
      </c>
      <c r="C969" s="68" t="inlineStr">
        <is>
          <t>2009Q</t>
        </is>
      </c>
      <c r="D969" s="59" t="inlineStr">
        <is>
          <t xml:space="preserve">05272-03-029-000 </t>
        </is>
      </c>
      <c r="E969" s="72" t="inlineStr">
        <is>
          <t>Actual</t>
        </is>
      </c>
      <c r="F969" s="73" t="inlineStr">
        <is>
          <t>1930 S CHEROKEE             ST</t>
        </is>
      </c>
      <c r="G969" s="708" t="n">
        <v>44.2</v>
      </c>
      <c r="H969" s="67" t="n">
        <v>9506</v>
      </c>
      <c r="I969" s="69" t="n">
        <v>0</v>
      </c>
      <c r="J969" s="714" t="n">
        <v>11266</v>
      </c>
      <c r="K969" s="715" t="n">
        <v>5.81404225102077</v>
      </c>
      <c r="L969" s="74" t="n">
        <v>0</v>
      </c>
      <c r="M969" s="76" t="n">
        <v>0</v>
      </c>
      <c r="N969" s="67" t="n">
        <v>1968</v>
      </c>
      <c r="O969" s="64" t="n">
        <v>612</v>
      </c>
      <c r="Q969" s="59" t="n">
        <v>13</v>
      </c>
      <c r="R969" s="59" t="n">
        <v>1</v>
      </c>
      <c r="S969" s="59" t="n">
        <v>1</v>
      </c>
      <c r="T969" s="63" t="inlineStr">
        <is>
          <t xml:space="preserve">I1   </t>
        </is>
      </c>
      <c r="U969" s="63" t="n">
        <v>398</v>
      </c>
      <c r="V969" s="714" t="n">
        <v>15625</v>
      </c>
      <c r="W969" s="714" t="n">
        <v>16000</v>
      </c>
      <c r="X969" s="83" t="inlineStr">
        <is>
          <t>1.4:1</t>
        </is>
      </c>
      <c r="Y969" s="714">
        <f>ROUND(J969,-3)</f>
        <v/>
      </c>
      <c r="Z969" s="63" t="inlineStr">
        <is>
          <t xml:space="preserve">C </t>
        </is>
      </c>
      <c r="AA969" s="59" t="n">
        <v>3</v>
      </c>
      <c r="AB969" s="59" t="n">
        <v>3</v>
      </c>
      <c r="AC969" s="67" t="inlineStr">
        <is>
          <t>33</t>
        </is>
      </c>
      <c r="AD969" s="61" t="inlineStr">
        <is>
          <t>S-W PASTERKAMP PLUMB</t>
        </is>
      </c>
      <c r="AE969" s="716" t="n"/>
      <c r="AF969" s="716" t="n"/>
      <c r="AG969" s="716" t="n"/>
      <c r="AH969" s="716" t="n"/>
      <c r="AI969" s="716" t="n"/>
      <c r="AJ969" s="716" t="n"/>
      <c r="AK969" s="716" t="inlineStr">
        <is>
          <t xml:space="preserve">S-T WHSE.                                                         </t>
        </is>
      </c>
      <c r="AL969">
        <f>IF(AND(ISNUMBER($S969),$S969&gt;0,ISNUMBER($K969),ISNUMBER($J969)),($K969*$J969)/$S969,"")</f>
        <v/>
      </c>
    </row>
    <row r="970">
      <c r="A970" s="62" t="n">
        <v>8</v>
      </c>
      <c r="B970" s="93" t="n">
        <v>962</v>
      </c>
      <c r="C970" s="68" t="inlineStr">
        <is>
          <t>2009Q</t>
        </is>
      </c>
      <c r="D970" s="59" t="inlineStr">
        <is>
          <t xml:space="preserve">05272-06-018-000 </t>
        </is>
      </c>
      <c r="E970" s="72" t="inlineStr">
        <is>
          <t>Actual</t>
        </is>
      </c>
      <c r="F970" s="73" t="inlineStr">
        <is>
          <t>2000 S CHEROKEE             ST</t>
        </is>
      </c>
      <c r="G970" s="708" t="n">
        <v>44.2</v>
      </c>
      <c r="H970" s="67" t="n">
        <v>9506</v>
      </c>
      <c r="I970" s="69" t="n">
        <v>0</v>
      </c>
      <c r="J970" s="714" t="n">
        <v>9529</v>
      </c>
      <c r="K970" s="715" t="n">
        <v>6.29656837023822</v>
      </c>
      <c r="L970" s="74" t="n">
        <v>0</v>
      </c>
      <c r="M970" s="76" t="n">
        <v>0</v>
      </c>
      <c r="N970" s="67" t="n">
        <v>1958</v>
      </c>
      <c r="O970" s="64" t="n">
        <v>480</v>
      </c>
      <c r="Q970" s="59" t="n">
        <v>16</v>
      </c>
      <c r="R970" s="59" t="n">
        <v>3</v>
      </c>
      <c r="S970" s="59" t="n">
        <v>1</v>
      </c>
      <c r="T970" s="63" t="inlineStr">
        <is>
          <t xml:space="preserve">I1   </t>
        </is>
      </c>
      <c r="U970" s="63" t="n">
        <v>398</v>
      </c>
      <c r="V970" s="714" t="n">
        <v>12500</v>
      </c>
      <c r="W970" s="714" t="n">
        <v>13000</v>
      </c>
      <c r="X970" s="83" t="inlineStr">
        <is>
          <t>1.3:1</t>
        </is>
      </c>
      <c r="Y970" s="714">
        <f>ROUND(J970,-3)</f>
        <v/>
      </c>
      <c r="Z970" s="63" t="inlineStr">
        <is>
          <t xml:space="preserve">C </t>
        </is>
      </c>
      <c r="AA970" s="59" t="n">
        <v>3</v>
      </c>
      <c r="AB970" s="59" t="n">
        <v>3</v>
      </c>
      <c r="AC970" s="67" t="inlineStr">
        <is>
          <t>33</t>
        </is>
      </c>
      <c r="AD970" s="61" t="inlineStr">
        <is>
          <t xml:space="preserve">MULTILIFT           </t>
        </is>
      </c>
      <c r="AE970" s="716" t="n"/>
      <c r="AF970" s="716" t="n"/>
      <c r="AG970" s="716" t="n"/>
      <c r="AH970" s="716" t="n"/>
      <c r="AI970" s="716" t="n"/>
      <c r="AJ970" s="716" t="n"/>
      <c r="AK970" s="716" t="inlineStr">
        <is>
          <t xml:space="preserve">S-T WHSE.; 2008 LEASE USED.                                       </t>
        </is>
      </c>
      <c r="AL970">
        <f>IF(AND(ISNUMBER($S970),$S970&gt;0,ISNUMBER($K970),ISNUMBER($J970)),($K970*$J970)/$S970,"")</f>
        <v/>
      </c>
    </row>
    <row r="971">
      <c r="A971" s="62" t="n">
        <v>8</v>
      </c>
      <c r="B971" s="93" t="n">
        <v>963</v>
      </c>
      <c r="C971" s="68" t="inlineStr">
        <is>
          <t>2009Q</t>
        </is>
      </c>
      <c r="D971" s="59" t="inlineStr">
        <is>
          <t xml:space="preserve">05272-06-022-000 </t>
        </is>
      </c>
      <c r="E971" s="72" t="inlineStr">
        <is>
          <t>Actual</t>
        </is>
      </c>
      <c r="F971" s="73" t="inlineStr">
        <is>
          <t>2018 S CHEROKEE             ST</t>
        </is>
      </c>
      <c r="G971" s="708" t="n">
        <v>44.2</v>
      </c>
      <c r="H971" s="67" t="n">
        <v>9506</v>
      </c>
      <c r="I971" s="69" t="n">
        <v>0</v>
      </c>
      <c r="J971" s="714" t="n">
        <v>3158</v>
      </c>
      <c r="K971" s="715" t="n">
        <v>6.421785940468651</v>
      </c>
      <c r="L971" s="74" t="n">
        <v>0</v>
      </c>
      <c r="M971" s="76" t="n">
        <v>0</v>
      </c>
      <c r="N971" s="67" t="n">
        <v>1959</v>
      </c>
      <c r="Q971" s="59" t="n">
        <v>12</v>
      </c>
      <c r="R971" s="59" t="n">
        <v>1</v>
      </c>
      <c r="S971" s="59" t="n">
        <v>1</v>
      </c>
      <c r="T971" s="63" t="inlineStr">
        <is>
          <t xml:space="preserve">I1   </t>
        </is>
      </c>
      <c r="U971" s="63" t="n">
        <v>398</v>
      </c>
      <c r="V971" s="714" t="n">
        <v>6250</v>
      </c>
      <c r="W971" s="714" t="n">
        <v>6000</v>
      </c>
      <c r="X971" s="83" t="inlineStr">
        <is>
          <t>2.0:1</t>
        </is>
      </c>
      <c r="Y971" s="714">
        <f>ROUND(J971,-3)</f>
        <v/>
      </c>
      <c r="Z971" s="63" t="inlineStr">
        <is>
          <t xml:space="preserve">C </t>
        </is>
      </c>
      <c r="AA971" s="59" t="n">
        <v>3</v>
      </c>
      <c r="AB971" s="59" t="n">
        <v>3</v>
      </c>
      <c r="AC971" s="67" t="inlineStr">
        <is>
          <t>33</t>
        </is>
      </c>
      <c r="AD971" s="61" t="inlineStr">
        <is>
          <t xml:space="preserve">T &amp; D'S AUTO        </t>
        </is>
      </c>
      <c r="AE971" s="716" t="n"/>
      <c r="AF971" s="716" t="n"/>
      <c r="AG971" s="716" t="n"/>
      <c r="AH971" s="716" t="n"/>
      <c r="AI971" s="716" t="n"/>
      <c r="AJ971" s="716" t="n"/>
      <c r="AK971" s="716" t="inlineStr">
        <is>
          <t xml:space="preserve">S-T WHSE.                                                         </t>
        </is>
      </c>
      <c r="AL971">
        <f>IF(AND(ISNUMBER($S971),$S971&gt;0,ISNUMBER($K971),ISNUMBER($J971)),($K971*$J971)/$S971,"")</f>
        <v/>
      </c>
    </row>
    <row r="972">
      <c r="A972" s="62" t="n">
        <v>8</v>
      </c>
      <c r="B972" s="93" t="n">
        <v>964</v>
      </c>
      <c r="C972" s="68" t="inlineStr">
        <is>
          <t>2009Q</t>
        </is>
      </c>
      <c r="D972" s="59" t="inlineStr">
        <is>
          <t xml:space="preserve">05272-07-037-000 </t>
        </is>
      </c>
      <c r="E972" s="72" t="inlineStr">
        <is>
          <t>Actual</t>
        </is>
      </c>
      <c r="F972" s="73" t="inlineStr">
        <is>
          <t>2026 S BANNOCK              ST</t>
        </is>
      </c>
      <c r="G972" s="708" t="inlineStr">
        <is>
          <t>44.M</t>
        </is>
      </c>
      <c r="H972" s="67" t="n">
        <v>9506</v>
      </c>
      <c r="I972" s="69" t="n">
        <v>0</v>
      </c>
      <c r="J972" s="714" t="n">
        <v>1815</v>
      </c>
      <c r="K972" s="715" t="n">
        <v>5.057851239669422</v>
      </c>
      <c r="L972" s="74" t="n">
        <v>0</v>
      </c>
      <c r="M972" s="76" t="n">
        <v>0.1047930283224401</v>
      </c>
      <c r="N972" s="67" t="n">
        <v>1986</v>
      </c>
      <c r="Q972" s="59" t="n">
        <v>10</v>
      </c>
      <c r="R972" s="59" t="n">
        <v>2</v>
      </c>
      <c r="S972" s="59" t="n">
        <v>1</v>
      </c>
      <c r="T972" s="63" t="inlineStr">
        <is>
          <t xml:space="preserve">I1   </t>
        </is>
      </c>
      <c r="U972" s="63" t="n">
        <v>398</v>
      </c>
      <c r="V972" s="714" t="n">
        <v>6250</v>
      </c>
      <c r="W972" s="714" t="n">
        <v>6000</v>
      </c>
      <c r="X972" s="83" t="inlineStr">
        <is>
          <t>3.4:1</t>
        </is>
      </c>
      <c r="Y972" s="714">
        <f>ROUND(J972,-2)</f>
        <v/>
      </c>
      <c r="Z972" s="63" t="inlineStr">
        <is>
          <t xml:space="preserve">C </t>
        </is>
      </c>
      <c r="AA972" s="59" t="n">
        <v>3</v>
      </c>
      <c r="AB972" s="59" t="n">
        <v>1</v>
      </c>
      <c r="AC972" s="67" t="inlineStr">
        <is>
          <t>31</t>
        </is>
      </c>
      <c r="AD972" s="61" t="inlineStr"/>
      <c r="AE972" s="716" t="n"/>
      <c r="AF972" s="716" t="n"/>
      <c r="AG972" s="716" t="n"/>
      <c r="AH972" s="716" t="n"/>
      <c r="AI972" s="716" t="n"/>
      <c r="AJ972" s="716" t="n"/>
      <c r="AK972" s="716" t="inlineStr">
        <is>
          <t xml:space="preserve">S-T BARN - MORE OF A SHED THAN TRUE WHSE.; LEASE DETAIL UNKNOWN.  </t>
        </is>
      </c>
      <c r="AL972">
        <f>IF(AND(ISNUMBER($S972),$S972&gt;0,ISNUMBER($K972),ISNUMBER($J972)),($K972*$J972)/$S972,"")</f>
        <v/>
      </c>
    </row>
    <row r="973">
      <c r="A973" s="62" t="n">
        <v>8</v>
      </c>
      <c r="B973" s="93" t="n">
        <v>965</v>
      </c>
      <c r="C973" s="68" t="inlineStr">
        <is>
          <t>2009Q</t>
        </is>
      </c>
      <c r="D973" s="59" t="inlineStr">
        <is>
          <t xml:space="preserve">05272-18-001-000 </t>
        </is>
      </c>
      <c r="E973" s="72" t="inlineStr">
        <is>
          <t>Actual</t>
        </is>
      </c>
      <c r="F973" s="73" t="inlineStr">
        <is>
          <t>2201 S DELAWARE             ST</t>
        </is>
      </c>
      <c r="G973" s="708" t="n">
        <v>44.2</v>
      </c>
      <c r="H973" s="67" t="n">
        <v>9506</v>
      </c>
      <c r="I973" s="69" t="n">
        <v>0</v>
      </c>
      <c r="J973" s="714" t="n">
        <v>15906</v>
      </c>
      <c r="K973" s="715" t="n">
        <v>2.715956242927197</v>
      </c>
      <c r="L973" s="74" t="n">
        <v>0</v>
      </c>
      <c r="M973" s="76" t="n">
        <v>0</v>
      </c>
      <c r="N973" s="67" t="n">
        <v>1915</v>
      </c>
      <c r="Q973" s="59" t="n">
        <v>16</v>
      </c>
      <c r="R973" s="59" t="n">
        <v>1</v>
      </c>
      <c r="S973" s="59" t="n">
        <v>1</v>
      </c>
      <c r="T973" s="63" t="inlineStr">
        <is>
          <t xml:space="preserve">I1   </t>
        </is>
      </c>
      <c r="U973" s="63" t="n">
        <v>398</v>
      </c>
      <c r="V973" s="714" t="n">
        <v>35250</v>
      </c>
      <c r="W973" s="714" t="n">
        <v>35000</v>
      </c>
      <c r="X973" s="83" t="inlineStr">
        <is>
          <t>2.2:1</t>
        </is>
      </c>
      <c r="Y973" s="714">
        <f>ROUND(J973,-3)</f>
        <v/>
      </c>
      <c r="Z973" s="63" t="inlineStr">
        <is>
          <t xml:space="preserve">C </t>
        </is>
      </c>
      <c r="AA973" s="59" t="n">
        <v>3</v>
      </c>
      <c r="AB973" s="59" t="n">
        <v>3</v>
      </c>
      <c r="AC973" s="67" t="inlineStr">
        <is>
          <t>33</t>
        </is>
      </c>
      <c r="AD973" s="61" t="inlineStr"/>
      <c r="AE973" s="716" t="n"/>
      <c r="AF973" s="716" t="n"/>
      <c r="AG973" s="716" t="n"/>
      <c r="AH973" s="716" t="n"/>
      <c r="AI973" s="716" t="n"/>
      <c r="AJ973" s="716" t="n"/>
      <c r="AK973" s="716" t="inlineStr">
        <is>
          <t xml:space="preserve">S-T WHSE.                                                         </t>
        </is>
      </c>
      <c r="AL973">
        <f>IF(AND(ISNUMBER($S973),$S973&gt;0,ISNUMBER($K973),ISNUMBER($J973)),($K973*$J973)/$S973,"")</f>
        <v/>
      </c>
    </row>
    <row r="974">
      <c r="A974" s="62" t="n">
        <v>8</v>
      </c>
      <c r="B974" s="93" t="n">
        <v>966</v>
      </c>
      <c r="C974" s="68" t="inlineStr">
        <is>
          <t>2009W</t>
        </is>
      </c>
      <c r="D974" s="59" t="inlineStr">
        <is>
          <t>05272-23-030-000</t>
        </is>
      </c>
      <c r="E974" s="63" t="inlineStr">
        <is>
          <t>Actual</t>
        </is>
      </c>
      <c r="F974" s="59" t="inlineStr">
        <is>
          <t>2240 S. Broadway</t>
        </is>
      </c>
      <c r="G974" s="708" t="n">
        <v>44.1</v>
      </c>
      <c r="H974" s="59" t="n">
        <v>9509</v>
      </c>
      <c r="I974" s="63" t="n">
        <v>0</v>
      </c>
      <c r="J974" s="64" t="n">
        <v>7934</v>
      </c>
      <c r="K974" s="715" t="n">
        <v>6.81</v>
      </c>
      <c r="L974" s="88" t="n">
        <v>0</v>
      </c>
      <c r="M974" s="88" t="n">
        <v>0</v>
      </c>
      <c r="N974" s="59" t="n">
        <v>1974</v>
      </c>
      <c r="O974" s="714" t="n">
        <v>0</v>
      </c>
      <c r="P974" s="714" t="n">
        <v>2556</v>
      </c>
      <c r="Q974" s="59" t="n">
        <v>13</v>
      </c>
      <c r="R974" s="59" t="n">
        <v>3</v>
      </c>
      <c r="S974" s="59" t="n">
        <v>1</v>
      </c>
      <c r="T974" s="63" t="inlineStr">
        <is>
          <t>B4</t>
        </is>
      </c>
      <c r="U974" s="63" t="n">
        <v>398</v>
      </c>
      <c r="V974" s="714" t="n">
        <v>7812</v>
      </c>
      <c r="W974" s="714" t="n">
        <v>8000</v>
      </c>
      <c r="X974" s="67" t="inlineStr">
        <is>
          <t>1.0:1</t>
        </is>
      </c>
      <c r="Y974" s="714" t="n">
        <v>8000</v>
      </c>
      <c r="Z974" s="63" t="inlineStr">
        <is>
          <t>C</t>
        </is>
      </c>
      <c r="AA974" s="59" t="n">
        <v>3</v>
      </c>
      <c r="AB974" s="59" t="n">
        <v>3</v>
      </c>
      <c r="AC974" s="59" t="n">
        <v>33</v>
      </c>
      <c r="AE974" s="701" t="n">
        <v>6.81</v>
      </c>
      <c r="AF974" s="723" t="n">
        <v>6.81</v>
      </c>
      <c r="AG974" s="723" t="n">
        <v>6.81</v>
      </c>
      <c r="AH974" s="723" t="n">
        <v>0</v>
      </c>
      <c r="AI974" s="723" t="inlineStr">
        <is>
          <t>-</t>
        </is>
      </c>
      <c r="AJ974" s="701" t="inlineStr">
        <is>
          <t>-</t>
        </is>
      </c>
      <c r="AL974">
        <f>IF(AND(ISNUMBER($S974),$S974&gt;0,ISNUMBER($K974),ISNUMBER($J974)),($K974*$J974)/$S974,"")</f>
        <v/>
      </c>
      <c r="AN974" s="716" t="n"/>
      <c r="AO974" s="716" t="n"/>
      <c r="AP974" s="716" t="n"/>
    </row>
    <row r="975">
      <c r="A975" s="62" t="n">
        <v>8</v>
      </c>
      <c r="B975" s="93" t="n">
        <v>967</v>
      </c>
      <c r="C975" s="68" t="inlineStr">
        <is>
          <t>2009Q</t>
        </is>
      </c>
      <c r="D975" s="59" t="inlineStr">
        <is>
          <t xml:space="preserve">05273-12-011-000 </t>
        </is>
      </c>
      <c r="E975" s="72" t="inlineStr">
        <is>
          <t>Actual</t>
        </is>
      </c>
      <c r="F975" s="73" t="inlineStr">
        <is>
          <t>2120 S PLATTE RIVER         DR</t>
        </is>
      </c>
      <c r="G975" s="708" t="n">
        <v>44.1</v>
      </c>
      <c r="H975" s="67" t="n">
        <v>9506</v>
      </c>
      <c r="I975" s="69" t="n">
        <v>0</v>
      </c>
      <c r="J975" s="714" t="n">
        <v>2500</v>
      </c>
      <c r="K975" s="715" t="n">
        <v>9.119999999999999</v>
      </c>
      <c r="L975" s="74" t="n">
        <v>0.33</v>
      </c>
      <c r="M975" s="76" t="n">
        <v>0.0887280701754386</v>
      </c>
      <c r="N975" s="67" t="n">
        <v>1959</v>
      </c>
      <c r="O975" s="64" t="n">
        <v>625</v>
      </c>
      <c r="Q975" s="59" t="n">
        <v>10</v>
      </c>
      <c r="R975" s="59" t="n">
        <v>1</v>
      </c>
      <c r="S975" s="59" t="n">
        <v>1</v>
      </c>
      <c r="T975" s="63" t="inlineStr">
        <is>
          <t xml:space="preserve">I0   </t>
        </is>
      </c>
      <c r="U975" s="63" t="n">
        <v>398</v>
      </c>
      <c r="V975" s="714" t="n">
        <v>7753</v>
      </c>
      <c r="W975" s="714" t="n">
        <v>8000</v>
      </c>
      <c r="X975" s="83" t="inlineStr">
        <is>
          <t>3.1:1</t>
        </is>
      </c>
      <c r="Y975" s="714">
        <f>ROUND(J975,-3)</f>
        <v/>
      </c>
      <c r="Z975" s="63" t="inlineStr">
        <is>
          <t xml:space="preserve">C </t>
        </is>
      </c>
      <c r="AA975" s="59" t="n">
        <v>3</v>
      </c>
      <c r="AB975" s="59" t="n">
        <v>3</v>
      </c>
      <c r="AC975" s="67" t="inlineStr">
        <is>
          <t>33</t>
        </is>
      </c>
      <c r="AD975" s="61" t="inlineStr">
        <is>
          <t>S-W CENTENNIAL MACH.</t>
        </is>
      </c>
      <c r="AE975" s="716" t="n"/>
      <c r="AF975" s="716" t="n"/>
      <c r="AG975" s="716" t="n"/>
      <c r="AH975" s="716" t="n"/>
      <c r="AI975" s="716" t="n"/>
      <c r="AJ975" s="716" t="n"/>
      <c r="AK975" s="716" t="inlineStr">
        <is>
          <t xml:space="preserve">S-T WHSE.                                                         </t>
        </is>
      </c>
      <c r="AL975">
        <f>IF(AND(ISNUMBER($S975),$S975&gt;0,ISNUMBER($K975),ISNUMBER($J975)),($K975*$J975)/$S975,"")</f>
        <v/>
      </c>
    </row>
    <row r="976">
      <c r="A976" s="62" t="n">
        <v>8</v>
      </c>
      <c r="B976" s="93" t="n">
        <v>968</v>
      </c>
      <c r="C976" s="68" t="inlineStr">
        <is>
          <t>2009Q</t>
        </is>
      </c>
      <c r="D976" s="59" t="inlineStr">
        <is>
          <t xml:space="preserve">05273-15-021-000 </t>
        </is>
      </c>
      <c r="E976" s="72" t="inlineStr">
        <is>
          <t>Actual</t>
        </is>
      </c>
      <c r="F976" s="73" t="inlineStr">
        <is>
          <t>2200 S FOX                  ST</t>
        </is>
      </c>
      <c r="G976" s="708" t="n">
        <v>44.1</v>
      </c>
      <c r="H976" s="67" t="n">
        <v>9506</v>
      </c>
      <c r="I976" s="69" t="n">
        <v>0</v>
      </c>
      <c r="J976" s="714" t="n">
        <v>3136</v>
      </c>
      <c r="K976" s="715" t="n">
        <v>6.696428571428571</v>
      </c>
      <c r="L976" s="74" t="n">
        <v>0</v>
      </c>
      <c r="M976" s="76" t="n">
        <v>0</v>
      </c>
      <c r="N976" s="67" t="n">
        <v>1981</v>
      </c>
      <c r="O976" s="64" t="inlineStr"/>
      <c r="P976" s="64" t="n">
        <v>729</v>
      </c>
      <c r="Q976" s="59" t="n">
        <v>14</v>
      </c>
      <c r="R976" s="59" t="n">
        <v>8</v>
      </c>
      <c r="S976" s="59" t="n">
        <v>1</v>
      </c>
      <c r="T976" s="63" t="inlineStr">
        <is>
          <t xml:space="preserve">B4   </t>
        </is>
      </c>
      <c r="U976" s="63" t="n">
        <v>398</v>
      </c>
      <c r="V976" s="714" t="n">
        <v>14258</v>
      </c>
      <c r="W976" s="714" t="n">
        <v>14000</v>
      </c>
      <c r="X976" s="83" t="inlineStr">
        <is>
          <t>4.5:1</t>
        </is>
      </c>
      <c r="Y976" s="714">
        <f>ROUND(J976,-3)</f>
        <v/>
      </c>
      <c r="Z976" s="63" t="inlineStr">
        <is>
          <t xml:space="preserve">C </t>
        </is>
      </c>
      <c r="AA976" s="59" t="n">
        <v>3</v>
      </c>
      <c r="AB976" s="59" t="n">
        <v>2</v>
      </c>
      <c r="AC976" s="67" t="inlineStr">
        <is>
          <t>32</t>
        </is>
      </c>
      <c r="AD976" s="61" t="inlineStr">
        <is>
          <t xml:space="preserve">S-W WALTERS AUTO    </t>
        </is>
      </c>
      <c r="AE976" s="716" t="n"/>
      <c r="AF976" s="716" t="n"/>
      <c r="AG976" s="716" t="n"/>
      <c r="AH976" s="716" t="n"/>
      <c r="AI976" s="716" t="n"/>
      <c r="AJ976" s="716" t="n"/>
      <c r="AK976" s="716" t="inlineStr">
        <is>
          <t xml:space="preserve">S-T WHSE.; 2005 LEASE.                                            </t>
        </is>
      </c>
      <c r="AL976">
        <f>IF(AND(ISNUMBER($S976),$S976&gt;0,ISNUMBER($K976),ISNUMBER($J976)),($K976*$J976)/$S976,"")</f>
        <v/>
      </c>
    </row>
    <row r="977">
      <c r="A977" s="62" t="n">
        <v>8</v>
      </c>
      <c r="B977" s="93" t="n">
        <v>969</v>
      </c>
      <c r="C977" s="68" t="inlineStr">
        <is>
          <t>2009Q</t>
        </is>
      </c>
      <c r="D977" s="59" t="inlineStr">
        <is>
          <t xml:space="preserve">05274-03-008-000 </t>
        </is>
      </c>
      <c r="E977" s="72" t="inlineStr">
        <is>
          <t>Actual</t>
        </is>
      </c>
      <c r="F977" s="73" t="inlineStr">
        <is>
          <t>2385 S DELAWARE             ST</t>
        </is>
      </c>
      <c r="G977" s="708" t="n">
        <v>44.2</v>
      </c>
      <c r="H977" s="67" t="n">
        <v>9506</v>
      </c>
      <c r="I977" s="69" t="n">
        <v>0</v>
      </c>
      <c r="J977" s="714" t="n">
        <v>14970</v>
      </c>
      <c r="K977" s="715" t="n">
        <v>4.008016032064128</v>
      </c>
      <c r="L977" s="74" t="n">
        <v>0</v>
      </c>
      <c r="M977" s="76" t="n">
        <v>0</v>
      </c>
      <c r="N977" s="67" t="n">
        <v>1960</v>
      </c>
      <c r="O977" s="64" t="n">
        <v>1407</v>
      </c>
      <c r="Q977" s="59" t="n">
        <v>13</v>
      </c>
      <c r="R977" s="59" t="n">
        <v>3</v>
      </c>
      <c r="S977" s="59" t="n">
        <v>1</v>
      </c>
      <c r="T977" s="63" t="inlineStr">
        <is>
          <t xml:space="preserve">I1   </t>
        </is>
      </c>
      <c r="U977" s="63" t="n">
        <v>398</v>
      </c>
      <c r="V977" s="714" t="n">
        <v>17968</v>
      </c>
      <c r="W977" s="714" t="n">
        <v>18000</v>
      </c>
      <c r="X977" s="83" t="inlineStr">
        <is>
          <t>1.2:1</t>
        </is>
      </c>
      <c r="Y977" s="714">
        <f>ROUND(J977,-3)</f>
        <v/>
      </c>
      <c r="Z977" s="63" t="inlineStr">
        <is>
          <t xml:space="preserve">C </t>
        </is>
      </c>
      <c r="AA977" s="59" t="n">
        <v>3</v>
      </c>
      <c r="AB977" s="59" t="n">
        <v>1</v>
      </c>
      <c r="AC977" s="67" t="inlineStr">
        <is>
          <t>31</t>
        </is>
      </c>
      <c r="AD977" s="61" t="inlineStr"/>
      <c r="AE977" s="716" t="n"/>
      <c r="AF977" s="716" t="n"/>
      <c r="AG977" s="716" t="n"/>
      <c r="AH977" s="716" t="n"/>
      <c r="AI977" s="716" t="n"/>
      <c r="AJ977" s="716" t="n"/>
      <c r="AK977" s="716" t="inlineStr">
        <is>
          <t xml:space="preserve">S-T WHSE.; 2006 LEASE.                                            </t>
        </is>
      </c>
      <c r="AL977">
        <f>IF(AND(ISNUMBER($S977),$S977&gt;0,ISNUMBER($K977),ISNUMBER($J977)),($K977*$J977)/$S977,"")</f>
        <v/>
      </c>
    </row>
    <row r="978">
      <c r="A978" s="62" t="n">
        <v>8</v>
      </c>
      <c r="B978" s="93" t="n">
        <v>970</v>
      </c>
      <c r="C978" s="68" t="inlineStr">
        <is>
          <t>2009Q</t>
        </is>
      </c>
      <c r="D978" s="59" t="inlineStr">
        <is>
          <t xml:space="preserve">05274-03-009-000 </t>
        </is>
      </c>
      <c r="E978" s="72" t="inlineStr">
        <is>
          <t>Actual</t>
        </is>
      </c>
      <c r="F978" s="73" t="inlineStr">
        <is>
          <t>2345 S DELAWARE             ST</t>
        </is>
      </c>
      <c r="G978" s="708" t="n">
        <v>47.2</v>
      </c>
      <c r="H978" s="67" t="n">
        <v>9506</v>
      </c>
      <c r="I978" s="69" t="n">
        <v>0</v>
      </c>
      <c r="J978" s="714" t="n">
        <v>28581</v>
      </c>
      <c r="K978" s="715" t="n">
        <v>3.988663797627795</v>
      </c>
      <c r="L978" s="74" t="n">
        <v>0</v>
      </c>
      <c r="M978" s="76" t="n">
        <v>0</v>
      </c>
      <c r="N978" s="67" t="n">
        <v>1961</v>
      </c>
      <c r="O978" s="64" t="n">
        <v>6364</v>
      </c>
      <c r="Q978" s="59" t="n">
        <v>13</v>
      </c>
      <c r="R978" s="59" t="n">
        <v>3</v>
      </c>
      <c r="S978" s="59" t="n">
        <v>1</v>
      </c>
      <c r="T978" s="63" t="inlineStr">
        <is>
          <t xml:space="preserve">I1   </t>
        </is>
      </c>
      <c r="U978" s="63" t="n">
        <v>401</v>
      </c>
      <c r="V978" s="714" t="n">
        <v>38282</v>
      </c>
      <c r="W978" s="714" t="n">
        <v>38000</v>
      </c>
      <c r="X978" s="83" t="inlineStr">
        <is>
          <t>1.3:1</t>
        </is>
      </c>
      <c r="Y978" s="714">
        <f>ROUND(J978,-3)</f>
        <v/>
      </c>
      <c r="Z978" s="63" t="inlineStr">
        <is>
          <t xml:space="preserve">C </t>
        </is>
      </c>
      <c r="AA978" s="59" t="n">
        <v>3</v>
      </c>
      <c r="AB978" s="59" t="n">
        <v>2</v>
      </c>
      <c r="AC978" s="67" t="inlineStr">
        <is>
          <t>32</t>
        </is>
      </c>
      <c r="AD978" s="61" t="inlineStr">
        <is>
          <t xml:space="preserve">S-F GOLESH INC.     </t>
        </is>
      </c>
      <c r="AE978" s="716" t="n"/>
      <c r="AF978" s="716" t="n"/>
      <c r="AG978" s="716" t="n"/>
      <c r="AH978" s="716" t="n"/>
      <c r="AI978" s="716" t="n"/>
      <c r="AJ978" s="716" t="n"/>
      <c r="AK978" s="716" t="inlineStr">
        <is>
          <t xml:space="preserve">S-T WHSE.; 2006 LEASE.                                            </t>
        </is>
      </c>
      <c r="AL978">
        <f>IF(AND(ISNUMBER($S978),$S978&gt;0,ISNUMBER($K978),ISNUMBER($J978)),($K978*$J978)/$S978,"")</f>
        <v/>
      </c>
    </row>
    <row r="979">
      <c r="A979" s="62" t="n">
        <v>8</v>
      </c>
      <c r="B979" s="93" t="n">
        <v>971</v>
      </c>
      <c r="C979" s="68" t="inlineStr">
        <is>
          <t>2009Q</t>
        </is>
      </c>
      <c r="D979" s="59" t="inlineStr">
        <is>
          <t xml:space="preserve">05274-11-008-000 </t>
        </is>
      </c>
      <c r="E979" s="72" t="inlineStr">
        <is>
          <t>Actual</t>
        </is>
      </c>
      <c r="F979" s="73" t="inlineStr">
        <is>
          <t>2525 S DELAWARE             ST</t>
        </is>
      </c>
      <c r="G979" s="708" t="n">
        <v>47.1</v>
      </c>
      <c r="H979" s="67" t="n">
        <v>9506</v>
      </c>
      <c r="I979" s="69" t="n">
        <v>0</v>
      </c>
      <c r="J979" s="714" t="n">
        <v>63727</v>
      </c>
      <c r="K979" s="715" t="n">
        <v>3.124264440504025</v>
      </c>
      <c r="L979" s="74" t="n">
        <v>0</v>
      </c>
      <c r="M979" s="76" t="n">
        <v>0</v>
      </c>
      <c r="N979" s="67" t="n">
        <v>1964</v>
      </c>
      <c r="O979" s="64" t="n">
        <v>3520</v>
      </c>
      <c r="Q979" s="59" t="n">
        <v>19</v>
      </c>
      <c r="R979" s="59" t="n">
        <v>10</v>
      </c>
      <c r="S979" s="59" t="n">
        <v>1</v>
      </c>
      <c r="T979" s="63" t="inlineStr">
        <is>
          <t xml:space="preserve">I1   </t>
        </is>
      </c>
      <c r="U979" s="63" t="n">
        <v>401</v>
      </c>
      <c r="V979" s="714" t="n">
        <v>192233</v>
      </c>
      <c r="W979" s="714" t="n">
        <v>190000</v>
      </c>
      <c r="X979" s="83" t="inlineStr">
        <is>
          <t>3.0:1</t>
        </is>
      </c>
      <c r="Y979" s="714">
        <f>ROUND(J979,-4)</f>
        <v/>
      </c>
      <c r="Z979" s="63" t="inlineStr">
        <is>
          <t xml:space="preserve">C </t>
        </is>
      </c>
      <c r="AA979" s="59" t="n">
        <v>1</v>
      </c>
      <c r="AB979" s="59" t="n">
        <v>3</v>
      </c>
      <c r="AC979" s="67" t="inlineStr">
        <is>
          <t>13</t>
        </is>
      </c>
      <c r="AD979" s="61" t="inlineStr"/>
      <c r="AE979" s="716" t="n"/>
      <c r="AF979" s="716" t="n"/>
      <c r="AG979" s="716" t="n"/>
      <c r="AH979" s="716" t="n"/>
      <c r="AI979" s="716" t="n"/>
      <c r="AJ979" s="716" t="n"/>
      <c r="AK979" s="716" t="inlineStr">
        <is>
          <t xml:space="preserve">S-T INDUSTRIAL BLDG.                                              </t>
        </is>
      </c>
      <c r="AL979">
        <f>IF(AND(ISNUMBER($S979),$S979&gt;0,ISNUMBER($K979),ISNUMBER($J979)),($K979*$J979)/$S979,"")</f>
        <v/>
      </c>
    </row>
    <row r="980">
      <c r="A980" s="62" t="n">
        <v>8</v>
      </c>
      <c r="B980" s="93" t="n">
        <v>972</v>
      </c>
      <c r="C980" s="68" t="inlineStr">
        <is>
          <t>2009Q</t>
        </is>
      </c>
      <c r="D980" s="59" t="inlineStr">
        <is>
          <t xml:space="preserve">05274-12-031-000 </t>
        </is>
      </c>
      <c r="E980" s="72" t="inlineStr">
        <is>
          <t>Actual</t>
        </is>
      </c>
      <c r="F980" s="73" t="inlineStr">
        <is>
          <t>2484 S DELAWARE             ST</t>
        </is>
      </c>
      <c r="G980" s="708" t="n">
        <v>44.2</v>
      </c>
      <c r="H980" s="67" t="n">
        <v>9506</v>
      </c>
      <c r="I980" s="69" t="n">
        <v>0</v>
      </c>
      <c r="J980" s="714" t="n">
        <v>5640</v>
      </c>
      <c r="K980" s="715" t="n">
        <v>3.872340425531915</v>
      </c>
      <c r="L980" s="74" t="n">
        <v>1</v>
      </c>
      <c r="M980" s="76" t="n">
        <v>0.05622710622710623</v>
      </c>
      <c r="N980" s="67" t="n">
        <v>1999</v>
      </c>
      <c r="O980" s="64" t="n">
        <v>734</v>
      </c>
      <c r="Q980" s="59" t="n">
        <v>18</v>
      </c>
      <c r="R980" s="59" t="n">
        <v>3</v>
      </c>
      <c r="S980" s="59" t="n">
        <v>1</v>
      </c>
      <c r="T980" s="63" t="inlineStr">
        <is>
          <t xml:space="preserve">I0   </t>
        </is>
      </c>
      <c r="U980" s="63" t="n">
        <v>398</v>
      </c>
      <c r="V980" s="714" t="n">
        <v>12500</v>
      </c>
      <c r="W980" s="714" t="n">
        <v>13000</v>
      </c>
      <c r="X980" s="83" t="inlineStr">
        <is>
          <t>2.2:1</t>
        </is>
      </c>
      <c r="Y980" s="714">
        <f>ROUND(J980,-3)</f>
        <v/>
      </c>
      <c r="Z980" s="63" t="inlineStr">
        <is>
          <t xml:space="preserve">C </t>
        </is>
      </c>
      <c r="AA980" s="59" t="n">
        <v>3</v>
      </c>
      <c r="AB980" s="59" t="n">
        <v>3</v>
      </c>
      <c r="AC980" s="67" t="inlineStr">
        <is>
          <t>33</t>
        </is>
      </c>
      <c r="AD980" s="61" t="inlineStr"/>
      <c r="AE980" s="716" t="n"/>
      <c r="AF980" s="716" t="n"/>
      <c r="AG980" s="716" t="n"/>
      <c r="AH980" s="716" t="n"/>
      <c r="AI980" s="716" t="n"/>
      <c r="AJ980" s="716" t="n"/>
      <c r="AK980" s="716" t="inlineStr">
        <is>
          <t xml:space="preserve">S-T WHSE.; NO LEASE.                                              </t>
        </is>
      </c>
      <c r="AL980">
        <f>IF(AND(ISNUMBER($S980),$S980&gt;0,ISNUMBER($K980),ISNUMBER($J980)),($K980*$J980)/$S980,"")</f>
        <v/>
      </c>
    </row>
    <row r="981">
      <c r="A981" s="62" t="n">
        <v>8</v>
      </c>
      <c r="B981" s="93" t="n">
        <v>973</v>
      </c>
      <c r="C981" s="68" t="inlineStr">
        <is>
          <t>2009Q</t>
        </is>
      </c>
      <c r="D981" s="59" t="inlineStr">
        <is>
          <t xml:space="preserve">05274-15-029-000 </t>
        </is>
      </c>
      <c r="E981" s="72" t="inlineStr">
        <is>
          <t>Actual</t>
        </is>
      </c>
      <c r="F981" s="73" t="inlineStr">
        <is>
          <t>2536 S DELAWARE             ST</t>
        </is>
      </c>
      <c r="G981" s="708" t="n">
        <v>47.1</v>
      </c>
      <c r="H981" s="67" t="n">
        <v>9506</v>
      </c>
      <c r="I981" s="69" t="n">
        <v>0</v>
      </c>
      <c r="J981" s="714" t="n">
        <v>2487</v>
      </c>
      <c r="K981" s="715" t="n">
        <v>9.650180940892641</v>
      </c>
      <c r="L981" s="74" t="n">
        <v>0</v>
      </c>
      <c r="M981" s="76" t="n">
        <v>0.140125</v>
      </c>
      <c r="N981" s="67" t="n">
        <v>1954</v>
      </c>
      <c r="P981" s="64" t="n">
        <v>1188</v>
      </c>
      <c r="Q981" s="59" t="n">
        <v>16</v>
      </c>
      <c r="R981" s="59" t="n">
        <v>3</v>
      </c>
      <c r="S981" s="59" t="n">
        <v>1</v>
      </c>
      <c r="T981" s="63" t="inlineStr">
        <is>
          <t xml:space="preserve">I0   </t>
        </is>
      </c>
      <c r="U981" s="63" t="n">
        <v>401</v>
      </c>
      <c r="V981" s="714" t="n">
        <v>12500</v>
      </c>
      <c r="W981" s="714" t="n">
        <v>13000</v>
      </c>
      <c r="X981" s="83" t="inlineStr">
        <is>
          <t>5.0:1</t>
        </is>
      </c>
      <c r="Y981" s="714">
        <f>ROUND(J981,-3)</f>
        <v/>
      </c>
      <c r="Z981" s="63" t="inlineStr">
        <is>
          <t xml:space="preserve">C </t>
        </is>
      </c>
      <c r="AA981" s="59" t="n">
        <v>3</v>
      </c>
      <c r="AB981" s="59" t="n">
        <v>3</v>
      </c>
      <c r="AC981" s="67" t="inlineStr">
        <is>
          <t>33</t>
        </is>
      </c>
      <c r="AD981" s="61" t="inlineStr">
        <is>
          <t xml:space="preserve">S-W CS GROUP        </t>
        </is>
      </c>
      <c r="AE981" s="716" t="n"/>
      <c r="AF981" s="716" t="n"/>
      <c r="AG981" s="716" t="n"/>
      <c r="AH981" s="716" t="n"/>
      <c r="AI981" s="716" t="n"/>
      <c r="AJ981" s="716" t="n"/>
      <c r="AK981" s="716" t="inlineStr">
        <is>
          <t xml:space="preserve">S-T WHSE.; MO-TO-MO LEASE.                                        </t>
        </is>
      </c>
      <c r="AL981">
        <f>IF(AND(ISNUMBER($S981),$S981&gt;0,ISNUMBER($K981),ISNUMBER($J981)),($K981*$J981)/$S981,"")</f>
        <v/>
      </c>
    </row>
    <row r="982">
      <c r="A982" s="62" t="n">
        <v>8</v>
      </c>
      <c r="B982" s="93" t="n">
        <v>974</v>
      </c>
      <c r="C982" s="68" t="inlineStr">
        <is>
          <t>2009Q</t>
        </is>
      </c>
      <c r="D982" s="59" t="inlineStr">
        <is>
          <t xml:space="preserve">05275-02-011-000 </t>
        </is>
      </c>
      <c r="E982" s="72" t="inlineStr">
        <is>
          <t>Actual</t>
        </is>
      </c>
      <c r="F982" s="73" t="inlineStr">
        <is>
          <t>2376 S BROADWAY             ST</t>
        </is>
      </c>
      <c r="G982" s="708" t="n">
        <v>44.1</v>
      </c>
      <c r="H982" s="67" t="n">
        <v>9509</v>
      </c>
      <c r="I982" s="69" t="n">
        <v>2</v>
      </c>
      <c r="J982" s="714" t="n">
        <v>2535</v>
      </c>
      <c r="K982" s="715" t="n">
        <v>5.680473372781065</v>
      </c>
      <c r="L982" s="74" t="n">
        <v>0</v>
      </c>
      <c r="M982" s="76" t="n">
        <v>0.03895833333333333</v>
      </c>
      <c r="N982" s="67" t="n">
        <v>1951</v>
      </c>
      <c r="P982" s="64" t="n">
        <v>1217</v>
      </c>
      <c r="Q982" s="59" t="n">
        <v>9</v>
      </c>
      <c r="R982" s="59" t="n">
        <v>1</v>
      </c>
      <c r="S982" s="59" t="n">
        <v>1</v>
      </c>
      <c r="T982" s="63" t="inlineStr">
        <is>
          <t xml:space="preserve">B4   </t>
        </is>
      </c>
      <c r="U982" s="63" t="n">
        <v>398</v>
      </c>
      <c r="V982" s="714" t="n">
        <v>4687</v>
      </c>
      <c r="W982" s="714" t="n">
        <v>5000</v>
      </c>
      <c r="X982" s="83" t="inlineStr">
        <is>
          <t>1.8:1</t>
        </is>
      </c>
      <c r="Y982" s="714">
        <f>ROUND(J982,-3)</f>
        <v/>
      </c>
      <c r="Z982" s="63" t="inlineStr">
        <is>
          <t xml:space="preserve">C </t>
        </is>
      </c>
      <c r="AA982" s="59" t="n">
        <v>3</v>
      </c>
      <c r="AB982" s="59" t="n">
        <v>3</v>
      </c>
      <c r="AC982" s="67" t="inlineStr">
        <is>
          <t>33</t>
        </is>
      </c>
      <c r="AD982" s="61" t="inlineStr">
        <is>
          <t xml:space="preserve">#1 AUTO SALES       </t>
        </is>
      </c>
      <c r="AE982" s="716" t="n"/>
      <c r="AF982" s="716" t="n"/>
      <c r="AG982" s="716" t="n"/>
      <c r="AH982" s="716" t="n"/>
      <c r="AI982" s="716" t="n"/>
      <c r="AJ982" s="716" t="n"/>
      <c r="AK982" s="716" t="inlineStr">
        <is>
          <t xml:space="preserve">S-T WHSE.; 2005 LEASE.                                            </t>
        </is>
      </c>
      <c r="AL982">
        <f>IF(AND(ISNUMBER($S982),$S982&gt;0,ISNUMBER($K982),ISNUMBER($J982)),($K982*$J982)/$S982,"")</f>
        <v/>
      </c>
    </row>
    <row r="983">
      <c r="A983" s="62" t="n">
        <v>8</v>
      </c>
      <c r="B983" s="93" t="n">
        <v>975</v>
      </c>
      <c r="C983" s="68" t="inlineStr">
        <is>
          <t>2009Q</t>
        </is>
      </c>
      <c r="D983" s="59" t="inlineStr">
        <is>
          <t xml:space="preserve">05281-01-014-000 </t>
        </is>
      </c>
      <c r="E983" s="72" t="inlineStr">
        <is>
          <t>Actual</t>
        </is>
      </c>
      <c r="F983" s="73" t="inlineStr">
        <is>
          <t>1310 W JEWELL               AV</t>
        </is>
      </c>
      <c r="G983" s="708" t="n">
        <v>44.1</v>
      </c>
      <c r="H983" s="67" t="n">
        <v>9506</v>
      </c>
      <c r="I983" s="69" t="n">
        <v>0</v>
      </c>
      <c r="J983" s="714" t="n">
        <v>6181</v>
      </c>
      <c r="K983" s="715" t="n">
        <v>12.61931726257887</v>
      </c>
      <c r="L983" s="74" t="n">
        <v>0</v>
      </c>
      <c r="M983" s="76" t="n">
        <v>0.05128205128205128</v>
      </c>
      <c r="N983" s="67" t="n">
        <v>1969</v>
      </c>
      <c r="P983" s="64" t="n">
        <v>2605</v>
      </c>
      <c r="Q983" s="59" t="n">
        <v>15</v>
      </c>
      <c r="R983" s="59" t="n">
        <v>3</v>
      </c>
      <c r="S983" s="59" t="n">
        <v>1</v>
      </c>
      <c r="T983" s="63" t="inlineStr">
        <is>
          <t xml:space="preserve">I0   </t>
        </is>
      </c>
      <c r="U983" s="63" t="n">
        <v>398</v>
      </c>
      <c r="V983" s="714" t="n">
        <v>37500</v>
      </c>
      <c r="W983" s="714" t="n">
        <v>38000</v>
      </c>
      <c r="X983" s="83" t="inlineStr">
        <is>
          <t>6.1:1</t>
        </is>
      </c>
      <c r="Y983" s="714">
        <f>ROUND(J983,-3)</f>
        <v/>
      </c>
      <c r="Z983" s="63" t="inlineStr">
        <is>
          <t xml:space="preserve">C </t>
        </is>
      </c>
      <c r="AA983" s="59" t="n">
        <v>3</v>
      </c>
      <c r="AB983" s="59" t="n">
        <v>3</v>
      </c>
      <c r="AC983" s="67" t="inlineStr">
        <is>
          <t>33</t>
        </is>
      </c>
      <c r="AD983" s="61" t="inlineStr">
        <is>
          <t xml:space="preserve">COLO STATE PAINTING </t>
        </is>
      </c>
      <c r="AE983" s="716" t="n"/>
      <c r="AF983" s="716" t="n"/>
      <c r="AG983" s="716" t="n"/>
      <c r="AH983" s="716" t="n"/>
      <c r="AI983" s="716" t="n"/>
      <c r="AJ983" s="716" t="n"/>
      <c r="AK983" s="716" t="inlineStr">
        <is>
          <t xml:space="preserve">S-T WHSE.; SITE CONTAINS EXCESS LAND.                             </t>
        </is>
      </c>
      <c r="AL983">
        <f>IF(AND(ISNUMBER($S983),$S983&gt;0,ISNUMBER($K983),ISNUMBER($J983)),($K983*$J983)/$S983,"")</f>
        <v/>
      </c>
    </row>
    <row r="984">
      <c r="A984" s="62" t="n">
        <v>8</v>
      </c>
      <c r="B984" s="93" t="n">
        <v>976</v>
      </c>
      <c r="C984" s="68" t="inlineStr">
        <is>
          <t>2009Q</t>
        </is>
      </c>
      <c r="D984" s="59" t="inlineStr">
        <is>
          <t xml:space="preserve">05281-05-022-000 </t>
        </is>
      </c>
      <c r="E984" s="72" t="inlineStr">
        <is>
          <t>Actual</t>
        </is>
      </c>
      <c r="F984" s="73" t="inlineStr">
        <is>
          <t>2059 S NAVAJO               ST</t>
        </is>
      </c>
      <c r="G984" s="708" t="n">
        <v>44.5</v>
      </c>
      <c r="H984" s="67" t="n">
        <v>9506</v>
      </c>
      <c r="I984" s="69" t="n">
        <v>0</v>
      </c>
      <c r="J984" s="714" t="n">
        <v>29799</v>
      </c>
      <c r="K984" s="715" t="n">
        <v>8.121077888519748</v>
      </c>
      <c r="L984" s="74" t="n">
        <v>0</v>
      </c>
      <c r="M984" s="76" t="n">
        <v>0.2597107438016529</v>
      </c>
      <c r="N984" s="67" t="n">
        <v>2000</v>
      </c>
      <c r="O984" s="64" t="n">
        <v>379</v>
      </c>
      <c r="P984" s="64" t="n">
        <v>825</v>
      </c>
      <c r="Q984" s="59" t="n">
        <v>10</v>
      </c>
      <c r="R984" s="59" t="n">
        <v>1</v>
      </c>
      <c r="S984" s="59" t="n">
        <v>255</v>
      </c>
      <c r="T984" s="63" t="inlineStr">
        <is>
          <t xml:space="preserve">I2   </t>
        </is>
      </c>
      <c r="U984" s="63" t="n">
        <v>396</v>
      </c>
      <c r="V984" s="714" t="n">
        <v>33300</v>
      </c>
      <c r="W984" s="714" t="n">
        <v>33000</v>
      </c>
      <c r="X984" s="83" t="inlineStr">
        <is>
          <t>1.1:1</t>
        </is>
      </c>
      <c r="Y984" s="714">
        <f>ROUND(J984,-3)</f>
        <v/>
      </c>
      <c r="Z984" s="63" t="inlineStr">
        <is>
          <t xml:space="preserve">C </t>
        </is>
      </c>
      <c r="AA984" s="59" t="n">
        <v>3</v>
      </c>
      <c r="AB984" s="59" t="n">
        <v>3</v>
      </c>
      <c r="AC984" s="67" t="inlineStr">
        <is>
          <t>33</t>
        </is>
      </c>
      <c r="AD984" s="61" t="inlineStr">
        <is>
          <t>ACCSS ANYTME SLFSTGE</t>
        </is>
      </c>
      <c r="AE984" s="716" t="n"/>
      <c r="AF984" s="716" t="n"/>
      <c r="AG984" s="716" t="n"/>
      <c r="AH984" s="716" t="n"/>
      <c r="AI984" s="716" t="n"/>
      <c r="AJ984" s="716" t="n"/>
      <c r="AK984" s="716" t="inlineStr"/>
      <c r="AL984">
        <f>IF(AND(ISNUMBER($S984),$S984&gt;0,ISNUMBER($K984),ISNUMBER($J984)),($K984*$J984)/$S984,"")</f>
        <v/>
      </c>
    </row>
    <row r="985">
      <c r="A985" s="62" t="n">
        <v>8</v>
      </c>
      <c r="B985" s="93" t="n">
        <v>977</v>
      </c>
      <c r="C985" s="68" t="inlineStr">
        <is>
          <t>2009Q</t>
        </is>
      </c>
      <c r="D985" s="59" t="inlineStr">
        <is>
          <t xml:space="preserve">05281-06-010-000 </t>
        </is>
      </c>
      <c r="E985" s="72" t="inlineStr">
        <is>
          <t>Actual</t>
        </is>
      </c>
      <c r="F985" s="73" t="inlineStr">
        <is>
          <t>2068 S NAVAJO               ST</t>
        </is>
      </c>
      <c r="G985" s="708" t="n">
        <v>44.1</v>
      </c>
      <c r="H985" s="67" t="n">
        <v>9506</v>
      </c>
      <c r="I985" s="69" t="n">
        <v>0</v>
      </c>
      <c r="J985" s="714" t="n">
        <v>3850</v>
      </c>
      <c r="K985" s="715" t="n">
        <v>7.792207792207792</v>
      </c>
      <c r="L985" s="74" t="n">
        <v>0</v>
      </c>
      <c r="M985" s="76" t="n">
        <v>0.145</v>
      </c>
      <c r="N985" s="67" t="n">
        <v>1962</v>
      </c>
      <c r="Q985" s="59" t="n">
        <v>13</v>
      </c>
      <c r="R985" s="59" t="n">
        <v>3</v>
      </c>
      <c r="S985" s="59" t="n">
        <v>1</v>
      </c>
      <c r="T985" s="63" t="inlineStr">
        <is>
          <t xml:space="preserve">I2   </t>
        </is>
      </c>
      <c r="U985" s="63" t="n">
        <v>398</v>
      </c>
      <c r="V985" s="714" t="n">
        <v>5988</v>
      </c>
      <c r="W985" s="714" t="n">
        <v>6000</v>
      </c>
      <c r="X985" s="83" t="inlineStr">
        <is>
          <t>1.6:1</t>
        </is>
      </c>
      <c r="Y985" s="714">
        <f>ROUND(J985,-3)</f>
        <v/>
      </c>
      <c r="Z985" s="63" t="inlineStr">
        <is>
          <t xml:space="preserve">C </t>
        </is>
      </c>
      <c r="AA985" s="59" t="n">
        <v>1</v>
      </c>
      <c r="AB985" s="59" t="n">
        <v>3</v>
      </c>
      <c r="AC985" s="67" t="inlineStr">
        <is>
          <t>13</t>
        </is>
      </c>
      <c r="AD985" s="61" t="inlineStr"/>
      <c r="AE985" s="716" t="n"/>
      <c r="AF985" s="716" t="n"/>
      <c r="AG985" s="716" t="n"/>
      <c r="AH985" s="716" t="n"/>
      <c r="AI985" s="716" t="n"/>
      <c r="AJ985" s="716" t="n"/>
      <c r="AK985" s="716" t="inlineStr">
        <is>
          <t xml:space="preserve">S-T WHSE.                                                         </t>
        </is>
      </c>
      <c r="AL985">
        <f>IF(AND(ISNUMBER($S985),$S985&gt;0,ISNUMBER($K985),ISNUMBER($J985)),($K985*$J985)/$S985,"")</f>
        <v/>
      </c>
    </row>
    <row r="986">
      <c r="A986" s="62" t="n">
        <v>8</v>
      </c>
      <c r="B986" s="93" t="n">
        <v>978</v>
      </c>
      <c r="C986" s="68" t="inlineStr">
        <is>
          <t>2009Q</t>
        </is>
      </c>
      <c r="D986" s="59" t="inlineStr">
        <is>
          <t xml:space="preserve">05281-13-019-000 </t>
        </is>
      </c>
      <c r="E986" s="72" t="inlineStr">
        <is>
          <t>Actual</t>
        </is>
      </c>
      <c r="F986" s="73" t="inlineStr">
        <is>
          <t>950 W EVANS                AV</t>
        </is>
      </c>
      <c r="G986" s="708" t="n">
        <v>44.1</v>
      </c>
      <c r="H986" s="67" t="n">
        <v>9506</v>
      </c>
      <c r="I986" s="69" t="n">
        <v>0</v>
      </c>
      <c r="J986" s="714" t="n">
        <v>7065</v>
      </c>
      <c r="K986" s="715" t="n">
        <v>6.794055201698514</v>
      </c>
      <c r="L986" s="74" t="n">
        <v>0</v>
      </c>
      <c r="M986" s="76" t="n">
        <v>0</v>
      </c>
      <c r="N986" s="67" t="n">
        <v>1977</v>
      </c>
      <c r="O986" s="64">
        <f>1174+1259</f>
        <v/>
      </c>
      <c r="P986" s="64" t="inlineStr"/>
      <c r="Q986" s="59" t="n">
        <v>12</v>
      </c>
      <c r="R986" s="59" t="n">
        <v>1</v>
      </c>
      <c r="S986" s="59" t="n">
        <v>1</v>
      </c>
      <c r="T986" s="63" t="inlineStr">
        <is>
          <t xml:space="preserve">I1   </t>
        </is>
      </c>
      <c r="U986" s="63" t="n">
        <v>398</v>
      </c>
      <c r="V986" s="714" t="n">
        <v>21875</v>
      </c>
      <c r="W986" s="714" t="n">
        <v>22000</v>
      </c>
      <c r="X986" s="83" t="inlineStr">
        <is>
          <t>3.1:1</t>
        </is>
      </c>
      <c r="Y986" s="714">
        <f>ROUND(J986,-3)</f>
        <v/>
      </c>
      <c r="Z986" s="63" t="inlineStr">
        <is>
          <t xml:space="preserve">C </t>
        </is>
      </c>
      <c r="AA986" s="59" t="n">
        <v>3</v>
      </c>
      <c r="AB986" s="59" t="n">
        <v>3</v>
      </c>
      <c r="AC986" s="67" t="inlineStr">
        <is>
          <t>33</t>
        </is>
      </c>
      <c r="AD986" s="61" t="inlineStr">
        <is>
          <t>DIST/SHWRM/SINGLE TE</t>
        </is>
      </c>
      <c r="AE986" s="716" t="n"/>
      <c r="AF986" s="716" t="n"/>
      <c r="AG986" s="716" t="n"/>
      <c r="AH986" s="716" t="n"/>
      <c r="AI986" s="716" t="n"/>
      <c r="AJ986" s="716" t="n"/>
      <c r="AK986" s="716" t="inlineStr">
        <is>
          <t xml:space="preserve">S-T WHSE.; AGE OF LEASE UNKNOWN.                                  </t>
        </is>
      </c>
      <c r="AL986">
        <f>IF(AND(ISNUMBER($S986),$S986&gt;0,ISNUMBER($K986),ISNUMBER($J986)),($K986*$J986)/$S986,"")</f>
        <v/>
      </c>
    </row>
    <row r="987">
      <c r="A987" s="62" t="n">
        <v>8</v>
      </c>
      <c r="B987" s="93" t="n">
        <v>979</v>
      </c>
      <c r="C987" s="68" t="inlineStr">
        <is>
          <t>2009Q</t>
        </is>
      </c>
      <c r="D987" s="59" t="inlineStr">
        <is>
          <t xml:space="preserve">05281-14-016-000 </t>
        </is>
      </c>
      <c r="E987" s="72" t="inlineStr">
        <is>
          <t>Actual</t>
        </is>
      </c>
      <c r="F987" s="73" t="inlineStr">
        <is>
          <t>2126 S KALAMATH             ST</t>
        </is>
      </c>
      <c r="G987" s="708" t="n">
        <v>44.2</v>
      </c>
      <c r="H987" s="67" t="n">
        <v>9506</v>
      </c>
      <c r="I987" s="69" t="n">
        <v>0</v>
      </c>
      <c r="J987" s="714" t="n">
        <v>4000</v>
      </c>
      <c r="K987" s="715" t="n">
        <v>6.2</v>
      </c>
      <c r="L987" s="74" t="n">
        <v>0</v>
      </c>
      <c r="M987" s="76" t="n">
        <v>0.1096774193548387</v>
      </c>
      <c r="N987" s="67" t="n">
        <v>1957</v>
      </c>
      <c r="O987" s="64" t="n">
        <v>369</v>
      </c>
      <c r="Q987" s="59" t="n">
        <v>12</v>
      </c>
      <c r="R987" s="59" t="n">
        <v>1</v>
      </c>
      <c r="S987" s="59" t="n">
        <v>2</v>
      </c>
      <c r="T987" s="63" t="inlineStr">
        <is>
          <t xml:space="preserve">I1   </t>
        </is>
      </c>
      <c r="U987" s="63" t="n">
        <v>398</v>
      </c>
      <c r="V987" s="714" t="n">
        <v>9375</v>
      </c>
      <c r="W987" s="714" t="n">
        <v>9000</v>
      </c>
      <c r="X987" s="83" t="inlineStr">
        <is>
          <t>2.3:1</t>
        </is>
      </c>
      <c r="Y987" s="714">
        <f>ROUND(J987,-3)</f>
        <v/>
      </c>
      <c r="Z987" s="63" t="inlineStr">
        <is>
          <t xml:space="preserve">C </t>
        </is>
      </c>
      <c r="AA987" s="59" t="n">
        <v>3</v>
      </c>
      <c r="AB987" s="59" t="n">
        <v>3</v>
      </c>
      <c r="AC987" s="67" t="inlineStr">
        <is>
          <t>33</t>
        </is>
      </c>
      <c r="AD987" s="61" t="inlineStr">
        <is>
          <t>M-W NEW HERITAGE CRT</t>
        </is>
      </c>
      <c r="AE987" s="716" t="n"/>
      <c r="AF987" s="716" t="n"/>
      <c r="AG987" s="716" t="n"/>
      <c r="AH987" s="716" t="n"/>
      <c r="AI987" s="716" t="n"/>
      <c r="AJ987" s="716" t="n"/>
      <c r="AK987" s="716" t="inlineStr">
        <is>
          <t xml:space="preserve">M-T RETAIL; LEASES 2006 &amp; 2007.; 2 TENANTS.                       </t>
        </is>
      </c>
      <c r="AL987">
        <f>IF(AND(ISNUMBER($S987),$S987&gt;0,ISNUMBER($K987),ISNUMBER($J987)),($K987*$J987)/$S987,"")</f>
        <v/>
      </c>
    </row>
    <row r="988">
      <c r="A988" s="62" t="n">
        <v>8</v>
      </c>
      <c r="B988" s="93" t="n">
        <v>980</v>
      </c>
      <c r="C988" s="68" t="inlineStr">
        <is>
          <t>2009Q</t>
        </is>
      </c>
      <c r="D988" s="59" t="inlineStr">
        <is>
          <t xml:space="preserve">05281-14-017-000 </t>
        </is>
      </c>
      <c r="E988" s="72" t="inlineStr">
        <is>
          <t>Actual</t>
        </is>
      </c>
      <c r="F988" s="73" t="inlineStr">
        <is>
          <t>2140 S KALAMATH             ST</t>
        </is>
      </c>
      <c r="G988" s="708" t="n">
        <v>44.1</v>
      </c>
      <c r="H988" s="67" t="n">
        <v>9506</v>
      </c>
      <c r="I988" s="69" t="n">
        <v>0</v>
      </c>
      <c r="J988" s="714" t="n">
        <v>3987</v>
      </c>
      <c r="K988" s="715" t="n">
        <v>5.472786556308001</v>
      </c>
      <c r="L988" s="74" t="n">
        <v>0</v>
      </c>
      <c r="M988" s="76" t="n">
        <v>0.09926672777268561</v>
      </c>
      <c r="N988" s="67" t="n">
        <v>1960</v>
      </c>
      <c r="Q988" s="59" t="n">
        <v>12</v>
      </c>
      <c r="R988" s="59" t="n">
        <v>1</v>
      </c>
      <c r="S988" s="59" t="n">
        <v>2</v>
      </c>
      <c r="T988" s="63" t="inlineStr">
        <is>
          <t xml:space="preserve">I1   </t>
        </is>
      </c>
      <c r="U988" s="63" t="n">
        <v>398</v>
      </c>
      <c r="V988" s="714" t="n">
        <v>9375</v>
      </c>
      <c r="W988" s="714" t="n">
        <v>9000</v>
      </c>
      <c r="X988" s="83" t="inlineStr">
        <is>
          <t>2.4:1</t>
        </is>
      </c>
      <c r="Y988" s="714">
        <f>ROUND(J988,-3)</f>
        <v/>
      </c>
      <c r="Z988" s="63" t="inlineStr">
        <is>
          <t xml:space="preserve">C </t>
        </is>
      </c>
      <c r="AA988" s="59" t="n">
        <v>3</v>
      </c>
      <c r="AB988" s="59" t="n">
        <v>3</v>
      </c>
      <c r="AC988" s="67" t="inlineStr">
        <is>
          <t>33</t>
        </is>
      </c>
      <c r="AD988" s="61" t="inlineStr">
        <is>
          <t>M-W GUS SHEKER STUDI</t>
        </is>
      </c>
      <c r="AE988" s="716" t="n"/>
      <c r="AF988" s="716" t="n"/>
      <c r="AG988" s="716" t="n"/>
      <c r="AH988" s="716" t="n"/>
      <c r="AI988" s="716" t="n"/>
      <c r="AJ988" s="716" t="n"/>
      <c r="AK988" s="716" t="inlineStr">
        <is>
          <t xml:space="preserve">M-T WHSE.; 2 TENANTS; 2006 LEASES.                                </t>
        </is>
      </c>
      <c r="AL988">
        <f>IF(AND(ISNUMBER($S988),$S988&gt;0,ISNUMBER($K988),ISNUMBER($J988)),($K988*$J988)/$S988,"")</f>
        <v/>
      </c>
    </row>
    <row r="989">
      <c r="A989" s="62" t="n">
        <v>8</v>
      </c>
      <c r="B989" s="93" t="n">
        <v>981</v>
      </c>
      <c r="C989" s="68" t="inlineStr">
        <is>
          <t>2009Q</t>
        </is>
      </c>
      <c r="D989" s="59" t="inlineStr">
        <is>
          <t xml:space="preserve">05281-14-018-000 </t>
        </is>
      </c>
      <c r="E989" s="72" t="inlineStr">
        <is>
          <t>Actual</t>
        </is>
      </c>
      <c r="F989" s="73" t="inlineStr">
        <is>
          <t>2150 S KALAMATH             ST</t>
        </is>
      </c>
      <c r="G989" s="708" t="n">
        <v>44.1</v>
      </c>
      <c r="H989" s="67" t="n">
        <v>9506</v>
      </c>
      <c r="I989" s="69" t="n">
        <v>0</v>
      </c>
      <c r="J989" s="714" t="n">
        <v>4000</v>
      </c>
      <c r="K989" s="715" t="n">
        <v>5.665</v>
      </c>
      <c r="L989" s="74" t="n">
        <v>0</v>
      </c>
      <c r="M989" s="76" t="n">
        <v>0.09726390114739629</v>
      </c>
      <c r="N989" s="67" t="n">
        <v>1962</v>
      </c>
      <c r="Q989" s="59" t="n">
        <v>12</v>
      </c>
      <c r="R989" s="59" t="n">
        <v>1</v>
      </c>
      <c r="S989" s="59" t="n">
        <v>1</v>
      </c>
      <c r="T989" s="63" t="inlineStr">
        <is>
          <t xml:space="preserve">I1   </t>
        </is>
      </c>
      <c r="U989" s="63" t="n">
        <v>398</v>
      </c>
      <c r="V989" s="714" t="n">
        <v>9375</v>
      </c>
      <c r="W989" s="714" t="n">
        <v>9000</v>
      </c>
      <c r="X989" s="83" t="inlineStr">
        <is>
          <t>2.3:1</t>
        </is>
      </c>
      <c r="Y989" s="714">
        <f>ROUND(J989,-3)</f>
        <v/>
      </c>
      <c r="Z989" s="63" t="inlineStr">
        <is>
          <t xml:space="preserve">C </t>
        </is>
      </c>
      <c r="AA989" s="59" t="n">
        <v>3</v>
      </c>
      <c r="AB989" s="59" t="n">
        <v>3</v>
      </c>
      <c r="AC989" s="67" t="inlineStr">
        <is>
          <t>33</t>
        </is>
      </c>
      <c r="AD989" s="61" t="inlineStr">
        <is>
          <t xml:space="preserve">S-W ABLE SIGN       </t>
        </is>
      </c>
      <c r="AE989" s="716" t="n"/>
      <c r="AF989" s="716" t="n"/>
      <c r="AG989" s="716" t="n"/>
      <c r="AH989" s="716" t="n"/>
      <c r="AI989" s="716" t="n"/>
      <c r="AJ989" s="716" t="n"/>
      <c r="AK989" s="716" t="inlineStr">
        <is>
          <t xml:space="preserve">M-T WHSE.; 2 TENANTS; 2006 LEASES.                                </t>
        </is>
      </c>
      <c r="AL989">
        <f>IF(AND(ISNUMBER($S989),$S989&gt;0,ISNUMBER($K989),ISNUMBER($J989)),($K989*$J989)/$S989,"")</f>
        <v/>
      </c>
    </row>
    <row r="990">
      <c r="A990" s="62" t="n">
        <v>8</v>
      </c>
      <c r="B990" s="93" t="n">
        <v>982</v>
      </c>
      <c r="C990" s="68" t="inlineStr">
        <is>
          <t>2009Q</t>
        </is>
      </c>
      <c r="D990" s="59" t="inlineStr">
        <is>
          <t xml:space="preserve">05281-14-019-000 </t>
        </is>
      </c>
      <c r="E990" s="72" t="inlineStr">
        <is>
          <t>Actual</t>
        </is>
      </c>
      <c r="F990" s="73" t="inlineStr">
        <is>
          <t>2168 S KALAMATH             ST</t>
        </is>
      </c>
      <c r="G990" s="708" t="n">
        <v>47.2</v>
      </c>
      <c r="H990" s="67" t="n">
        <v>9506</v>
      </c>
      <c r="I990" s="69" t="n">
        <v>0</v>
      </c>
      <c r="J990" s="714" t="n">
        <v>4000</v>
      </c>
      <c r="K990" s="715" t="n">
        <v>5.657</v>
      </c>
      <c r="L990" s="74" t="n">
        <v>0</v>
      </c>
      <c r="M990" s="76" t="n">
        <v>0.2673678628248188</v>
      </c>
      <c r="N990" s="67" t="n">
        <v>1956</v>
      </c>
      <c r="O990" s="64" t="n">
        <v>200</v>
      </c>
      <c r="Q990" s="59" t="n">
        <v>14</v>
      </c>
      <c r="R990" s="59" t="n">
        <v>1</v>
      </c>
      <c r="S990" s="59" t="n">
        <v>1</v>
      </c>
      <c r="T990" s="63" t="inlineStr">
        <is>
          <t xml:space="preserve">I1   </t>
        </is>
      </c>
      <c r="U990" s="63" t="n">
        <v>401</v>
      </c>
      <c r="V990" s="714" t="n">
        <v>12500</v>
      </c>
      <c r="W990" s="714" t="n">
        <v>13000</v>
      </c>
      <c r="X990" s="83" t="inlineStr">
        <is>
          <t>3.1:1</t>
        </is>
      </c>
      <c r="Y990" s="714">
        <f>ROUND(J990,-3)</f>
        <v/>
      </c>
      <c r="Z990" s="63" t="inlineStr">
        <is>
          <t xml:space="preserve">C </t>
        </is>
      </c>
      <c r="AA990" s="59" t="n">
        <v>3</v>
      </c>
      <c r="AB990" s="59" t="n">
        <v>3</v>
      </c>
      <c r="AC990" s="67" t="inlineStr">
        <is>
          <t>33</t>
        </is>
      </c>
      <c r="AD990" s="61" t="inlineStr">
        <is>
          <t xml:space="preserve">S-F ELEMER'S MANUF. </t>
        </is>
      </c>
      <c r="AE990" s="716" t="n"/>
      <c r="AF990" s="716" t="n"/>
      <c r="AG990" s="716" t="n"/>
      <c r="AH990" s="716" t="n"/>
      <c r="AI990" s="716" t="n"/>
      <c r="AJ990" s="716" t="n"/>
      <c r="AK990" s="716" t="inlineStr">
        <is>
          <t xml:space="preserve">S-T WHSE.; 2 TENANTS; 2006 &amp; 2007 LEASES.                         </t>
        </is>
      </c>
      <c r="AL990">
        <f>IF(AND(ISNUMBER($S990),$S990&gt;0,ISNUMBER($K990),ISNUMBER($J990)),($K990*$J990)/$S990,"")</f>
        <v/>
      </c>
    </row>
    <row r="991">
      <c r="A991" s="62" t="n">
        <v>8</v>
      </c>
      <c r="B991" s="93" t="n">
        <v>983</v>
      </c>
      <c r="C991" s="68" t="inlineStr">
        <is>
          <t>2009Q</t>
        </is>
      </c>
      <c r="D991" s="59" t="inlineStr">
        <is>
          <t xml:space="preserve">05281-15-007-000 </t>
        </is>
      </c>
      <c r="E991" s="72" t="inlineStr">
        <is>
          <t>Actual</t>
        </is>
      </c>
      <c r="F991" s="73" t="inlineStr">
        <is>
          <t>2130 S LIPAN                ST</t>
        </is>
      </c>
      <c r="G991" s="708" t="n">
        <v>44.2</v>
      </c>
      <c r="H991" s="67" t="n">
        <v>9506</v>
      </c>
      <c r="I991" s="69" t="n">
        <v>0</v>
      </c>
      <c r="J991" s="714" t="n">
        <v>11532</v>
      </c>
      <c r="K991" s="715" t="n">
        <v>5.723204994797086</v>
      </c>
      <c r="L991" s="74" t="n">
        <v>0</v>
      </c>
      <c r="M991" s="76" t="n">
        <v>0.09362121212121212</v>
      </c>
      <c r="N991" s="67" t="n">
        <v>1960</v>
      </c>
      <c r="O991" s="64" t="n">
        <v>909</v>
      </c>
      <c r="Q991" s="59" t="n">
        <v>12</v>
      </c>
      <c r="R991" s="59" t="n">
        <v>3</v>
      </c>
      <c r="S991" s="59" t="n">
        <v>1</v>
      </c>
      <c r="T991" s="63" t="inlineStr">
        <is>
          <t xml:space="preserve">I1   </t>
        </is>
      </c>
      <c r="U991" s="63" t="n">
        <v>397</v>
      </c>
      <c r="V991" s="714" t="n">
        <v>18750</v>
      </c>
      <c r="W991" s="714" t="n">
        <v>19000</v>
      </c>
      <c r="X991" s="83" t="inlineStr">
        <is>
          <t>1.6:1</t>
        </is>
      </c>
      <c r="Y991" s="714">
        <f>ROUND(J991,-3)</f>
        <v/>
      </c>
      <c r="Z991" s="63" t="inlineStr">
        <is>
          <t xml:space="preserve">C </t>
        </is>
      </c>
      <c r="AA991" s="59" t="n">
        <v>3</v>
      </c>
      <c r="AB991" s="59" t="n">
        <v>3</v>
      </c>
      <c r="AC991" s="67" t="inlineStr">
        <is>
          <t>33</t>
        </is>
      </c>
      <c r="AD991" s="61" t="inlineStr">
        <is>
          <t>CHIPS WHSLS &amp; PYMSTR</t>
        </is>
      </c>
      <c r="AE991" s="716" t="n"/>
      <c r="AF991" s="716" t="n"/>
      <c r="AG991" s="716" t="n"/>
      <c r="AH991" s="716" t="n"/>
      <c r="AI991" s="716" t="n"/>
      <c r="AJ991" s="716" t="n"/>
      <c r="AK991" s="716" t="inlineStr">
        <is>
          <t xml:space="preserve">TENANCY &amp; LEASE TERMS UNKNOWN.                                    </t>
        </is>
      </c>
      <c r="AL991">
        <f>IF(AND(ISNUMBER($S991),$S991&gt;0,ISNUMBER($K991),ISNUMBER($J991)),($K991*$J991)/$S991,"")</f>
        <v/>
      </c>
    </row>
    <row r="992">
      <c r="A992" s="62" t="n">
        <v>8</v>
      </c>
      <c r="B992" s="93" t="n">
        <v>984</v>
      </c>
      <c r="C992" s="68" t="inlineStr">
        <is>
          <t>2009Q</t>
        </is>
      </c>
      <c r="D992" s="59" t="inlineStr">
        <is>
          <t xml:space="preserve">05281-15-013-000 </t>
        </is>
      </c>
      <c r="E992" s="72" t="inlineStr">
        <is>
          <t>Actual</t>
        </is>
      </c>
      <c r="F992" s="73" t="inlineStr">
        <is>
          <t>1130 W EVANS                AV</t>
        </is>
      </c>
      <c r="G992" s="708" t="n">
        <v>44.2</v>
      </c>
      <c r="H992" s="67" t="n">
        <v>9506</v>
      </c>
      <c r="I992" s="69" t="n">
        <v>0</v>
      </c>
      <c r="J992" s="714" t="n">
        <v>10010</v>
      </c>
      <c r="K992" s="715" t="n">
        <v>6.607192807192807</v>
      </c>
      <c r="L992" s="74" t="n">
        <v>0</v>
      </c>
      <c r="M992" s="76" t="n">
        <v>0.01549789833378693</v>
      </c>
      <c r="N992" s="67" t="n">
        <v>1961</v>
      </c>
      <c r="O992" s="64" t="n">
        <v>1135</v>
      </c>
      <c r="Q992" s="59" t="n">
        <v>14</v>
      </c>
      <c r="R992" s="59" t="n">
        <v>1</v>
      </c>
      <c r="S992" s="59" t="n">
        <v>1</v>
      </c>
      <c r="T992" s="63" t="inlineStr">
        <is>
          <t xml:space="preserve">I1   </t>
        </is>
      </c>
      <c r="U992" s="63" t="n">
        <v>397</v>
      </c>
      <c r="V992" s="714" t="n">
        <v>15625</v>
      </c>
      <c r="W992" s="714" t="n">
        <v>16000</v>
      </c>
      <c r="X992" s="83" t="inlineStr">
        <is>
          <t>1.6:1</t>
        </is>
      </c>
      <c r="Y992" s="714">
        <f>ROUND(J992,-3)</f>
        <v/>
      </c>
      <c r="Z992" s="63" t="inlineStr">
        <is>
          <t xml:space="preserve">C </t>
        </is>
      </c>
      <c r="AA992" s="59" t="n">
        <v>3</v>
      </c>
      <c r="AB992" s="59" t="n">
        <v>3</v>
      </c>
      <c r="AC992" s="67" t="inlineStr">
        <is>
          <t>33</t>
        </is>
      </c>
      <c r="AD992" s="61" t="inlineStr"/>
      <c r="AE992" s="716" t="n"/>
      <c r="AF992" s="716" t="n"/>
      <c r="AG992" s="716" t="n"/>
      <c r="AH992" s="716" t="n"/>
      <c r="AI992" s="716" t="n"/>
      <c r="AJ992" s="716" t="n"/>
      <c r="AK992" s="716" t="inlineStr">
        <is>
          <t xml:space="preserve">S-T WHSE.; OLDER LEASE - 2007 RENEWAL.                            </t>
        </is>
      </c>
      <c r="AL992">
        <f>IF(AND(ISNUMBER($S992),$S992&gt;0,ISNUMBER($K992),ISNUMBER($J992)),($K992*$J992)/$S992,"")</f>
        <v/>
      </c>
    </row>
    <row r="993">
      <c r="A993" s="62" t="n">
        <v>8</v>
      </c>
      <c r="B993" s="93" t="n">
        <v>985</v>
      </c>
      <c r="C993" s="68" t="inlineStr">
        <is>
          <t>2009Q</t>
        </is>
      </c>
      <c r="D993" s="59" t="inlineStr">
        <is>
          <t xml:space="preserve">05281-15-014-000 </t>
        </is>
      </c>
      <c r="E993" s="72" t="inlineStr">
        <is>
          <t>Actual</t>
        </is>
      </c>
      <c r="F993" s="73" t="inlineStr">
        <is>
          <t>2170 S LIPAN                ST</t>
        </is>
      </c>
      <c r="G993" s="708" t="n">
        <v>44.2</v>
      </c>
      <c r="H993" s="67" t="n">
        <v>9506</v>
      </c>
      <c r="I993" s="69" t="n">
        <v>0</v>
      </c>
      <c r="J993" s="714" t="n">
        <v>5169</v>
      </c>
      <c r="K993" s="715" t="n">
        <v>12.14935190559102</v>
      </c>
      <c r="L993" s="74" t="n">
        <v>0</v>
      </c>
      <c r="M993" s="76" t="n">
        <v>0.2493789808917198</v>
      </c>
      <c r="N993" s="67" t="n">
        <v>1977</v>
      </c>
      <c r="O993" s="64">
        <f>1017+495</f>
        <v/>
      </c>
      <c r="Q993" s="59" t="n">
        <v>14</v>
      </c>
      <c r="R993" s="59" t="n">
        <v>3</v>
      </c>
      <c r="S993" s="59" t="n">
        <v>1</v>
      </c>
      <c r="T993" s="63" t="inlineStr">
        <is>
          <t xml:space="preserve">I1   </t>
        </is>
      </c>
      <c r="U993" s="63" t="n">
        <v>398</v>
      </c>
      <c r="V993" s="714" t="n">
        <v>15625</v>
      </c>
      <c r="W993" s="714" t="n">
        <v>16000</v>
      </c>
      <c r="X993" s="83" t="inlineStr">
        <is>
          <t>3.0:1</t>
        </is>
      </c>
      <c r="Y993" s="714">
        <f>ROUND(J993,-3)</f>
        <v/>
      </c>
      <c r="Z993" s="63" t="inlineStr">
        <is>
          <t xml:space="preserve">C </t>
        </is>
      </c>
      <c r="AA993" s="59" t="n">
        <v>3</v>
      </c>
      <c r="AB993" s="59" t="n">
        <v>3</v>
      </c>
      <c r="AC993" s="67" t="inlineStr">
        <is>
          <t>33</t>
        </is>
      </c>
      <c r="AD993" s="61" t="inlineStr">
        <is>
          <t>P'NTRS&amp;DRYWLL UN'N79</t>
        </is>
      </c>
      <c r="AE993" s="716" t="n"/>
      <c r="AF993" s="716" t="n"/>
      <c r="AG993" s="716" t="n"/>
      <c r="AH993" s="716" t="n"/>
      <c r="AI993" s="716" t="n"/>
      <c r="AJ993" s="716" t="n"/>
      <c r="AK993" s="716" t="inlineStr">
        <is>
          <t xml:space="preserve">S-T WHSE.                                                         </t>
        </is>
      </c>
      <c r="AL993">
        <f>IF(AND(ISNUMBER($S993),$S993&gt;0,ISNUMBER($K993),ISNUMBER($J993)),($K993*$J993)/$S993,"")</f>
        <v/>
      </c>
    </row>
    <row r="994">
      <c r="A994" s="62" t="n">
        <v>8</v>
      </c>
      <c r="B994" s="93" t="n">
        <v>986</v>
      </c>
      <c r="C994" s="68" t="inlineStr">
        <is>
          <t>2009Q</t>
        </is>
      </c>
      <c r="D994" s="59" t="inlineStr">
        <is>
          <t xml:space="preserve">05281-15-020-000 </t>
        </is>
      </c>
      <c r="E994" s="72" t="inlineStr">
        <is>
          <t>Actual</t>
        </is>
      </c>
      <c r="F994" s="73" t="inlineStr">
        <is>
          <t>2160 S LIPAN                ST</t>
        </is>
      </c>
      <c r="G994" s="708" t="n">
        <v>44.2</v>
      </c>
      <c r="H994" s="67" t="n">
        <v>9506</v>
      </c>
      <c r="I994" s="69" t="n">
        <v>0</v>
      </c>
      <c r="J994" s="714" t="n">
        <v>4993</v>
      </c>
      <c r="K994" s="715" t="n">
        <v>3.922291207690767</v>
      </c>
      <c r="L994" s="74" t="n">
        <v>0</v>
      </c>
      <c r="M994" s="76" t="n">
        <v>0</v>
      </c>
      <c r="N994" s="67" t="n">
        <v>1959</v>
      </c>
      <c r="O994" s="64" t="n">
        <v>1668</v>
      </c>
      <c r="Q994" s="59" t="n">
        <v>12</v>
      </c>
      <c r="R994" s="59" t="n">
        <v>1</v>
      </c>
      <c r="S994" s="59" t="n">
        <v>1</v>
      </c>
      <c r="T994" s="63" t="inlineStr">
        <is>
          <t xml:space="preserve">I1   </t>
        </is>
      </c>
      <c r="U994" s="63" t="n">
        <v>397</v>
      </c>
      <c r="V994" s="714" t="n">
        <v>9375</v>
      </c>
      <c r="W994" s="714" t="n">
        <v>9000</v>
      </c>
      <c r="X994" s="83" t="inlineStr">
        <is>
          <t>1.9:1</t>
        </is>
      </c>
      <c r="Y994" s="714">
        <f>ROUND(J994,-3)</f>
        <v/>
      </c>
      <c r="Z994" s="63" t="inlineStr">
        <is>
          <t xml:space="preserve">C </t>
        </is>
      </c>
      <c r="AA994" s="59" t="n">
        <v>3</v>
      </c>
      <c r="AB994" s="59" t="n">
        <v>3</v>
      </c>
      <c r="AC994" s="67" t="inlineStr">
        <is>
          <t>33</t>
        </is>
      </c>
      <c r="AD994" s="61" t="inlineStr"/>
      <c r="AE994" s="716" t="n"/>
      <c r="AF994" s="716" t="n"/>
      <c r="AG994" s="716" t="n"/>
      <c r="AH994" s="716" t="n"/>
      <c r="AI994" s="716" t="n"/>
      <c r="AJ994" s="716" t="n"/>
      <c r="AK994" s="716" t="inlineStr">
        <is>
          <t xml:space="preserve">S-T WHSE.                                                         </t>
        </is>
      </c>
      <c r="AL994">
        <f>IF(AND(ISNUMBER($S994),$S994&gt;0,ISNUMBER($K994),ISNUMBER($J994)),($K994*$J994)/$S994,"")</f>
        <v/>
      </c>
    </row>
    <row r="995">
      <c r="A995" s="62" t="n">
        <v>8</v>
      </c>
      <c r="B995" s="93" t="n">
        <v>987</v>
      </c>
      <c r="C995" s="68" t="inlineStr">
        <is>
          <t>2009Q</t>
        </is>
      </c>
      <c r="D995" s="59" t="inlineStr">
        <is>
          <t xml:space="preserve">05281-16-001-000 </t>
        </is>
      </c>
      <c r="E995" s="72" t="inlineStr">
        <is>
          <t>Actual</t>
        </is>
      </c>
      <c r="F995" s="73" t="inlineStr">
        <is>
          <t>2201 S KALAMATH             ST</t>
        </is>
      </c>
      <c r="G995" s="708" t="n">
        <v>44.1</v>
      </c>
      <c r="H995" s="67" t="n">
        <v>9506</v>
      </c>
      <c r="I995" s="69" t="n">
        <v>0</v>
      </c>
      <c r="J995" s="714" t="n">
        <v>5000</v>
      </c>
      <c r="K995" s="715" t="n">
        <v>6</v>
      </c>
      <c r="L995" s="74" t="n">
        <v>0</v>
      </c>
      <c r="M995" s="76" t="n">
        <v>0.1857</v>
      </c>
      <c r="N995" s="67" t="n">
        <v>1966</v>
      </c>
      <c r="O995" s="64" t="n">
        <v>521</v>
      </c>
      <c r="Q995" s="59" t="n">
        <v>14</v>
      </c>
      <c r="R995" s="59" t="n">
        <v>3</v>
      </c>
      <c r="S995" s="59" t="n">
        <v>1</v>
      </c>
      <c r="T995" s="63" t="inlineStr">
        <is>
          <t xml:space="preserve">I1   </t>
        </is>
      </c>
      <c r="U995" s="63" t="n">
        <v>397</v>
      </c>
      <c r="V995" s="714" t="n">
        <v>6250</v>
      </c>
      <c r="W995" s="714" t="n">
        <v>6000</v>
      </c>
      <c r="X995" s="83" t="inlineStr">
        <is>
          <t>1.3:1</t>
        </is>
      </c>
      <c r="Y995" s="714">
        <f>ROUND(J995,-3)</f>
        <v/>
      </c>
      <c r="Z995" s="63" t="inlineStr">
        <is>
          <t xml:space="preserve">C </t>
        </is>
      </c>
      <c r="AA995" s="59" t="n">
        <v>3</v>
      </c>
      <c r="AB995" s="59" t="n">
        <v>3</v>
      </c>
      <c r="AC995" s="67" t="inlineStr">
        <is>
          <t>33</t>
        </is>
      </c>
      <c r="AD995" s="61" t="inlineStr">
        <is>
          <t xml:space="preserve">S-W EUROPEAN MARBLE </t>
        </is>
      </c>
      <c r="AE995" s="716" t="n"/>
      <c r="AF995" s="716" t="n"/>
      <c r="AG995" s="716" t="n"/>
      <c r="AH995" s="716" t="n"/>
      <c r="AI995" s="716" t="n"/>
      <c r="AJ995" s="716" t="n"/>
      <c r="AK995" s="716" t="inlineStr">
        <is>
          <t xml:space="preserve">S-T WHSE.                                                         </t>
        </is>
      </c>
      <c r="AL995">
        <f>IF(AND(ISNUMBER($S995),$S995&gt;0,ISNUMBER($K995),ISNUMBER($J995)),($K995*$J995)/$S995,"")</f>
        <v/>
      </c>
    </row>
    <row r="996">
      <c r="A996" s="62" t="n">
        <v>8</v>
      </c>
      <c r="B996" s="93" t="n">
        <v>988</v>
      </c>
      <c r="C996" s="68" t="inlineStr">
        <is>
          <t>2009Q</t>
        </is>
      </c>
      <c r="D996" s="59" t="inlineStr">
        <is>
          <t xml:space="preserve">05281-16-004-000 </t>
        </is>
      </c>
      <c r="E996" s="72" t="inlineStr">
        <is>
          <t>Actual</t>
        </is>
      </c>
      <c r="F996" s="73" t="inlineStr">
        <is>
          <t>2235 S KALAMATH             ST</t>
        </is>
      </c>
      <c r="G996" s="708" t="n">
        <v>44.1</v>
      </c>
      <c r="H996" s="67" t="n">
        <v>9506</v>
      </c>
      <c r="I996" s="69" t="n">
        <v>0</v>
      </c>
      <c r="J996" s="714" t="n">
        <v>5425</v>
      </c>
      <c r="K996" s="715" t="n">
        <v>8.110599078341014</v>
      </c>
      <c r="L996" s="74" t="n">
        <v>0</v>
      </c>
      <c r="M996" s="76" t="n">
        <v>0.08529545454545455</v>
      </c>
      <c r="N996" s="67" t="n">
        <v>1974</v>
      </c>
      <c r="O996" s="64" t="n">
        <v>336</v>
      </c>
      <c r="Q996" s="59" t="n">
        <v>13</v>
      </c>
      <c r="R996" s="59" t="n">
        <v>8</v>
      </c>
      <c r="S996" s="59" t="n">
        <v>1</v>
      </c>
      <c r="T996" s="63" t="inlineStr">
        <is>
          <t xml:space="preserve">I1   </t>
        </is>
      </c>
      <c r="U996" s="63" t="n">
        <v>397</v>
      </c>
      <c r="V996" s="714" t="n">
        <v>12500</v>
      </c>
      <c r="W996" s="714" t="n">
        <v>13000</v>
      </c>
      <c r="X996" s="83" t="inlineStr">
        <is>
          <t>2.3:1</t>
        </is>
      </c>
      <c r="Y996" s="714">
        <f>ROUND(J996,-3)</f>
        <v/>
      </c>
      <c r="Z996" s="63" t="inlineStr">
        <is>
          <t xml:space="preserve">C </t>
        </is>
      </c>
      <c r="AA996" s="59" t="n">
        <v>3</v>
      </c>
      <c r="AB996" s="59" t="n">
        <v>3</v>
      </c>
      <c r="AC996" s="67" t="inlineStr">
        <is>
          <t>33</t>
        </is>
      </c>
      <c r="AD996" s="61" t="inlineStr">
        <is>
          <t xml:space="preserve">SEAL MAXX           </t>
        </is>
      </c>
      <c r="AE996" s="716" t="n"/>
      <c r="AF996" s="716" t="n"/>
      <c r="AG996" s="716" t="n"/>
      <c r="AH996" s="716" t="n"/>
      <c r="AI996" s="716" t="n"/>
      <c r="AJ996" s="716" t="n"/>
      <c r="AK996" s="716" t="inlineStr">
        <is>
          <t xml:space="preserve">S-T WHSE.                                                         </t>
        </is>
      </c>
      <c r="AL996">
        <f>IF(AND(ISNUMBER($S996),$S996&gt;0,ISNUMBER($K996),ISNUMBER($J996)),($K996*$J996)/$S996,"")</f>
        <v/>
      </c>
    </row>
    <row r="997">
      <c r="A997" s="62" t="n">
        <v>8</v>
      </c>
      <c r="B997" s="93" t="n">
        <v>989</v>
      </c>
      <c r="C997" s="68" t="inlineStr">
        <is>
          <t>2009Q</t>
        </is>
      </c>
      <c r="D997" s="59" t="inlineStr">
        <is>
          <t xml:space="preserve">05281-16-008-000 </t>
        </is>
      </c>
      <c r="E997" s="72" t="inlineStr">
        <is>
          <t>Actual</t>
        </is>
      </c>
      <c r="F997" s="73" t="inlineStr">
        <is>
          <t>2250 S LIPAN                ST</t>
        </is>
      </c>
      <c r="G997" s="708" t="n">
        <v>44.2</v>
      </c>
      <c r="H997" s="67" t="n">
        <v>9506</v>
      </c>
      <c r="I997" s="69" t="n">
        <v>0</v>
      </c>
      <c r="J997" s="714" t="n">
        <v>9943</v>
      </c>
      <c r="K997" s="715" t="n">
        <v>7.146937544000805</v>
      </c>
      <c r="L997" s="74" t="n">
        <v>0</v>
      </c>
      <c r="M997" s="76" t="n">
        <v>0</v>
      </c>
      <c r="N997" s="67" t="n">
        <v>1959</v>
      </c>
      <c r="O997" s="64" t="n">
        <v>1920</v>
      </c>
      <c r="Q997" s="59" t="n">
        <v>12</v>
      </c>
      <c r="R997" s="59" t="n">
        <v>1</v>
      </c>
      <c r="S997" s="59" t="n">
        <v>1</v>
      </c>
      <c r="T997" s="63" t="inlineStr">
        <is>
          <t xml:space="preserve">I1   </t>
        </is>
      </c>
      <c r="U997" s="63" t="n">
        <v>398</v>
      </c>
      <c r="V997" s="714" t="n">
        <v>21875</v>
      </c>
      <c r="W997" s="714" t="n">
        <v>22000</v>
      </c>
      <c r="X997" s="83" t="inlineStr">
        <is>
          <t>2.2:1</t>
        </is>
      </c>
      <c r="Y997" s="714">
        <f>ROUND(J997,-3)</f>
        <v/>
      </c>
      <c r="Z997" s="63" t="inlineStr">
        <is>
          <t xml:space="preserve">C </t>
        </is>
      </c>
      <c r="AA997" s="59" t="n">
        <v>3</v>
      </c>
      <c r="AB997" s="59" t="n">
        <v>3</v>
      </c>
      <c r="AC997" s="67" t="inlineStr">
        <is>
          <t>33</t>
        </is>
      </c>
      <c r="AD997" s="61" t="inlineStr">
        <is>
          <t xml:space="preserve">WHSE / LIGHT MANUF  </t>
        </is>
      </c>
      <c r="AE997" s="716" t="n"/>
      <c r="AF997" s="716" t="n"/>
      <c r="AG997" s="716" t="n"/>
      <c r="AH997" s="716" t="n"/>
      <c r="AI997" s="716" t="n"/>
      <c r="AJ997" s="716" t="n"/>
      <c r="AK997" s="716" t="inlineStr">
        <is>
          <t xml:space="preserve">TENANCY AND LEASE TERMS UNKNOWN.                                  </t>
        </is>
      </c>
      <c r="AL997">
        <f>IF(AND(ISNUMBER($S997),$S997&gt;0,ISNUMBER($K997),ISNUMBER($J997)),($K997*$J997)/$S997,"")</f>
        <v/>
      </c>
    </row>
    <row r="998">
      <c r="A998" s="62" t="n">
        <v>8</v>
      </c>
      <c r="B998" s="93" t="n">
        <v>990</v>
      </c>
      <c r="C998" s="68" t="inlineStr">
        <is>
          <t>2009Q</t>
        </is>
      </c>
      <c r="D998" s="59" t="inlineStr">
        <is>
          <t xml:space="preserve">05281-16-012-000 </t>
        </is>
      </c>
      <c r="E998" s="72" t="inlineStr">
        <is>
          <t>Actual</t>
        </is>
      </c>
      <c r="F998" s="73" t="inlineStr">
        <is>
          <t>2280 S LIPAN                ST</t>
        </is>
      </c>
      <c r="G998" s="708" t="n">
        <v>44.1</v>
      </c>
      <c r="H998" s="67" t="n">
        <v>9506</v>
      </c>
      <c r="I998" s="69" t="n">
        <v>0</v>
      </c>
      <c r="J998" s="714" t="n">
        <v>5013</v>
      </c>
      <c r="K998" s="715" t="n">
        <v>11.01137043686415</v>
      </c>
      <c r="L998" s="74" t="n">
        <v>0</v>
      </c>
      <c r="M998" s="76" t="n">
        <v>0.1309601449275362</v>
      </c>
      <c r="N998" s="67" t="n">
        <v>1961</v>
      </c>
      <c r="O998" s="64" t="n">
        <v>2346</v>
      </c>
      <c r="Q998" s="59" t="n">
        <v>13</v>
      </c>
      <c r="R998" s="59" t="n">
        <v>4</v>
      </c>
      <c r="S998" s="59" t="n">
        <v>1</v>
      </c>
      <c r="T998" s="63" t="inlineStr">
        <is>
          <t xml:space="preserve">I1   </t>
        </is>
      </c>
      <c r="U998" s="63" t="n">
        <v>398</v>
      </c>
      <c r="V998" s="714" t="n">
        <v>9375</v>
      </c>
      <c r="W998" s="714" t="n">
        <v>9000</v>
      </c>
      <c r="X998" s="83" t="inlineStr">
        <is>
          <t>1.9:1</t>
        </is>
      </c>
      <c r="Y998" s="714">
        <f>ROUND(J998,-3)</f>
        <v/>
      </c>
      <c r="Z998" s="63" t="inlineStr">
        <is>
          <t xml:space="preserve">C </t>
        </is>
      </c>
      <c r="AA998" s="59" t="n">
        <v>3</v>
      </c>
      <c r="AB998" s="59" t="n">
        <v>3</v>
      </c>
      <c r="AC998" s="67" t="inlineStr">
        <is>
          <t>33</t>
        </is>
      </c>
      <c r="AD998" s="61" t="inlineStr">
        <is>
          <t xml:space="preserve">WHSE / OFFICE       </t>
        </is>
      </c>
      <c r="AE998" s="716" t="n"/>
      <c r="AF998" s="716" t="n"/>
      <c r="AG998" s="716" t="n"/>
      <c r="AH998" s="716" t="n"/>
      <c r="AI998" s="716" t="n"/>
      <c r="AJ998" s="716" t="n"/>
      <c r="AK998" s="716" t="inlineStr">
        <is>
          <t xml:space="preserve">M-T WHSE.; 2 TENANTS; YR-TO-YR LEASES.                            </t>
        </is>
      </c>
      <c r="AL998">
        <f>IF(AND(ISNUMBER($S998),$S998&gt;0,ISNUMBER($K998),ISNUMBER($J998)),($K998*$J998)/$S998,"")</f>
        <v/>
      </c>
    </row>
    <row r="999">
      <c r="A999" s="62" t="n">
        <v>8</v>
      </c>
      <c r="B999" s="93" t="n">
        <v>991</v>
      </c>
      <c r="C999" s="68" t="inlineStr">
        <is>
          <t>2009Q</t>
        </is>
      </c>
      <c r="D999" s="59" t="inlineStr">
        <is>
          <t xml:space="preserve">05281-17-020-000 </t>
        </is>
      </c>
      <c r="E999" s="72" t="inlineStr">
        <is>
          <t>Actual</t>
        </is>
      </c>
      <c r="F999" s="73" t="inlineStr">
        <is>
          <t>2218 S KALAMATH             ST</t>
        </is>
      </c>
      <c r="G999" s="708" t="n">
        <v>43.1</v>
      </c>
      <c r="H999" s="67" t="n">
        <v>9506</v>
      </c>
      <c r="I999" s="69" t="n">
        <v>0</v>
      </c>
      <c r="J999" s="714" t="n">
        <v>16423</v>
      </c>
      <c r="K999" s="715" t="n">
        <v>3.653412896547525</v>
      </c>
      <c r="L999" s="74" t="n">
        <v>0</v>
      </c>
      <c r="M999" s="76" t="n">
        <v>0</v>
      </c>
      <c r="N999" s="67" t="n">
        <v>1972</v>
      </c>
      <c r="O999" s="64" t="n">
        <v>2155</v>
      </c>
      <c r="Q999" s="59" t="n">
        <v>17</v>
      </c>
      <c r="R999" s="59" t="n">
        <v>7</v>
      </c>
      <c r="S999" s="59" t="n">
        <v>1</v>
      </c>
      <c r="T999" s="63" t="inlineStr">
        <is>
          <t xml:space="preserve">I1   </t>
        </is>
      </c>
      <c r="U999" s="63" t="n">
        <v>401</v>
      </c>
      <c r="V999" s="714" t="n">
        <v>25000</v>
      </c>
      <c r="W999" s="714" t="n">
        <v>25000</v>
      </c>
      <c r="X999" s="83" t="inlineStr">
        <is>
          <t>1.5:1</t>
        </is>
      </c>
      <c r="Y999" s="714">
        <f>ROUND(J999,-3)</f>
        <v/>
      </c>
      <c r="Z999" s="63" t="inlineStr">
        <is>
          <t xml:space="preserve">C </t>
        </is>
      </c>
      <c r="AA999" s="59" t="n">
        <v>3</v>
      </c>
      <c r="AB999" s="59" t="n">
        <v>3</v>
      </c>
      <c r="AC999" s="67" t="inlineStr">
        <is>
          <t>33</t>
        </is>
      </c>
      <c r="AD999" s="61" t="inlineStr">
        <is>
          <t xml:space="preserve">S-F UNITED RENTAL   </t>
        </is>
      </c>
      <c r="AE999" s="716" t="n"/>
      <c r="AF999" s="716" t="n"/>
      <c r="AG999" s="716" t="n"/>
      <c r="AH999" s="716" t="n"/>
      <c r="AI999" s="716" t="n"/>
      <c r="AJ999" s="716" t="n"/>
      <c r="AK999" s="716" t="inlineStr">
        <is>
          <t xml:space="preserve">S-T INDUSTRIAL BLDG.; 2006 LEASE.                                 </t>
        </is>
      </c>
      <c r="AL999">
        <f>IF(AND(ISNUMBER($S999),$S999&gt;0,ISNUMBER($K999),ISNUMBER($J999)),($K999*$J999)/$S999,"")</f>
        <v/>
      </c>
    </row>
    <row r="1000">
      <c r="A1000" s="62" t="n">
        <v>8</v>
      </c>
      <c r="B1000" s="93" t="n">
        <v>992</v>
      </c>
      <c r="C1000" s="68" t="inlineStr">
        <is>
          <t>2009Q</t>
        </is>
      </c>
      <c r="D1000" s="59" t="inlineStr">
        <is>
          <t xml:space="preserve">05281-17-024-000 </t>
        </is>
      </c>
      <c r="E1000" s="72" t="inlineStr">
        <is>
          <t>Actual</t>
        </is>
      </c>
      <c r="F1000" s="73" t="inlineStr">
        <is>
          <t>2240 S KALAMATH             ST</t>
        </is>
      </c>
      <c r="G1000" s="708" t="n">
        <v>44.2</v>
      </c>
      <c r="H1000" s="67" t="n">
        <v>9506</v>
      </c>
      <c r="I1000" s="69" t="n">
        <v>0</v>
      </c>
      <c r="J1000" s="714" t="n">
        <v>2000</v>
      </c>
      <c r="K1000" s="715" t="n">
        <v>6.571</v>
      </c>
      <c r="L1000" s="74" t="n">
        <v>0</v>
      </c>
      <c r="M1000" s="76" t="n">
        <v>0.07807030893319129</v>
      </c>
      <c r="N1000" s="67" t="n">
        <v>1962</v>
      </c>
      <c r="Q1000" s="59" t="n">
        <v>12</v>
      </c>
      <c r="R1000" s="59" t="n">
        <v>3</v>
      </c>
      <c r="S1000" s="59" t="n">
        <v>1</v>
      </c>
      <c r="T1000" s="63" t="inlineStr">
        <is>
          <t xml:space="preserve">I1   </t>
        </is>
      </c>
      <c r="U1000" s="63" t="n">
        <v>398</v>
      </c>
      <c r="V1000" s="714" t="n">
        <v>12500</v>
      </c>
      <c r="W1000" s="714" t="n">
        <v>13000</v>
      </c>
      <c r="X1000" s="83" t="inlineStr">
        <is>
          <t>6.3:1</t>
        </is>
      </c>
      <c r="Y1000" s="714">
        <f>ROUND(J1000,-3)</f>
        <v/>
      </c>
      <c r="Z1000" s="63" t="inlineStr">
        <is>
          <t xml:space="preserve">C </t>
        </is>
      </c>
      <c r="AA1000" s="59" t="n">
        <v>3</v>
      </c>
      <c r="AB1000" s="59" t="n">
        <v>3</v>
      </c>
      <c r="AC1000" s="67" t="inlineStr">
        <is>
          <t>33</t>
        </is>
      </c>
      <c r="AD1000" s="61" t="inlineStr">
        <is>
          <t xml:space="preserve">S-W JT'S UPHOLSTERY </t>
        </is>
      </c>
      <c r="AE1000" s="716" t="n"/>
      <c r="AF1000" s="716" t="n"/>
      <c r="AG1000" s="716" t="n"/>
      <c r="AH1000" s="716" t="n"/>
      <c r="AI1000" s="716" t="n"/>
      <c r="AJ1000" s="716" t="n"/>
      <c r="AK1000" s="716" t="inlineStr">
        <is>
          <t xml:space="preserve">S-T WHSE.; 2006 LEASE.                                            </t>
        </is>
      </c>
      <c r="AL1000">
        <f>IF(AND(ISNUMBER($S1000),$S1000&gt;0,ISNUMBER($K1000),ISNUMBER($J1000)),($K1000*$J1000)/$S1000,"")</f>
        <v/>
      </c>
    </row>
    <row r="1001">
      <c r="A1001" s="62" t="n">
        <v>8</v>
      </c>
      <c r="B1001" s="93" t="n">
        <v>993</v>
      </c>
      <c r="C1001" s="68" t="inlineStr">
        <is>
          <t>2009Q</t>
        </is>
      </c>
      <c r="D1001" s="59" t="inlineStr">
        <is>
          <t xml:space="preserve">05281-17-034-000 </t>
        </is>
      </c>
      <c r="E1001" s="72" t="inlineStr">
        <is>
          <t>Actual</t>
        </is>
      </c>
      <c r="F1001" s="73" t="inlineStr">
        <is>
          <t>2278 S KALAMATH             ST</t>
        </is>
      </c>
      <c r="G1001" s="708" t="n">
        <v>44.2</v>
      </c>
      <c r="H1001" s="67" t="n">
        <v>9506</v>
      </c>
      <c r="I1001" s="69" t="n">
        <v>0</v>
      </c>
      <c r="J1001" s="714" t="n">
        <v>4460</v>
      </c>
      <c r="K1001" s="715" t="n">
        <v>7.533632286995516</v>
      </c>
      <c r="L1001" s="74" t="n">
        <v>0</v>
      </c>
      <c r="M1001" s="76" t="n">
        <v>0.04401785714285714</v>
      </c>
      <c r="N1001" s="67" t="n">
        <v>2000</v>
      </c>
      <c r="O1001" s="64">
        <f>322+288</f>
        <v/>
      </c>
      <c r="Q1001" s="59" t="n">
        <v>18</v>
      </c>
      <c r="R1001" s="59" t="n">
        <v>1</v>
      </c>
      <c r="S1001" s="59" t="n">
        <v>1</v>
      </c>
      <c r="T1001" s="63" t="inlineStr">
        <is>
          <t xml:space="preserve">I1   </t>
        </is>
      </c>
      <c r="U1001" s="63" t="n">
        <v>398</v>
      </c>
      <c r="V1001" s="714" t="n">
        <v>6250</v>
      </c>
      <c r="W1001" s="714" t="n">
        <v>6000</v>
      </c>
      <c r="X1001" s="83" t="inlineStr">
        <is>
          <t>1.4:1</t>
        </is>
      </c>
      <c r="Y1001" s="714">
        <f>ROUND(J1001,-3)</f>
        <v/>
      </c>
      <c r="Z1001" s="63" t="inlineStr">
        <is>
          <t xml:space="preserve">C </t>
        </is>
      </c>
      <c r="AA1001" s="59" t="n">
        <v>3</v>
      </c>
      <c r="AB1001" s="59" t="n">
        <v>3</v>
      </c>
      <c r="AC1001" s="67" t="inlineStr">
        <is>
          <t>33</t>
        </is>
      </c>
      <c r="AD1001" s="61" t="inlineStr">
        <is>
          <t xml:space="preserve">HORST DYNAMICS      </t>
        </is>
      </c>
      <c r="AE1001" s="716" t="n"/>
      <c r="AF1001" s="716" t="n"/>
      <c r="AG1001" s="716" t="n"/>
      <c r="AH1001" s="716" t="n"/>
      <c r="AI1001" s="716" t="n"/>
      <c r="AJ1001" s="716" t="n"/>
      <c r="AK1001" s="716" t="inlineStr">
        <is>
          <t xml:space="preserve">S-T WHSE.; MO-TO-MO LEASE.                                        </t>
        </is>
      </c>
      <c r="AL1001">
        <f>IF(AND(ISNUMBER($S1001),$S1001&gt;0,ISNUMBER($K1001),ISNUMBER($J1001)),($K1001*$J1001)/$S1001,"")</f>
        <v/>
      </c>
    </row>
    <row r="1002">
      <c r="A1002" s="62" t="n">
        <v>8</v>
      </c>
      <c r="B1002" s="93" t="n">
        <v>994</v>
      </c>
      <c r="C1002" s="68" t="inlineStr">
        <is>
          <t>2009Q</t>
        </is>
      </c>
      <c r="D1002" s="59" t="inlineStr">
        <is>
          <t xml:space="preserve">05282-00-004-000 </t>
        </is>
      </c>
      <c r="E1002" s="72" t="inlineStr">
        <is>
          <t>Actual</t>
        </is>
      </c>
      <c r="F1002" s="73" t="inlineStr">
        <is>
          <t>2190 S RARITAN              ST</t>
        </is>
      </c>
      <c r="G1002" s="708" t="n">
        <v>44.2</v>
      </c>
      <c r="H1002" s="67" t="n">
        <v>9506</v>
      </c>
      <c r="I1002" s="69" t="n">
        <v>0</v>
      </c>
      <c r="J1002" s="714" t="n">
        <v>2400</v>
      </c>
      <c r="K1002" s="715" t="n">
        <v>20</v>
      </c>
      <c r="L1002" s="74" t="n">
        <v>0</v>
      </c>
      <c r="M1002" s="76" t="n">
        <v>0</v>
      </c>
      <c r="N1002" s="67" t="n">
        <v>1964</v>
      </c>
      <c r="O1002" s="714" t="n">
        <v>560</v>
      </c>
      <c r="P1002" s="714" t="n"/>
      <c r="Q1002" s="59" t="n">
        <v>10</v>
      </c>
      <c r="R1002" s="59" t="n">
        <v>7</v>
      </c>
      <c r="S1002" s="59" t="n">
        <v>2</v>
      </c>
      <c r="T1002" s="63" t="inlineStr">
        <is>
          <t xml:space="preserve">I1   </t>
        </is>
      </c>
      <c r="U1002" s="63" t="n">
        <v>332</v>
      </c>
      <c r="V1002" s="714" t="n">
        <v>26000</v>
      </c>
      <c r="W1002" s="714" t="n">
        <v>26000</v>
      </c>
      <c r="X1002" s="83" t="inlineStr">
        <is>
          <t>10.8:1</t>
        </is>
      </c>
      <c r="Y1002" s="714">
        <f>ROUND(J1002,-3)</f>
        <v/>
      </c>
      <c r="Z1002" s="63" t="inlineStr">
        <is>
          <t xml:space="preserve">C </t>
        </is>
      </c>
      <c r="AA1002" s="59" t="n">
        <v>3</v>
      </c>
      <c r="AB1002" s="59" t="n">
        <v>3</v>
      </c>
      <c r="AC1002" s="67" t="n">
        <v>33</v>
      </c>
      <c r="AD1002" s="61" t="inlineStr">
        <is>
          <t xml:space="preserve">CENTENNIAL AUTO 4X4 </t>
        </is>
      </c>
      <c r="AE1002" s="716" t="n"/>
      <c r="AF1002" s="716" t="n"/>
      <c r="AG1002" s="716" t="n"/>
      <c r="AH1002" s="716" t="n"/>
      <c r="AI1002" s="716" t="n"/>
      <c r="AJ1002" s="716" t="n"/>
      <c r="AK1002" s="716" t="inlineStr">
        <is>
          <t xml:space="preserve">BLG RENTED PARTIALLY IN 2007.                                     </t>
        </is>
      </c>
      <c r="AL1002">
        <f>IF(AND(ISNUMBER($S1002),$S1002&gt;0,ISNUMBER($K1002),ISNUMBER($J1002)),($K1002*$J1002)/$S1002,"")</f>
        <v/>
      </c>
    </row>
    <row r="1003">
      <c r="A1003" s="62" t="n">
        <v>8</v>
      </c>
      <c r="B1003" s="93" t="n">
        <v>995</v>
      </c>
      <c r="C1003" s="68" t="inlineStr">
        <is>
          <t>2009Q</t>
        </is>
      </c>
      <c r="D1003" s="59" t="inlineStr">
        <is>
          <t xml:space="preserve">05282-00-006-000 </t>
        </is>
      </c>
      <c r="E1003" s="72" t="inlineStr">
        <is>
          <t>Actual</t>
        </is>
      </c>
      <c r="F1003" s="73" t="inlineStr">
        <is>
          <t>1696 W EVANS                AV</t>
        </is>
      </c>
      <c r="G1003" s="708" t="n">
        <v>44.1</v>
      </c>
      <c r="H1003" s="67" t="n">
        <v>9506</v>
      </c>
      <c r="I1003" s="69" t="n">
        <v>0</v>
      </c>
      <c r="J1003" s="714" t="n">
        <v>14990</v>
      </c>
      <c r="K1003" s="715" t="n">
        <v>5.662241494329553</v>
      </c>
      <c r="L1003" s="74" t="n">
        <v>0</v>
      </c>
      <c r="M1003" s="76" t="n">
        <v>0.01528093594259929</v>
      </c>
      <c r="N1003" s="67" t="n">
        <v>1980</v>
      </c>
      <c r="O1003" s="64" t="n">
        <v>795</v>
      </c>
      <c r="Q1003" s="59" t="n">
        <v>15</v>
      </c>
      <c r="R1003" s="59" t="n">
        <v>1</v>
      </c>
      <c r="S1003" s="59" t="n">
        <v>1</v>
      </c>
      <c r="T1003" s="63" t="inlineStr">
        <is>
          <t xml:space="preserve">I1   </t>
        </is>
      </c>
      <c r="U1003" s="63" t="n">
        <v>398</v>
      </c>
      <c r="V1003" s="714" t="n">
        <v>18750</v>
      </c>
      <c r="W1003" s="714" t="n">
        <v>19000</v>
      </c>
      <c r="X1003" s="83" t="inlineStr">
        <is>
          <t>1.3:1</t>
        </is>
      </c>
      <c r="Y1003" s="714">
        <f>ROUND(J1003,-3)</f>
        <v/>
      </c>
      <c r="Z1003" s="63" t="inlineStr">
        <is>
          <t xml:space="preserve">C </t>
        </is>
      </c>
      <c r="AA1003" s="59" t="n">
        <v>3</v>
      </c>
      <c r="AB1003" s="59" t="n">
        <v>3</v>
      </c>
      <c r="AC1003" s="67" t="inlineStr">
        <is>
          <t>33</t>
        </is>
      </c>
      <c r="AD1003" s="61" t="inlineStr">
        <is>
          <t>WHSE/OFC FURN  SALES</t>
        </is>
      </c>
      <c r="AE1003" s="716" t="n"/>
      <c r="AF1003" s="716" t="n"/>
      <c r="AG1003" s="716" t="n"/>
      <c r="AH1003" s="716" t="n"/>
      <c r="AI1003" s="716" t="n"/>
      <c r="AJ1003" s="716" t="n"/>
      <c r="AK1003" s="716" t="inlineStr">
        <is>
          <t xml:space="preserve">S-T WHSE.                                                         </t>
        </is>
      </c>
      <c r="AL1003">
        <f>IF(AND(ISNUMBER($S1003),$S1003&gt;0,ISNUMBER($K1003),ISNUMBER($J1003)),($K1003*$J1003)/$S1003,"")</f>
        <v/>
      </c>
    </row>
    <row r="1004">
      <c r="A1004" s="62" t="n">
        <v>8</v>
      </c>
      <c r="B1004" s="93" t="n">
        <v>996</v>
      </c>
      <c r="C1004" s="68" t="inlineStr">
        <is>
          <t>2009Q</t>
        </is>
      </c>
      <c r="D1004" s="59" t="inlineStr">
        <is>
          <t xml:space="preserve">05282-11-010-000 </t>
        </is>
      </c>
      <c r="E1004" s="72" t="inlineStr">
        <is>
          <t>Actual</t>
        </is>
      </c>
      <c r="F1004" s="73" t="inlineStr">
        <is>
          <t>1801 W EVANS                AV</t>
        </is>
      </c>
      <c r="G1004" s="708" t="n">
        <v>44.2</v>
      </c>
      <c r="H1004" s="67" t="n">
        <v>9506</v>
      </c>
      <c r="I1004" s="69" t="n">
        <v>0</v>
      </c>
      <c r="J1004" s="714" t="n">
        <v>1800</v>
      </c>
      <c r="K1004" s="715" t="n">
        <v>9</v>
      </c>
      <c r="L1004" s="74" t="n">
        <v>0</v>
      </c>
      <c r="M1004" s="76" t="n">
        <v>0.4258641975308642</v>
      </c>
      <c r="N1004" s="67" t="n">
        <v>1980</v>
      </c>
      <c r="O1004" s="64">
        <f>735+1470</f>
        <v/>
      </c>
      <c r="Q1004" s="59" t="n">
        <v>19</v>
      </c>
      <c r="R1004" s="59" t="n">
        <v>3</v>
      </c>
      <c r="S1004" s="59" t="n">
        <v>1</v>
      </c>
      <c r="T1004" s="63" t="inlineStr">
        <is>
          <t xml:space="preserve">PUD  </t>
        </is>
      </c>
      <c r="U1004" s="63" t="n">
        <v>398</v>
      </c>
      <c r="V1004" s="714" t="n">
        <v>15960</v>
      </c>
      <c r="W1004" s="714" t="n">
        <v>16000</v>
      </c>
      <c r="X1004" s="83" t="inlineStr">
        <is>
          <t>2.2:1</t>
        </is>
      </c>
      <c r="Y1004" s="714">
        <f>ROUND(J1004,-2)</f>
        <v/>
      </c>
      <c r="Z1004" s="63" t="inlineStr">
        <is>
          <t xml:space="preserve">C </t>
        </is>
      </c>
      <c r="AA1004" s="59" t="n">
        <v>3</v>
      </c>
      <c r="AB1004" s="59" t="n">
        <v>3</v>
      </c>
      <c r="AC1004" s="67" t="inlineStr">
        <is>
          <t>33</t>
        </is>
      </c>
      <c r="AD1004" s="61" t="inlineStr">
        <is>
          <t>VOLVO PARTS &amp; SERVCE</t>
        </is>
      </c>
      <c r="AE1004" s="716" t="n"/>
      <c r="AF1004" s="716" t="n"/>
      <c r="AG1004" s="716" t="n"/>
      <c r="AH1004" s="716" t="n"/>
      <c r="AI1004" s="716" t="n"/>
      <c r="AJ1004" s="716" t="n"/>
      <c r="AK1004" s="716" t="inlineStr">
        <is>
          <t xml:space="preserve">M-T WHSE.; 2 TENANTS - ONE IS OWNER.                              </t>
        </is>
      </c>
      <c r="AL1004">
        <f>IF(AND(ISNUMBER($S1004),$S1004&gt;0,ISNUMBER($K1004),ISNUMBER($J1004)),($K1004*$J1004)/$S1004,"")</f>
        <v/>
      </c>
    </row>
    <row r="1005">
      <c r="A1005" s="62" t="n">
        <v>8</v>
      </c>
      <c r="B1005" s="93" t="n">
        <v>997</v>
      </c>
      <c r="C1005" s="68" t="inlineStr">
        <is>
          <t>2009Q</t>
        </is>
      </c>
      <c r="D1005" s="59" t="inlineStr">
        <is>
          <t xml:space="preserve">05284-02-010-000 </t>
        </is>
      </c>
      <c r="E1005" s="72" t="inlineStr">
        <is>
          <t>Actual</t>
        </is>
      </c>
      <c r="F1005" s="73" t="inlineStr">
        <is>
          <t>2301 S INCA                 ST</t>
        </is>
      </c>
      <c r="G1005" s="708" t="n">
        <v>44.1</v>
      </c>
      <c r="H1005" s="67" t="n">
        <v>9506</v>
      </c>
      <c r="I1005" s="69" t="n">
        <v>0</v>
      </c>
      <c r="J1005" s="714" t="n">
        <v>10005</v>
      </c>
      <c r="K1005" s="715" t="n">
        <v>5.397301349325337</v>
      </c>
      <c r="L1005" s="74" t="n">
        <v>0</v>
      </c>
      <c r="M1005" s="76" t="n">
        <v>0.04259259259259259</v>
      </c>
      <c r="N1005" s="67" t="n">
        <v>1965</v>
      </c>
      <c r="O1005" s="64" t="n">
        <v>2142</v>
      </c>
      <c r="P1005" s="64">
        <f>1188</f>
        <v/>
      </c>
      <c r="Q1005" s="59" t="n">
        <v>13</v>
      </c>
      <c r="R1005" s="59" t="n">
        <v>1</v>
      </c>
      <c r="S1005" s="59" t="n">
        <v>1</v>
      </c>
      <c r="T1005" s="63" t="inlineStr">
        <is>
          <t xml:space="preserve">I1   </t>
        </is>
      </c>
      <c r="U1005" s="63" t="n">
        <v>398</v>
      </c>
      <c r="V1005" s="714" t="n">
        <v>12500</v>
      </c>
      <c r="W1005" s="714" t="n">
        <v>13000</v>
      </c>
      <c r="X1005" s="83" t="inlineStr">
        <is>
          <t>1.2:1</t>
        </is>
      </c>
      <c r="Y1005" s="714">
        <f>ROUND(J1005,-3)</f>
        <v/>
      </c>
      <c r="Z1005" s="63" t="inlineStr">
        <is>
          <t xml:space="preserve">C </t>
        </is>
      </c>
      <c r="AA1005" s="59" t="n">
        <v>3</v>
      </c>
      <c r="AB1005" s="59" t="n">
        <v>3</v>
      </c>
      <c r="AC1005" s="67" t="inlineStr">
        <is>
          <t>33</t>
        </is>
      </c>
      <c r="AD1005" s="61" t="inlineStr">
        <is>
          <t xml:space="preserve">S-D STRUBLE         </t>
        </is>
      </c>
      <c r="AE1005" s="716" t="n"/>
      <c r="AF1005" s="716" t="n"/>
      <c r="AG1005" s="716" t="n"/>
      <c r="AH1005" s="716" t="n"/>
      <c r="AI1005" s="716" t="n"/>
      <c r="AJ1005" s="716" t="n"/>
      <c r="AK1005" s="716" t="inlineStr">
        <is>
          <t xml:space="preserve">S-T WHSE.                                                         </t>
        </is>
      </c>
      <c r="AL1005">
        <f>IF(AND(ISNUMBER($S1005),$S1005&gt;0,ISNUMBER($K1005),ISNUMBER($J1005)),($K1005*$J1005)/$S1005,"")</f>
        <v/>
      </c>
    </row>
    <row r="1006">
      <c r="A1006" s="62" t="n">
        <v>8</v>
      </c>
      <c r="B1006" s="93" t="n">
        <v>998</v>
      </c>
      <c r="C1006" s="68" t="inlineStr">
        <is>
          <t>2009Q</t>
        </is>
      </c>
      <c r="D1006" s="59" t="inlineStr">
        <is>
          <t xml:space="preserve">05284-03-018-000 </t>
        </is>
      </c>
      <c r="E1006" s="72" t="inlineStr">
        <is>
          <t>Actual</t>
        </is>
      </c>
      <c r="F1006" s="73" t="inlineStr">
        <is>
          <t>2390 S KALAMATH             ST</t>
        </is>
      </c>
      <c r="G1006" s="708" t="n">
        <v>44.2</v>
      </c>
      <c r="H1006" s="67" t="n">
        <v>9506</v>
      </c>
      <c r="I1006" s="69" t="n">
        <v>0</v>
      </c>
      <c r="J1006" s="714" t="n">
        <v>6000</v>
      </c>
      <c r="K1006" s="715" t="n">
        <v>5.4</v>
      </c>
      <c r="L1006" s="74" t="n">
        <v>0</v>
      </c>
      <c r="M1006" s="76" t="n">
        <v>0.08808641975308643</v>
      </c>
      <c r="N1006" s="67" t="n">
        <v>1973</v>
      </c>
      <c r="O1006" s="64" t="n">
        <v>1440</v>
      </c>
      <c r="Q1006" s="59" t="n">
        <v>14</v>
      </c>
      <c r="R1006" s="59" t="n">
        <v>1</v>
      </c>
      <c r="S1006" s="59" t="n">
        <v>1</v>
      </c>
      <c r="T1006" s="63" t="inlineStr">
        <is>
          <t xml:space="preserve">I1   </t>
        </is>
      </c>
      <c r="U1006" s="63" t="n">
        <v>398</v>
      </c>
      <c r="V1006" s="714" t="n">
        <v>18750</v>
      </c>
      <c r="W1006" s="714" t="n">
        <v>19000</v>
      </c>
      <c r="X1006" s="83" t="inlineStr">
        <is>
          <t>1.6:1</t>
        </is>
      </c>
      <c r="Y1006" s="714">
        <f>ROUND(J1006,-3)</f>
        <v/>
      </c>
      <c r="Z1006" s="63" t="inlineStr">
        <is>
          <t xml:space="preserve">C </t>
        </is>
      </c>
      <c r="AA1006" s="59" t="n">
        <v>3</v>
      </c>
      <c r="AB1006" s="59" t="n">
        <v>3</v>
      </c>
      <c r="AC1006" s="67" t="inlineStr">
        <is>
          <t>33</t>
        </is>
      </c>
      <c r="AD1006" s="61" t="inlineStr"/>
      <c r="AE1006" s="716" t="n"/>
      <c r="AF1006" s="716" t="n"/>
      <c r="AG1006" s="716" t="n"/>
      <c r="AH1006" s="716" t="n"/>
      <c r="AI1006" s="716" t="n"/>
      <c r="AJ1006" s="716" t="n"/>
      <c r="AK1006" s="716" t="inlineStr">
        <is>
          <t xml:space="preserve">M-T WHSE.; 3 TENANTS; MO-TO-MO LEASES.                            </t>
        </is>
      </c>
      <c r="AL1006">
        <f>IF(AND(ISNUMBER($S1006),$S1006&gt;0,ISNUMBER($K1006),ISNUMBER($J1006)),($K1006*$J1006)/$S1006,"")</f>
        <v/>
      </c>
    </row>
    <row r="1007">
      <c r="A1007" s="62" t="n">
        <v>8</v>
      </c>
      <c r="B1007" s="93" t="n">
        <v>999</v>
      </c>
      <c r="C1007" s="68" t="inlineStr">
        <is>
          <t>2009Q</t>
        </is>
      </c>
      <c r="D1007" s="59" t="inlineStr">
        <is>
          <t xml:space="preserve">05284-04-005-000 </t>
        </is>
      </c>
      <c r="E1007" s="72" t="inlineStr">
        <is>
          <t>Actual</t>
        </is>
      </c>
      <c r="F1007" s="73" t="inlineStr">
        <is>
          <t>2390 S LIPAN                ST</t>
        </is>
      </c>
      <c r="G1007" s="708" t="n">
        <v>44.2</v>
      </c>
      <c r="H1007" s="67" t="n">
        <v>9506</v>
      </c>
      <c r="I1007" s="69" t="n">
        <v>0</v>
      </c>
      <c r="J1007" s="714" t="n">
        <v>11090</v>
      </c>
      <c r="K1007" s="715" t="n">
        <v>10.44183949504058</v>
      </c>
      <c r="L1007" s="74" t="n">
        <v>0.3606853020739405</v>
      </c>
      <c r="M1007" s="76" t="n">
        <v>0</v>
      </c>
      <c r="N1007" s="67" t="n">
        <v>1995</v>
      </c>
      <c r="O1007" s="64" t="n">
        <v>1671</v>
      </c>
      <c r="P1007" s="64" t="n">
        <v>3922</v>
      </c>
      <c r="Q1007" s="59" t="n">
        <v>15</v>
      </c>
      <c r="R1007" s="59" t="n">
        <v>3</v>
      </c>
      <c r="S1007" s="59" t="n">
        <v>1</v>
      </c>
      <c r="T1007" s="63" t="inlineStr">
        <is>
          <t xml:space="preserve">I1   </t>
        </is>
      </c>
      <c r="U1007" s="63" t="n">
        <v>398</v>
      </c>
      <c r="V1007" s="714" t="n">
        <v>40625</v>
      </c>
      <c r="W1007" s="714" t="n">
        <v>41000</v>
      </c>
      <c r="X1007" s="83" t="inlineStr">
        <is>
          <t>3.7:1</t>
        </is>
      </c>
      <c r="Y1007" s="714">
        <f>ROUND(J1007,-3)</f>
        <v/>
      </c>
      <c r="Z1007" s="63" t="inlineStr">
        <is>
          <t xml:space="preserve">C </t>
        </is>
      </c>
      <c r="AA1007" s="59" t="n">
        <v>3</v>
      </c>
      <c r="AB1007" s="59" t="n">
        <v>3</v>
      </c>
      <c r="AC1007" s="67" t="inlineStr">
        <is>
          <t>33</t>
        </is>
      </c>
      <c r="AD1007" s="61" t="inlineStr">
        <is>
          <t xml:space="preserve">DIST/LAB/SINGLE TN  </t>
        </is>
      </c>
      <c r="AE1007" s="716" t="n"/>
      <c r="AF1007" s="716" t="n"/>
      <c r="AG1007" s="716" t="n"/>
      <c r="AH1007" s="716" t="n"/>
      <c r="AI1007" s="716" t="n"/>
      <c r="AJ1007" s="716" t="n"/>
      <c r="AK1007" s="716" t="inlineStr">
        <is>
          <t xml:space="preserve">S-T WHSE.; LEASE TERMS UNKNOWN.                                   </t>
        </is>
      </c>
      <c r="AL1007">
        <f>IF(AND(ISNUMBER($S1007),$S1007&gt;0,ISNUMBER($K1007),ISNUMBER($J1007)),($K1007*$J1007)/$S1007,"")</f>
        <v/>
      </c>
    </row>
    <row r="1008">
      <c r="A1008" s="62" t="n">
        <v>8</v>
      </c>
      <c r="B1008" s="93" t="n">
        <v>1000</v>
      </c>
      <c r="C1008" s="68" t="inlineStr">
        <is>
          <t>2009Q</t>
        </is>
      </c>
      <c r="D1008" s="59" t="inlineStr">
        <is>
          <t xml:space="preserve">05284-05-005-000 </t>
        </is>
      </c>
      <c r="E1008" s="72" t="inlineStr">
        <is>
          <t>Actual</t>
        </is>
      </c>
      <c r="F1008" s="73" t="inlineStr">
        <is>
          <t>2323 S LIPAN                ST</t>
        </is>
      </c>
      <c r="G1008" s="708" t="n">
        <v>47.2</v>
      </c>
      <c r="H1008" s="67" t="n">
        <v>9506</v>
      </c>
      <c r="I1008" s="69" t="n">
        <v>0</v>
      </c>
      <c r="J1008" s="714" t="n">
        <v>49245</v>
      </c>
      <c r="K1008" s="715" t="n">
        <v>4.04629911666159</v>
      </c>
      <c r="L1008" s="74" t="n">
        <v>0</v>
      </c>
      <c r="M1008" s="76" t="n">
        <v>0.05610759811301817</v>
      </c>
      <c r="N1008" s="67" t="n">
        <v>1965</v>
      </c>
      <c r="O1008" s="64" t="n">
        <v>5002</v>
      </c>
      <c r="Q1008" s="59" t="n">
        <v>14</v>
      </c>
      <c r="R1008" s="59" t="n">
        <v>1</v>
      </c>
      <c r="S1008" s="59" t="n">
        <v>1</v>
      </c>
      <c r="T1008" s="63" t="inlineStr">
        <is>
          <t xml:space="preserve">I2   </t>
        </is>
      </c>
      <c r="U1008" s="63" t="n">
        <v>401</v>
      </c>
      <c r="V1008" s="714" t="n">
        <v>66500</v>
      </c>
      <c r="W1008" s="714" t="n">
        <v>70000</v>
      </c>
      <c r="X1008" s="83" t="inlineStr">
        <is>
          <t>1.4:1</t>
        </is>
      </c>
      <c r="Y1008" s="714">
        <f>ROUND(J1008,-3)</f>
        <v/>
      </c>
      <c r="Z1008" s="63" t="inlineStr">
        <is>
          <t xml:space="preserve">C </t>
        </is>
      </c>
      <c r="AA1008" s="59" t="n">
        <v>3</v>
      </c>
      <c r="AB1008" s="59" t="n">
        <v>2</v>
      </c>
      <c r="AC1008" s="67" t="inlineStr">
        <is>
          <t>32</t>
        </is>
      </c>
      <c r="AD1008" s="61" t="inlineStr"/>
      <c r="AE1008" s="716" t="n"/>
      <c r="AF1008" s="716" t="n"/>
      <c r="AG1008" s="716" t="n"/>
      <c r="AH1008" s="716" t="n"/>
      <c r="AI1008" s="716" t="n"/>
      <c r="AJ1008" s="716" t="n"/>
      <c r="AK1008" s="716" t="inlineStr">
        <is>
          <t xml:space="preserve">S-T INDUSTRIAL BLDG.                                              </t>
        </is>
      </c>
      <c r="AL1008">
        <f>IF(AND(ISNUMBER($S1008),$S1008&gt;0,ISNUMBER($K1008),ISNUMBER($J1008)),($K1008*$J1008)/$S1008,"")</f>
        <v/>
      </c>
    </row>
    <row r="1009">
      <c r="A1009" s="62" t="n">
        <v>8</v>
      </c>
      <c r="B1009" s="93" t="n">
        <v>1001</v>
      </c>
      <c r="C1009" s="68" t="inlineStr">
        <is>
          <t>2009Q</t>
        </is>
      </c>
      <c r="D1009" s="59" t="inlineStr">
        <is>
          <t xml:space="preserve">06282-02-007-000 </t>
        </is>
      </c>
      <c r="E1009" s="72" t="inlineStr">
        <is>
          <t>Actual</t>
        </is>
      </c>
      <c r="F1009" s="73" t="inlineStr">
        <is>
          <t>1980 S QUEBEC               ST</t>
        </is>
      </c>
      <c r="G1009" s="708" t="n">
        <v>44.2</v>
      </c>
      <c r="H1009" s="67" t="n">
        <v>9603</v>
      </c>
      <c r="I1009" s="69" t="n">
        <v>0</v>
      </c>
      <c r="J1009" s="714" t="n">
        <v>39152</v>
      </c>
      <c r="K1009" s="715" t="n">
        <v>5.946056395586433</v>
      </c>
      <c r="L1009" s="74" t="n">
        <v>0.05</v>
      </c>
      <c r="M1009" s="76" t="n">
        <v>0.4424183848797251</v>
      </c>
      <c r="N1009" s="67" t="n">
        <v>1974</v>
      </c>
      <c r="O1009" s="64">
        <f>12488+5868</f>
        <v/>
      </c>
      <c r="Q1009" s="59" t="n">
        <v>22</v>
      </c>
      <c r="R1009" s="59" t="n">
        <v>10</v>
      </c>
      <c r="S1009" s="59" t="n">
        <v>12</v>
      </c>
      <c r="T1009" s="63" t="inlineStr">
        <is>
          <t xml:space="preserve">I1   </t>
        </is>
      </c>
      <c r="U1009" s="63" t="n">
        <v>397</v>
      </c>
      <c r="V1009" s="714" t="n">
        <v>94290</v>
      </c>
      <c r="W1009" s="714" t="n">
        <v>90000</v>
      </c>
      <c r="X1009" s="83" t="inlineStr">
        <is>
          <t>2.4:1</t>
        </is>
      </c>
      <c r="Y1009" s="714">
        <f>ROUND(J1009,-3)</f>
        <v/>
      </c>
      <c r="Z1009" s="63" t="inlineStr">
        <is>
          <t xml:space="preserve">C </t>
        </is>
      </c>
      <c r="AA1009" s="59" t="n">
        <v>3</v>
      </c>
      <c r="AB1009" s="59" t="n">
        <v>3</v>
      </c>
      <c r="AC1009" s="67" t="inlineStr">
        <is>
          <t>33</t>
        </is>
      </c>
      <c r="AD1009" s="61" t="inlineStr">
        <is>
          <t xml:space="preserve">WAREHOUSE           </t>
        </is>
      </c>
      <c r="AE1009" s="716" t="n"/>
      <c r="AF1009" s="716" t="n"/>
      <c r="AG1009" s="716" t="n"/>
      <c r="AH1009" s="716" t="n"/>
      <c r="AI1009" s="716" t="n"/>
      <c r="AJ1009" s="716" t="n"/>
      <c r="AK1009" s="716" t="inlineStr">
        <is>
          <t xml:space="preserve">M-T OFC/WHS; 21 TENANTS; AGE OF LEASES UNKNOWN.                   </t>
        </is>
      </c>
      <c r="AL1009">
        <f>IF(AND(ISNUMBER($S1009),$S1009&gt;0,ISNUMBER($K1009),ISNUMBER($J1009)),($K1009*$J1009)/$S1009,"")</f>
        <v/>
      </c>
    </row>
    <row r="1010">
      <c r="A1010" s="62" t="n">
        <v>8</v>
      </c>
      <c r="B1010" s="93" t="n">
        <v>1002</v>
      </c>
      <c r="C1010" s="68" t="inlineStr">
        <is>
          <t>2009Q</t>
        </is>
      </c>
      <c r="D1010" s="59" t="inlineStr">
        <is>
          <t xml:space="preserve">06282-02-013-000 </t>
        </is>
      </c>
      <c r="E1010" s="72" t="inlineStr">
        <is>
          <t>Actual</t>
        </is>
      </c>
      <c r="F1010" s="73" t="inlineStr">
        <is>
          <t>1910 S QUEBEC               ST</t>
        </is>
      </c>
      <c r="G1010" s="708" t="n">
        <v>44.1</v>
      </c>
      <c r="H1010" s="67" t="n">
        <v>9603</v>
      </c>
      <c r="I1010" s="69" t="n">
        <v>0</v>
      </c>
      <c r="J1010" s="714" t="n">
        <v>11360</v>
      </c>
      <c r="K1010" s="715" t="n">
        <v>6.648591549295775</v>
      </c>
      <c r="L1010" s="74" t="n">
        <v>0</v>
      </c>
      <c r="M1010" s="76" t="n">
        <v>0.02648024573668043</v>
      </c>
      <c r="N1010" s="67" t="n">
        <v>1976</v>
      </c>
      <c r="O1010" s="64" t="n">
        <v>370</v>
      </c>
      <c r="P1010" s="64" t="n">
        <v>1210</v>
      </c>
      <c r="Q1010" s="59" t="n">
        <v>17</v>
      </c>
      <c r="R1010" s="59" t="n">
        <v>7</v>
      </c>
      <c r="S1010" s="59" t="n">
        <v>1</v>
      </c>
      <c r="T1010" s="63" t="inlineStr">
        <is>
          <t xml:space="preserve">I1   </t>
        </is>
      </c>
      <c r="U1010" s="63" t="n">
        <v>398</v>
      </c>
      <c r="V1010" s="714" t="n">
        <v>22110</v>
      </c>
      <c r="W1010" s="714" t="n">
        <v>22000</v>
      </c>
      <c r="X1010" s="83" t="inlineStr">
        <is>
          <t>1.9:1</t>
        </is>
      </c>
      <c r="Y1010" s="714">
        <f>ROUND(J1010,-3)</f>
        <v/>
      </c>
      <c r="Z1010" s="63" t="inlineStr">
        <is>
          <t xml:space="preserve">C </t>
        </is>
      </c>
      <c r="AA1010" s="59" t="n">
        <v>3</v>
      </c>
      <c r="AB1010" s="59" t="n">
        <v>3</v>
      </c>
      <c r="AC1010" s="67" t="inlineStr">
        <is>
          <t>33</t>
        </is>
      </c>
      <c r="AD1010" s="61" t="inlineStr">
        <is>
          <t xml:space="preserve">GEORGE SANDERS WHSE </t>
        </is>
      </c>
      <c r="AE1010" s="716" t="n"/>
      <c r="AF1010" s="716" t="n"/>
      <c r="AG1010" s="716" t="n"/>
      <c r="AH1010" s="716" t="n"/>
      <c r="AI1010" s="716" t="n"/>
      <c r="AJ1010" s="716" t="n"/>
      <c r="AK1010" s="716" t="inlineStr">
        <is>
          <t xml:space="preserve">S-T WHSE; 2006 LEASE.                                             </t>
        </is>
      </c>
      <c r="AL1010">
        <f>IF(AND(ISNUMBER($S1010),$S1010&gt;0,ISNUMBER($K1010),ISNUMBER($J1010)),($K1010*$J1010)/$S1010,"")</f>
        <v/>
      </c>
    </row>
    <row r="1011">
      <c r="A1011" s="62" t="n">
        <v>8</v>
      </c>
      <c r="B1011" s="93" t="n">
        <v>1003</v>
      </c>
      <c r="C1011" s="68" t="inlineStr">
        <is>
          <t>2009Q</t>
        </is>
      </c>
      <c r="D1011" s="59" t="inlineStr">
        <is>
          <t xml:space="preserve">06292-00-009-000 </t>
        </is>
      </c>
      <c r="E1011" s="72" t="inlineStr">
        <is>
          <t>Actual</t>
        </is>
      </c>
      <c r="F1011" s="73" t="inlineStr">
        <is>
          <t>6359 E EVANS                AV</t>
        </is>
      </c>
      <c r="G1011" s="708" t="n">
        <v>43.1</v>
      </c>
      <c r="H1011" s="67" t="n">
        <v>9603</v>
      </c>
      <c r="I1011" s="69" t="n">
        <v>7</v>
      </c>
      <c r="J1011" s="714" t="n">
        <v>2700</v>
      </c>
      <c r="K1011" s="715" t="n">
        <v>8.888888888888889</v>
      </c>
      <c r="L1011" s="74" t="n">
        <v>0</v>
      </c>
      <c r="M1011" s="76" t="n">
        <v>0.375</v>
      </c>
      <c r="N1011" s="67" t="n">
        <v>1960</v>
      </c>
      <c r="O1011" s="64" t="n">
        <v>3332</v>
      </c>
      <c r="Q1011" s="59" t="n">
        <v>14</v>
      </c>
      <c r="R1011" s="59" t="n">
        <v>1</v>
      </c>
      <c r="S1011" s="59" t="n">
        <v>1</v>
      </c>
      <c r="T1011" s="63" t="inlineStr">
        <is>
          <t xml:space="preserve">I0   </t>
        </is>
      </c>
      <c r="U1011" s="63" t="n">
        <v>401</v>
      </c>
      <c r="V1011" s="714" t="n">
        <v>24500</v>
      </c>
      <c r="W1011" s="714" t="n">
        <v>25000</v>
      </c>
      <c r="X1011" s="83" t="inlineStr">
        <is>
          <t>4.2:1</t>
        </is>
      </c>
      <c r="Y1011" s="714">
        <f>ROUND(J1011,-3)</f>
        <v/>
      </c>
      <c r="Z1011" s="63" t="inlineStr">
        <is>
          <t xml:space="preserve">C </t>
        </is>
      </c>
      <c r="AA1011" s="59" t="n">
        <v>3</v>
      </c>
      <c r="AB1011" s="59" t="n">
        <v>3</v>
      </c>
      <c r="AC1011" s="67" t="inlineStr">
        <is>
          <t>33</t>
        </is>
      </c>
      <c r="AD1011" s="61" t="inlineStr"/>
      <c r="AE1011" s="716" t="n"/>
      <c r="AF1011" s="716" t="n"/>
      <c r="AG1011" s="716" t="n"/>
      <c r="AH1011" s="716" t="n"/>
      <c r="AI1011" s="716" t="n"/>
      <c r="AJ1011" s="716" t="n"/>
      <c r="AK1011" s="716" t="inlineStr">
        <is>
          <t xml:space="preserve">M-T WHSE; AT LEAST 2 UNITS; 2006 LEASE.                           </t>
        </is>
      </c>
      <c r="AL1011">
        <f>IF(AND(ISNUMBER($S1011),$S1011&gt;0,ISNUMBER($K1011),ISNUMBER($J1011)),($K1011*$J1011)/$S1011,"")</f>
        <v/>
      </c>
    </row>
    <row r="1012">
      <c r="A1012" s="62" t="n">
        <v>8</v>
      </c>
      <c r="B1012" s="93" t="n">
        <v>1004</v>
      </c>
      <c r="C1012" s="68" t="inlineStr">
        <is>
          <t>2009Q</t>
        </is>
      </c>
      <c r="D1012" s="59" t="inlineStr">
        <is>
          <t xml:space="preserve">06292-00-082-000 </t>
        </is>
      </c>
      <c r="E1012" s="72" t="inlineStr">
        <is>
          <t>Actual</t>
        </is>
      </c>
      <c r="F1012" s="73" t="inlineStr">
        <is>
          <t>2117 S JASMINE              ST</t>
        </is>
      </c>
      <c r="G1012" s="708" t="n">
        <v>44.1</v>
      </c>
      <c r="H1012" s="67" t="n">
        <v>9603</v>
      </c>
      <c r="I1012" s="69" t="n">
        <v>0</v>
      </c>
      <c r="J1012" s="714" t="n">
        <v>8684</v>
      </c>
      <c r="K1012" s="715" t="n">
        <v>4.145555043758637</v>
      </c>
      <c r="L1012" s="74" t="n">
        <v>0</v>
      </c>
      <c r="M1012" s="76" t="n">
        <v>0.05</v>
      </c>
      <c r="N1012" s="67" t="n">
        <v>1971</v>
      </c>
      <c r="O1012" s="64" t="n">
        <v>937</v>
      </c>
      <c r="Q1012" s="59" t="n">
        <v>15</v>
      </c>
      <c r="R1012" s="59" t="n">
        <v>3</v>
      </c>
      <c r="S1012" s="59" t="n">
        <v>1</v>
      </c>
      <c r="T1012" s="63" t="inlineStr">
        <is>
          <t xml:space="preserve">I0   </t>
        </is>
      </c>
      <c r="U1012" s="63" t="n">
        <v>398</v>
      </c>
      <c r="V1012" s="714" t="n">
        <v>24969</v>
      </c>
      <c r="W1012" s="714" t="n">
        <v>25000</v>
      </c>
      <c r="X1012" s="83" t="inlineStr">
        <is>
          <t>2.9:1</t>
        </is>
      </c>
      <c r="Y1012" s="714">
        <f>ROUND(J1012,-3)</f>
        <v/>
      </c>
      <c r="Z1012" s="63" t="inlineStr">
        <is>
          <t xml:space="preserve">C </t>
        </is>
      </c>
      <c r="AA1012" s="59" t="n">
        <v>3</v>
      </c>
      <c r="AB1012" s="59" t="n">
        <v>3</v>
      </c>
      <c r="AC1012" s="67" t="inlineStr">
        <is>
          <t>33</t>
        </is>
      </c>
      <c r="AD1012" s="61" t="inlineStr">
        <is>
          <t xml:space="preserve">CAMP BOW WOW        </t>
        </is>
      </c>
      <c r="AE1012" s="716" t="n"/>
      <c r="AF1012" s="716" t="n"/>
      <c r="AG1012" s="716" t="n"/>
      <c r="AH1012" s="716" t="n"/>
      <c r="AI1012" s="716" t="n"/>
      <c r="AJ1012" s="716" t="n"/>
      <c r="AK1012" s="716" t="inlineStr">
        <is>
          <t xml:space="preserve">S-T WHSE; AGE OF LEASE UNKNOWN.                                   </t>
        </is>
      </c>
      <c r="AL1012">
        <f>IF(AND(ISNUMBER($S1012),$S1012&gt;0,ISNUMBER($K1012),ISNUMBER($J1012)),($K1012*$J1012)/$S1012,"")</f>
        <v/>
      </c>
    </row>
    <row r="1013">
      <c r="A1013" s="62" t="n">
        <v>8</v>
      </c>
      <c r="B1013" s="93" t="n">
        <v>1005</v>
      </c>
      <c r="C1013" s="68" t="inlineStr">
        <is>
          <t>2009Q</t>
        </is>
      </c>
      <c r="D1013" s="59" t="inlineStr">
        <is>
          <t xml:space="preserve">06292-05-006-000 </t>
        </is>
      </c>
      <c r="E1013" s="72" t="inlineStr">
        <is>
          <t>Actual</t>
        </is>
      </c>
      <c r="F1013" s="73" t="inlineStr">
        <is>
          <t>2211 S LEYDEN               ST</t>
        </is>
      </c>
      <c r="G1013" s="708" t="n">
        <v>44.1</v>
      </c>
      <c r="H1013" s="67" t="n">
        <v>9603</v>
      </c>
      <c r="I1013" s="69" t="n">
        <v>0</v>
      </c>
      <c r="J1013" s="714" t="n">
        <v>7241</v>
      </c>
      <c r="K1013" s="715" t="n">
        <v>6.628918657643972</v>
      </c>
      <c r="L1013" s="74" t="n">
        <v>0</v>
      </c>
      <c r="M1013" s="76" t="n">
        <v>0</v>
      </c>
      <c r="N1013" s="67" t="n">
        <v>1973</v>
      </c>
      <c r="P1013" s="64" t="n">
        <v>2537</v>
      </c>
      <c r="Q1013" s="59" t="n">
        <v>19</v>
      </c>
      <c r="R1013" s="59" t="n">
        <v>4</v>
      </c>
      <c r="S1013" s="59" t="n">
        <v>1</v>
      </c>
      <c r="T1013" s="63" t="inlineStr">
        <is>
          <t xml:space="preserve">I0   </t>
        </is>
      </c>
      <c r="U1013" s="63" t="n">
        <v>398</v>
      </c>
      <c r="V1013" s="714" t="n">
        <v>20149</v>
      </c>
      <c r="W1013" s="714" t="n">
        <v>20000</v>
      </c>
      <c r="X1013" s="83" t="inlineStr">
        <is>
          <t>2.8:1</t>
        </is>
      </c>
      <c r="Y1013" s="714">
        <f>ROUND(J1013,-3)</f>
        <v/>
      </c>
      <c r="Z1013" s="63" t="inlineStr">
        <is>
          <t xml:space="preserve">C </t>
        </is>
      </c>
      <c r="AA1013" s="59" t="n">
        <v>3</v>
      </c>
      <c r="AB1013" s="59" t="n">
        <v>3</v>
      </c>
      <c r="AC1013" s="67" t="inlineStr">
        <is>
          <t>33</t>
        </is>
      </c>
      <c r="AD1013" s="61" t="inlineStr"/>
      <c r="AE1013" s="716" t="n"/>
      <c r="AF1013" s="716" t="n"/>
      <c r="AG1013" s="716" t="n"/>
      <c r="AH1013" s="716" t="n"/>
      <c r="AI1013" s="716" t="n"/>
      <c r="AJ1013" s="716" t="n"/>
      <c r="AK1013" s="716" t="inlineStr">
        <is>
          <t xml:space="preserve">S-T WHSE; AGE ON LEASE UNKNOWN; TENANT = MONARCH POOLS            </t>
        </is>
      </c>
      <c r="AL1013">
        <f>IF(AND(ISNUMBER($S1013),$S1013&gt;0,ISNUMBER($K1013),ISNUMBER($J1013)),($K1013*$J1013)/$S1013,"")</f>
        <v/>
      </c>
    </row>
    <row r="1014">
      <c r="A1014" s="62" t="n">
        <v>8</v>
      </c>
      <c r="B1014" s="93" t="n">
        <v>1006</v>
      </c>
      <c r="C1014" s="68" t="inlineStr">
        <is>
          <t>2009Q</t>
        </is>
      </c>
      <c r="D1014" s="59" t="inlineStr">
        <is>
          <t xml:space="preserve">06292-10-004-000 </t>
        </is>
      </c>
      <c r="E1014" s="72" t="inlineStr">
        <is>
          <t>Actual</t>
        </is>
      </c>
      <c r="F1014" s="73" t="inlineStr">
        <is>
          <t>5885 E EVANS                AV</t>
        </is>
      </c>
      <c r="G1014" s="708" t="n">
        <v>44.1</v>
      </c>
      <c r="H1014" s="67" t="n">
        <v>9603</v>
      </c>
      <c r="I1014" s="69" t="n">
        <v>0</v>
      </c>
      <c r="J1014" s="714" t="n">
        <v>12244</v>
      </c>
      <c r="K1014" s="715" t="n">
        <v>8.191767396275727</v>
      </c>
      <c r="L1014" s="74" t="n">
        <v>1</v>
      </c>
      <c r="M1014" s="76" t="n">
        <v>0.02991026919242273</v>
      </c>
      <c r="N1014" s="67" t="n">
        <v>1970</v>
      </c>
      <c r="O1014" s="64" t="n">
        <v>5891</v>
      </c>
      <c r="Q1014" s="59" t="n">
        <v>13</v>
      </c>
      <c r="R1014" s="59" t="n">
        <v>3</v>
      </c>
      <c r="S1014" s="59" t="n">
        <v>1</v>
      </c>
      <c r="T1014" s="63" t="inlineStr">
        <is>
          <t xml:space="preserve">I0   </t>
        </is>
      </c>
      <c r="U1014" s="63" t="n">
        <v>398</v>
      </c>
      <c r="V1014" s="714" t="n">
        <v>43775</v>
      </c>
      <c r="W1014" s="714" t="n">
        <v>44000</v>
      </c>
      <c r="X1014" s="83" t="inlineStr">
        <is>
          <t>3.6:1</t>
        </is>
      </c>
      <c r="Y1014" s="714">
        <f>ROUND(J1014,-3)</f>
        <v/>
      </c>
      <c r="Z1014" s="63" t="inlineStr">
        <is>
          <t xml:space="preserve">C </t>
        </is>
      </c>
      <c r="AA1014" s="59" t="n">
        <v>3</v>
      </c>
      <c r="AB1014" s="59" t="n">
        <v>3</v>
      </c>
      <c r="AC1014" s="67" t="inlineStr">
        <is>
          <t>33</t>
        </is>
      </c>
      <c r="AD1014" s="61" t="inlineStr">
        <is>
          <t xml:space="preserve">PRINTSHOP PLUS      </t>
        </is>
      </c>
      <c r="AE1014" s="716" t="n"/>
      <c r="AF1014" s="716" t="n"/>
      <c r="AG1014" s="716" t="n"/>
      <c r="AH1014" s="716" t="n"/>
      <c r="AI1014" s="716" t="n"/>
      <c r="AJ1014" s="716" t="n"/>
      <c r="AK1014" s="716" t="inlineStr">
        <is>
          <t xml:space="preserve">S-T WHSE.; LEASE DATES FROM 2003.                                 </t>
        </is>
      </c>
      <c r="AL1014">
        <f>IF(AND(ISNUMBER($S1014),$S1014&gt;0,ISNUMBER($K1014),ISNUMBER($J1014)),($K1014*$J1014)/$S1014,"")</f>
        <v/>
      </c>
    </row>
    <row r="1015">
      <c r="A1015" s="62" t="n">
        <v>8</v>
      </c>
      <c r="B1015" s="93" t="n">
        <v>1007</v>
      </c>
      <c r="C1015" s="68" t="inlineStr">
        <is>
          <t>2009Q</t>
        </is>
      </c>
      <c r="D1015" s="59" t="inlineStr">
        <is>
          <t xml:space="preserve">06292-12-013-000 </t>
        </is>
      </c>
      <c r="E1015" s="72" t="inlineStr">
        <is>
          <t>Actual</t>
        </is>
      </c>
      <c r="F1015" s="73" t="inlineStr">
        <is>
          <t>2180 S IVANHOE              ST</t>
        </is>
      </c>
      <c r="G1015" s="708" t="n">
        <v>44.1</v>
      </c>
      <c r="H1015" s="67" t="n">
        <v>9603</v>
      </c>
      <c r="I1015" s="69" t="n">
        <v>0</v>
      </c>
      <c r="J1015" s="714" t="n">
        <v>18069</v>
      </c>
      <c r="K1015" s="715" t="n">
        <v>6.301953622225912</v>
      </c>
      <c r="L1015" s="74" t="n">
        <v>0</v>
      </c>
      <c r="M1015" s="76" t="n">
        <v>0.01420918591376131</v>
      </c>
      <c r="N1015" s="67" t="n">
        <v>1978</v>
      </c>
      <c r="O1015" s="64" t="n">
        <v>1466</v>
      </c>
      <c r="P1015" s="64">
        <f>1523+3537+3651</f>
        <v/>
      </c>
      <c r="Q1015" s="59" t="n">
        <v>15</v>
      </c>
      <c r="R1015" s="59" t="n">
        <v>10</v>
      </c>
      <c r="S1015" s="59" t="n">
        <v>1</v>
      </c>
      <c r="T1015" s="63" t="inlineStr">
        <is>
          <t xml:space="preserve">I0   </t>
        </is>
      </c>
      <c r="U1015" s="63" t="n">
        <v>398</v>
      </c>
      <c r="V1015" s="714" t="n">
        <v>36834</v>
      </c>
      <c r="W1015" s="714" t="n">
        <v>37000</v>
      </c>
      <c r="X1015" s="83" t="inlineStr">
        <is>
          <t>2.0:1</t>
        </is>
      </c>
      <c r="Y1015" s="714">
        <f>ROUND(J1015,-3)</f>
        <v/>
      </c>
      <c r="Z1015" s="63" t="inlineStr">
        <is>
          <t xml:space="preserve">C </t>
        </is>
      </c>
      <c r="AA1015" s="59" t="n">
        <v>3</v>
      </c>
      <c r="AB1015" s="59" t="n">
        <v>3</v>
      </c>
      <c r="AC1015" s="67" t="inlineStr">
        <is>
          <t>33</t>
        </is>
      </c>
      <c r="AD1015" s="61" t="inlineStr">
        <is>
          <t xml:space="preserve">A.G. WASSENAAR INC. </t>
        </is>
      </c>
      <c r="AE1015" s="716" t="n"/>
      <c r="AF1015" s="716" t="n"/>
      <c r="AG1015" s="716" t="n"/>
      <c r="AH1015" s="716" t="n"/>
      <c r="AI1015" s="716" t="n"/>
      <c r="AJ1015" s="716" t="n"/>
      <c r="AK1015" s="716" t="inlineStr">
        <is>
          <t xml:space="preserve">S-T WHSE.; LEASE DATES FROM 2004.                                 </t>
        </is>
      </c>
      <c r="AL1015">
        <f>IF(AND(ISNUMBER($S1015),$S1015&gt;0,ISNUMBER($K1015),ISNUMBER($J1015)),($K1015*$J1015)/$S1015,"")</f>
        <v/>
      </c>
    </row>
    <row r="1016">
      <c r="A1016" s="62" t="n">
        <v>8</v>
      </c>
      <c r="B1016" s="93" t="n">
        <v>1008</v>
      </c>
      <c r="C1016" s="68" t="inlineStr">
        <is>
          <t>2009Q</t>
        </is>
      </c>
      <c r="D1016" s="59" t="inlineStr">
        <is>
          <t xml:space="preserve">06292-14-004-000 </t>
        </is>
      </c>
      <c r="E1016" s="72" t="inlineStr">
        <is>
          <t>Actual</t>
        </is>
      </c>
      <c r="F1016" s="73" t="inlineStr">
        <is>
          <t>6300 E EVANS                AV</t>
        </is>
      </c>
      <c r="G1016" s="708" t="n">
        <v>44.1</v>
      </c>
      <c r="H1016" s="67" t="n">
        <v>9603</v>
      </c>
      <c r="I1016" s="69" t="n">
        <v>7</v>
      </c>
      <c r="J1016" s="714" t="n">
        <v>40296</v>
      </c>
      <c r="K1016" s="715" t="n">
        <v>4.522682152074648</v>
      </c>
      <c r="L1016" s="74" t="n">
        <v>0</v>
      </c>
      <c r="M1016" s="76" t="n">
        <v>0.005388321280028094</v>
      </c>
      <c r="N1016" s="67" t="n">
        <v>1963</v>
      </c>
      <c r="O1016" s="64" t="n">
        <v>11042</v>
      </c>
      <c r="P1016" s="64" t="n">
        <v>5161</v>
      </c>
      <c r="Q1016" s="59" t="n">
        <v>15</v>
      </c>
      <c r="R1016" s="59" t="n">
        <v>1</v>
      </c>
      <c r="S1016" s="59" t="n">
        <v>1</v>
      </c>
      <c r="T1016" s="63" t="inlineStr">
        <is>
          <t xml:space="preserve">I0   </t>
        </is>
      </c>
      <c r="U1016" s="63" t="n">
        <v>398</v>
      </c>
      <c r="V1016" s="714" t="n">
        <v>66517</v>
      </c>
      <c r="W1016" s="714" t="n">
        <v>70000</v>
      </c>
      <c r="X1016" s="83" t="inlineStr">
        <is>
          <t>1.7:1</t>
        </is>
      </c>
      <c r="Y1016" s="714">
        <f>ROUND(J1016,-3)</f>
        <v/>
      </c>
      <c r="Z1016" s="63" t="inlineStr">
        <is>
          <t xml:space="preserve">C </t>
        </is>
      </c>
      <c r="AA1016" s="59" t="n">
        <v>3</v>
      </c>
      <c r="AB1016" s="59" t="n">
        <v>3</v>
      </c>
      <c r="AC1016" s="67" t="inlineStr">
        <is>
          <t>33</t>
        </is>
      </c>
      <c r="AD1016" s="61" t="inlineStr">
        <is>
          <t xml:space="preserve">S-W LEWAN SALES     </t>
        </is>
      </c>
      <c r="AE1016" s="716" t="n"/>
      <c r="AF1016" s="716" t="n"/>
      <c r="AG1016" s="716" t="n"/>
      <c r="AH1016" s="716" t="n"/>
      <c r="AI1016" s="716" t="n"/>
      <c r="AJ1016" s="716" t="n"/>
      <c r="AK1016" s="716" t="inlineStr">
        <is>
          <t xml:space="preserve">S-T WHSE; LEASE DATES FROM 2004.                                  </t>
        </is>
      </c>
      <c r="AL1016">
        <f>IF(AND(ISNUMBER($S1016),$S1016&gt;0,ISNUMBER($K1016),ISNUMBER($J1016)),($K1016*$J1016)/$S1016,"")</f>
        <v/>
      </c>
    </row>
    <row r="1017">
      <c r="A1017" s="62" t="n">
        <v>8</v>
      </c>
      <c r="B1017" s="93" t="n">
        <v>1009</v>
      </c>
      <c r="C1017" s="68" t="inlineStr">
        <is>
          <t>2009Q</t>
        </is>
      </c>
      <c r="D1017" s="59" t="inlineStr">
        <is>
          <t xml:space="preserve">06301-12-009-000 </t>
        </is>
      </c>
      <c r="E1017" s="72" t="inlineStr">
        <is>
          <t>Actual</t>
        </is>
      </c>
      <c r="F1017" s="73" t="inlineStr">
        <is>
          <t>4990 E ASBURY               AV</t>
        </is>
      </c>
      <c r="G1017" s="708" t="n">
        <v>44.2</v>
      </c>
      <c r="H1017" s="67" t="n">
        <v>9603</v>
      </c>
      <c r="I1017" s="69" t="n">
        <v>0</v>
      </c>
      <c r="J1017" s="714" t="n">
        <v>1800</v>
      </c>
      <c r="K1017" s="715" t="n">
        <v>7.936666666666667</v>
      </c>
      <c r="L1017" s="74" t="n">
        <v>0</v>
      </c>
      <c r="M1017" s="76" t="n">
        <v>0.1596668066638667</v>
      </c>
      <c r="N1017" s="67" t="n">
        <v>1957</v>
      </c>
      <c r="O1017" s="64" t="n">
        <v>1537</v>
      </c>
      <c r="Q1017" s="59" t="n">
        <v>10</v>
      </c>
      <c r="R1017" s="59" t="n">
        <v>1</v>
      </c>
      <c r="S1017" s="59" t="n">
        <v>1</v>
      </c>
      <c r="T1017" s="63" t="inlineStr">
        <is>
          <t xml:space="preserve">I0   </t>
        </is>
      </c>
      <c r="U1017" s="63" t="n">
        <v>398</v>
      </c>
      <c r="V1017" s="714" t="n">
        <v>16345</v>
      </c>
      <c r="W1017" s="714" t="n">
        <v>16000</v>
      </c>
      <c r="X1017" s="83" t="inlineStr">
        <is>
          <t>3.4:1</t>
        </is>
      </c>
      <c r="Y1017" s="714">
        <f>ROUND(J1017,-2)</f>
        <v/>
      </c>
      <c r="Z1017" s="63" t="inlineStr">
        <is>
          <t xml:space="preserve">C </t>
        </is>
      </c>
      <c r="AA1017" s="59" t="n">
        <v>3</v>
      </c>
      <c r="AB1017" s="59" t="n">
        <v>3</v>
      </c>
      <c r="AC1017" s="67" t="inlineStr">
        <is>
          <t>33</t>
        </is>
      </c>
      <c r="AD1017" s="61" t="inlineStr">
        <is>
          <t xml:space="preserve">USED FOR DEAD STGE  </t>
        </is>
      </c>
      <c r="AE1017" s="716" t="n"/>
      <c r="AF1017" s="716" t="n"/>
      <c r="AG1017" s="716" t="n"/>
      <c r="AH1017" s="716" t="n"/>
      <c r="AI1017" s="716" t="n"/>
      <c r="AJ1017" s="716" t="n"/>
      <c r="AK1017" s="716" t="inlineStr">
        <is>
          <t xml:space="preserve">M-T WHSE; 2 TENANTS.                                              </t>
        </is>
      </c>
      <c r="AL1017">
        <f>IF(AND(ISNUMBER($S1017),$S1017&gt;0,ISNUMBER($K1017),ISNUMBER($J1017)),($K1017*$J1017)/$S1017,"")</f>
        <v/>
      </c>
    </row>
    <row r="1018">
      <c r="A1018" s="62" t="n">
        <v>8</v>
      </c>
      <c r="B1018" s="93" t="n">
        <v>1010</v>
      </c>
      <c r="C1018" s="68" t="inlineStr">
        <is>
          <t>2009Q</t>
        </is>
      </c>
      <c r="D1018" s="59" t="inlineStr">
        <is>
          <t xml:space="preserve">06301-13-015-000 </t>
        </is>
      </c>
      <c r="E1018" s="72" t="inlineStr">
        <is>
          <t>Actual</t>
        </is>
      </c>
      <c r="F1018" s="73" t="inlineStr">
        <is>
          <t>2000 S DAHLIA               ST</t>
        </is>
      </c>
      <c r="G1018" s="708" t="n">
        <v>44.1</v>
      </c>
      <c r="H1018" s="67" t="n">
        <v>9603</v>
      </c>
      <c r="I1018" s="69" t="n">
        <v>0</v>
      </c>
      <c r="J1018" s="714" t="n">
        <v>7684</v>
      </c>
      <c r="K1018" s="715" t="n">
        <v>7.143545028630921</v>
      </c>
      <c r="L1018" s="74" t="n">
        <v>0</v>
      </c>
      <c r="M1018" s="76" t="n">
        <v>0.1649268550399883</v>
      </c>
      <c r="N1018" s="67" t="n">
        <v>1970</v>
      </c>
      <c r="O1018" s="64" t="n">
        <v>1211</v>
      </c>
      <c r="P1018" s="64">
        <f>971+1529+484</f>
        <v/>
      </c>
      <c r="Q1018" s="59" t="n">
        <v>14</v>
      </c>
      <c r="R1018" s="59" t="n">
        <v>1</v>
      </c>
      <c r="S1018" s="59" t="n">
        <v>2</v>
      </c>
      <c r="T1018" s="63" t="inlineStr">
        <is>
          <t xml:space="preserve">I0   </t>
        </is>
      </c>
      <c r="U1018" s="63" t="n">
        <v>398</v>
      </c>
      <c r="V1018" s="714" t="n">
        <v>39818</v>
      </c>
      <c r="W1018" s="714" t="n">
        <v>40000</v>
      </c>
      <c r="X1018" s="83" t="inlineStr">
        <is>
          <t>2.0:1</t>
        </is>
      </c>
      <c r="Y1018" s="714">
        <f>ROUND(J1018,-3)</f>
        <v/>
      </c>
      <c r="Z1018" s="63" t="inlineStr">
        <is>
          <t xml:space="preserve">C </t>
        </is>
      </c>
      <c r="AA1018" s="59" t="n">
        <v>3</v>
      </c>
      <c r="AB1018" s="59" t="n">
        <v>3</v>
      </c>
      <c r="AC1018" s="67" t="inlineStr">
        <is>
          <t>33</t>
        </is>
      </c>
      <c r="AD1018" s="61" t="inlineStr">
        <is>
          <t xml:space="preserve">PASTORE'S ITALIAN   </t>
        </is>
      </c>
      <c r="AE1018" s="716" t="n"/>
      <c r="AF1018" s="716" t="n"/>
      <c r="AG1018" s="716" t="n"/>
      <c r="AH1018" s="716" t="n"/>
      <c r="AI1018" s="716" t="n"/>
      <c r="AJ1018" s="716" t="n"/>
      <c r="AK1018" s="716" t="inlineStr">
        <is>
          <t xml:space="preserve">M-T WHSE.; 2 TENANTS; 2005 LEASE.                                 </t>
        </is>
      </c>
      <c r="AL1018">
        <f>IF(AND(ISNUMBER($S1018),$S1018&gt;0,ISNUMBER($K1018),ISNUMBER($J1018)),($K1018*$J1018)/$S1018,"")</f>
        <v/>
      </c>
    </row>
    <row r="1019">
      <c r="A1019" s="62" t="n">
        <v>8</v>
      </c>
      <c r="B1019" s="93" t="n">
        <v>1011</v>
      </c>
      <c r="C1019" s="68" t="inlineStr">
        <is>
          <t>2009Q</t>
        </is>
      </c>
      <c r="D1019" s="59" t="inlineStr">
        <is>
          <t xml:space="preserve">06301-21-007-000 </t>
        </is>
      </c>
      <c r="E1019" s="72" t="inlineStr">
        <is>
          <t>Actual</t>
        </is>
      </c>
      <c r="F1019" s="73" t="inlineStr">
        <is>
          <t>2170 S GRAPE                ST</t>
        </is>
      </c>
      <c r="G1019" s="708" t="n">
        <v>44.2</v>
      </c>
      <c r="H1019" s="67" t="n">
        <v>9603</v>
      </c>
      <c r="I1019" s="69" t="n">
        <v>0</v>
      </c>
      <c r="J1019" s="714" t="n">
        <v>11091</v>
      </c>
      <c r="K1019" s="715" t="n">
        <v>7.663150302046705</v>
      </c>
      <c r="L1019" s="74" t="n">
        <v>0</v>
      </c>
      <c r="M1019" s="76" t="n">
        <v>0</v>
      </c>
      <c r="N1019" s="67" t="n">
        <v>1960</v>
      </c>
      <c r="O1019" s="64" t="n">
        <v>6067</v>
      </c>
      <c r="Q1019" s="59" t="n">
        <v>12</v>
      </c>
      <c r="R1019" s="59" t="n">
        <v>1</v>
      </c>
      <c r="S1019" s="59" t="n">
        <v>1</v>
      </c>
      <c r="T1019" s="63" t="inlineStr">
        <is>
          <t xml:space="preserve">I0   </t>
        </is>
      </c>
      <c r="U1019" s="63" t="n">
        <v>398</v>
      </c>
      <c r="V1019" s="714" t="n">
        <v>26900</v>
      </c>
      <c r="W1019" s="714" t="n">
        <v>27000</v>
      </c>
      <c r="X1019" s="83" t="inlineStr">
        <is>
          <t>2.4:1</t>
        </is>
      </c>
      <c r="Y1019" s="714">
        <f>ROUND(J1019,-3)</f>
        <v/>
      </c>
      <c r="Z1019" s="63" t="inlineStr">
        <is>
          <t xml:space="preserve">C </t>
        </is>
      </c>
      <c r="AA1019" s="59" t="n">
        <v>3</v>
      </c>
      <c r="AB1019" s="59" t="n">
        <v>3</v>
      </c>
      <c r="AC1019" s="67" t="inlineStr">
        <is>
          <t>33</t>
        </is>
      </c>
      <c r="AD1019" s="61" t="inlineStr">
        <is>
          <t xml:space="preserve">S-W VISUAL ELECTRON </t>
        </is>
      </c>
      <c r="AE1019" s="716" t="n"/>
      <c r="AF1019" s="716" t="n"/>
      <c r="AG1019" s="716" t="n"/>
      <c r="AH1019" s="716" t="n"/>
      <c r="AI1019" s="716" t="n"/>
      <c r="AJ1019" s="716" t="n"/>
      <c r="AK1019" s="716" t="inlineStr">
        <is>
          <t xml:space="preserve">S-T WHSE.                                                         </t>
        </is>
      </c>
      <c r="AL1019">
        <f>IF(AND(ISNUMBER($S1019),$S1019&gt;0,ISNUMBER($K1019),ISNUMBER($J1019)),($K1019*$J1019)/$S1019,"")</f>
        <v/>
      </c>
    </row>
  </sheetData>
  <autoFilter ref="A1:AK1019"/>
  <conditionalFormatting sqref="A2:AK1019">
    <cfRule type="expression" priority="1" dxfId="0">
      <formula>MOD(ROW(),2)=0</formula>
    </cfRule>
  </conditionalFormatting>
  <pageMargins left="0" right="0" top="1" bottom="1" header="0.5" footer="0.5"/>
  <pageSetup orientation="landscape" paperSize="5" scale="11" fitToWidth="2" horizontalDpi="300" verticalDpi="300"/>
  <legacyDrawing xmlns:r="http://schemas.openxmlformats.org/officeDocument/2006/relationships" r:id="anysvml"/>
</worksheet>
</file>

<file path=xl/worksheets/sheet15.xml><?xml version="1.0" encoding="utf-8"?>
<worksheet xmlns="http://schemas.openxmlformats.org/spreadsheetml/2006/main">
  <sheetPr codeName="Sheet4">
    <tabColor rgb="FFD97706"/>
    <outlinePr summaryBelow="1" summaryRight="1"/>
    <pageSetUpPr/>
  </sheetPr>
  <dimension ref="A1:M158"/>
  <sheetViews>
    <sheetView workbookViewId="0">
      <pane ySplit="1" topLeftCell="A2" activePane="bottomLeft" state="frozen"/>
      <selection pane="bottomLeft" activeCell="B63" sqref="B63"/>
    </sheetView>
  </sheetViews>
  <sheetFormatPr baseColWidth="10" defaultColWidth="9" defaultRowHeight="12"/>
  <cols>
    <col width="6" customWidth="1" style="4" min="1" max="1"/>
    <col width="28" customWidth="1" style="518" min="2" max="2"/>
    <col width="11.3984375" customWidth="1" style="518" min="3" max="3"/>
    <col width="7" bestFit="1" customWidth="1" style="518" min="4" max="4"/>
    <col width="15" bestFit="1" customWidth="1" style="518" min="5" max="5"/>
    <col width="5.3984375" customWidth="1" style="518" min="6" max="6"/>
    <col width="17" customWidth="1" style="518" min="7" max="7"/>
    <col width="17" bestFit="1" customWidth="1" style="518" min="8" max="8"/>
    <col width="5.3984375" customWidth="1" style="518" min="9" max="9"/>
    <col width="19.3984375" bestFit="1" customWidth="1" style="518" min="10" max="10"/>
    <col width="16.796875" bestFit="1" customWidth="1" style="518" min="11" max="11"/>
    <col width="7" customWidth="1" style="518" min="12" max="12"/>
  </cols>
  <sheetData>
    <row r="1" ht="12.75" customHeight="1" s="518">
      <c r="A1" s="4" t="n">
        <v>0</v>
      </c>
      <c r="B1" s="15" t="inlineStr">
        <is>
          <t>None</t>
        </is>
      </c>
      <c r="C1" s="19" t="n"/>
      <c r="F1" s="6" t="n"/>
      <c r="G1" s="22" t="inlineStr">
        <is>
          <t>Arvada</t>
        </is>
      </c>
      <c r="H1" s="22" t="inlineStr">
        <is>
          <t>Arvada</t>
        </is>
      </c>
      <c r="J1" s="35" t="n"/>
      <c r="K1" s="35" t="n"/>
      <c r="L1" t="b">
        <v>0</v>
      </c>
      <c r="M1" s="30" t="n"/>
    </row>
    <row r="2" ht="12.75" customHeight="1" s="518">
      <c r="A2" s="4" t="n">
        <v>1</v>
      </c>
      <c r="B2" s="15" t="inlineStr">
        <is>
          <t>Poor</t>
        </is>
      </c>
      <c r="C2" s="20" t="n"/>
      <c r="F2" s="21" t="n"/>
      <c r="G2" s="22" t="inlineStr">
        <is>
          <t>Aurora</t>
        </is>
      </c>
      <c r="H2" s="22" t="inlineStr">
        <is>
          <t>Aurora</t>
        </is>
      </c>
      <c r="J2" s="27" t="n"/>
      <c r="K2" s="24" t="n"/>
      <c r="L2" t="b">
        <v>0</v>
      </c>
    </row>
    <row r="3" ht="12.75" customHeight="1" s="518">
      <c r="A3" s="4" t="n">
        <v>2</v>
      </c>
      <c r="B3" s="15" t="inlineStr">
        <is>
          <t>Fair</t>
        </is>
      </c>
      <c r="C3" s="20" t="n"/>
      <c r="F3" s="6" t="n"/>
      <c r="G3" s="22" t="inlineStr">
        <is>
          <t>Bennett</t>
        </is>
      </c>
      <c r="H3" s="22" t="inlineStr">
        <is>
          <t>Bennett</t>
        </is>
      </c>
      <c r="J3" s="35" t="n"/>
      <c r="K3" s="35" t="n"/>
      <c r="L3" t="b">
        <v>0</v>
      </c>
    </row>
    <row r="4" ht="12.75" customHeight="1" s="518">
      <c r="A4" s="4" t="n">
        <v>3</v>
      </c>
      <c r="B4" s="15" t="inlineStr">
        <is>
          <t>Typical</t>
        </is>
      </c>
      <c r="C4" s="17" t="n"/>
      <c r="F4" s="21" t="n"/>
      <c r="G4" s="22" t="inlineStr">
        <is>
          <t>Brighton</t>
        </is>
      </c>
      <c r="H4" s="22" t="inlineStr">
        <is>
          <t>Brighton</t>
        </is>
      </c>
      <c r="J4" s="27" t="n"/>
      <c r="K4" s="24" t="n"/>
      <c r="L4" t="b">
        <v>0</v>
      </c>
    </row>
    <row r="5" ht="12.75" customHeight="1" s="518">
      <c r="A5" s="4" t="n">
        <v>4</v>
      </c>
      <c r="B5" s="15" t="inlineStr">
        <is>
          <t>Good</t>
        </is>
      </c>
      <c r="C5" s="17" t="n"/>
      <c r="D5" s="15" t="n"/>
      <c r="E5" s="21" t="n"/>
      <c r="F5" s="21" t="n"/>
      <c r="G5" s="22" t="inlineStr">
        <is>
          <t>Commerce City</t>
        </is>
      </c>
      <c r="H5" s="22" t="inlineStr">
        <is>
          <t>Commerce City</t>
        </is>
      </c>
      <c r="J5" s="35" t="n"/>
      <c r="K5" s="35" t="n"/>
      <c r="L5" t="b">
        <v>0</v>
      </c>
    </row>
    <row r="6" ht="12.75" customHeight="1" s="518">
      <c r="C6" s="17" t="n"/>
      <c r="D6" s="15" t="n"/>
      <c r="E6" s="6" t="n"/>
      <c r="F6" s="6" t="n"/>
      <c r="G6" s="22" t="inlineStr">
        <is>
          <t>Federal Heights</t>
        </is>
      </c>
      <c r="H6" s="22" t="inlineStr">
        <is>
          <t>Federal Heights</t>
        </is>
      </c>
      <c r="J6" s="27" t="n"/>
      <c r="K6" s="24" t="n"/>
      <c r="L6" t="b">
        <v>0</v>
      </c>
    </row>
    <row r="7" ht="12.75" customHeight="1" s="518">
      <c r="C7" s="17" t="n"/>
      <c r="D7" s="15" t="n"/>
      <c r="E7" s="29" t="n"/>
      <c r="F7" s="6" t="n"/>
      <c r="G7" s="22" t="inlineStr">
        <is>
          <t>Northglenn</t>
        </is>
      </c>
      <c r="H7" s="22" t="inlineStr">
        <is>
          <t>Northglenn</t>
        </is>
      </c>
      <c r="J7" s="27" t="n"/>
      <c r="K7" s="24" t="n"/>
      <c r="L7" t="b">
        <v>0</v>
      </c>
    </row>
    <row r="8" ht="12.75" customHeight="1" s="518">
      <c r="C8" s="17" t="n"/>
      <c r="D8" s="15" t="n"/>
      <c r="E8" s="29" t="n"/>
      <c r="F8" s="6" t="n"/>
      <c r="G8" s="22" t="inlineStr">
        <is>
          <t>Highlands Ranch</t>
        </is>
      </c>
      <c r="H8" s="22" t="inlineStr">
        <is>
          <t>Highlands Ranch</t>
        </is>
      </c>
      <c r="J8" s="27" t="n"/>
      <c r="K8" s="24" t="n"/>
      <c r="L8" t="b">
        <v>0</v>
      </c>
    </row>
    <row r="9" ht="12.75" customHeight="1" s="518">
      <c r="C9" s="17" t="n"/>
      <c r="D9" s="45" t="n">
        <v>10</v>
      </c>
      <c r="E9" s="45" t="inlineStr">
        <is>
          <t>None</t>
        </is>
      </c>
      <c r="F9" s="6" t="n"/>
      <c r="G9" s="22" t="inlineStr">
        <is>
          <t>Northwest</t>
        </is>
      </c>
      <c r="H9" s="22" t="inlineStr">
        <is>
          <t>Northwest</t>
        </is>
      </c>
      <c r="J9" s="27" t="n"/>
      <c r="K9" s="24" t="n"/>
      <c r="L9" t="b">
        <v>0</v>
      </c>
    </row>
    <row r="10" ht="12.75" customHeight="1" s="518">
      <c r="C10" s="2" t="n"/>
      <c r="D10" s="24" t="n">
        <v>11</v>
      </c>
      <c r="E10" s="24" t="inlineStr">
        <is>
          <t>Very Poor</t>
        </is>
      </c>
      <c r="F10" s="6" t="n"/>
      <c r="G10" s="22" t="inlineStr">
        <is>
          <t>Thornton</t>
        </is>
      </c>
      <c r="H10" s="22" t="inlineStr">
        <is>
          <t>Thornton</t>
        </is>
      </c>
      <c r="J10" s="27" t="n"/>
      <c r="K10" s="24" t="n"/>
      <c r="L10" t="b">
        <v>0</v>
      </c>
    </row>
    <row r="11" ht="12.75" customHeight="1" s="518">
      <c r="B11" s="3" t="n"/>
      <c r="D11" s="24" t="n">
        <v>12</v>
      </c>
      <c r="E11" s="24" t="inlineStr">
        <is>
          <t>Very Poor</t>
        </is>
      </c>
      <c r="F11" s="21" t="n"/>
      <c r="G11" s="22" t="inlineStr">
        <is>
          <t>Westminster</t>
        </is>
      </c>
      <c r="H11" s="22" t="inlineStr">
        <is>
          <t>Westminster</t>
        </is>
      </c>
      <c r="J11" s="27" t="n"/>
      <c r="K11" s="24" t="n"/>
      <c r="L11" t="b">
        <v>0</v>
      </c>
    </row>
    <row r="12" ht="12.75" customHeight="1" s="518">
      <c r="A12" s="4" t="n">
        <v>1</v>
      </c>
      <c r="B12" s="15" t="inlineStr">
        <is>
          <t>Poor</t>
        </is>
      </c>
      <c r="D12" s="24" t="n">
        <v>13</v>
      </c>
      <c r="E12" s="24" t="inlineStr">
        <is>
          <t>Poor</t>
        </is>
      </c>
      <c r="F12" s="21" t="n"/>
      <c r="G12" s="22" t="inlineStr">
        <is>
          <t>Unincorporated</t>
        </is>
      </c>
      <c r="H12" s="22" t="inlineStr">
        <is>
          <t>Unincorporated</t>
        </is>
      </c>
      <c r="J12" s="27" t="n"/>
      <c r="K12" s="24" t="n"/>
      <c r="L12" t="b">
        <v>0</v>
      </c>
    </row>
    <row r="13" ht="12.75" customHeight="1" s="518">
      <c r="A13" s="4" t="n">
        <v>2</v>
      </c>
      <c r="B13" s="15" t="inlineStr">
        <is>
          <t>Fair</t>
        </is>
      </c>
      <c r="D13" s="24" t="n">
        <v>14</v>
      </c>
      <c r="E13" s="27" t="inlineStr">
        <is>
          <t>Poor</t>
        </is>
      </c>
      <c r="F13" s="21" t="n"/>
      <c r="G13" s="22" t="inlineStr">
        <is>
          <t>Southwest</t>
        </is>
      </c>
      <c r="H13" s="22" t="inlineStr">
        <is>
          <t>Southwest</t>
        </is>
      </c>
      <c r="J13" s="27" t="n"/>
      <c r="K13" s="24" t="n"/>
      <c r="L13" t="b">
        <v>0</v>
      </c>
    </row>
    <row r="14" ht="12.75" customHeight="1" s="518">
      <c r="A14" s="4" t="n">
        <v>3</v>
      </c>
      <c r="B14" s="15" t="inlineStr">
        <is>
          <t>Typical</t>
        </is>
      </c>
      <c r="D14" s="24" t="n">
        <v>20</v>
      </c>
      <c r="E14" s="24" t="inlineStr">
        <is>
          <t>Poor</t>
        </is>
      </c>
      <c r="F14" s="21" t="n"/>
      <c r="G14" s="22" t="inlineStr">
        <is>
          <t>West</t>
        </is>
      </c>
      <c r="H14" s="22" t="inlineStr">
        <is>
          <t>West</t>
        </is>
      </c>
      <c r="J14" s="35" t="n"/>
      <c r="K14" s="35" t="n"/>
      <c r="L14" t="b">
        <v>0</v>
      </c>
    </row>
    <row r="15" ht="12.75" customHeight="1" s="518">
      <c r="A15" s="4" t="n">
        <v>4</v>
      </c>
      <c r="B15" s="15" t="inlineStr">
        <is>
          <t>Good</t>
        </is>
      </c>
      <c r="C15" s="2" t="n"/>
      <c r="D15" s="24" t="n">
        <v>21</v>
      </c>
      <c r="E15" s="24" t="inlineStr">
        <is>
          <t>Poor</t>
        </is>
      </c>
      <c r="F15" s="21" t="n"/>
      <c r="G15" s="22" t="n"/>
      <c r="H15" s="22" t="n"/>
      <c r="J15" s="27" t="n"/>
      <c r="K15" s="24" t="n"/>
      <c r="L15" t="b">
        <v>0</v>
      </c>
    </row>
    <row r="16" ht="12.75" customHeight="1" s="518">
      <c r="A16" s="4" t="n">
        <v>5</v>
      </c>
      <c r="B16" s="15" t="inlineStr">
        <is>
          <t>Rehabilitated</t>
        </is>
      </c>
      <c r="C16" s="2" t="n"/>
      <c r="D16" s="24" t="n">
        <v>22</v>
      </c>
      <c r="E16" s="27" t="inlineStr">
        <is>
          <t>Fair</t>
        </is>
      </c>
      <c r="F16" s="21" t="n"/>
      <c r="G16" s="22" t="n"/>
      <c r="H16" s="22" t="n"/>
      <c r="J16" s="27" t="n"/>
      <c r="K16" s="24" t="n"/>
      <c r="L16" t="b">
        <v>0</v>
      </c>
    </row>
    <row r="17" ht="12.75" customHeight="1" s="518">
      <c r="C17" s="2" t="n"/>
      <c r="D17" s="24" t="n">
        <v>23</v>
      </c>
      <c r="E17" s="24" t="inlineStr">
        <is>
          <t>Fair/Average</t>
        </is>
      </c>
      <c r="F17" s="21" t="n"/>
      <c r="G17" s="22" t="n"/>
      <c r="H17" s="22" t="n"/>
      <c r="J17" s="27" t="n"/>
      <c r="K17" s="24" t="n"/>
      <c r="L17" t="b">
        <v>0</v>
      </c>
    </row>
    <row r="18" ht="12.75" customHeight="1" s="518">
      <c r="C18" s="2" t="n"/>
      <c r="D18" s="45" t="n">
        <v>24</v>
      </c>
      <c r="E18" s="24" t="inlineStr">
        <is>
          <t>Fair/Average</t>
        </is>
      </c>
      <c r="F18" s="21" t="n"/>
      <c r="G18" s="22" t="n"/>
      <c r="H18" s="22" t="n"/>
      <c r="J18" s="23" t="n"/>
      <c r="K18" s="23" t="n"/>
      <c r="L18" t="b">
        <v>0</v>
      </c>
    </row>
    <row r="19" ht="12.75" customHeight="1" s="518">
      <c r="A19" s="77" t="n">
        <v>1</v>
      </c>
      <c r="B19" s="57" t="inlineStr">
        <is>
          <t>Retail Store</t>
        </is>
      </c>
      <c r="C19" s="2" t="n"/>
      <c r="D19" s="45" t="n">
        <v>30</v>
      </c>
      <c r="E19" s="45" t="inlineStr">
        <is>
          <t>Poor</t>
        </is>
      </c>
      <c r="F19" s="21" t="n"/>
      <c r="G19" s="22" t="n"/>
      <c r="H19" s="22" t="n"/>
      <c r="J19" s="19" t="n"/>
      <c r="K19" s="19" t="n"/>
      <c r="L19" t="b">
        <v>0</v>
      </c>
    </row>
    <row r="20" ht="12" customHeight="1" s="518">
      <c r="A20" s="77" t="n">
        <v>99</v>
      </c>
      <c r="B20" s="57" t="inlineStr">
        <is>
          <t>Service Garage</t>
        </is>
      </c>
      <c r="C20" s="2" t="n"/>
      <c r="D20" s="45" t="n">
        <v>31</v>
      </c>
      <c r="E20" s="45" t="inlineStr">
        <is>
          <t>Fair</t>
        </is>
      </c>
      <c r="F20" s="12" t="n"/>
      <c r="G20" s="22" t="n"/>
      <c r="H20" s="22" t="n"/>
      <c r="J20" s="27" t="n"/>
      <c r="K20" s="24" t="n"/>
      <c r="L20" t="b">
        <v>0</v>
      </c>
    </row>
    <row r="21" ht="12" customHeight="1" s="518">
      <c r="A21" s="77" t="n">
        <v>100</v>
      </c>
      <c r="B21" s="57" t="inlineStr">
        <is>
          <t>Conversion</t>
        </is>
      </c>
      <c r="C21" s="2" t="n"/>
      <c r="D21" s="45" t="n">
        <v>32</v>
      </c>
      <c r="E21" s="45" t="inlineStr">
        <is>
          <t>Average/Fair</t>
        </is>
      </c>
      <c r="F21" s="12" t="n"/>
      <c r="G21" s="22" t="n"/>
      <c r="H21" s="22" t="n"/>
      <c r="J21" s="27" t="n"/>
      <c r="K21" s="24" t="n"/>
      <c r="L21" t="b">
        <v>0</v>
      </c>
    </row>
    <row r="22" ht="12" customHeight="1" s="518">
      <c r="A22" s="77" t="n">
        <v>118</v>
      </c>
      <c r="B22" s="57" t="inlineStr">
        <is>
          <t>Motel</t>
        </is>
      </c>
      <c r="C22" s="2" t="n"/>
      <c r="D22" s="45" t="n">
        <v>33</v>
      </c>
      <c r="E22" s="45" t="inlineStr">
        <is>
          <t>Average</t>
        </is>
      </c>
      <c r="F22" s="12" t="n"/>
      <c r="G22" s="22" t="n"/>
      <c r="H22" s="22" t="n"/>
      <c r="J22" s="25" t="n"/>
      <c r="K22" s="25" t="n"/>
      <c r="L22" t="b">
        <v>0</v>
      </c>
    </row>
    <row r="23" ht="12" customHeight="1" s="518">
      <c r="A23" s="77" t="n">
        <v>140</v>
      </c>
      <c r="B23" s="57" t="inlineStr">
        <is>
          <t>Modular Office</t>
        </is>
      </c>
      <c r="C23" s="2" t="n"/>
      <c r="D23" s="45" t="n">
        <v>34</v>
      </c>
      <c r="E23" s="45" t="inlineStr">
        <is>
          <t>Average</t>
        </is>
      </c>
      <c r="G23" s="22" t="n"/>
      <c r="H23" s="22" t="n"/>
      <c r="J23" s="27" t="n"/>
      <c r="K23" s="24" t="n"/>
      <c r="L23" t="b">
        <v>0</v>
      </c>
    </row>
    <row r="24" ht="12" customHeight="1" s="518">
      <c r="A24" s="77" t="n">
        <v>186</v>
      </c>
      <c r="B24" s="57" t="inlineStr">
        <is>
          <t>Manufacturing</t>
        </is>
      </c>
      <c r="C24" s="2" t="n"/>
      <c r="D24" s="45" t="n">
        <v>40</v>
      </c>
      <c r="E24" s="45" t="inlineStr">
        <is>
          <t>Average</t>
        </is>
      </c>
      <c r="G24" s="22" t="n"/>
      <c r="H24" s="22" t="n"/>
      <c r="J24" s="27" t="n"/>
      <c r="K24" s="24" t="n"/>
      <c r="L24" t="b">
        <v>0</v>
      </c>
    </row>
    <row r="25" ht="12" customHeight="1" s="518">
      <c r="A25" s="77" t="n">
        <v>209</v>
      </c>
      <c r="B25" s="57" t="inlineStr">
        <is>
          <t>Office Building</t>
        </is>
      </c>
      <c r="C25" s="2" t="n"/>
      <c r="D25" s="45" t="n">
        <v>41</v>
      </c>
      <c r="E25" s="45" t="inlineStr">
        <is>
          <t>Average</t>
        </is>
      </c>
      <c r="G25" s="22" t="n"/>
      <c r="H25" s="58" t="n"/>
      <c r="J25" s="27" t="n"/>
      <c r="K25" s="24" t="n"/>
      <c r="L25" t="b">
        <v>0</v>
      </c>
    </row>
    <row r="26" ht="12" customHeight="1" s="518">
      <c r="A26" s="77" t="n">
        <v>210</v>
      </c>
      <c r="B26" s="57" t="inlineStr">
        <is>
          <t>Ind. Flex Mall</t>
        </is>
      </c>
      <c r="C26" s="2" t="n"/>
      <c r="D26" s="45" t="n">
        <v>42</v>
      </c>
      <c r="E26" s="46" t="inlineStr">
        <is>
          <t>Average/Fair</t>
        </is>
      </c>
      <c r="G26" s="22" t="n"/>
      <c r="H26" s="22" t="n"/>
      <c r="J26" s="25" t="n"/>
      <c r="K26" s="25" t="n"/>
      <c r="L26" t="b">
        <v>0</v>
      </c>
    </row>
    <row r="27" ht="12" customHeight="1" s="518">
      <c r="A27" s="77" t="n">
        <v>213</v>
      </c>
      <c r="B27" s="56" t="inlineStr">
        <is>
          <t>Light Industrial</t>
        </is>
      </c>
      <c r="C27" s="2" t="n"/>
      <c r="D27" s="45" t="n">
        <v>43</v>
      </c>
      <c r="E27" s="45" t="inlineStr">
        <is>
          <t>Good</t>
        </is>
      </c>
      <c r="G27" s="22" t="n"/>
      <c r="H27" s="22" t="n"/>
      <c r="J27" s="35" t="n"/>
      <c r="K27" s="35" t="n"/>
      <c r="L27" t="b">
        <v>0</v>
      </c>
    </row>
    <row r="28" ht="12" customHeight="1" s="518">
      <c r="A28" s="77" t="n">
        <v>304</v>
      </c>
      <c r="B28" s="56" t="inlineStr">
        <is>
          <t>Bank</t>
        </is>
      </c>
      <c r="C28" s="2" t="n"/>
      <c r="D28" s="45" t="n">
        <v>44</v>
      </c>
      <c r="E28" s="45" t="inlineStr">
        <is>
          <t>Good</t>
        </is>
      </c>
      <c r="G28" s="22" t="n"/>
      <c r="H28" s="58" t="n"/>
      <c r="J28" s="27" t="n"/>
      <c r="K28" s="24" t="n"/>
      <c r="L28" t="b">
        <v>0</v>
      </c>
    </row>
    <row r="29" ht="12" customHeight="1" s="518">
      <c r="A29" s="77" t="n">
        <v>306</v>
      </c>
      <c r="B29" s="56" t="inlineStr">
        <is>
          <t>Bowling Alley</t>
        </is>
      </c>
      <c r="C29" s="2" t="n"/>
      <c r="D29" s="45" t="n">
        <v>50</v>
      </c>
      <c r="E29" s="47" t="inlineStr">
        <is>
          <t>Rehab/Poor</t>
        </is>
      </c>
      <c r="G29" s="22" t="n"/>
      <c r="H29" s="22" t="n"/>
      <c r="J29" s="25" t="n"/>
      <c r="K29" s="25" t="n"/>
      <c r="L29" t="b">
        <v>0</v>
      </c>
    </row>
    <row r="30" ht="12" customHeight="1" s="518">
      <c r="A30" s="77" t="n">
        <v>311</v>
      </c>
      <c r="B30" s="56" t="inlineStr">
        <is>
          <t>Clubhouse</t>
        </is>
      </c>
      <c r="C30" s="2" t="n"/>
      <c r="D30" s="45" t="n">
        <v>51</v>
      </c>
      <c r="E30" s="47" t="inlineStr">
        <is>
          <t>Rehab/Fair</t>
        </is>
      </c>
      <c r="G30" s="22" t="n"/>
      <c r="H30" s="22" t="n"/>
      <c r="J30" s="27" t="n"/>
      <c r="K30" s="24" t="n"/>
      <c r="L30" t="b">
        <v>0</v>
      </c>
    </row>
    <row r="31" ht="12" customHeight="1" s="518">
      <c r="A31" s="78" t="n">
        <v>319</v>
      </c>
      <c r="B31" s="57" t="inlineStr">
        <is>
          <t>Discount Store</t>
        </is>
      </c>
      <c r="C31" s="2" t="n"/>
      <c r="D31" s="45" t="n">
        <v>52</v>
      </c>
      <c r="E31" s="45" t="inlineStr">
        <is>
          <t>Rehab/Fair</t>
        </is>
      </c>
      <c r="G31" s="22" t="n"/>
      <c r="H31" s="22" t="n"/>
      <c r="J31" s="27" t="n"/>
      <c r="K31" s="24" t="n"/>
      <c r="L31" t="b">
        <v>0</v>
      </c>
    </row>
    <row r="32" ht="12" customHeight="1" s="518">
      <c r="A32" s="78" t="n">
        <v>321</v>
      </c>
      <c r="B32" s="57" t="inlineStr">
        <is>
          <t>Laboratories</t>
        </is>
      </c>
      <c r="C32" s="2" t="n"/>
      <c r="D32" s="45" t="n">
        <v>53</v>
      </c>
      <c r="E32" s="45" t="inlineStr">
        <is>
          <t>Rehab/Average</t>
        </is>
      </c>
      <c r="G32" s="22" t="n"/>
      <c r="H32" s="22" t="n"/>
      <c r="J32" s="35" t="n"/>
      <c r="K32" s="35" t="n"/>
      <c r="L32" t="b">
        <v>0</v>
      </c>
      <c r="M32" s="30" t="n"/>
    </row>
    <row r="33" ht="12" customHeight="1" s="518">
      <c r="A33" s="78" t="n">
        <v>322</v>
      </c>
      <c r="B33" s="57" t="inlineStr">
        <is>
          <t>Fire Station</t>
        </is>
      </c>
      <c r="C33" s="2" t="n"/>
      <c r="D33" s="45" t="n">
        <v>54</v>
      </c>
      <c r="E33" s="46" t="inlineStr">
        <is>
          <t>Rehab/Good</t>
        </is>
      </c>
      <c r="G33" s="22" t="n"/>
      <c r="H33" s="22" t="n"/>
      <c r="J33" s="35" t="n"/>
      <c r="K33" s="35" t="n"/>
      <c r="L33" t="b">
        <v>0</v>
      </c>
      <c r="M33" s="30" t="n"/>
    </row>
    <row r="34" ht="12" customHeight="1" s="518">
      <c r="A34" s="4" t="n">
        <v>325</v>
      </c>
      <c r="B34" s="57" t="inlineStr">
        <is>
          <t>Service Garage</t>
        </is>
      </c>
      <c r="C34" s="2" t="n"/>
      <c r="D34" s="15" t="n"/>
      <c r="E34" s="24" t="n"/>
      <c r="G34" s="22" t="n"/>
      <c r="H34" s="22" t="n"/>
      <c r="J34" s="35" t="n"/>
      <c r="K34" s="35" t="n"/>
      <c r="L34" t="b">
        <v>0</v>
      </c>
      <c r="M34" s="30" t="n"/>
    </row>
    <row r="35" ht="12" customHeight="1" s="518">
      <c r="A35" s="4" t="n">
        <v>331</v>
      </c>
      <c r="B35" s="57" t="inlineStr">
        <is>
          <t>Hospital</t>
        </is>
      </c>
      <c r="C35" s="2" t="n"/>
      <c r="D35" s="15" t="n"/>
      <c r="E35" s="29" t="n"/>
      <c r="G35" s="22" t="n"/>
      <c r="H35" s="22" t="n"/>
      <c r="J35" s="27" t="n"/>
      <c r="K35" s="24" t="n"/>
      <c r="L35" t="b">
        <v>0</v>
      </c>
      <c r="M35" s="30" t="n"/>
    </row>
    <row r="36" ht="12" customHeight="1" s="518">
      <c r="A36" s="4" t="n">
        <v>332</v>
      </c>
      <c r="B36" s="57" t="inlineStr">
        <is>
          <t>Hotel - Full Service</t>
        </is>
      </c>
      <c r="C36" s="2" t="n"/>
      <c r="D36" s="15" t="n"/>
      <c r="E36" s="29" t="n"/>
      <c r="G36" s="22" t="n"/>
      <c r="H36" s="22" t="n"/>
      <c r="J36" s="27" t="n"/>
      <c r="K36" s="24" t="n"/>
      <c r="L36" t="b">
        <v>0</v>
      </c>
      <c r="M36" s="30" t="n"/>
    </row>
    <row r="37" ht="12" customHeight="1" s="518">
      <c r="A37" s="4" t="n">
        <v>334</v>
      </c>
      <c r="B37" s="57" t="inlineStr">
        <is>
          <t>Indust Light Manufacturing</t>
        </is>
      </c>
      <c r="C37" s="2" t="n"/>
      <c r="D37" s="15" t="n"/>
      <c r="E37" s="29" t="n"/>
      <c r="G37" s="22" t="n"/>
      <c r="H37" s="22" t="n"/>
      <c r="J37" s="27" t="n"/>
      <c r="K37" s="24" t="n"/>
      <c r="L37" t="b">
        <v>0</v>
      </c>
      <c r="M37" s="30" t="n"/>
    </row>
    <row r="38" ht="12" customHeight="1" s="518">
      <c r="A38" s="4" t="n">
        <v>336</v>
      </c>
      <c r="B38" s="57" t="inlineStr">
        <is>
          <t>Laundromat</t>
        </is>
      </c>
      <c r="C38" s="2" t="n"/>
      <c r="D38" s="15" t="n"/>
      <c r="E38" s="29" t="n"/>
      <c r="G38" s="22" t="n"/>
      <c r="H38" s="22" t="n"/>
      <c r="J38" s="27" t="n"/>
      <c r="K38" s="24" t="n"/>
      <c r="L38" t="b">
        <v>0</v>
      </c>
      <c r="M38" s="30" t="n"/>
    </row>
    <row r="39" ht="12" customHeight="1" s="518">
      <c r="A39" s="4" t="n">
        <v>339</v>
      </c>
      <c r="B39" s="57" t="inlineStr">
        <is>
          <t>Lumber Storage</t>
        </is>
      </c>
      <c r="C39" s="2" t="n"/>
      <c r="D39" s="15" t="n"/>
      <c r="E39" s="29" t="n"/>
      <c r="G39" s="22" t="n"/>
      <c r="H39" s="22" t="n"/>
      <c r="J39" s="35" t="n"/>
      <c r="K39" s="35" t="n"/>
      <c r="L39" t="b">
        <v>0</v>
      </c>
      <c r="M39" s="30" t="n"/>
    </row>
    <row r="40" ht="12" customHeight="1" s="518">
      <c r="A40" s="4" t="n">
        <v>340</v>
      </c>
      <c r="B40" s="57" t="inlineStr">
        <is>
          <t>Market</t>
        </is>
      </c>
      <c r="C40" s="2" t="n"/>
      <c r="D40" s="15" t="n"/>
      <c r="E40" s="29" t="n"/>
      <c r="G40" s="22" t="n"/>
      <c r="H40" s="22" t="n"/>
      <c r="J40" s="27" t="n"/>
      <c r="K40" s="24" t="n"/>
      <c r="L40" t="b">
        <v>0</v>
      </c>
      <c r="M40" s="30" t="n"/>
    </row>
    <row r="41" ht="12" customHeight="1" s="518">
      <c r="A41" s="4" t="n">
        <v>341</v>
      </c>
      <c r="B41" s="57" t="inlineStr">
        <is>
          <t>Medical Office</t>
        </is>
      </c>
      <c r="C41" s="2" t="n"/>
      <c r="D41" s="15" t="n"/>
      <c r="E41" s="29" t="n"/>
      <c r="G41" s="22" t="n"/>
      <c r="H41" s="22" t="n"/>
      <c r="J41" s="35" t="n"/>
      <c r="K41" s="35" t="n"/>
      <c r="L41" t="b">
        <v>0</v>
      </c>
      <c r="M41" s="30" t="n"/>
    </row>
    <row r="42" ht="12" customHeight="1" s="518">
      <c r="A42" s="4" t="n">
        <v>342</v>
      </c>
      <c r="B42" s="57" t="inlineStr">
        <is>
          <t>Mortuary</t>
        </is>
      </c>
      <c r="C42" s="2" t="n"/>
      <c r="D42" s="15" t="n"/>
      <c r="E42" s="29" t="n"/>
      <c r="G42" s="22" t="n"/>
      <c r="H42" s="22" t="n"/>
      <c r="J42" s="27" t="n"/>
      <c r="K42" s="24" t="n"/>
      <c r="L42" t="b">
        <v>0</v>
      </c>
      <c r="M42" s="32" t="n"/>
    </row>
    <row r="43" ht="12" customHeight="1" s="518">
      <c r="A43" s="4" t="n">
        <v>343</v>
      </c>
      <c r="B43" s="57" t="inlineStr">
        <is>
          <t>Motel</t>
        </is>
      </c>
      <c r="C43" s="2" t="n"/>
      <c r="D43" s="15" t="n"/>
      <c r="E43" s="29" t="n"/>
      <c r="G43" s="22" t="n"/>
      <c r="H43" s="22" t="n"/>
      <c r="J43" s="27" t="n"/>
      <c r="K43" s="24" t="n"/>
      <c r="L43" t="b">
        <v>0</v>
      </c>
      <c r="M43" s="32" t="n"/>
    </row>
    <row r="44" ht="12" customHeight="1" s="518">
      <c r="A44" s="4" t="n">
        <v>344</v>
      </c>
      <c r="B44" s="57" t="inlineStr">
        <is>
          <t>Office Building</t>
        </is>
      </c>
      <c r="C44" s="2" t="n"/>
      <c r="D44" s="15" t="n"/>
      <c r="E44" s="29" t="n"/>
      <c r="J44" s="27" t="n"/>
      <c r="K44" s="24" t="n"/>
      <c r="L44" t="b">
        <v>0</v>
      </c>
      <c r="M44" s="33" t="n"/>
    </row>
    <row r="45" ht="12" customHeight="1" s="518">
      <c r="A45" s="4" t="n">
        <v>349</v>
      </c>
      <c r="B45" s="57" t="inlineStr">
        <is>
          <t>Fast Food Restaurant</t>
        </is>
      </c>
      <c r="C45" s="2" t="n"/>
      <c r="D45" s="15" t="n"/>
      <c r="E45" s="29" t="n"/>
      <c r="J45" s="35" t="n"/>
      <c r="K45" s="35" t="n"/>
      <c r="L45" t="b">
        <v>0</v>
      </c>
      <c r="M45" s="30" t="n"/>
    </row>
    <row r="46" ht="12" customHeight="1" s="518">
      <c r="A46" s="4" t="n">
        <v>350</v>
      </c>
      <c r="B46" s="57" t="inlineStr">
        <is>
          <t>Restaurant</t>
        </is>
      </c>
      <c r="C46" s="2" t="n"/>
      <c r="D46" s="15" t="n"/>
      <c r="E46" s="29" t="n"/>
      <c r="J46" s="27" t="n"/>
      <c r="K46" s="24" t="n"/>
      <c r="L46" t="b">
        <v>0</v>
      </c>
      <c r="M46" s="30" t="n"/>
    </row>
    <row r="47" ht="12" customHeight="1" s="518">
      <c r="A47" s="4" t="n">
        <v>353</v>
      </c>
      <c r="B47" s="57" t="inlineStr">
        <is>
          <t>Retail Store</t>
        </is>
      </c>
      <c r="C47" s="2" t="n"/>
      <c r="D47" s="15" t="n"/>
      <c r="E47" s="24" t="n"/>
      <c r="J47" s="27" t="n"/>
      <c r="K47" s="24" t="n"/>
      <c r="L47" t="b">
        <v>0</v>
      </c>
      <c r="M47" s="30" t="n"/>
    </row>
    <row r="48" ht="12" customHeight="1" s="518">
      <c r="A48" s="4" t="n">
        <v>359</v>
      </c>
      <c r="B48" s="57" t="inlineStr">
        <is>
          <t>School</t>
        </is>
      </c>
      <c r="C48" s="2" t="n"/>
      <c r="D48" s="15" t="n"/>
      <c r="E48" s="24" t="n"/>
      <c r="J48" s="27" t="n"/>
      <c r="K48" s="24" t="n"/>
      <c r="L48" t="b">
        <v>0</v>
      </c>
      <c r="M48" s="30" t="n"/>
    </row>
    <row r="49" ht="12" customHeight="1" s="518">
      <c r="A49" s="4" t="n">
        <v>381</v>
      </c>
      <c r="B49" s="57" t="inlineStr">
        <is>
          <t>Vet Hospital</t>
        </is>
      </c>
      <c r="C49" s="2" t="n"/>
      <c r="D49" s="15" t="n"/>
      <c r="E49" s="24" t="n"/>
      <c r="J49" s="27" t="n"/>
      <c r="K49" s="24" t="n"/>
      <c r="L49" t="b">
        <v>0</v>
      </c>
      <c r="M49" s="30" t="n"/>
    </row>
    <row r="50" ht="12" customHeight="1" s="518">
      <c r="A50" s="4" t="n">
        <v>386</v>
      </c>
      <c r="B50" s="57" t="inlineStr">
        <is>
          <t>Mini Warehouse</t>
        </is>
      </c>
      <c r="C50" s="2" t="n"/>
      <c r="D50" s="15" t="n"/>
      <c r="E50" s="24" t="n"/>
      <c r="J50" s="27" t="n"/>
      <c r="K50" s="24" t="n"/>
      <c r="L50" t="b">
        <v>0</v>
      </c>
      <c r="M50" s="32" t="n"/>
    </row>
    <row r="51" ht="12" customHeight="1" s="518">
      <c r="A51" s="4" t="n">
        <v>387</v>
      </c>
      <c r="B51" s="57" t="inlineStr">
        <is>
          <t>Transit Warehouse</t>
        </is>
      </c>
      <c r="C51" s="2" t="n"/>
      <c r="D51" s="15" t="n"/>
      <c r="E51" s="24" t="n"/>
      <c r="J51" s="27" t="n"/>
      <c r="K51" s="24" t="n"/>
      <c r="L51" t="b">
        <v>0</v>
      </c>
      <c r="M51" s="32" t="n"/>
    </row>
    <row r="52" ht="12" customHeight="1" s="518">
      <c r="A52" s="4" t="n">
        <v>406</v>
      </c>
      <c r="B52" s="57" t="inlineStr">
        <is>
          <t>Storage Warehouse</t>
        </is>
      </c>
      <c r="C52" s="2" t="n"/>
      <c r="D52" s="15" t="n"/>
      <c r="E52" s="28" t="n"/>
      <c r="J52" s="27" t="n"/>
      <c r="K52" s="24" t="n"/>
      <c r="L52" t="b">
        <v>0</v>
      </c>
      <c r="M52" s="32" t="n"/>
    </row>
    <row r="53" ht="12" customHeight="1" s="518">
      <c r="A53" s="4" t="n">
        <v>407</v>
      </c>
      <c r="B53" s="57" t="inlineStr">
        <is>
          <t>Distribution Warehouse</t>
        </is>
      </c>
      <c r="C53" s="2" t="n"/>
      <c r="D53" s="15" t="n"/>
      <c r="J53" s="27" t="n"/>
      <c r="K53" s="24" t="n"/>
      <c r="L53" t="b">
        <v>0</v>
      </c>
      <c r="M53" s="32" t="n"/>
    </row>
    <row r="54" ht="12" customHeight="1" s="518">
      <c r="A54" s="4" t="n">
        <v>412</v>
      </c>
      <c r="B54" s="57" t="inlineStr">
        <is>
          <t>NBHD Shopping Center</t>
        </is>
      </c>
      <c r="C54" s="2" t="n"/>
      <c r="D54" s="15" t="n"/>
      <c r="E54" s="24" t="n"/>
      <c r="J54" s="27" t="n"/>
      <c r="K54" s="24" t="n"/>
      <c r="L54" t="b">
        <v>0</v>
      </c>
      <c r="M54" s="30" t="n"/>
    </row>
    <row r="55" ht="12" customHeight="1" s="518">
      <c r="A55" s="4" t="n">
        <v>413</v>
      </c>
      <c r="B55" s="57" t="inlineStr">
        <is>
          <t>Community Shoping Center</t>
        </is>
      </c>
      <c r="C55" s="2" t="n"/>
      <c r="D55" s="15" t="n"/>
      <c r="E55" s="28" t="n"/>
      <c r="J55" s="27" t="n"/>
      <c r="K55" s="24" t="n"/>
      <c r="L55" t="b">
        <v>0</v>
      </c>
      <c r="M55" s="30" t="n"/>
    </row>
    <row r="56" ht="12" customHeight="1" s="518">
      <c r="A56" s="4" t="n">
        <v>419</v>
      </c>
      <c r="B56" s="57" t="inlineStr">
        <is>
          <t>Convenience Store</t>
        </is>
      </c>
      <c r="C56" s="2" t="n"/>
      <c r="D56" s="15" t="n"/>
      <c r="E56" s="28" t="n"/>
      <c r="J56" s="27" t="n"/>
      <c r="K56" s="24" t="n"/>
      <c r="L56" t="b">
        <v>0</v>
      </c>
      <c r="M56" s="30" t="n"/>
    </row>
    <row r="57" ht="12" customHeight="1" s="518">
      <c r="A57" s="4" t="n">
        <v>423</v>
      </c>
      <c r="B57" s="57" t="inlineStr">
        <is>
          <t>Mini Lube</t>
        </is>
      </c>
      <c r="C57" s="2" t="n"/>
      <c r="D57" s="15" t="n"/>
      <c r="E57" s="24" t="n"/>
      <c r="J57" s="27" t="n"/>
      <c r="K57" s="24" t="n"/>
      <c r="L57" t="b">
        <v>0</v>
      </c>
      <c r="M57" s="30" t="n"/>
    </row>
    <row r="58" ht="12" customHeight="1" s="518">
      <c r="A58" s="4" t="n">
        <v>425</v>
      </c>
      <c r="B58" s="57" t="inlineStr">
        <is>
          <t>Condo Warehouse</t>
        </is>
      </c>
      <c r="C58" s="2" t="n"/>
      <c r="D58" s="15" t="n"/>
      <c r="E58" s="24" t="n"/>
      <c r="J58" s="27" t="n"/>
      <c r="K58" s="24" t="n"/>
      <c r="L58" t="b">
        <v>0</v>
      </c>
      <c r="M58" s="30" t="n"/>
    </row>
    <row r="59" ht="12" customHeight="1" s="518">
      <c r="A59" s="4" t="n">
        <v>426</v>
      </c>
      <c r="B59" s="57" t="inlineStr">
        <is>
          <t>Day Care Center</t>
        </is>
      </c>
      <c r="C59" s="2" t="n"/>
      <c r="D59" s="15" t="n"/>
      <c r="E59" s="28" t="n"/>
      <c r="J59" s="35" t="n"/>
      <c r="K59" s="35" t="n"/>
      <c r="L59" t="b">
        <v>0</v>
      </c>
      <c r="M59" s="30" t="n"/>
    </row>
    <row r="60" ht="12" customHeight="1" s="518">
      <c r="A60" s="4" t="n">
        <v>434</v>
      </c>
      <c r="B60" s="57" t="inlineStr">
        <is>
          <t>Car Wash</t>
        </is>
      </c>
      <c r="C60" s="2" t="n"/>
      <c r="D60" s="15" t="n"/>
      <c r="E60" s="28" t="n"/>
      <c r="J60" s="27" t="n"/>
      <c r="K60" s="24" t="n"/>
      <c r="L60" t="b">
        <v>0</v>
      </c>
      <c r="M60" s="30" t="n"/>
    </row>
    <row r="61" ht="12" customHeight="1" s="518">
      <c r="A61" s="4" t="n">
        <v>534</v>
      </c>
      <c r="B61" s="57" t="inlineStr">
        <is>
          <t>Warehouse Showroom</t>
        </is>
      </c>
      <c r="C61" s="2" t="n"/>
      <c r="D61" s="15" t="n"/>
      <c r="E61" s="29" t="n"/>
      <c r="J61" s="27" t="n"/>
      <c r="K61" s="24" t="n"/>
      <c r="L61" t="b">
        <v>0</v>
      </c>
      <c r="M61" s="30" t="n"/>
    </row>
    <row r="62" ht="12" customHeight="1" s="518">
      <c r="A62" s="4" t="n">
        <v>584</v>
      </c>
      <c r="B62" s="57" t="inlineStr">
        <is>
          <t>Mega Warehouse</t>
        </is>
      </c>
      <c r="C62" s="2" t="n"/>
      <c r="D62" s="15" t="n"/>
      <c r="E62" s="29" t="n"/>
      <c r="J62" s="27" t="n"/>
      <c r="K62" s="24" t="n"/>
      <c r="L62" t="b">
        <v>0</v>
      </c>
      <c r="M62" s="30" t="n"/>
    </row>
    <row r="63" ht="12.75" customHeight="1" s="518">
      <c r="B63" s="57" t="n"/>
      <c r="C63" s="2" t="n"/>
      <c r="D63" s="15" t="n"/>
      <c r="E63" s="24" t="n"/>
      <c r="F63" s="9" t="n"/>
      <c r="G63" s="22" t="n"/>
      <c r="H63" s="22" t="n"/>
      <c r="I63" s="9" t="n"/>
      <c r="J63" s="27" t="n"/>
      <c r="K63" s="24" t="n"/>
      <c r="L63" t="b">
        <v>0</v>
      </c>
      <c r="M63" s="32" t="n"/>
    </row>
    <row r="64" ht="12.75" customHeight="1" s="518">
      <c r="B64" s="57" t="n"/>
      <c r="C64" s="2" t="n"/>
      <c r="D64" s="15" t="n"/>
      <c r="E64" s="24" t="n"/>
      <c r="F64" s="9" t="n"/>
      <c r="G64" s="22" t="n"/>
      <c r="H64" s="22" t="n"/>
      <c r="I64" s="9" t="n"/>
      <c r="J64" s="27" t="n"/>
      <c r="K64" s="24" t="n"/>
      <c r="L64" t="b">
        <v>0</v>
      </c>
      <c r="M64" s="32" t="n"/>
    </row>
    <row r="65" ht="12.75" customHeight="1" s="518">
      <c r="C65" s="13" t="n"/>
      <c r="D65" s="15" t="n"/>
      <c r="F65" s="9" t="n"/>
      <c r="G65" s="22" t="n"/>
      <c r="H65" s="22" t="n"/>
      <c r="I65" s="9" t="n"/>
      <c r="J65" s="27" t="n"/>
      <c r="K65" s="24" t="n"/>
      <c r="L65" t="b">
        <v>0</v>
      </c>
      <c r="M65" s="32" t="n"/>
    </row>
    <row r="66" ht="12.75" customHeight="1" s="518">
      <c r="C66" s="13" t="n"/>
      <c r="D66" s="15" t="n"/>
      <c r="E66" s="24" t="n"/>
      <c r="F66" s="9" t="n"/>
      <c r="G66" s="22" t="n"/>
      <c r="H66" s="22" t="n"/>
      <c r="I66" s="9" t="n"/>
      <c r="J66" s="27" t="n"/>
      <c r="K66" s="24" t="n"/>
      <c r="L66" t="b">
        <v>0</v>
      </c>
      <c r="M66" s="32" t="n"/>
    </row>
    <row r="67" ht="12.75" customHeight="1" s="518">
      <c r="C67" s="13" t="n"/>
      <c r="D67" s="15" t="n"/>
      <c r="E67" s="28" t="n"/>
      <c r="F67" s="9" t="n"/>
      <c r="G67" s="22" t="n"/>
      <c r="H67" s="22" t="n"/>
      <c r="I67" s="9" t="n"/>
      <c r="J67" s="35" t="n"/>
      <c r="K67" s="35" t="n"/>
      <c r="L67" t="b">
        <v>0</v>
      </c>
      <c r="M67" s="32" t="n"/>
    </row>
    <row r="68" ht="12.75" customHeight="1" s="518">
      <c r="C68" s="13" t="n"/>
      <c r="D68" s="15" t="n"/>
      <c r="E68" s="24" t="n"/>
      <c r="F68" s="9" t="n"/>
      <c r="G68" s="22" t="n"/>
      <c r="H68" s="22" t="n"/>
      <c r="I68" s="9" t="n"/>
      <c r="J68" s="27" t="n"/>
      <c r="K68" s="24" t="n"/>
      <c r="L68" t="b">
        <v>0</v>
      </c>
      <c r="M68" s="32" t="n"/>
    </row>
    <row r="69" ht="12.75" customHeight="1" s="518">
      <c r="C69" s="13" t="n"/>
      <c r="D69" s="15" t="n"/>
      <c r="E69" s="17" t="n"/>
      <c r="F69" s="9" t="n"/>
      <c r="G69" s="22" t="n"/>
      <c r="H69" s="22" t="n"/>
      <c r="I69" s="9" t="n"/>
      <c r="J69" s="27" t="n"/>
      <c r="K69" s="24" t="n"/>
      <c r="L69" t="b">
        <v>0</v>
      </c>
      <c r="M69" s="32" t="n"/>
    </row>
    <row r="70" ht="12.75" customHeight="1" s="518">
      <c r="C70" s="13" t="n"/>
      <c r="D70" s="15" t="n"/>
      <c r="E70" s="24" t="n"/>
      <c r="G70" s="22" t="n"/>
      <c r="H70" s="22" t="n"/>
      <c r="J70" s="27" t="n"/>
      <c r="K70" s="24" t="n"/>
      <c r="L70" t="b">
        <v>0</v>
      </c>
      <c r="M70" s="32" t="n"/>
    </row>
    <row r="71" ht="12.75" customHeight="1" s="518">
      <c r="B71" s="57" t="n"/>
      <c r="C71" s="13" t="n"/>
      <c r="D71" s="15" t="n"/>
      <c r="E71" s="24" t="n"/>
      <c r="G71" s="22" t="n"/>
      <c r="H71" s="22" t="n"/>
      <c r="J71" s="27" t="n"/>
      <c r="K71" s="24" t="n"/>
      <c r="L71" t="b">
        <v>0</v>
      </c>
      <c r="M71" s="32" t="n"/>
    </row>
    <row r="72" ht="12" customHeight="1" s="518">
      <c r="B72" s="57" t="n"/>
      <c r="C72" s="2" t="n"/>
      <c r="D72" s="15" t="n"/>
      <c r="E72" s="24" t="n"/>
      <c r="G72" s="22" t="n"/>
      <c r="H72" s="22" t="n"/>
      <c r="J72" s="27" t="n"/>
      <c r="K72" s="24" t="n"/>
      <c r="L72" t="b">
        <v>0</v>
      </c>
      <c r="M72" s="32" t="n"/>
    </row>
    <row r="73" ht="12" customHeight="1" s="518">
      <c r="A73" s="78" t="n"/>
      <c r="B73" s="57" t="n"/>
      <c r="C73" s="2" t="n"/>
      <c r="D73" s="15" t="n"/>
      <c r="E73" s="29" t="n"/>
      <c r="G73" s="22" t="n"/>
      <c r="H73" s="22" t="n"/>
      <c r="J73" s="26" t="n"/>
      <c r="K73" s="26" t="n"/>
      <c r="L73" t="b">
        <v>0</v>
      </c>
      <c r="M73" s="30" t="n"/>
    </row>
    <row r="74" ht="12" customHeight="1" s="518">
      <c r="B74" s="57" t="n"/>
      <c r="C74" s="2" t="n"/>
      <c r="D74" s="15" t="n"/>
      <c r="E74" s="29" t="n"/>
      <c r="G74" s="22" t="n"/>
      <c r="H74" s="22" t="n"/>
      <c r="J74" s="27" t="n"/>
      <c r="K74" s="24" t="n"/>
      <c r="L74" t="b">
        <v>0</v>
      </c>
      <c r="M74" s="33" t="n"/>
    </row>
    <row r="75" ht="12" customHeight="1" s="518">
      <c r="A75" s="78" t="n"/>
      <c r="B75" s="57" t="n"/>
      <c r="C75" s="2" t="n"/>
      <c r="D75" s="15" t="n"/>
      <c r="E75" s="29" t="n"/>
      <c r="J75" s="27" t="n"/>
      <c r="K75" s="24" t="n"/>
      <c r="L75" t="b">
        <v>0</v>
      </c>
      <c r="M75" s="30" t="n"/>
    </row>
    <row r="76" ht="12" customHeight="1" s="518">
      <c r="A76" s="78" t="n"/>
      <c r="B76" s="57" t="n"/>
      <c r="C76" s="2" t="n"/>
      <c r="D76" s="15" t="n"/>
      <c r="E76" s="24" t="n"/>
      <c r="J76" s="27" t="n"/>
      <c r="K76" s="24" t="n"/>
      <c r="L76" t="b">
        <v>0</v>
      </c>
      <c r="M76" s="30" t="n"/>
    </row>
    <row r="77" ht="12.75" customHeight="1" s="518">
      <c r="C77" s="2" t="n"/>
      <c r="D77" s="15" t="n"/>
      <c r="E77" s="24" t="n"/>
      <c r="G77" s="9" t="n"/>
      <c r="H77" s="9" t="n"/>
      <c r="J77" s="26" t="n"/>
      <c r="K77" s="26" t="n"/>
      <c r="L77" t="b">
        <v>0</v>
      </c>
      <c r="M77" s="30" t="n"/>
    </row>
    <row r="78" ht="12.75" customHeight="1" s="518">
      <c r="C78" s="2" t="n"/>
      <c r="D78" s="15" t="n"/>
      <c r="E78" s="24" t="n"/>
      <c r="G78" s="9" t="n"/>
      <c r="H78" s="9" t="n"/>
      <c r="J78" s="26" t="n"/>
      <c r="K78" s="26" t="n"/>
      <c r="L78" t="b">
        <v>0</v>
      </c>
      <c r="M78" s="30" t="n"/>
    </row>
    <row r="79" ht="12.75" customHeight="1" s="518">
      <c r="C79" s="2" t="n"/>
      <c r="D79" s="15" t="n"/>
      <c r="E79" s="28" t="n"/>
      <c r="G79" s="9" t="n"/>
      <c r="H79" s="9" t="n"/>
      <c r="J79" s="27" t="n"/>
      <c r="K79" s="24" t="n"/>
      <c r="L79" t="b">
        <v>0</v>
      </c>
      <c r="M79" s="30" t="n"/>
    </row>
    <row r="80" ht="12.75" customHeight="1" s="518">
      <c r="C80" s="2" t="n"/>
      <c r="D80" s="15" t="n"/>
      <c r="E80" s="28" t="n"/>
      <c r="G80" s="9" t="n"/>
      <c r="H80" s="9" t="n"/>
      <c r="J80" s="35" t="n"/>
      <c r="K80" s="35" t="n"/>
      <c r="L80" t="b">
        <v>0</v>
      </c>
      <c r="M80" s="30" t="n"/>
    </row>
    <row r="81" ht="12.75" customHeight="1" s="518">
      <c r="C81" s="2" t="n"/>
      <c r="D81" s="15" t="n"/>
      <c r="E81" s="28" t="n"/>
      <c r="G81" s="9" t="n"/>
      <c r="H81" s="9" t="n"/>
      <c r="J81" s="27" t="n"/>
      <c r="K81" s="24" t="n"/>
      <c r="L81" t="b">
        <v>0</v>
      </c>
      <c r="M81" s="30" t="n"/>
    </row>
    <row r="82" ht="12.75" customHeight="1" s="518">
      <c r="C82" s="2" t="n"/>
      <c r="D82" s="15" t="n"/>
      <c r="E82" s="28" t="n"/>
      <c r="G82" s="9" t="n"/>
      <c r="H82" s="9" t="n"/>
      <c r="J82" s="27" t="n"/>
      <c r="K82" s="24" t="n"/>
      <c r="L82" t="b">
        <v>0</v>
      </c>
      <c r="M82" s="30" t="n"/>
    </row>
    <row r="83" ht="12.75" customHeight="1" s="518">
      <c r="C83" s="2" t="n"/>
      <c r="D83" s="15" t="n"/>
      <c r="E83" s="28" t="n"/>
      <c r="G83" s="9" t="n"/>
      <c r="H83" s="9" t="n"/>
      <c r="J83" s="27" t="n"/>
      <c r="K83" s="24" t="n"/>
      <c r="L83" t="b">
        <v>0</v>
      </c>
      <c r="M83" s="33" t="n"/>
    </row>
    <row r="84" ht="12" customHeight="1" s="518">
      <c r="C84" s="2" t="n"/>
      <c r="D84" s="15" t="n"/>
      <c r="E84" s="28" t="n"/>
      <c r="J84" s="27" t="n"/>
      <c r="K84" s="24" t="n"/>
      <c r="L84" t="b">
        <v>0</v>
      </c>
      <c r="M84" s="31" t="n"/>
    </row>
    <row r="85" ht="12" customHeight="1" s="518">
      <c r="C85" s="2" t="n"/>
      <c r="D85" s="15" t="n"/>
      <c r="E85" s="28" t="n"/>
      <c r="J85" s="27" t="n"/>
      <c r="K85" s="24" t="n"/>
      <c r="L85" t="b">
        <v>0</v>
      </c>
      <c r="M85" s="31" t="n"/>
    </row>
    <row r="86" ht="12" customHeight="1" s="518">
      <c r="C86" s="2" t="n"/>
      <c r="D86" s="15" t="n"/>
      <c r="E86" s="28" t="n"/>
      <c r="J86" s="27" t="n"/>
      <c r="K86" s="24" t="n"/>
      <c r="L86" t="b">
        <v>0</v>
      </c>
      <c r="M86" s="34" t="n"/>
    </row>
    <row r="87" ht="12" customHeight="1" s="518">
      <c r="C87" s="2" t="n"/>
      <c r="D87" s="15" t="n"/>
      <c r="E87" s="28" t="n"/>
      <c r="J87" s="27" t="n"/>
      <c r="K87" s="24" t="n"/>
      <c r="L87" t="b">
        <v>0</v>
      </c>
      <c r="M87" s="32" t="n"/>
    </row>
    <row r="88" ht="12" customHeight="1" s="518">
      <c r="C88" s="2" t="n"/>
      <c r="D88" s="15" t="n"/>
      <c r="E88" s="28" t="n"/>
      <c r="J88" s="27" t="n"/>
      <c r="K88" s="24" t="n"/>
      <c r="L88" t="b">
        <v>0</v>
      </c>
      <c r="M88" s="32" t="n"/>
    </row>
    <row r="89" ht="12" customHeight="1" s="518">
      <c r="C89" s="2" t="n"/>
      <c r="D89" s="15" t="n"/>
      <c r="E89" s="28" t="n"/>
      <c r="J89" s="27" t="n"/>
      <c r="K89" s="24" t="n"/>
      <c r="M89" s="32" t="n"/>
    </row>
    <row r="90" ht="12" customHeight="1" s="518">
      <c r="C90" s="2" t="n"/>
      <c r="D90" s="15" t="n"/>
      <c r="E90" s="28" t="n"/>
      <c r="J90" s="27" t="n"/>
      <c r="K90" s="24" t="n"/>
      <c r="M90" s="18" t="n"/>
    </row>
    <row r="91" ht="12" customHeight="1" s="518">
      <c r="C91" s="2" t="n"/>
      <c r="D91" s="15" t="n"/>
      <c r="E91" s="28" t="n"/>
      <c r="J91" s="27" t="n"/>
      <c r="K91" s="24" t="n"/>
      <c r="M91" s="30" t="n"/>
    </row>
    <row r="92" ht="12" customHeight="1" s="518">
      <c r="C92" s="2" t="n"/>
      <c r="D92" s="15" t="n"/>
      <c r="E92" s="28" t="n"/>
      <c r="J92" s="27" t="n"/>
      <c r="K92" s="24" t="n"/>
      <c r="M92" s="30" t="n"/>
    </row>
    <row r="93" ht="12" customHeight="1" s="518">
      <c r="A93" s="4" t="inlineStr">
        <is>
          <t>A</t>
        </is>
      </c>
      <c r="B93" s="15" t="inlineStr">
        <is>
          <t>Good</t>
        </is>
      </c>
      <c r="C93" s="2" t="n"/>
      <c r="D93" s="15" t="n"/>
      <c r="E93" s="28" t="n"/>
      <c r="J93" s="27" t="n"/>
      <c r="K93" s="24" t="n"/>
      <c r="M93" s="30" t="n"/>
    </row>
    <row r="94" ht="12" customHeight="1" s="518">
      <c r="A94" s="4" t="inlineStr">
        <is>
          <t>A-</t>
        </is>
      </c>
      <c r="B94" s="15" t="inlineStr">
        <is>
          <t>Good</t>
        </is>
      </c>
      <c r="C94" s="2" t="n"/>
      <c r="D94" s="15" t="n"/>
      <c r="E94" s="28" t="n"/>
      <c r="J94" s="27" t="n"/>
      <c r="K94" s="24" t="n"/>
      <c r="M94" s="32" t="n"/>
    </row>
    <row r="95" ht="12" customHeight="1" s="518">
      <c r="A95" s="4" t="inlineStr">
        <is>
          <t>A+</t>
        </is>
      </c>
      <c r="B95" s="15" t="inlineStr">
        <is>
          <t>Good</t>
        </is>
      </c>
      <c r="D95" s="15" t="n"/>
      <c r="E95" s="28" t="n"/>
      <c r="J95" s="35" t="n"/>
      <c r="K95" s="35" t="n"/>
      <c r="M95" s="30" t="n"/>
    </row>
    <row r="96" ht="12" customHeight="1" s="518">
      <c r="A96" s="4" t="inlineStr">
        <is>
          <t>B</t>
        </is>
      </c>
      <c r="B96" s="15" t="inlineStr">
        <is>
          <t>Above Average</t>
        </is>
      </c>
      <c r="D96" s="15" t="n"/>
      <c r="E96" s="28" t="n"/>
      <c r="J96" s="35" t="n"/>
      <c r="K96" s="35" t="n"/>
      <c r="M96" s="30" t="n"/>
    </row>
    <row r="97" ht="12" customHeight="1" s="518">
      <c r="A97" s="4" t="inlineStr">
        <is>
          <t>B-</t>
        </is>
      </c>
      <c r="B97" s="15" t="inlineStr">
        <is>
          <t>Above Average</t>
        </is>
      </c>
      <c r="D97" s="15" t="n"/>
      <c r="E97" s="28" t="n"/>
      <c r="J97" s="35" t="n"/>
      <c r="K97" s="35" t="n"/>
      <c r="M97" s="30" t="n"/>
    </row>
    <row r="98" ht="12" customHeight="1" s="518">
      <c r="A98" s="4" t="inlineStr">
        <is>
          <t>B+</t>
        </is>
      </c>
      <c r="B98" s="15" t="inlineStr">
        <is>
          <t>Above Average</t>
        </is>
      </c>
      <c r="D98" s="15" t="n"/>
      <c r="E98" s="28" t="n"/>
      <c r="J98" s="35" t="n"/>
      <c r="K98" s="35" t="n"/>
      <c r="M98" s="26" t="n"/>
    </row>
    <row r="99" ht="12" customHeight="1" s="518">
      <c r="A99" s="79" t="inlineStr">
        <is>
          <t>C</t>
        </is>
      </c>
      <c r="B99" s="15" t="inlineStr">
        <is>
          <t>Average</t>
        </is>
      </c>
      <c r="D99" s="15" t="n"/>
      <c r="E99" s="28" t="n"/>
      <c r="J99" s="35" t="n"/>
      <c r="K99" s="35" t="n"/>
      <c r="M99" s="26" t="n"/>
    </row>
    <row r="100" ht="12" customHeight="1" s="518">
      <c r="A100" s="79" t="inlineStr">
        <is>
          <t>C-</t>
        </is>
      </c>
      <c r="B100" s="15" t="inlineStr">
        <is>
          <t>Average</t>
        </is>
      </c>
      <c r="D100" s="15" t="n"/>
      <c r="E100" s="28" t="n"/>
      <c r="J100" s="27" t="n"/>
      <c r="K100" s="27" t="n"/>
      <c r="M100" s="26" t="n"/>
    </row>
    <row r="101" ht="12" customHeight="1" s="518">
      <c r="A101" s="79" t="inlineStr">
        <is>
          <t>C+</t>
        </is>
      </c>
      <c r="B101" s="15" t="inlineStr">
        <is>
          <t>Average</t>
        </is>
      </c>
      <c r="D101" s="15" t="n"/>
      <c r="E101" s="28" t="n"/>
      <c r="J101" s="35" t="n"/>
      <c r="K101" s="35" t="n"/>
      <c r="M101" s="26" t="n"/>
    </row>
    <row r="102" ht="12" customHeight="1" s="518">
      <c r="A102" s="4" t="inlineStr">
        <is>
          <t>X</t>
        </is>
      </c>
      <c r="B102" s="15" t="inlineStr">
        <is>
          <t>Excellent</t>
        </is>
      </c>
      <c r="D102" s="15" t="n"/>
      <c r="E102" s="28" t="n"/>
      <c r="J102" s="35" t="n"/>
      <c r="K102" s="35" t="n"/>
      <c r="M102" s="27" t="n"/>
    </row>
    <row r="103" ht="12" customHeight="1" s="518">
      <c r="A103" s="4" t="inlineStr">
        <is>
          <t>X-</t>
        </is>
      </c>
      <c r="B103" s="15" t="inlineStr">
        <is>
          <t>Excellent</t>
        </is>
      </c>
      <c r="D103" s="15" t="n"/>
      <c r="E103" s="28" t="n"/>
      <c r="J103" s="35" t="n"/>
      <c r="K103" s="35" t="n"/>
      <c r="M103" s="27" t="n"/>
    </row>
    <row r="104" ht="12" customHeight="1" s="518">
      <c r="A104" s="4" t="inlineStr">
        <is>
          <t>X+</t>
        </is>
      </c>
      <c r="B104" s="15" t="inlineStr">
        <is>
          <t>Excellent</t>
        </is>
      </c>
      <c r="J104" s="27" t="n"/>
      <c r="K104" s="27" t="n"/>
      <c r="M104" s="27" t="n"/>
    </row>
    <row r="105" ht="12" customHeight="1" s="518">
      <c r="J105" s="35" t="n"/>
      <c r="K105" s="35" t="n"/>
      <c r="M105" s="27" t="n"/>
    </row>
    <row r="106" ht="12" customHeight="1" s="518">
      <c r="M106" s="27" t="n"/>
    </row>
    <row r="107" ht="12" customHeight="1" s="518">
      <c r="M107" s="27" t="n"/>
    </row>
    <row r="108" ht="12.75" customHeight="1" s="518">
      <c r="A108" s="80" t="n"/>
      <c r="B108" s="3" t="n"/>
      <c r="M108" s="27" t="n"/>
    </row>
    <row r="109" ht="12" customHeight="1" s="518">
      <c r="M109" s="27" t="n"/>
    </row>
    <row r="110" ht="12" customHeight="1" s="518">
      <c r="M110" s="27" t="n"/>
    </row>
    <row r="111" ht="12" customHeight="1" s="518">
      <c r="M111" s="27" t="n"/>
    </row>
    <row r="112" ht="12" customHeight="1" s="518">
      <c r="M112" s="27" t="n"/>
    </row>
    <row r="113" ht="12" customHeight="1" s="518">
      <c r="M113" s="27" t="n"/>
    </row>
    <row r="114" ht="12" customHeight="1" s="518">
      <c r="M114" s="27" t="n"/>
    </row>
    <row r="115" ht="12" customHeight="1" s="518">
      <c r="M115" s="27" t="n"/>
    </row>
    <row r="116" ht="12" customHeight="1" s="518">
      <c r="M116" s="27" t="n"/>
    </row>
    <row r="117" ht="12" customHeight="1" s="518">
      <c r="M117" s="27" t="n"/>
    </row>
    <row r="118" ht="12" customHeight="1" s="518">
      <c r="M118" s="27" t="n"/>
    </row>
    <row r="119" ht="12" customHeight="1" s="518">
      <c r="M119" s="27" t="n"/>
    </row>
    <row r="120" ht="12" customHeight="1" s="518">
      <c r="M120" s="27" t="n"/>
    </row>
    <row r="121" ht="12" customHeight="1" s="518">
      <c r="M121" s="27" t="n"/>
    </row>
    <row r="122" ht="12" customHeight="1" s="518">
      <c r="M122" s="27" t="n"/>
    </row>
    <row r="123" ht="12" customHeight="1" s="518">
      <c r="M123" s="27" t="n"/>
    </row>
    <row r="124" ht="12" customHeight="1" s="518">
      <c r="M124" s="27" t="n"/>
    </row>
    <row r="125" ht="12" customHeight="1" s="518">
      <c r="M125" s="27" t="n"/>
    </row>
    <row r="126" ht="12" customHeight="1" s="518">
      <c r="M126" s="27" t="n"/>
    </row>
    <row r="127" ht="12" customHeight="1" s="518">
      <c r="M127" s="27" t="n"/>
    </row>
    <row r="128" ht="12" customHeight="1" s="518">
      <c r="M128" s="27" t="n"/>
    </row>
    <row r="129" ht="12" customHeight="1" s="518">
      <c r="M129" s="27" t="n"/>
    </row>
    <row r="130" ht="12" customHeight="1" s="518">
      <c r="M130" s="27" t="n"/>
    </row>
    <row r="131" ht="12" customHeight="1" s="518">
      <c r="M131" s="27" t="n"/>
    </row>
    <row r="132" ht="12.75" customHeight="1" s="518">
      <c r="A132" s="80" t="n"/>
      <c r="B132" s="3" t="n"/>
      <c r="M132" s="27" t="n"/>
    </row>
    <row r="133" ht="12.75" customHeight="1" s="518">
      <c r="A133" s="80" t="n"/>
      <c r="B133" s="3" t="n"/>
      <c r="M133" s="27" t="n"/>
    </row>
    <row r="134" ht="12.75" customHeight="1" s="518">
      <c r="A134" s="80" t="n"/>
      <c r="B134" s="3" t="n"/>
      <c r="M134" s="26" t="n"/>
    </row>
    <row r="135" ht="12.75" customHeight="1" s="518">
      <c r="A135" s="80" t="n"/>
      <c r="B135" s="3" t="n"/>
      <c r="M135" s="26" t="n"/>
    </row>
    <row r="136" ht="12.75" customHeight="1" s="518">
      <c r="A136" s="80" t="n"/>
      <c r="B136" s="3" t="n"/>
      <c r="M136" s="26" t="n"/>
    </row>
    <row r="137" ht="12.75" customHeight="1" s="518">
      <c r="A137" s="80" t="n"/>
      <c r="B137" s="3" t="n"/>
      <c r="M137" s="26" t="n"/>
    </row>
    <row r="138" ht="12.75" customHeight="1" s="518">
      <c r="A138" s="80" t="n"/>
      <c r="B138" s="3" t="n"/>
      <c r="M138" s="26" t="n"/>
    </row>
    <row r="139" ht="12" customHeight="1" s="518">
      <c r="M139" s="26" t="n"/>
    </row>
    <row r="140" ht="12" customHeight="1" s="518">
      <c r="M140" s="26" t="n"/>
    </row>
    <row r="141" ht="12" customHeight="1" s="518">
      <c r="M141" s="26" t="n"/>
    </row>
    <row r="142" ht="12" customHeight="1" s="518">
      <c r="M142" s="26" t="n"/>
    </row>
    <row r="143" ht="12" customHeight="1" s="518">
      <c r="M143" s="26" t="n"/>
    </row>
    <row r="144" ht="12" customHeight="1" s="518">
      <c r="M144" s="26" t="n"/>
    </row>
    <row r="145" ht="12" customHeight="1" s="518">
      <c r="M145" s="26" t="n"/>
    </row>
    <row r="146" ht="12" customHeight="1" s="518">
      <c r="M146" s="26" t="n"/>
    </row>
    <row r="147" ht="12" customHeight="1" s="518">
      <c r="M147" s="26" t="n"/>
    </row>
    <row r="148" ht="12" customHeight="1" s="518">
      <c r="M148" s="26" t="n"/>
    </row>
    <row r="149" ht="12" customHeight="1" s="518">
      <c r="M149" s="26" t="n"/>
    </row>
    <row r="150" ht="12" customHeight="1" s="518">
      <c r="M150" s="26" t="n"/>
    </row>
    <row r="151" ht="12" customHeight="1" s="518">
      <c r="M151" s="26" t="n"/>
    </row>
    <row r="152" ht="12" customHeight="1" s="518">
      <c r="M152" s="26" t="n"/>
    </row>
    <row r="153" ht="12" customHeight="1" s="518">
      <c r="M153" s="26" t="n"/>
    </row>
    <row r="154" ht="12" customHeight="1" s="518">
      <c r="M154" s="26" t="n"/>
    </row>
    <row r="155" ht="12" customHeight="1" s="518">
      <c r="M155" s="26" t="n"/>
    </row>
    <row r="156" ht="12" customHeight="1" s="518">
      <c r="M156" s="26" t="n"/>
    </row>
    <row r="157" ht="12" customHeight="1" s="518">
      <c r="M157" s="26" t="n"/>
    </row>
    <row r="158" ht="12" customHeight="1" s="518">
      <c r="M158" s="26" t="n"/>
    </row>
  </sheetData>
  <pageMargins left="0.75" right="0.75" top="1" bottom="1" header="0.5" footer="0.5"/>
  <pageSetup orientation="portrait" horizontalDpi="300" verticalDpi="300"/>
</worksheet>
</file>

<file path=xl/worksheets/sheet16.xml><?xml version="1.0" encoding="utf-8"?>
<worksheet xmlns="http://schemas.openxmlformats.org/spreadsheetml/2006/main">
  <sheetPr>
    <tabColor rgb="FFD97706"/>
    <outlinePr summaryBelow="1" summaryRight="1"/>
    <pageSetUpPr/>
  </sheetPr>
  <dimension ref="B1:F199"/>
  <sheetViews>
    <sheetView workbookViewId="0">
      <pane xSplit="1" ySplit="5" topLeftCell="B6" activePane="bottomRight" state="frozen"/>
      <selection pane="topRight" activeCell="A1" sqref="A1"/>
      <selection pane="bottomLeft" activeCell="A1" sqref="A1"/>
      <selection pane="bottomRight" activeCell="A1" sqref="A1"/>
    </sheetView>
  </sheetViews>
  <sheetFormatPr baseColWidth="10" defaultColWidth="9" defaultRowHeight="12"/>
  <cols>
    <col width="2" customWidth="1" style="518" min="1" max="1"/>
    <col width="52" customWidth="1" style="518" min="2" max="2"/>
    <col width="12" customWidth="1" style="518" min="3" max="3"/>
    <col width="6" customWidth="1" style="518" min="4" max="4"/>
    <col width="52" customWidth="1" style="518" min="5" max="5"/>
    <col width="50" customWidth="1" style="518" min="6" max="6"/>
  </cols>
  <sheetData>
    <row r="1" ht="36" customHeight="1" s="518">
      <c r="B1" s="245" t="inlineStr">
        <is>
          <t>COUNTY OCCUPANCY CODE (OCC) REFERENCE TABLE</t>
        </is>
      </c>
    </row>
    <row r="2" ht="65" customHeight="1" s="518">
      <c r="B2" s="520" t="inlineStr">
        <is>
          <t>Transcribed from the county assessor's Occupancy Code report. Cross-checked against Sales!OCC (60 distinct codes, all matched) and Expense_Comps.xlsx "Occ Code" (12 distinct codes, all matched). This is the key to match Sales/Income comps to expense data by property type.</t>
        </is>
      </c>
    </row>
    <row r="3" ht="78" customHeight="1" s="518">
      <c r="B3" s="520" t="inlineStr">
        <is>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is>
      </c>
    </row>
    <row r="5" ht="13" customHeight="1" s="518">
      <c r="B5" s="267" t="inlineStr">
        <is>
          <t>OCC Code</t>
        </is>
      </c>
      <c r="C5" s="231" t="inlineStr">
        <is>
          <t>Acct Type</t>
        </is>
      </c>
      <c r="D5" s="231" t="inlineStr">
        <is>
          <t>Account Total (source report)</t>
        </is>
      </c>
      <c r="E5" s="267" t="inlineStr">
        <is>
          <t>Occupancy Description</t>
        </is>
      </c>
      <c r="F5" s="193" t="inlineStr">
        <is>
          <t>Code + Description (dropdown source)</t>
        </is>
      </c>
    </row>
    <row r="6" ht="13" customHeight="1" s="518">
      <c r="B6" s="575" t="n">
        <v>26</v>
      </c>
      <c r="C6" t="inlineStr">
        <is>
          <t>Commercial</t>
        </is>
      </c>
      <c r="D6" t="n">
        <v>1</v>
      </c>
      <c r="E6" s="575" t="inlineStr">
        <is>
          <t>Studio Loft</t>
        </is>
      </c>
      <c r="F6">
        <f>B6&amp;" - "&amp;E6</f>
        <v/>
      </c>
    </row>
    <row r="7" ht="13" customHeight="1" s="518">
      <c r="B7" s="575" t="n">
        <v>90</v>
      </c>
      <c r="C7" t="inlineStr">
        <is>
          <t>Commercial</t>
        </is>
      </c>
      <c r="D7" t="n">
        <v>2</v>
      </c>
      <c r="E7" s="575" t="inlineStr">
        <is>
          <t>Residential Out Structure</t>
        </is>
      </c>
      <c r="F7">
        <f>B7&amp;" - "&amp;E7</f>
        <v/>
      </c>
    </row>
    <row r="8" ht="13" customHeight="1" s="518">
      <c r="B8" s="575" t="n">
        <v>99</v>
      </c>
      <c r="C8" t="inlineStr">
        <is>
          <t>Commercial</t>
        </is>
      </c>
      <c r="D8" t="n">
        <v>6</v>
      </c>
      <c r="E8" s="575" t="inlineStr">
        <is>
          <t>Detached Garage</t>
        </is>
      </c>
      <c r="F8">
        <f>B8&amp;" - "&amp;E8</f>
        <v/>
      </c>
    </row>
    <row r="9" ht="13" customHeight="1" s="518">
      <c r="B9" s="575" t="n">
        <v>100</v>
      </c>
      <c r="C9" t="inlineStr">
        <is>
          <t>Commercial</t>
        </is>
      </c>
      <c r="D9" t="n">
        <v>75</v>
      </c>
      <c r="E9" s="575" t="inlineStr">
        <is>
          <t>Single Family Residential</t>
        </is>
      </c>
      <c r="F9">
        <f>B9&amp;" - "&amp;E9</f>
        <v/>
      </c>
    </row>
    <row r="10" ht="13" customHeight="1" s="518">
      <c r="B10" s="575" t="n">
        <v>100</v>
      </c>
      <c r="C10" t="inlineStr">
        <is>
          <t>Industrial</t>
        </is>
      </c>
      <c r="D10" t="n">
        <v>2</v>
      </c>
      <c r="E10" s="575" t="inlineStr">
        <is>
          <t>Single Family Residential</t>
        </is>
      </c>
      <c r="F10">
        <f>B10&amp;" - "&amp;E10</f>
        <v/>
      </c>
    </row>
    <row r="11" ht="13" customHeight="1" s="518">
      <c r="B11" s="575" t="n">
        <v>101</v>
      </c>
      <c r="C11" t="inlineStr">
        <is>
          <t>Commercial</t>
        </is>
      </c>
      <c r="D11" t="n">
        <v>2</v>
      </c>
      <c r="E11" s="575" t="inlineStr">
        <is>
          <t>Ag Single Family Residential-not integral</t>
        </is>
      </c>
      <c r="F11">
        <f>B11&amp;" - "&amp;E11</f>
        <v/>
      </c>
    </row>
    <row r="12" ht="13" customHeight="1" s="518">
      <c r="B12" s="575" t="n">
        <v>102</v>
      </c>
      <c r="C12" t="inlineStr">
        <is>
          <t>Commercial</t>
        </is>
      </c>
      <c r="D12" t="n">
        <v>1</v>
      </c>
      <c r="E12" s="575" t="inlineStr">
        <is>
          <t>Duplex</t>
        </is>
      </c>
      <c r="F12">
        <f>B12&amp;" - "&amp;E12</f>
        <v/>
      </c>
    </row>
    <row r="13" ht="13" customHeight="1" s="518">
      <c r="B13" s="575" t="n">
        <v>105</v>
      </c>
      <c r="C13" t="inlineStr">
        <is>
          <t>Commercial</t>
        </is>
      </c>
      <c r="D13" t="n">
        <v>6</v>
      </c>
      <c r="E13" s="575" t="inlineStr">
        <is>
          <t>Attached Single Family Residential</t>
        </is>
      </c>
      <c r="F13">
        <f>B13&amp;" - "&amp;E13</f>
        <v/>
      </c>
    </row>
    <row r="14" ht="13" customHeight="1" s="518">
      <c r="B14" s="575" t="n">
        <v>116</v>
      </c>
      <c r="C14" t="inlineStr">
        <is>
          <t>Commercial</t>
        </is>
      </c>
      <c r="D14" t="n">
        <v>3</v>
      </c>
      <c r="E14" s="575" t="inlineStr">
        <is>
          <t>Apartment w/4-8 Units</t>
        </is>
      </c>
      <c r="F14">
        <f>B14&amp;" - "&amp;E14</f>
        <v/>
      </c>
    </row>
    <row r="15" ht="13" customHeight="1" s="518">
      <c r="B15" s="575" t="n">
        <v>118</v>
      </c>
      <c r="C15" t="inlineStr">
        <is>
          <t>Commercial</t>
        </is>
      </c>
      <c r="D15" t="n">
        <v>12</v>
      </c>
      <c r="E15" s="575" t="inlineStr">
        <is>
          <t>Apartment w/9 + Units</t>
        </is>
      </c>
      <c r="F15">
        <f>B15&amp;" - "&amp;E15</f>
        <v/>
      </c>
    </row>
    <row r="16" ht="13" customHeight="1" s="518">
      <c r="B16" s="575" t="n">
        <v>140</v>
      </c>
      <c r="C16" t="inlineStr">
        <is>
          <t>Commercial</t>
        </is>
      </c>
      <c r="D16" t="n">
        <v>66</v>
      </c>
      <c r="E16" s="575" t="inlineStr">
        <is>
          <t>Parking Lot</t>
        </is>
      </c>
      <c r="F16">
        <f>B16&amp;" - "&amp;E16</f>
        <v/>
      </c>
    </row>
    <row r="17" ht="13" customHeight="1" s="518">
      <c r="B17" s="575" t="n">
        <v>140</v>
      </c>
      <c r="C17" t="inlineStr">
        <is>
          <t>Industrial</t>
        </is>
      </c>
      <c r="D17" t="n">
        <v>1</v>
      </c>
      <c r="E17" s="575" t="inlineStr">
        <is>
          <t>Parking Lot</t>
        </is>
      </c>
      <c r="F17">
        <f>B17&amp;" - "&amp;E17</f>
        <v/>
      </c>
    </row>
    <row r="18" ht="13" customHeight="1" s="518">
      <c r="B18" s="575" t="n">
        <v>186</v>
      </c>
      <c r="C18" t="inlineStr">
        <is>
          <t>Industrial</t>
        </is>
      </c>
      <c r="D18" t="n">
        <v>2</v>
      </c>
      <c r="E18" s="575" t="inlineStr">
        <is>
          <t>Light Commercial - Manufacturing Utility Bldg</t>
        </is>
      </c>
      <c r="F18">
        <f>B18&amp;" - "&amp;E18</f>
        <v/>
      </c>
    </row>
    <row r="19" ht="13" customHeight="1" s="518">
      <c r="B19" s="575" t="n">
        <v>204</v>
      </c>
      <c r="C19" t="inlineStr">
        <is>
          <t>Commercial</t>
        </is>
      </c>
      <c r="D19" t="n">
        <v>1</v>
      </c>
      <c r="E19" s="575" t="inlineStr">
        <is>
          <t>Computer Centers</t>
        </is>
      </c>
      <c r="F19">
        <f>B19&amp;" - "&amp;E19</f>
        <v/>
      </c>
    </row>
    <row r="20" ht="13" customHeight="1" s="518">
      <c r="B20" s="575" t="n">
        <v>207</v>
      </c>
      <c r="C20" t="inlineStr">
        <is>
          <t>Commercial</t>
        </is>
      </c>
      <c r="D20" t="n">
        <v>1</v>
      </c>
      <c r="E20" s="575" t="inlineStr">
        <is>
          <t>Firing Range Buildings</t>
        </is>
      </c>
      <c r="F20">
        <f>B20&amp;" - "&amp;E20</f>
        <v/>
      </c>
    </row>
    <row r="21" ht="13" customHeight="1" s="518">
      <c r="B21" s="575" t="n">
        <v>208</v>
      </c>
      <c r="C21" t="inlineStr">
        <is>
          <t>Commercial</t>
        </is>
      </c>
      <c r="D21" t="n">
        <v>14</v>
      </c>
      <c r="E21" s="575" t="inlineStr">
        <is>
          <t>Golf Course *CODE</t>
        </is>
      </c>
      <c r="F21">
        <f>B21&amp;" - "&amp;E21</f>
        <v/>
      </c>
    </row>
    <row r="22" ht="13" customHeight="1" s="518">
      <c r="B22" s="575" t="n">
        <v>209</v>
      </c>
      <c r="C22" t="inlineStr">
        <is>
          <t>Commercial</t>
        </is>
      </c>
      <c r="D22" t="n">
        <v>2</v>
      </c>
      <c r="E22" s="575" t="inlineStr">
        <is>
          <t>Nursery/Greenhouse</t>
        </is>
      </c>
      <c r="F22">
        <f>B22&amp;" - "&amp;E22</f>
        <v/>
      </c>
    </row>
    <row r="23" ht="13" customHeight="1" s="518">
      <c r="B23" s="575" t="n">
        <v>210</v>
      </c>
      <c r="C23" t="inlineStr">
        <is>
          <t>Commercial</t>
        </is>
      </c>
      <c r="D23" t="n">
        <v>35</v>
      </c>
      <c r="E23" s="575" t="inlineStr">
        <is>
          <t>Industrial Flex Mall Building</t>
        </is>
      </c>
      <c r="F23">
        <f>B23&amp;" - "&amp;E23</f>
        <v/>
      </c>
    </row>
    <row r="24" ht="13" customHeight="1" s="518">
      <c r="B24" s="575" t="n">
        <v>210</v>
      </c>
      <c r="C24" t="inlineStr">
        <is>
          <t>Industrial</t>
        </is>
      </c>
      <c r="D24" t="n">
        <v>14</v>
      </c>
      <c r="E24" s="575" t="inlineStr">
        <is>
          <t>Industrial Flex Mall Building</t>
        </is>
      </c>
      <c r="F24">
        <f>B24&amp;" - "&amp;E24</f>
        <v/>
      </c>
    </row>
    <row r="25" ht="13" customHeight="1" s="518">
      <c r="B25" s="575" t="n">
        <v>211</v>
      </c>
      <c r="C25" t="inlineStr">
        <is>
          <t>Industrial</t>
        </is>
      </c>
      <c r="D25" t="n">
        <v>2</v>
      </c>
      <c r="E25" s="575" t="inlineStr">
        <is>
          <t>Industiral Interior Office Space</t>
        </is>
      </c>
      <c r="F25">
        <f>B25&amp;" - "&amp;E25</f>
        <v/>
      </c>
    </row>
    <row r="26" ht="13" customHeight="1" s="518">
      <c r="B26" s="575" t="n">
        <v>212</v>
      </c>
      <c r="C26" t="inlineStr">
        <is>
          <t>Industrial</t>
        </is>
      </c>
      <c r="D26" t="n">
        <v>2</v>
      </c>
      <c r="E26" s="575" t="inlineStr">
        <is>
          <t>Laboratories</t>
        </is>
      </c>
      <c r="F26">
        <f>B26&amp;" - "&amp;E26</f>
        <v/>
      </c>
    </row>
    <row r="27" ht="13" customHeight="1" s="518">
      <c r="B27" s="575" t="n">
        <v>213</v>
      </c>
      <c r="C27" t="inlineStr">
        <is>
          <t>Commercial</t>
        </is>
      </c>
      <c r="D27" t="n">
        <v>1</v>
      </c>
      <c r="E27" s="575" t="inlineStr">
        <is>
          <t>Light Industrial Shell Buildings</t>
        </is>
      </c>
      <c r="F27">
        <f>B27&amp;" - "&amp;E27</f>
        <v/>
      </c>
    </row>
    <row r="28" ht="13" customHeight="1" s="518">
      <c r="B28" s="575" t="n">
        <v>213</v>
      </c>
      <c r="C28" t="inlineStr">
        <is>
          <t>Industrial</t>
        </is>
      </c>
      <c r="D28" t="n">
        <v>2</v>
      </c>
      <c r="E28" s="575" t="inlineStr">
        <is>
          <t>Light Industrial Shell Buildings</t>
        </is>
      </c>
      <c r="F28">
        <f>B28&amp;" - "&amp;E28</f>
        <v/>
      </c>
    </row>
    <row r="29" ht="13" customHeight="1" s="518">
      <c r="B29" s="575" t="n">
        <v>217</v>
      </c>
      <c r="C29" t="inlineStr">
        <is>
          <t>Commercial</t>
        </is>
      </c>
      <c r="D29" t="n">
        <v>1</v>
      </c>
      <c r="E29" s="575" t="inlineStr">
        <is>
          <t>Miscellaneous OB</t>
        </is>
      </c>
      <c r="F29">
        <f>B29&amp;" - "&amp;E29</f>
        <v/>
      </c>
    </row>
    <row r="30" ht="13" customHeight="1" s="518">
      <c r="B30" s="575" t="n">
        <v>220</v>
      </c>
      <c r="C30" t="inlineStr">
        <is>
          <t>Commercial</t>
        </is>
      </c>
      <c r="D30" t="n">
        <v>1</v>
      </c>
      <c r="E30" s="575" t="inlineStr">
        <is>
          <t>Recreational Pool Enclosure</t>
        </is>
      </c>
      <c r="F30">
        <f>B30&amp;" - "&amp;E30</f>
        <v/>
      </c>
    </row>
    <row r="31" ht="13" customHeight="1" s="518">
      <c r="B31" s="575" t="n">
        <v>227</v>
      </c>
      <c r="C31" t="inlineStr">
        <is>
          <t>Commercial</t>
        </is>
      </c>
      <c r="D31" t="n">
        <v>20</v>
      </c>
      <c r="E31" s="575" t="inlineStr">
        <is>
          <t>Complete Auto Dealership</t>
        </is>
      </c>
      <c r="F31">
        <f>B31&amp;" - "&amp;E31</f>
        <v/>
      </c>
    </row>
    <row r="32" ht="13" customHeight="1" s="518">
      <c r="B32" s="575" t="n">
        <v>228</v>
      </c>
      <c r="C32" t="inlineStr">
        <is>
          <t>Commercial</t>
        </is>
      </c>
      <c r="D32" t="n">
        <v>3</v>
      </c>
      <c r="E32" s="575" t="inlineStr">
        <is>
          <t>Kennel</t>
        </is>
      </c>
      <c r="F32">
        <f>B32&amp;" - "&amp;E32</f>
        <v/>
      </c>
    </row>
    <row r="33" ht="13" customHeight="1" s="518">
      <c r="B33" s="575" t="n">
        <v>228</v>
      </c>
      <c r="C33" t="inlineStr">
        <is>
          <t>Industrial</t>
        </is>
      </c>
      <c r="D33" t="n">
        <v>1</v>
      </c>
      <c r="E33" s="575" t="inlineStr">
        <is>
          <t>Kennel</t>
        </is>
      </c>
      <c r="F33">
        <f>B33&amp;" - "&amp;E33</f>
        <v/>
      </c>
    </row>
    <row r="34" ht="13" customHeight="1" s="518">
      <c r="B34" s="575" t="n">
        <v>300</v>
      </c>
      <c r="C34" t="inlineStr">
        <is>
          <t>Commercial</t>
        </is>
      </c>
      <c r="D34" t="n">
        <v>1</v>
      </c>
      <c r="E34" s="575" t="inlineStr">
        <is>
          <t>Apartments (Hi-Rise)</t>
        </is>
      </c>
      <c r="F34">
        <f>B34&amp;" - "&amp;E34</f>
        <v/>
      </c>
    </row>
    <row r="35" ht="13" customHeight="1" s="518">
      <c r="B35" s="575" t="n">
        <v>302</v>
      </c>
      <c r="C35" t="inlineStr">
        <is>
          <t>Commercial</t>
        </is>
      </c>
      <c r="D35" t="n">
        <v>2</v>
      </c>
      <c r="E35" s="575" t="inlineStr">
        <is>
          <t>Auditorium</t>
        </is>
      </c>
      <c r="F35">
        <f>B35&amp;" - "&amp;E35</f>
        <v/>
      </c>
    </row>
    <row r="36" ht="13" customHeight="1" s="518">
      <c r="B36" s="575" t="n">
        <v>303</v>
      </c>
      <c r="C36" t="inlineStr">
        <is>
          <t>Commercial</t>
        </is>
      </c>
      <c r="D36" t="n">
        <v>11</v>
      </c>
      <c r="E36" s="575" t="inlineStr">
        <is>
          <t>Showroom</t>
        </is>
      </c>
      <c r="F36">
        <f>B36&amp;" - "&amp;E36</f>
        <v/>
      </c>
    </row>
    <row r="37" ht="13" customHeight="1" s="518">
      <c r="B37" s="575" t="n">
        <v>304</v>
      </c>
      <c r="C37" t="inlineStr">
        <is>
          <t>Commercial</t>
        </is>
      </c>
      <c r="D37" t="n">
        <v>89</v>
      </c>
      <c r="E37" s="575" t="inlineStr">
        <is>
          <t>Bank</t>
        </is>
      </c>
      <c r="F37">
        <f>B37&amp;" - "&amp;E37</f>
        <v/>
      </c>
    </row>
    <row r="38" ht="13" customHeight="1" s="518">
      <c r="B38" s="575" t="n">
        <v>305</v>
      </c>
      <c r="C38" t="inlineStr">
        <is>
          <t>Commercial</t>
        </is>
      </c>
      <c r="D38" t="n">
        <v>1</v>
      </c>
      <c r="E38" s="575" t="inlineStr">
        <is>
          <t>Drive-up Mini Banks</t>
        </is>
      </c>
      <c r="F38">
        <f>B38&amp;" - "&amp;E38</f>
        <v/>
      </c>
    </row>
    <row r="39" ht="13" customHeight="1" s="518">
      <c r="B39" s="575" t="n">
        <v>306</v>
      </c>
      <c r="C39" t="inlineStr">
        <is>
          <t>Commercial</t>
        </is>
      </c>
      <c r="D39" t="n">
        <v>6</v>
      </c>
      <c r="E39" s="575" t="inlineStr">
        <is>
          <t>Bowling Alley</t>
        </is>
      </c>
      <c r="F39">
        <f>B39&amp;" - "&amp;E39</f>
        <v/>
      </c>
    </row>
    <row r="40" ht="13" customHeight="1" s="518">
      <c r="B40" s="575" t="n">
        <v>309</v>
      </c>
      <c r="C40" t="inlineStr">
        <is>
          <t>Commercial</t>
        </is>
      </c>
      <c r="D40" t="n">
        <v>18</v>
      </c>
      <c r="E40" s="575" t="inlineStr">
        <is>
          <t>Church</t>
        </is>
      </c>
      <c r="F40">
        <f>B40&amp;" - "&amp;E40</f>
        <v/>
      </c>
    </row>
    <row r="41" ht="13" customHeight="1" s="518">
      <c r="B41" s="575" t="n">
        <v>310</v>
      </c>
      <c r="C41" t="inlineStr">
        <is>
          <t>Commercial</t>
        </is>
      </c>
      <c r="D41" t="n">
        <v>1</v>
      </c>
      <c r="E41" s="575" t="inlineStr">
        <is>
          <t>City Club</t>
        </is>
      </c>
      <c r="F41">
        <f>B41&amp;" - "&amp;E41</f>
        <v/>
      </c>
    </row>
    <row r="42" ht="13" customHeight="1" s="518">
      <c r="B42" s="575" t="n">
        <v>311</v>
      </c>
      <c r="C42" t="inlineStr">
        <is>
          <t>Commercial</t>
        </is>
      </c>
      <c r="D42" t="n">
        <v>5</v>
      </c>
      <c r="E42" s="575" t="inlineStr">
        <is>
          <t>Clubhouse</t>
        </is>
      </c>
      <c r="F42">
        <f>B42&amp;" - "&amp;E42</f>
        <v/>
      </c>
    </row>
    <row r="43" ht="13" customHeight="1" s="518">
      <c r="B43" s="575" t="n">
        <v>313</v>
      </c>
      <c r="C43" t="inlineStr">
        <is>
          <t>Commercial</t>
        </is>
      </c>
      <c r="D43" t="n">
        <v>1</v>
      </c>
      <c r="E43" s="575" t="inlineStr">
        <is>
          <t>Convlsnt Hosp Nursing Home</t>
        </is>
      </c>
      <c r="F43">
        <f>B43&amp;" - "&amp;E43</f>
        <v/>
      </c>
    </row>
    <row r="44" ht="13" customHeight="1" s="518">
      <c r="B44" s="575" t="n">
        <v>314</v>
      </c>
      <c r="C44" t="inlineStr">
        <is>
          <t>Commercial</t>
        </is>
      </c>
      <c r="D44" t="n">
        <v>1</v>
      </c>
      <c r="E44" s="575" t="inlineStr">
        <is>
          <t>Country Club</t>
        </is>
      </c>
      <c r="F44">
        <f>B44&amp;" - "&amp;E44</f>
        <v/>
      </c>
    </row>
    <row r="45" ht="13" customHeight="1" s="518">
      <c r="B45" s="575" t="n">
        <v>318</v>
      </c>
      <c r="C45" t="inlineStr">
        <is>
          <t>Commercial</t>
        </is>
      </c>
      <c r="D45" t="n">
        <v>3</v>
      </c>
      <c r="E45" s="575" t="inlineStr">
        <is>
          <t>Department Store</t>
        </is>
      </c>
      <c r="F45">
        <f>B45&amp;" - "&amp;E45</f>
        <v/>
      </c>
    </row>
    <row r="46" ht="13" customHeight="1" s="518">
      <c r="B46" s="575" t="n">
        <v>319</v>
      </c>
      <c r="C46" t="inlineStr">
        <is>
          <t>Commercial</t>
        </is>
      </c>
      <c r="D46" t="n">
        <v>47</v>
      </c>
      <c r="E46" s="575" t="inlineStr">
        <is>
          <t>Discount Store</t>
        </is>
      </c>
      <c r="F46">
        <f>B46&amp;" - "&amp;E46</f>
        <v/>
      </c>
    </row>
    <row r="47" ht="13" customHeight="1" s="518">
      <c r="B47" s="575" t="n">
        <v>320</v>
      </c>
      <c r="C47" t="inlineStr">
        <is>
          <t>Commercial</t>
        </is>
      </c>
      <c r="D47" t="n">
        <v>3</v>
      </c>
      <c r="E47" s="575" t="inlineStr">
        <is>
          <t>Dispensary</t>
        </is>
      </c>
      <c r="F47">
        <f>B47&amp;" - "&amp;E47</f>
        <v/>
      </c>
    </row>
    <row r="48" ht="13" customHeight="1" s="518">
      <c r="B48" s="575" t="n">
        <v>320</v>
      </c>
      <c r="C48" t="inlineStr">
        <is>
          <t>Industrial</t>
        </is>
      </c>
      <c r="D48" t="n">
        <v>1</v>
      </c>
      <c r="E48" s="575" t="inlineStr">
        <is>
          <t>Dispensary</t>
        </is>
      </c>
      <c r="F48">
        <f>B48&amp;" - "&amp;E48</f>
        <v/>
      </c>
    </row>
    <row r="49" ht="13" customHeight="1" s="518">
      <c r="B49" s="575" t="n">
        <v>321</v>
      </c>
      <c r="C49" t="inlineStr">
        <is>
          <t>Commercial</t>
        </is>
      </c>
      <c r="D49" t="n">
        <v>1</v>
      </c>
      <c r="E49" s="575" t="inlineStr">
        <is>
          <t>Dormitory Residence Halls</t>
        </is>
      </c>
      <c r="F49">
        <f>B49&amp;" - "&amp;E49</f>
        <v/>
      </c>
    </row>
    <row r="50" ht="13" customHeight="1" s="518">
      <c r="B50" s="575" t="n">
        <v>323</v>
      </c>
      <c r="C50" t="inlineStr">
        <is>
          <t>Commercial</t>
        </is>
      </c>
      <c r="D50" t="n">
        <v>5</v>
      </c>
      <c r="E50" s="575" t="inlineStr">
        <is>
          <t>Fraternal Building</t>
        </is>
      </c>
      <c r="F50">
        <f>B50&amp;" - "&amp;E50</f>
        <v/>
      </c>
    </row>
    <row r="51" ht="13" customHeight="1" s="518">
      <c r="B51" s="575" t="n">
        <v>325</v>
      </c>
      <c r="C51" t="inlineStr">
        <is>
          <t>Commercial</t>
        </is>
      </c>
      <c r="D51" t="n">
        <v>573</v>
      </c>
      <c r="E51" s="575" t="inlineStr">
        <is>
          <t>Service Garage</t>
        </is>
      </c>
      <c r="F51">
        <f>B51&amp;" - "&amp;E51</f>
        <v/>
      </c>
    </row>
    <row r="52" ht="13" customHeight="1" s="518">
      <c r="B52" s="575" t="n">
        <v>325</v>
      </c>
      <c r="C52" t="inlineStr">
        <is>
          <t>Industrial</t>
        </is>
      </c>
      <c r="D52" t="n">
        <v>38</v>
      </c>
      <c r="E52" s="575" t="inlineStr">
        <is>
          <t>Service Garage</t>
        </is>
      </c>
      <c r="F52">
        <f>B52&amp;" - "&amp;E52</f>
        <v/>
      </c>
    </row>
    <row r="53" ht="13" customHeight="1" s="518">
      <c r="B53" s="575" t="n">
        <v>326</v>
      </c>
      <c r="C53" t="inlineStr">
        <is>
          <t>Commercial</t>
        </is>
      </c>
      <c r="D53" t="n">
        <v>28</v>
      </c>
      <c r="E53" s="575" t="inlineStr">
        <is>
          <t>Storage Garage</t>
        </is>
      </c>
      <c r="F53">
        <f>B53&amp;" - "&amp;E53</f>
        <v/>
      </c>
    </row>
    <row r="54" ht="13" customHeight="1" s="518">
      <c r="B54" s="575" t="n">
        <v>326</v>
      </c>
      <c r="C54" t="inlineStr">
        <is>
          <t>Industrial</t>
        </is>
      </c>
      <c r="D54" t="n">
        <v>4</v>
      </c>
      <c r="E54" s="575" t="inlineStr">
        <is>
          <t>Storage Garage</t>
        </is>
      </c>
      <c r="F54">
        <f>B54&amp;" - "&amp;E54</f>
        <v/>
      </c>
    </row>
    <row r="55" ht="13" customHeight="1" s="518">
      <c r="B55" s="575" t="n">
        <v>328</v>
      </c>
      <c r="C55" t="inlineStr">
        <is>
          <t>Commercial</t>
        </is>
      </c>
      <c r="D55" t="n">
        <v>163</v>
      </c>
      <c r="E55" s="575" t="inlineStr">
        <is>
          <t>Storage Hanger</t>
        </is>
      </c>
      <c r="F55">
        <f>B55&amp;" - "&amp;E55</f>
        <v/>
      </c>
    </row>
    <row r="56" ht="13" customHeight="1" s="518">
      <c r="B56" s="575" t="n">
        <v>331</v>
      </c>
      <c r="C56" t="inlineStr">
        <is>
          <t>Commercial</t>
        </is>
      </c>
      <c r="D56" t="n">
        <v>4</v>
      </c>
      <c r="E56" s="575" t="inlineStr">
        <is>
          <t>Hospital</t>
        </is>
      </c>
      <c r="F56">
        <f>B56&amp;" - "&amp;E56</f>
        <v/>
      </c>
    </row>
    <row r="57" ht="13" customHeight="1" s="518">
      <c r="B57" s="575" t="n">
        <v>332</v>
      </c>
      <c r="C57" t="inlineStr">
        <is>
          <t>Commercial</t>
        </is>
      </c>
      <c r="D57" t="n">
        <v>13</v>
      </c>
      <c r="E57" s="575" t="inlineStr">
        <is>
          <t>Hotel - Full Service</t>
        </is>
      </c>
      <c r="F57">
        <f>B57&amp;" - "&amp;E57</f>
        <v/>
      </c>
    </row>
    <row r="58" ht="13" customHeight="1" s="518">
      <c r="B58" s="575" t="n">
        <v>333</v>
      </c>
      <c r="C58" t="inlineStr">
        <is>
          <t>Commercial</t>
        </is>
      </c>
      <c r="D58" t="n">
        <v>2</v>
      </c>
      <c r="E58" s="575" t="inlineStr">
        <is>
          <t>Indust Heavy Manufacturing</t>
        </is>
      </c>
      <c r="F58">
        <f>B58&amp;" - "&amp;E58</f>
        <v/>
      </c>
    </row>
    <row r="59" ht="13" customHeight="1" s="518">
      <c r="B59" s="575" t="n">
        <v>333</v>
      </c>
      <c r="C59" t="inlineStr">
        <is>
          <t>Industrial</t>
        </is>
      </c>
      <c r="D59" t="n">
        <v>1</v>
      </c>
      <c r="E59" s="575" t="inlineStr">
        <is>
          <t>Indust Heavy Manufacturing</t>
        </is>
      </c>
      <c r="F59">
        <f>B59&amp;" - "&amp;E59</f>
        <v/>
      </c>
    </row>
    <row r="60" ht="13" customHeight="1" s="518">
      <c r="B60" s="575" t="n">
        <v>334</v>
      </c>
      <c r="C60" t="inlineStr">
        <is>
          <t>Commercial</t>
        </is>
      </c>
      <c r="D60" t="n">
        <v>47</v>
      </c>
      <c r="E60" s="575" t="inlineStr">
        <is>
          <t>Indust Lght Manufacturing</t>
        </is>
      </c>
      <c r="F60">
        <f>B60&amp;" - "&amp;E60</f>
        <v/>
      </c>
    </row>
    <row r="61" ht="13" customHeight="1" s="518">
      <c r="B61" s="575" t="n">
        <v>334</v>
      </c>
      <c r="C61" t="inlineStr">
        <is>
          <t>Industrial</t>
        </is>
      </c>
      <c r="D61" t="n">
        <v>79</v>
      </c>
      <c r="E61" s="575" t="inlineStr">
        <is>
          <t>Indust Lght Manufacturing</t>
        </is>
      </c>
      <c r="F61">
        <f>B61&amp;" - "&amp;E61</f>
        <v/>
      </c>
    </row>
    <row r="62" ht="13" customHeight="1" s="518">
      <c r="B62" s="575" t="n">
        <v>335</v>
      </c>
      <c r="C62" t="inlineStr">
        <is>
          <t>Commercial</t>
        </is>
      </c>
      <c r="D62" t="n">
        <v>1</v>
      </c>
      <c r="E62" s="575" t="inlineStr">
        <is>
          <t>Jail - Correctional Facility</t>
        </is>
      </c>
      <c r="F62">
        <f>B62&amp;" - "&amp;E62</f>
        <v/>
      </c>
    </row>
    <row r="63" ht="13" customHeight="1" s="518">
      <c r="B63" s="575" t="n">
        <v>336</v>
      </c>
      <c r="C63" t="inlineStr">
        <is>
          <t>Commercial</t>
        </is>
      </c>
      <c r="D63" t="n">
        <v>5</v>
      </c>
      <c r="E63" s="575" t="inlineStr">
        <is>
          <t>Laundromat</t>
        </is>
      </c>
      <c r="F63">
        <f>B63&amp;" - "&amp;E63</f>
        <v/>
      </c>
    </row>
    <row r="64" ht="13" customHeight="1" s="518">
      <c r="B64" s="575" t="n">
        <v>339</v>
      </c>
      <c r="C64" t="inlineStr">
        <is>
          <t>Commercial</t>
        </is>
      </c>
      <c r="D64" t="n">
        <v>16</v>
      </c>
      <c r="E64" s="575" t="inlineStr">
        <is>
          <t>Lumber Storage - Horizontal</t>
        </is>
      </c>
      <c r="F64">
        <f>B64&amp;" - "&amp;E64</f>
        <v/>
      </c>
    </row>
    <row r="65" ht="13" customHeight="1" s="518">
      <c r="B65" s="575" t="n">
        <v>339</v>
      </c>
      <c r="C65" t="inlineStr">
        <is>
          <t>Industrial</t>
        </is>
      </c>
      <c r="D65" t="n">
        <v>2</v>
      </c>
      <c r="E65" s="575" t="inlineStr">
        <is>
          <t>Lumber Storage - Horizontal</t>
        </is>
      </c>
      <c r="F65">
        <f>B65&amp;" - "&amp;E65</f>
        <v/>
      </c>
    </row>
    <row r="66" ht="13" customHeight="1" s="518">
      <c r="B66" s="575" t="n">
        <v>340</v>
      </c>
      <c r="C66" t="inlineStr">
        <is>
          <t>Commercial</t>
        </is>
      </c>
      <c r="D66" t="n">
        <v>9</v>
      </c>
      <c r="E66" s="575" t="inlineStr">
        <is>
          <t>Market</t>
        </is>
      </c>
      <c r="F66">
        <f>B66&amp;" - "&amp;E66</f>
        <v/>
      </c>
    </row>
    <row r="67" ht="13" customHeight="1" s="518">
      <c r="B67" s="575" t="n">
        <v>341</v>
      </c>
      <c r="C67" t="inlineStr">
        <is>
          <t>Commercial</t>
        </is>
      </c>
      <c r="D67" t="n">
        <v>307</v>
      </c>
      <c r="E67" s="575" t="inlineStr">
        <is>
          <t>Medical Offices</t>
        </is>
      </c>
      <c r="F67">
        <f>B67&amp;" - "&amp;E67</f>
        <v/>
      </c>
    </row>
    <row r="68" ht="13" customHeight="1" s="518">
      <c r="B68" s="575" t="n">
        <v>342</v>
      </c>
      <c r="C68" t="inlineStr">
        <is>
          <t>Commercial</t>
        </is>
      </c>
      <c r="D68" t="n">
        <v>6</v>
      </c>
      <c r="E68" s="575" t="inlineStr">
        <is>
          <t>Mortuary</t>
        </is>
      </c>
      <c r="F68">
        <f>B68&amp;" - "&amp;E68</f>
        <v/>
      </c>
    </row>
    <row r="69" ht="13" customHeight="1" s="518">
      <c r="B69" s="575" t="n">
        <v>343</v>
      </c>
      <c r="C69" t="inlineStr">
        <is>
          <t>Commercial</t>
        </is>
      </c>
      <c r="D69" t="n">
        <v>16</v>
      </c>
      <c r="E69" s="575" t="inlineStr">
        <is>
          <t>Motel</t>
        </is>
      </c>
      <c r="F69">
        <f>B69&amp;" - "&amp;E69</f>
        <v/>
      </c>
    </row>
    <row r="70" ht="13" customHeight="1" s="518">
      <c r="B70" s="575" t="n">
        <v>344</v>
      </c>
      <c r="C70" t="inlineStr">
        <is>
          <t>Commercial</t>
        </is>
      </c>
      <c r="D70" t="n">
        <v>509</v>
      </c>
      <c r="E70" s="575" t="inlineStr">
        <is>
          <t>Office Building</t>
        </is>
      </c>
      <c r="F70">
        <f>B70&amp;" - "&amp;E70</f>
        <v/>
      </c>
    </row>
    <row r="71" ht="13" customHeight="1" s="518">
      <c r="B71" s="575" t="n">
        <v>344</v>
      </c>
      <c r="C71" t="inlineStr">
        <is>
          <t>Industrial</t>
        </is>
      </c>
      <c r="D71" t="n">
        <v>57</v>
      </c>
      <c r="E71" s="575" t="inlineStr">
        <is>
          <t>Office Building</t>
        </is>
      </c>
      <c r="F71">
        <f>B71&amp;" - "&amp;E71</f>
        <v/>
      </c>
    </row>
    <row r="72" ht="13" customHeight="1" s="518">
      <c r="B72" s="575" t="n">
        <v>345</v>
      </c>
      <c r="C72" t="inlineStr">
        <is>
          <t>Commercial</t>
        </is>
      </c>
      <c r="D72" t="n">
        <v>5</v>
      </c>
      <c r="E72" s="575" t="inlineStr">
        <is>
          <t>Parking Structure</t>
        </is>
      </c>
      <c r="F72">
        <f>B72&amp;" - "&amp;E72</f>
        <v/>
      </c>
    </row>
    <row r="73" ht="13" customHeight="1" s="518">
      <c r="B73" s="575" t="n">
        <v>345</v>
      </c>
      <c r="C73" t="inlineStr">
        <is>
          <t>Industrial</t>
        </is>
      </c>
      <c r="D73" t="n">
        <v>1</v>
      </c>
      <c r="E73" s="575" t="inlineStr">
        <is>
          <t>Parking Structure</t>
        </is>
      </c>
      <c r="F73">
        <f>B73&amp;" - "&amp;E73</f>
        <v/>
      </c>
    </row>
    <row r="74" ht="13" customHeight="1" s="518">
      <c r="B74" s="575" t="n">
        <v>346</v>
      </c>
      <c r="C74" t="inlineStr">
        <is>
          <t>Commercial</t>
        </is>
      </c>
      <c r="D74" t="n">
        <v>12</v>
      </c>
      <c r="E74" s="575" t="inlineStr">
        <is>
          <t>Post Office</t>
        </is>
      </c>
      <c r="F74">
        <f>B74&amp;" - "&amp;E74</f>
        <v/>
      </c>
    </row>
    <row r="75" ht="13" customHeight="1" s="518">
      <c r="B75" s="575" t="n">
        <v>349</v>
      </c>
      <c r="C75" t="inlineStr">
        <is>
          <t>Commercial</t>
        </is>
      </c>
      <c r="D75" t="n">
        <v>194</v>
      </c>
      <c r="E75" s="575" t="inlineStr">
        <is>
          <t>Fast Food Restaurant</t>
        </is>
      </c>
      <c r="F75">
        <f>B75&amp;" - "&amp;E75</f>
        <v/>
      </c>
    </row>
    <row r="76" ht="13" customHeight="1" s="518">
      <c r="B76" s="575" t="n">
        <v>350</v>
      </c>
      <c r="C76" t="inlineStr">
        <is>
          <t>Commercial</t>
        </is>
      </c>
      <c r="D76" t="n">
        <v>186</v>
      </c>
      <c r="E76" s="575" t="inlineStr">
        <is>
          <t>Restaurant</t>
        </is>
      </c>
      <c r="F76">
        <f>B76&amp;" - "&amp;E76</f>
        <v/>
      </c>
    </row>
    <row r="77" ht="13" customHeight="1" s="518">
      <c r="B77" s="575" t="n">
        <v>352</v>
      </c>
      <c r="C77" t="inlineStr">
        <is>
          <t>Commercial</t>
        </is>
      </c>
      <c r="D77" t="n">
        <v>6</v>
      </c>
      <c r="E77" s="575" t="inlineStr">
        <is>
          <t>Multiple - Residential</t>
        </is>
      </c>
      <c r="F77">
        <f>B77&amp;" - "&amp;E77</f>
        <v/>
      </c>
    </row>
    <row r="78" ht="13" customHeight="1" s="518">
      <c r="B78" s="575" t="n">
        <v>352</v>
      </c>
      <c r="C78" t="inlineStr">
        <is>
          <t>Industrial</t>
        </is>
      </c>
      <c r="D78" t="n">
        <v>1</v>
      </c>
      <c r="E78" s="575" t="inlineStr">
        <is>
          <t>Multiple - Residential</t>
        </is>
      </c>
      <c r="F78">
        <f>B78&amp;" - "&amp;E78</f>
        <v/>
      </c>
    </row>
    <row r="79" ht="13" customHeight="1" s="518">
      <c r="B79" s="575" t="n">
        <v>353</v>
      </c>
      <c r="C79" t="inlineStr">
        <is>
          <t>Commercial</t>
        </is>
      </c>
      <c r="D79" t="n">
        <v>698</v>
      </c>
      <c r="E79" s="575" t="inlineStr">
        <is>
          <t>Retail Store</t>
        </is>
      </c>
      <c r="F79">
        <f>B79&amp;" - "&amp;E79</f>
        <v/>
      </c>
    </row>
    <row r="80" ht="13" customHeight="1" s="518">
      <c r="B80" s="575" t="n">
        <v>353</v>
      </c>
      <c r="C80" t="inlineStr">
        <is>
          <t>Industrial</t>
        </is>
      </c>
      <c r="D80" t="n">
        <v>2</v>
      </c>
      <c r="E80" s="575" t="inlineStr">
        <is>
          <t>Retail Store</t>
        </is>
      </c>
      <c r="F80">
        <f>B80&amp;" - "&amp;E80</f>
        <v/>
      </c>
    </row>
    <row r="81" ht="13" customHeight="1" s="518">
      <c r="B81" s="575" t="n">
        <v>356</v>
      </c>
      <c r="C81" t="inlineStr">
        <is>
          <t>Commercial</t>
        </is>
      </c>
      <c r="D81" t="n">
        <v>1</v>
      </c>
      <c r="E81" s="575" t="inlineStr">
        <is>
          <t>School - Classroom</t>
        </is>
      </c>
      <c r="F81">
        <f>B81&amp;" - "&amp;E81</f>
        <v/>
      </c>
    </row>
    <row r="82" ht="13" customHeight="1" s="518">
      <c r="B82" s="575" t="n">
        <v>358</v>
      </c>
      <c r="C82" t="inlineStr">
        <is>
          <t>Commercial</t>
        </is>
      </c>
      <c r="D82" t="n">
        <v>5</v>
      </c>
      <c r="E82" s="575" t="inlineStr">
        <is>
          <t>School - Gymnasium</t>
        </is>
      </c>
      <c r="F82">
        <f>B82&amp;" - "&amp;E82</f>
        <v/>
      </c>
    </row>
    <row r="83" ht="13" customHeight="1" s="518">
      <c r="B83" s="575" t="n">
        <v>359</v>
      </c>
      <c r="C83" t="inlineStr">
        <is>
          <t>Commercial</t>
        </is>
      </c>
      <c r="D83" t="n">
        <v>2</v>
      </c>
      <c r="E83" s="575" t="inlineStr">
        <is>
          <t>School - Lecture Hall</t>
        </is>
      </c>
      <c r="F83">
        <f>B83&amp;" - "&amp;E83</f>
        <v/>
      </c>
    </row>
    <row r="84" ht="13" customHeight="1" s="518">
      <c r="B84" s="575" t="n">
        <v>361</v>
      </c>
      <c r="C84" t="inlineStr">
        <is>
          <t>Commercial</t>
        </is>
      </c>
      <c r="D84" t="n">
        <v>2</v>
      </c>
      <c r="E84" s="575" t="inlineStr">
        <is>
          <t>School - Manual Arts</t>
        </is>
      </c>
      <c r="F84">
        <f>B84&amp;" - "&amp;E84</f>
        <v/>
      </c>
    </row>
    <row r="85" ht="13" customHeight="1" s="518">
      <c r="B85" s="575" t="n">
        <v>368</v>
      </c>
      <c r="C85" t="inlineStr">
        <is>
          <t>Commercial</t>
        </is>
      </c>
      <c r="D85" t="n">
        <v>2</v>
      </c>
      <c r="E85" s="575" t="inlineStr">
        <is>
          <t>College - Classrooms</t>
        </is>
      </c>
      <c r="F85">
        <f>B85&amp;" - "&amp;E85</f>
        <v/>
      </c>
    </row>
    <row r="86" ht="13" customHeight="1" s="518">
      <c r="B86" s="575" t="n">
        <v>378</v>
      </c>
      <c r="C86" t="inlineStr">
        <is>
          <t>Commercial</t>
        </is>
      </c>
      <c r="D86" t="n">
        <v>1</v>
      </c>
      <c r="E86" s="575" t="inlineStr">
        <is>
          <t>Stable</t>
        </is>
      </c>
      <c r="F86">
        <f>B86&amp;" - "&amp;E86</f>
        <v/>
      </c>
    </row>
    <row r="87" ht="13" customHeight="1" s="518">
      <c r="B87" s="575" t="n">
        <v>380</v>
      </c>
      <c r="C87" t="inlineStr">
        <is>
          <t>Commercial</t>
        </is>
      </c>
      <c r="D87" t="n">
        <v>2</v>
      </c>
      <c r="E87" s="575" t="inlineStr">
        <is>
          <t>Theatre - Motion</t>
        </is>
      </c>
      <c r="F87">
        <f>B87&amp;" - "&amp;E87</f>
        <v/>
      </c>
    </row>
    <row r="88" ht="13" customHeight="1" s="518">
      <c r="B88" s="575" t="n">
        <v>381</v>
      </c>
      <c r="C88" t="inlineStr">
        <is>
          <t>Commercial</t>
        </is>
      </c>
      <c r="D88" t="n">
        <v>21</v>
      </c>
      <c r="E88" s="575" t="inlineStr">
        <is>
          <t>Veterinary Hospital</t>
        </is>
      </c>
      <c r="F88">
        <f>B88&amp;" - "&amp;E88</f>
        <v/>
      </c>
    </row>
    <row r="89" ht="13" customHeight="1" s="518">
      <c r="B89" s="575" t="n">
        <v>382</v>
      </c>
      <c r="C89" t="inlineStr">
        <is>
          <t>Commercial</t>
        </is>
      </c>
      <c r="D89" t="n">
        <v>1</v>
      </c>
      <c r="E89" s="575" t="inlineStr">
        <is>
          <t>Medical Office Buildings</t>
        </is>
      </c>
      <c r="F89">
        <f>B89&amp;" - "&amp;E89</f>
        <v/>
      </c>
    </row>
    <row r="90" ht="13" customHeight="1" s="518">
      <c r="B90" s="575" t="n">
        <v>384</v>
      </c>
      <c r="C90" t="inlineStr">
        <is>
          <t>Commercial</t>
        </is>
      </c>
      <c r="D90" t="n">
        <v>9</v>
      </c>
      <c r="E90" s="575" t="inlineStr">
        <is>
          <t>Barber/Beauty Shop</t>
        </is>
      </c>
      <c r="F90">
        <f>B90&amp;" - "&amp;E90</f>
        <v/>
      </c>
    </row>
    <row r="91" ht="13" customHeight="1" s="518">
      <c r="B91" s="575" t="n">
        <v>386</v>
      </c>
      <c r="C91" t="inlineStr">
        <is>
          <t>Commercial</t>
        </is>
      </c>
      <c r="D91" t="n">
        <v>77</v>
      </c>
      <c r="E91" s="575" t="inlineStr">
        <is>
          <t>Mini Warehouse</t>
        </is>
      </c>
      <c r="F91">
        <f>B91&amp;" - "&amp;E91</f>
        <v/>
      </c>
    </row>
    <row r="92" ht="13" customHeight="1" s="518">
      <c r="B92" s="575" t="n">
        <v>386</v>
      </c>
      <c r="C92" t="inlineStr">
        <is>
          <t>Industrial</t>
        </is>
      </c>
      <c r="D92" t="n">
        <v>4</v>
      </c>
      <c r="E92" s="575" t="inlineStr">
        <is>
          <t>Mini Warehouse</t>
        </is>
      </c>
      <c r="F92">
        <f>B92&amp;" - "&amp;E92</f>
        <v/>
      </c>
    </row>
    <row r="93" ht="13" customHeight="1" s="518">
      <c r="B93" s="575" t="n">
        <v>387</v>
      </c>
      <c r="C93" t="inlineStr">
        <is>
          <t>Commercial</t>
        </is>
      </c>
      <c r="D93" t="n">
        <v>27</v>
      </c>
      <c r="E93" s="575" t="inlineStr">
        <is>
          <t>Transit Warehouse</t>
        </is>
      </c>
      <c r="F93">
        <f>B93&amp;" - "&amp;E93</f>
        <v/>
      </c>
    </row>
    <row r="94" ht="13" customHeight="1" s="518">
      <c r="B94" s="575" t="n">
        <v>387</v>
      </c>
      <c r="C94" t="inlineStr">
        <is>
          <t>Industrial</t>
        </is>
      </c>
      <c r="D94" t="n">
        <v>4</v>
      </c>
      <c r="E94" s="575" t="inlineStr">
        <is>
          <t>Transit Warehouse</t>
        </is>
      </c>
      <c r="F94">
        <f>B94&amp;" - "&amp;E94</f>
        <v/>
      </c>
    </row>
    <row r="95" ht="13" customHeight="1" s="518">
      <c r="B95" s="575" t="n">
        <v>389</v>
      </c>
      <c r="C95" t="inlineStr">
        <is>
          <t>Commercial</t>
        </is>
      </c>
      <c r="D95" t="n">
        <v>7</v>
      </c>
      <c r="E95" s="575" t="inlineStr">
        <is>
          <t>Equipment Implement</t>
        </is>
      </c>
      <c r="F95">
        <f>B95&amp;" - "&amp;E95</f>
        <v/>
      </c>
    </row>
    <row r="96" ht="13" customHeight="1" s="518">
      <c r="B96" s="575" t="n">
        <v>389</v>
      </c>
      <c r="C96" t="inlineStr">
        <is>
          <t>Industrial</t>
        </is>
      </c>
      <c r="D96" t="n">
        <v>3</v>
      </c>
      <c r="E96" s="575" t="inlineStr">
        <is>
          <t>Equipment Implement</t>
        </is>
      </c>
      <c r="F96">
        <f>B96&amp;" - "&amp;E96</f>
        <v/>
      </c>
    </row>
    <row r="97" ht="13" customHeight="1" s="518">
      <c r="B97" s="575" t="n">
        <v>390</v>
      </c>
      <c r="C97" t="inlineStr">
        <is>
          <t>Commercial</t>
        </is>
      </c>
      <c r="D97" t="n">
        <v>4</v>
      </c>
      <c r="E97" s="575" t="inlineStr">
        <is>
          <t>Lumber Storage - Vertical</t>
        </is>
      </c>
      <c r="F97">
        <f>B97&amp;" - "&amp;E97</f>
        <v/>
      </c>
    </row>
    <row r="98" ht="13" customHeight="1" s="518">
      <c r="B98" s="575" t="n">
        <v>391</v>
      </c>
      <c r="C98" t="inlineStr">
        <is>
          <t>Commercial</t>
        </is>
      </c>
      <c r="D98" t="n">
        <v>10</v>
      </c>
      <c r="E98" s="575" t="inlineStr">
        <is>
          <t>Storage - Material</t>
        </is>
      </c>
      <c r="F98">
        <f>B98&amp;" - "&amp;E98</f>
        <v/>
      </c>
    </row>
    <row r="99" ht="13" customHeight="1" s="518">
      <c r="B99" s="575" t="n">
        <v>391</v>
      </c>
      <c r="C99" t="inlineStr">
        <is>
          <t>Industrial</t>
        </is>
      </c>
      <c r="D99" t="n">
        <v>3</v>
      </c>
      <c r="E99" s="575" t="inlineStr">
        <is>
          <t>Storage - Material</t>
        </is>
      </c>
      <c r="F99">
        <f>B99&amp;" - "&amp;E99</f>
        <v/>
      </c>
    </row>
    <row r="100" ht="13" customHeight="1" s="518">
      <c r="B100" s="575" t="n">
        <v>392</v>
      </c>
      <c r="C100" t="inlineStr">
        <is>
          <t>Commercial</t>
        </is>
      </c>
      <c r="D100" t="n">
        <v>2</v>
      </c>
      <c r="E100" s="575" t="inlineStr">
        <is>
          <t>Industrial Engineering &amp; Research</t>
        </is>
      </c>
      <c r="F100">
        <f>B100&amp;" - "&amp;E100</f>
        <v/>
      </c>
    </row>
    <row r="101" ht="13" customHeight="1" s="518">
      <c r="B101" s="575" t="n">
        <v>392</v>
      </c>
      <c r="C101" t="inlineStr">
        <is>
          <t>Industrial</t>
        </is>
      </c>
      <c r="D101" t="n">
        <v>2</v>
      </c>
      <c r="E101" s="575" t="inlineStr">
        <is>
          <t>Industrial Engineering &amp; Research</t>
        </is>
      </c>
      <c r="F101">
        <f>B101&amp;" - "&amp;E101</f>
        <v/>
      </c>
    </row>
    <row r="102" ht="13" customHeight="1" s="518">
      <c r="B102" s="575" t="n">
        <v>397</v>
      </c>
      <c r="C102" t="inlineStr">
        <is>
          <t>Commercial</t>
        </is>
      </c>
      <c r="D102" t="n">
        <v>2</v>
      </c>
      <c r="E102" s="575" t="inlineStr">
        <is>
          <t>Barn</t>
        </is>
      </c>
      <c r="F102">
        <f>B102&amp;" - "&amp;E102</f>
        <v/>
      </c>
    </row>
    <row r="103" ht="13" customHeight="1" s="518">
      <c r="B103" s="575" t="n">
        <v>401</v>
      </c>
      <c r="C103" t="inlineStr">
        <is>
          <t>Commercial</t>
        </is>
      </c>
      <c r="D103" t="n">
        <v>16</v>
      </c>
      <c r="E103" s="575" t="inlineStr">
        <is>
          <t>Shed - Equipment</t>
        </is>
      </c>
      <c r="F103">
        <f>B103&amp;" - "&amp;E103</f>
        <v/>
      </c>
    </row>
    <row r="104" ht="13" customHeight="1" s="518">
      <c r="B104" s="575" t="n">
        <v>401</v>
      </c>
      <c r="C104" t="inlineStr">
        <is>
          <t>Industrial</t>
        </is>
      </c>
      <c r="D104" t="n">
        <v>5</v>
      </c>
      <c r="E104" s="575" t="inlineStr">
        <is>
          <t>Shed - Equipment</t>
        </is>
      </c>
      <c r="F104">
        <f>B104&amp;" - "&amp;E104</f>
        <v/>
      </c>
    </row>
    <row r="105" ht="13" customHeight="1" s="518">
      <c r="B105" s="575" t="n">
        <v>403</v>
      </c>
      <c r="C105" t="inlineStr">
        <is>
          <t>Commercial</t>
        </is>
      </c>
      <c r="D105" t="n">
        <v>2</v>
      </c>
      <c r="E105" s="575" t="inlineStr">
        <is>
          <t>Shower Building</t>
        </is>
      </c>
      <c r="F105">
        <f>B105&amp;" - "&amp;E105</f>
        <v/>
      </c>
    </row>
    <row r="106" ht="13" customHeight="1" s="518">
      <c r="B106" s="575" t="n">
        <v>403</v>
      </c>
      <c r="C106" t="inlineStr">
        <is>
          <t>Industrial</t>
        </is>
      </c>
      <c r="D106" t="n">
        <v>2</v>
      </c>
      <c r="E106" s="575" t="inlineStr">
        <is>
          <t>Shower Building</t>
        </is>
      </c>
      <c r="F106">
        <f>B106&amp;" - "&amp;E106</f>
        <v/>
      </c>
    </row>
    <row r="107" ht="13" customHeight="1" s="518">
      <c r="B107" s="575" t="n">
        <v>404</v>
      </c>
      <c r="C107" t="inlineStr">
        <is>
          <t>Commercial</t>
        </is>
      </c>
      <c r="D107" t="n">
        <v>28</v>
      </c>
      <c r="E107" s="575" t="inlineStr">
        <is>
          <t>Farm Utility Building</t>
        </is>
      </c>
      <c r="F107">
        <f>B107&amp;" - "&amp;E107</f>
        <v/>
      </c>
    </row>
    <row r="108" ht="13" customHeight="1" s="518">
      <c r="B108" s="575" t="n">
        <v>404</v>
      </c>
      <c r="C108" t="inlineStr">
        <is>
          <t>Industrial</t>
        </is>
      </c>
      <c r="D108" t="n">
        <v>6</v>
      </c>
      <c r="E108" s="575" t="inlineStr">
        <is>
          <t>Farm Utility Building</t>
        </is>
      </c>
      <c r="F108">
        <f>B108&amp;" - "&amp;E108</f>
        <v/>
      </c>
    </row>
    <row r="109" ht="13" customHeight="1" s="518">
      <c r="B109" s="575" t="n">
        <v>405</v>
      </c>
      <c r="C109" t="inlineStr">
        <is>
          <t>Commercial</t>
        </is>
      </c>
      <c r="D109" t="n">
        <v>2</v>
      </c>
      <c r="E109" s="575" t="inlineStr">
        <is>
          <t>Skating Rink</t>
        </is>
      </c>
      <c r="F109">
        <f>B109&amp;" - "&amp;E109</f>
        <v/>
      </c>
    </row>
    <row r="110" ht="13" customHeight="1" s="518">
      <c r="B110" s="575" t="n">
        <v>406</v>
      </c>
      <c r="C110" t="inlineStr">
        <is>
          <t>Commercial</t>
        </is>
      </c>
      <c r="D110" t="n">
        <v>642</v>
      </c>
      <c r="E110" s="575" t="inlineStr">
        <is>
          <t>Storage Warehouse</t>
        </is>
      </c>
      <c r="F110">
        <f>B110&amp;" - "&amp;E110</f>
        <v/>
      </c>
    </row>
    <row r="111" ht="13" customHeight="1" s="518">
      <c r="B111" s="575" t="n">
        <v>406</v>
      </c>
      <c r="C111" t="inlineStr">
        <is>
          <t>Industrial</t>
        </is>
      </c>
      <c r="D111" t="n">
        <v>75</v>
      </c>
      <c r="E111" s="575" t="inlineStr">
        <is>
          <t>Storage Warehouse</t>
        </is>
      </c>
      <c r="F111">
        <f>B111&amp;" - "&amp;E111</f>
        <v/>
      </c>
    </row>
    <row r="112" ht="13" customHeight="1" s="518">
      <c r="B112" s="575" t="n">
        <v>407</v>
      </c>
      <c r="C112" t="inlineStr">
        <is>
          <t>Commercial</t>
        </is>
      </c>
      <c r="D112" t="n">
        <v>501</v>
      </c>
      <c r="E112" s="575" t="inlineStr">
        <is>
          <t>Distribution Warehouse</t>
        </is>
      </c>
      <c r="F112">
        <f>B112&amp;" - "&amp;E112</f>
        <v/>
      </c>
    </row>
    <row r="113" ht="13" customHeight="1" s="518">
      <c r="B113" s="575" t="n">
        <v>407</v>
      </c>
      <c r="C113" t="inlineStr">
        <is>
          <t>Industrial</t>
        </is>
      </c>
      <c r="D113" t="n">
        <v>154</v>
      </c>
      <c r="E113" s="575" t="inlineStr">
        <is>
          <t>Distribution Warehouse</t>
        </is>
      </c>
      <c r="F113">
        <f>B113&amp;" - "&amp;E113</f>
        <v/>
      </c>
    </row>
    <row r="114" ht="13" customHeight="1" s="518">
      <c r="B114" s="575" t="n">
        <v>408</v>
      </c>
      <c r="C114" t="inlineStr">
        <is>
          <t>Commercial</t>
        </is>
      </c>
      <c r="D114" t="n">
        <v>10</v>
      </c>
      <c r="E114" s="575" t="inlineStr">
        <is>
          <t>Service Station</t>
        </is>
      </c>
      <c r="F114">
        <f>B114&amp;" - "&amp;E114</f>
        <v/>
      </c>
    </row>
    <row r="115" ht="13" customHeight="1" s="518">
      <c r="B115" s="575" t="n">
        <v>409</v>
      </c>
      <c r="C115" t="inlineStr">
        <is>
          <t>Commercial</t>
        </is>
      </c>
      <c r="D115" t="n">
        <v>23</v>
      </c>
      <c r="E115" s="575" t="inlineStr">
        <is>
          <t>T-Hanger</t>
        </is>
      </c>
      <c r="F115">
        <f>B115&amp;" - "&amp;E115</f>
        <v/>
      </c>
    </row>
    <row r="116" ht="13" customHeight="1" s="518">
      <c r="B116" s="575" t="n">
        <v>410</v>
      </c>
      <c r="C116" t="inlineStr">
        <is>
          <t>Commercial</t>
        </is>
      </c>
      <c r="D116" t="n">
        <v>7</v>
      </c>
      <c r="E116" s="575" t="inlineStr">
        <is>
          <t>Automotive Center</t>
        </is>
      </c>
      <c r="F116">
        <f>B116&amp;" - "&amp;E116</f>
        <v/>
      </c>
    </row>
    <row r="117" ht="13" customHeight="1" s="518">
      <c r="B117" s="575" t="n">
        <v>412</v>
      </c>
      <c r="C117" t="inlineStr">
        <is>
          <t>Commercial</t>
        </is>
      </c>
      <c r="D117" t="n">
        <v>43</v>
      </c>
      <c r="E117" s="575" t="inlineStr">
        <is>
          <t>Neighborhood Shopping Center</t>
        </is>
      </c>
      <c r="F117">
        <f>B117&amp;" - "&amp;E117</f>
        <v/>
      </c>
    </row>
    <row r="118" ht="13" customHeight="1" s="518">
      <c r="B118" s="575" t="n">
        <v>413</v>
      </c>
      <c r="C118" t="inlineStr">
        <is>
          <t>Commercial</t>
        </is>
      </c>
      <c r="D118" t="n">
        <v>20</v>
      </c>
      <c r="E118" s="575" t="inlineStr">
        <is>
          <t>Community Shopping Center</t>
        </is>
      </c>
      <c r="F118">
        <f>B118&amp;" - "&amp;E118</f>
        <v/>
      </c>
    </row>
    <row r="119" ht="13" customHeight="1" s="518">
      <c r="B119" s="575" t="n">
        <v>414</v>
      </c>
      <c r="C119" t="inlineStr">
        <is>
          <t>Commercial</t>
        </is>
      </c>
      <c r="D119" t="n">
        <v>8</v>
      </c>
      <c r="E119" s="575" t="inlineStr">
        <is>
          <t>Regional Shopping Center</t>
        </is>
      </c>
      <c r="F119">
        <f>B119&amp;" - "&amp;E119</f>
        <v/>
      </c>
    </row>
    <row r="120" ht="13" customHeight="1" s="518">
      <c r="B120" s="575" t="n">
        <v>415</v>
      </c>
      <c r="C120" t="inlineStr">
        <is>
          <t>Commercial</t>
        </is>
      </c>
      <c r="D120" t="n">
        <v>2</v>
      </c>
      <c r="E120" s="575" t="inlineStr">
        <is>
          <t>Utility Bldg Res</t>
        </is>
      </c>
      <c r="F120">
        <f>B120&amp;" - "&amp;E120</f>
        <v/>
      </c>
    </row>
    <row r="121" ht="13" customHeight="1" s="518">
      <c r="B121" s="575" t="n">
        <v>418</v>
      </c>
      <c r="C121" t="inlineStr">
        <is>
          <t>Commercial</t>
        </is>
      </c>
      <c r="D121" t="n">
        <v>2</v>
      </c>
      <c r="E121" s="575" t="inlineStr">
        <is>
          <t>Health Club</t>
        </is>
      </c>
      <c r="F121">
        <f>B121&amp;" - "&amp;E121</f>
        <v/>
      </c>
    </row>
    <row r="122" ht="13" customHeight="1" s="518">
      <c r="B122" s="575" t="n">
        <v>419</v>
      </c>
      <c r="C122" t="inlineStr">
        <is>
          <t>Commercial</t>
        </is>
      </c>
      <c r="D122" t="n">
        <v>139</v>
      </c>
      <c r="E122" s="575" t="inlineStr">
        <is>
          <t>Convenience Store</t>
        </is>
      </c>
      <c r="F122">
        <f>B122&amp;" - "&amp;E122</f>
        <v/>
      </c>
    </row>
    <row r="123" ht="13" customHeight="1" s="518">
      <c r="B123" s="575" t="n">
        <v>419</v>
      </c>
      <c r="C123" t="inlineStr">
        <is>
          <t>Industrial</t>
        </is>
      </c>
      <c r="D123" t="n">
        <v>1</v>
      </c>
      <c r="E123" s="575" t="inlineStr">
        <is>
          <t>Convenience Store</t>
        </is>
      </c>
      <c r="F123">
        <f>B123&amp;" - "&amp;E123</f>
        <v/>
      </c>
    </row>
    <row r="124" ht="13" customHeight="1" s="518">
      <c r="B124" s="575" t="n">
        <v>421</v>
      </c>
      <c r="C124" t="inlineStr">
        <is>
          <t>Commercial</t>
        </is>
      </c>
      <c r="D124" t="n">
        <v>1</v>
      </c>
      <c r="E124" s="575" t="inlineStr">
        <is>
          <t>Shed - Tool</t>
        </is>
      </c>
      <c r="F124">
        <f>B124&amp;" - "&amp;E124</f>
        <v/>
      </c>
    </row>
    <row r="125" ht="13" customHeight="1" s="518">
      <c r="B125" s="575" t="n">
        <v>423</v>
      </c>
      <c r="C125" t="inlineStr">
        <is>
          <t>Commercial</t>
        </is>
      </c>
      <c r="D125" t="n">
        <v>23</v>
      </c>
      <c r="E125" s="575" t="inlineStr">
        <is>
          <t>Mini Lube Garage</t>
        </is>
      </c>
      <c r="F125">
        <f>B125&amp;" - "&amp;E125</f>
        <v/>
      </c>
    </row>
    <row r="126" ht="13" customHeight="1" s="518">
      <c r="B126" s="575" t="n">
        <v>425</v>
      </c>
      <c r="C126" t="inlineStr">
        <is>
          <t>Commercial</t>
        </is>
      </c>
      <c r="D126" t="n">
        <v>356</v>
      </c>
      <c r="E126" s="575" t="inlineStr">
        <is>
          <t>Industrial WH Condo</t>
        </is>
      </c>
      <c r="F126">
        <f>B126&amp;" - "&amp;E126</f>
        <v/>
      </c>
    </row>
    <row r="127" ht="13" customHeight="1" s="518">
      <c r="B127" s="575" t="n">
        <v>425</v>
      </c>
      <c r="C127" t="inlineStr">
        <is>
          <t>Industrial</t>
        </is>
      </c>
      <c r="D127" t="n">
        <v>12</v>
      </c>
      <c r="E127" s="575" t="inlineStr">
        <is>
          <t>Industrial WH Condo</t>
        </is>
      </c>
      <c r="F127">
        <f>B127&amp;" - "&amp;E127</f>
        <v/>
      </c>
    </row>
    <row r="128" ht="13" customHeight="1" s="518">
      <c r="B128" s="575" t="n">
        <v>426</v>
      </c>
      <c r="C128" t="inlineStr">
        <is>
          <t>Commercial</t>
        </is>
      </c>
      <c r="D128" t="n">
        <v>35</v>
      </c>
      <c r="E128" s="575" t="inlineStr">
        <is>
          <t>Day Care Center</t>
        </is>
      </c>
      <c r="F128">
        <f>B128&amp;" - "&amp;E128</f>
        <v/>
      </c>
    </row>
    <row r="129" ht="13" customHeight="1" s="518">
      <c r="B129" s="575" t="n">
        <v>430</v>
      </c>
      <c r="C129" t="inlineStr">
        <is>
          <t>Industrial</t>
        </is>
      </c>
      <c r="D129" t="n">
        <v>1</v>
      </c>
      <c r="E129" s="575" t="inlineStr">
        <is>
          <t>Storage - Utility Grain</t>
        </is>
      </c>
      <c r="F129">
        <f>B129&amp;" - "&amp;E129</f>
        <v/>
      </c>
    </row>
    <row r="130" ht="13" customHeight="1" s="518">
      <c r="B130" s="575" t="n">
        <v>431</v>
      </c>
      <c r="C130" t="inlineStr">
        <is>
          <t>Commercial</t>
        </is>
      </c>
      <c r="D130" t="n">
        <v>1</v>
      </c>
      <c r="E130" s="575" t="inlineStr">
        <is>
          <t>Surgical Center - Out patient</t>
        </is>
      </c>
      <c r="F130">
        <f>B130&amp;" - "&amp;E130</f>
        <v/>
      </c>
    </row>
    <row r="131" ht="13" customHeight="1" s="518">
      <c r="B131" s="575" t="n">
        <v>432</v>
      </c>
      <c r="C131" t="inlineStr">
        <is>
          <t>Industrial</t>
        </is>
      </c>
      <c r="D131" t="n">
        <v>1</v>
      </c>
      <c r="E131" s="575" t="inlineStr">
        <is>
          <t>Restroom Building/Concessions</t>
        </is>
      </c>
      <c r="F131">
        <f>B131&amp;" - "&amp;E131</f>
        <v/>
      </c>
    </row>
    <row r="132" ht="13" customHeight="1" s="518">
      <c r="B132" s="575" t="n">
        <v>434</v>
      </c>
      <c r="C132" t="inlineStr">
        <is>
          <t>Commercial</t>
        </is>
      </c>
      <c r="D132" t="n">
        <v>55</v>
      </c>
      <c r="E132" s="575" t="inlineStr">
        <is>
          <t>Car Wash - Self Service</t>
        </is>
      </c>
      <c r="F132">
        <f>B132&amp;" - "&amp;E132</f>
        <v/>
      </c>
    </row>
    <row r="133" ht="13" customHeight="1" s="518">
      <c r="B133" s="575" t="n">
        <v>434</v>
      </c>
      <c r="C133" t="inlineStr">
        <is>
          <t>Industrial</t>
        </is>
      </c>
      <c r="D133" t="n">
        <v>1</v>
      </c>
      <c r="E133" s="575" t="inlineStr">
        <is>
          <t>Car Wash - Self Service</t>
        </is>
      </c>
      <c r="F133">
        <f>B133&amp;" - "&amp;E133</f>
        <v/>
      </c>
    </row>
    <row r="134" ht="13" customHeight="1" s="518">
      <c r="B134" s="575" t="n">
        <v>435</v>
      </c>
      <c r="C134" t="inlineStr">
        <is>
          <t>Commercial</t>
        </is>
      </c>
      <c r="D134" t="n">
        <v>22</v>
      </c>
      <c r="E134" s="575" t="inlineStr">
        <is>
          <t>Car Wash - Drive thru</t>
        </is>
      </c>
      <c r="F134">
        <f>B134&amp;" - "&amp;E134</f>
        <v/>
      </c>
    </row>
    <row r="135" ht="13" customHeight="1" s="518">
      <c r="B135" s="575" t="n">
        <v>436</v>
      </c>
      <c r="C135" t="inlineStr">
        <is>
          <t>Commercial</t>
        </is>
      </c>
      <c r="D135" t="n">
        <v>52</v>
      </c>
      <c r="E135" s="575" t="inlineStr">
        <is>
          <t>Car Wash - Automatic</t>
        </is>
      </c>
      <c r="F135">
        <f>B135&amp;" - "&amp;E135</f>
        <v/>
      </c>
    </row>
    <row r="136" ht="13" customHeight="1" s="518">
      <c r="B136" s="575" t="n">
        <v>438</v>
      </c>
      <c r="C136" t="inlineStr">
        <is>
          <t>Industrial</t>
        </is>
      </c>
      <c r="D136" t="n">
        <v>1</v>
      </c>
      <c r="E136" s="575" t="inlineStr">
        <is>
          <t>Prefab Metal Building *CODE</t>
        </is>
      </c>
      <c r="F136">
        <f>B136&amp;" - "&amp;E136</f>
        <v/>
      </c>
    </row>
    <row r="137" ht="13" customHeight="1" s="518">
      <c r="B137" s="575" t="n">
        <v>441</v>
      </c>
      <c r="C137" t="inlineStr">
        <is>
          <t>Commercial</t>
        </is>
      </c>
      <c r="D137" t="n">
        <v>2</v>
      </c>
      <c r="E137" s="575" t="inlineStr">
        <is>
          <t>Cocktail Lounge</t>
        </is>
      </c>
      <c r="F137">
        <f>B137&amp;" - "&amp;E137</f>
        <v/>
      </c>
    </row>
    <row r="138" ht="13" customHeight="1" s="518">
      <c r="B138" s="575" t="n">
        <v>442</v>
      </c>
      <c r="C138" t="inlineStr">
        <is>
          <t>Commercial</t>
        </is>
      </c>
      <c r="D138" t="n">
        <v>41</v>
      </c>
      <c r="E138" s="575" t="inlineStr">
        <is>
          <t>Bar/Tavern</t>
        </is>
      </c>
      <c r="F138">
        <f>B138&amp;" - "&amp;E138</f>
        <v/>
      </c>
    </row>
    <row r="139" ht="13" customHeight="1" s="518">
      <c r="B139" s="575" t="n">
        <v>442</v>
      </c>
      <c r="C139" t="inlineStr">
        <is>
          <t>Industrial</t>
        </is>
      </c>
      <c r="D139" t="n">
        <v>1</v>
      </c>
      <c r="E139" s="575" t="inlineStr">
        <is>
          <t>Bar/Tavern</t>
        </is>
      </c>
      <c r="F139">
        <f>B139&amp;" - "&amp;E139</f>
        <v/>
      </c>
    </row>
    <row r="140" ht="13" customHeight="1" s="518">
      <c r="B140" s="575" t="n">
        <v>444</v>
      </c>
      <c r="C140" t="inlineStr">
        <is>
          <t>Commercial</t>
        </is>
      </c>
      <c r="D140" t="n">
        <v>18</v>
      </c>
      <c r="E140" s="575" t="inlineStr">
        <is>
          <t>Dental Office/ Clinic</t>
        </is>
      </c>
      <c r="F140">
        <f>B140&amp;" - "&amp;E140</f>
        <v/>
      </c>
    </row>
    <row r="141" ht="13" customHeight="1" s="518">
      <c r="B141" s="575" t="n">
        <v>446</v>
      </c>
      <c r="C141" t="inlineStr">
        <is>
          <t>Commercial</t>
        </is>
      </c>
      <c r="D141" t="n">
        <v>30</v>
      </c>
      <c r="E141" s="575" t="inlineStr">
        <is>
          <t>SuperMarket</t>
        </is>
      </c>
      <c r="F141">
        <f>B141&amp;" - "&amp;E141</f>
        <v/>
      </c>
    </row>
    <row r="142" ht="13" customHeight="1" s="518">
      <c r="B142" s="575" t="n">
        <v>447</v>
      </c>
      <c r="C142" t="inlineStr">
        <is>
          <t>Commercial</t>
        </is>
      </c>
      <c r="D142" t="n">
        <v>8</v>
      </c>
      <c r="E142" s="575" t="inlineStr">
        <is>
          <t>Cold Storage Warehouse</t>
        </is>
      </c>
      <c r="F142">
        <f>B142&amp;" - "&amp;E142</f>
        <v/>
      </c>
    </row>
    <row r="143" ht="13" customHeight="1" s="518">
      <c r="B143" s="575" t="n">
        <v>447</v>
      </c>
      <c r="C143" t="inlineStr">
        <is>
          <t>Industrial</t>
        </is>
      </c>
      <c r="D143" t="n">
        <v>2</v>
      </c>
      <c r="E143" s="575" t="inlineStr">
        <is>
          <t>Cold Storage Warehouse</t>
        </is>
      </c>
      <c r="F143">
        <f>B143&amp;" - "&amp;E143</f>
        <v/>
      </c>
    </row>
    <row r="144" ht="13" customHeight="1" s="518">
      <c r="B144" s="575" t="n">
        <v>448</v>
      </c>
      <c r="C144" t="inlineStr">
        <is>
          <t>Commercial</t>
        </is>
      </c>
      <c r="D144" t="n">
        <v>7</v>
      </c>
      <c r="E144" s="575" t="inlineStr">
        <is>
          <t>Self Service Booth</t>
        </is>
      </c>
      <c r="F144">
        <f>B144&amp;" - "&amp;E144</f>
        <v/>
      </c>
    </row>
    <row r="145" ht="13" customHeight="1" s="518">
      <c r="B145" s="575" t="n">
        <v>451</v>
      </c>
      <c r="C145" t="inlineStr">
        <is>
          <t>Commercial</t>
        </is>
      </c>
      <c r="D145" t="n">
        <v>2</v>
      </c>
      <c r="E145" s="575" t="inlineStr">
        <is>
          <t>Grain Elevator Concrete</t>
        </is>
      </c>
      <c r="F145">
        <f>B145&amp;" - "&amp;E145</f>
        <v/>
      </c>
    </row>
    <row r="146" ht="13" customHeight="1" s="518">
      <c r="B146" s="575" t="n">
        <v>452</v>
      </c>
      <c r="C146" t="inlineStr">
        <is>
          <t>Commercial</t>
        </is>
      </c>
      <c r="D146" t="n">
        <v>1</v>
      </c>
      <c r="E146" s="575" t="inlineStr">
        <is>
          <t>Grain Elevator Conc Annex</t>
        </is>
      </c>
      <c r="F146">
        <f>B146&amp;" - "&amp;E146</f>
        <v/>
      </c>
    </row>
    <row r="147" ht="13" customHeight="1" s="518">
      <c r="B147" s="575" t="n">
        <v>464</v>
      </c>
      <c r="C147" t="inlineStr">
        <is>
          <t>Commercial</t>
        </is>
      </c>
      <c r="D147" t="n">
        <v>2</v>
      </c>
      <c r="E147" s="575" t="inlineStr">
        <is>
          <t>Grain Elevator Low</t>
        </is>
      </c>
      <c r="F147">
        <f>B147&amp;" - "&amp;E147</f>
        <v/>
      </c>
    </row>
    <row r="148" ht="13" customHeight="1" s="518">
      <c r="B148" s="575" t="n">
        <v>465</v>
      </c>
      <c r="C148" t="inlineStr">
        <is>
          <t>Commercial</t>
        </is>
      </c>
      <c r="D148" t="n">
        <v>3</v>
      </c>
      <c r="E148" s="575" t="inlineStr">
        <is>
          <t>Grain Elevator Average</t>
        </is>
      </c>
      <c r="F148">
        <f>B148&amp;" - "&amp;E148</f>
        <v/>
      </c>
    </row>
    <row r="149" ht="13" customHeight="1" s="518">
      <c r="B149" s="575" t="n">
        <v>468</v>
      </c>
      <c r="C149" t="inlineStr">
        <is>
          <t>Commercial</t>
        </is>
      </c>
      <c r="D149" t="n">
        <v>1</v>
      </c>
      <c r="E149" s="575" t="inlineStr">
        <is>
          <t>Farm Office</t>
        </is>
      </c>
      <c r="F149">
        <f>B149&amp;" - "&amp;E149</f>
        <v/>
      </c>
    </row>
    <row r="150" ht="13" customHeight="1" s="518">
      <c r="B150" s="575" t="n">
        <v>468</v>
      </c>
      <c r="C150" t="inlineStr">
        <is>
          <t>Industrial</t>
        </is>
      </c>
      <c r="D150" t="n">
        <v>1</v>
      </c>
      <c r="E150" s="575" t="inlineStr">
        <is>
          <t>Farm Office</t>
        </is>
      </c>
      <c r="F150">
        <f>B150&amp;" - "&amp;E150</f>
        <v/>
      </c>
    </row>
    <row r="151" ht="13" customHeight="1" s="518">
      <c r="B151" s="575" t="n">
        <v>473</v>
      </c>
      <c r="C151" t="inlineStr">
        <is>
          <t>Commercial</t>
        </is>
      </c>
      <c r="D151" t="n">
        <v>9</v>
      </c>
      <c r="E151" s="575" t="inlineStr">
        <is>
          <t>Equipment Building</t>
        </is>
      </c>
      <c r="F151">
        <f>B151&amp;" - "&amp;E151</f>
        <v/>
      </c>
    </row>
    <row r="152" ht="13" customHeight="1" s="518">
      <c r="B152" s="575" t="n">
        <v>473</v>
      </c>
      <c r="C152" t="inlineStr">
        <is>
          <t>Industrial</t>
        </is>
      </c>
      <c r="D152" t="n">
        <v>1</v>
      </c>
      <c r="E152" s="575" t="inlineStr">
        <is>
          <t>Equipment Building</t>
        </is>
      </c>
      <c r="F152">
        <f>B152&amp;" - "&amp;E152</f>
        <v/>
      </c>
    </row>
    <row r="153" ht="13" customHeight="1" s="518">
      <c r="B153" s="575" t="n">
        <v>474</v>
      </c>
      <c r="C153" t="inlineStr">
        <is>
          <t>Commercial</t>
        </is>
      </c>
      <c r="D153" t="n">
        <v>19</v>
      </c>
      <c r="E153" s="575" t="inlineStr">
        <is>
          <t>Modular Office</t>
        </is>
      </c>
      <c r="F153">
        <f>B153&amp;" - "&amp;E153</f>
        <v/>
      </c>
    </row>
    <row r="154" ht="13" customHeight="1" s="518">
      <c r="B154" s="575" t="n">
        <v>474</v>
      </c>
      <c r="C154" t="inlineStr">
        <is>
          <t>Industrial</t>
        </is>
      </c>
      <c r="D154" t="n">
        <v>4</v>
      </c>
      <c r="E154" s="575" t="inlineStr">
        <is>
          <t>Modular Office</t>
        </is>
      </c>
      <c r="F154">
        <f>B154&amp;" - "&amp;E154</f>
        <v/>
      </c>
    </row>
    <row r="155" ht="13" customHeight="1" s="518">
      <c r="B155" s="575" t="n">
        <v>480</v>
      </c>
      <c r="C155" t="inlineStr">
        <is>
          <t>Commercial</t>
        </is>
      </c>
      <c r="D155" t="n">
        <v>1</v>
      </c>
      <c r="E155" s="575" t="inlineStr">
        <is>
          <t>Vegetable Building</t>
        </is>
      </c>
      <c r="F155">
        <f>B155&amp;" - "&amp;E155</f>
        <v/>
      </c>
    </row>
    <row r="156" ht="13" customHeight="1" s="518">
      <c r="B156" s="575" t="n">
        <v>482</v>
      </c>
      <c r="C156" t="inlineStr">
        <is>
          <t>Commercial</t>
        </is>
      </c>
      <c r="D156" t="n">
        <v>3</v>
      </c>
      <c r="E156" s="575" t="inlineStr">
        <is>
          <t>Convention Center</t>
        </is>
      </c>
      <c r="F156">
        <f>B156&amp;" - "&amp;E156</f>
        <v/>
      </c>
    </row>
    <row r="157" ht="13" customHeight="1" s="518">
      <c r="B157" s="575" t="n">
        <v>483</v>
      </c>
      <c r="C157" t="inlineStr">
        <is>
          <t>Commercial</t>
        </is>
      </c>
      <c r="D157" t="n">
        <v>4</v>
      </c>
      <c r="E157" s="575" t="inlineStr">
        <is>
          <t>Fitness Center</t>
        </is>
      </c>
      <c r="F157">
        <f>B157&amp;" - "&amp;E157</f>
        <v/>
      </c>
    </row>
    <row r="158" ht="13" customHeight="1" s="518">
      <c r="B158" s="575" t="n">
        <v>499</v>
      </c>
      <c r="C158" t="inlineStr">
        <is>
          <t>Commercial</t>
        </is>
      </c>
      <c r="D158" t="n">
        <v>3</v>
      </c>
      <c r="E158" s="575" t="inlineStr">
        <is>
          <t>Salvage</t>
        </is>
      </c>
      <c r="F158">
        <f>B158&amp;" - "&amp;E158</f>
        <v/>
      </c>
    </row>
    <row r="159" ht="13" customHeight="1" s="518">
      <c r="B159" s="575" t="n">
        <v>500</v>
      </c>
      <c r="C159" t="inlineStr">
        <is>
          <t>Commercial</t>
        </is>
      </c>
      <c r="D159" t="n">
        <v>3</v>
      </c>
      <c r="E159" s="575" t="inlineStr">
        <is>
          <t>R V Parks *CODE</t>
        </is>
      </c>
      <c r="F159">
        <f>B159&amp;" - "&amp;E159</f>
        <v/>
      </c>
    </row>
    <row r="160" ht="13" customHeight="1" s="518">
      <c r="B160" s="575" t="n">
        <v>501</v>
      </c>
      <c r="C160" t="inlineStr">
        <is>
          <t>Commercial</t>
        </is>
      </c>
      <c r="D160" t="n">
        <v>13</v>
      </c>
      <c r="E160" s="575" t="inlineStr">
        <is>
          <t>Mini-Mart Convenience Stores</t>
        </is>
      </c>
      <c r="F160">
        <f>B160&amp;" - "&amp;E160</f>
        <v/>
      </c>
    </row>
    <row r="161" ht="13" customHeight="1" s="518">
      <c r="B161" s="575" t="n">
        <v>501</v>
      </c>
      <c r="C161" t="inlineStr">
        <is>
          <t>Industrial</t>
        </is>
      </c>
      <c r="D161" t="n">
        <v>2</v>
      </c>
      <c r="E161" s="575" t="inlineStr">
        <is>
          <t>Miscellaneous OB</t>
        </is>
      </c>
      <c r="F161">
        <f>B161&amp;" - "&amp;E161</f>
        <v/>
      </c>
    </row>
    <row r="162" ht="13" customHeight="1" s="518">
      <c r="B162" s="575" t="n">
        <v>519</v>
      </c>
      <c r="C162" t="inlineStr">
        <is>
          <t>Commercial</t>
        </is>
      </c>
      <c r="D162" t="n">
        <v>1</v>
      </c>
      <c r="E162" s="575" t="inlineStr">
        <is>
          <t>Greenhouse Shade Shelters</t>
        </is>
      </c>
      <c r="F162">
        <f>B162&amp;" - "&amp;E162</f>
        <v/>
      </c>
    </row>
    <row r="163" ht="13" customHeight="1" s="518">
      <c r="B163" s="575" t="n">
        <v>523</v>
      </c>
      <c r="C163" t="inlineStr">
        <is>
          <t>Commercial</t>
        </is>
      </c>
      <c r="D163" t="n">
        <v>1</v>
      </c>
      <c r="E163" s="575" t="inlineStr">
        <is>
          <t>Golf Cart Storage Bldgs</t>
        </is>
      </c>
      <c r="F163">
        <f>B163&amp;" - "&amp;E163</f>
        <v/>
      </c>
    </row>
    <row r="164" ht="13" customHeight="1" s="518">
      <c r="B164" s="575" t="n">
        <v>525</v>
      </c>
      <c r="C164" t="inlineStr">
        <is>
          <t>Commercial</t>
        </is>
      </c>
      <c r="D164" t="n">
        <v>1</v>
      </c>
      <c r="E164" s="575" t="inlineStr">
        <is>
          <t>Mini Warehouse Hi-rise</t>
        </is>
      </c>
      <c r="F164">
        <f>B164&amp;" - "&amp;E164</f>
        <v/>
      </c>
    </row>
    <row r="165" ht="13" customHeight="1" s="518">
      <c r="B165" s="575" t="n">
        <v>526</v>
      </c>
      <c r="C165" t="inlineStr">
        <is>
          <t>Commercial</t>
        </is>
      </c>
      <c r="D165" t="n">
        <v>3</v>
      </c>
      <c r="E165" s="575" t="inlineStr">
        <is>
          <t>Service Garage Sheds</t>
        </is>
      </c>
      <c r="F165">
        <f>B165&amp;" - "&amp;E165</f>
        <v/>
      </c>
    </row>
    <row r="166" ht="13" customHeight="1" s="518">
      <c r="B166" s="575" t="n">
        <v>529</v>
      </c>
      <c r="C166" t="inlineStr">
        <is>
          <t>Commercial</t>
        </is>
      </c>
      <c r="D166" t="n">
        <v>1</v>
      </c>
      <c r="E166" s="575" t="inlineStr">
        <is>
          <t>Snack Bar</t>
        </is>
      </c>
      <c r="F166">
        <f>B166&amp;" - "&amp;E166</f>
        <v/>
      </c>
    </row>
    <row r="167" ht="13" customHeight="1" s="518">
      <c r="B167" s="575" t="n">
        <v>531</v>
      </c>
      <c r="C167" t="inlineStr">
        <is>
          <t>Commercial</t>
        </is>
      </c>
      <c r="D167" t="n">
        <v>2</v>
      </c>
      <c r="E167" s="575" t="inlineStr">
        <is>
          <t>Mobile Home Parks *CODE</t>
        </is>
      </c>
      <c r="F167">
        <f>B167&amp;" - "&amp;E167</f>
        <v/>
      </c>
    </row>
    <row r="168" ht="13" customHeight="1" s="518">
      <c r="B168" s="575" t="n">
        <v>533</v>
      </c>
      <c r="C168" t="inlineStr">
        <is>
          <t>Commercial</t>
        </is>
      </c>
      <c r="D168" t="n">
        <v>2</v>
      </c>
      <c r="E168" s="575" t="inlineStr">
        <is>
          <t>Warehouse Food Store</t>
        </is>
      </c>
      <c r="F168">
        <f>B168&amp;" - "&amp;E168</f>
        <v/>
      </c>
    </row>
    <row r="169" ht="13" customHeight="1" s="518">
      <c r="B169" s="575" t="n">
        <v>534</v>
      </c>
      <c r="C169" t="inlineStr">
        <is>
          <t>Commercial</t>
        </is>
      </c>
      <c r="D169" t="n">
        <v>10</v>
      </c>
      <c r="E169" s="575" t="inlineStr">
        <is>
          <t>Warehouse Showroom Store</t>
        </is>
      </c>
      <c r="F169">
        <f>B169&amp;" - "&amp;E169</f>
        <v/>
      </c>
    </row>
    <row r="170" ht="13" customHeight="1" s="518">
      <c r="B170" s="575" t="n">
        <v>534</v>
      </c>
      <c r="C170" t="inlineStr">
        <is>
          <t>Industrial</t>
        </is>
      </c>
      <c r="D170" t="n">
        <v>1</v>
      </c>
      <c r="E170" s="575" t="inlineStr">
        <is>
          <t>Warehouse Showroom Store</t>
        </is>
      </c>
      <c r="F170">
        <f>B170&amp;" - "&amp;E170</f>
        <v/>
      </c>
    </row>
    <row r="171" ht="13" customHeight="1" s="518">
      <c r="B171" s="575" t="n">
        <v>540</v>
      </c>
      <c r="C171" t="inlineStr">
        <is>
          <t>Commercial</t>
        </is>
      </c>
      <c r="D171" t="n">
        <v>1</v>
      </c>
      <c r="E171" s="575" t="inlineStr">
        <is>
          <t>Motel Guest Rooms</t>
        </is>
      </c>
      <c r="F171">
        <f>B171&amp;" - "&amp;E171</f>
        <v/>
      </c>
    </row>
    <row r="172" ht="13" customHeight="1" s="518">
      <c r="B172" s="575" t="n">
        <v>544</v>
      </c>
      <c r="C172" t="inlineStr">
        <is>
          <t>Commercial</t>
        </is>
      </c>
      <c r="D172" t="n">
        <v>4</v>
      </c>
      <c r="E172" s="575" t="inlineStr">
        <is>
          <t>Office-Apartment</t>
        </is>
      </c>
      <c r="F172">
        <f>B172&amp;" - "&amp;E172</f>
        <v/>
      </c>
    </row>
    <row r="173" ht="13" customHeight="1" s="518">
      <c r="B173" s="575" t="n">
        <v>557</v>
      </c>
      <c r="C173" t="inlineStr">
        <is>
          <t>Commercial</t>
        </is>
      </c>
      <c r="D173" t="n">
        <v>2</v>
      </c>
      <c r="E173" s="575" t="inlineStr">
        <is>
          <t>Arch-Rib Quonset Utility</t>
        </is>
      </c>
      <c r="F173">
        <f>B173&amp;" - "&amp;E173</f>
        <v/>
      </c>
    </row>
    <row r="174" ht="13" customHeight="1" s="518">
      <c r="B174" s="575" t="n">
        <v>558</v>
      </c>
      <c r="C174" t="inlineStr">
        <is>
          <t>Commercial</t>
        </is>
      </c>
      <c r="D174" t="n">
        <v>1</v>
      </c>
      <c r="E174" s="575" t="inlineStr">
        <is>
          <t>Arch-Rib Quonset Farm Implement</t>
        </is>
      </c>
      <c r="F174">
        <f>B174&amp;" - "&amp;E174</f>
        <v/>
      </c>
    </row>
    <row r="175" ht="13" customHeight="1" s="518">
      <c r="B175" s="575" t="n">
        <v>573</v>
      </c>
      <c r="C175" t="inlineStr">
        <is>
          <t>Commercial</t>
        </is>
      </c>
      <c r="D175" t="n">
        <v>1</v>
      </c>
      <c r="E175" s="575" t="inlineStr">
        <is>
          <t>Arcade</t>
        </is>
      </c>
      <c r="F175">
        <f>B175&amp;" - "&amp;E175</f>
        <v/>
      </c>
    </row>
    <row r="176" ht="13" customHeight="1" s="518">
      <c r="B176" s="575" t="n">
        <v>580</v>
      </c>
      <c r="C176" t="inlineStr">
        <is>
          <t>Commercial</t>
        </is>
      </c>
      <c r="D176" t="n">
        <v>2</v>
      </c>
      <c r="E176" s="575" t="inlineStr">
        <is>
          <t>Truck Stop Restaurant</t>
        </is>
      </c>
      <c r="F176">
        <f>B176&amp;" - "&amp;E176</f>
        <v/>
      </c>
    </row>
    <row r="177" ht="13" customHeight="1" s="518">
      <c r="B177" s="575" t="n">
        <v>582</v>
      </c>
      <c r="C177" t="inlineStr">
        <is>
          <t>Commercial</t>
        </is>
      </c>
      <c r="D177" t="n">
        <v>1</v>
      </c>
      <c r="E177" s="575" t="inlineStr">
        <is>
          <t>Branch Post Office</t>
        </is>
      </c>
      <c r="F177">
        <f>B177&amp;" - "&amp;E177</f>
        <v/>
      </c>
    </row>
    <row r="178" ht="13" customHeight="1" s="518">
      <c r="B178" s="575" t="n">
        <v>584</v>
      </c>
      <c r="C178" t="inlineStr">
        <is>
          <t>Commercial</t>
        </is>
      </c>
      <c r="D178" t="n">
        <v>56</v>
      </c>
      <c r="E178" s="575" t="inlineStr">
        <is>
          <t>Mega Warehouse</t>
        </is>
      </c>
      <c r="F178">
        <f>B178&amp;" - "&amp;E178</f>
        <v/>
      </c>
    </row>
    <row r="179" ht="13" customHeight="1" s="518">
      <c r="B179" s="575" t="n">
        <v>584</v>
      </c>
      <c r="C179" t="inlineStr">
        <is>
          <t>Industrial</t>
        </is>
      </c>
      <c r="D179" t="n">
        <v>21</v>
      </c>
      <c r="E179" s="575" t="inlineStr">
        <is>
          <t>Mega Warehouse</t>
        </is>
      </c>
      <c r="F179">
        <f>B179&amp;" - "&amp;E179</f>
        <v/>
      </c>
    </row>
    <row r="180" ht="13" customHeight="1" s="518">
      <c r="B180" s="575" t="n">
        <v>718</v>
      </c>
      <c r="C180" t="inlineStr">
        <is>
          <t>Commercial</t>
        </is>
      </c>
      <c r="D180" t="n">
        <v>3</v>
      </c>
      <c r="E180" s="575" t="inlineStr">
        <is>
          <t>Banquet Halls</t>
        </is>
      </c>
      <c r="F180">
        <f>B180&amp;" - "&amp;E180</f>
        <v/>
      </c>
    </row>
    <row r="181" ht="13" customHeight="1" s="518">
      <c r="B181" s="575" t="n">
        <v>1104</v>
      </c>
      <c r="C181" t="inlineStr">
        <is>
          <t>Commercial</t>
        </is>
      </c>
      <c r="D181" t="n">
        <v>1</v>
      </c>
      <c r="E181" s="575" t="inlineStr">
        <is>
          <t>Light Commercial-Commodity Warehouse</t>
        </is>
      </c>
      <c r="F181">
        <f>B181&amp;" - "&amp;E181</f>
        <v/>
      </c>
    </row>
    <row r="182" ht="13" customHeight="1" s="518">
      <c r="B182" s="575" t="n">
        <v>1104</v>
      </c>
      <c r="C182" t="inlineStr">
        <is>
          <t>Industrial</t>
        </is>
      </c>
      <c r="D182" t="n">
        <v>1</v>
      </c>
      <c r="E182" s="575" t="inlineStr">
        <is>
          <t>Light Commercial-Commodity Warehouse</t>
        </is>
      </c>
      <c r="F182">
        <f>B182&amp;" - "&amp;E182</f>
        <v/>
      </c>
    </row>
    <row r="183" ht="13" customHeight="1" s="518">
      <c r="B183" s="575" t="n">
        <v>1111</v>
      </c>
      <c r="C183" t="inlineStr">
        <is>
          <t>Commercial</t>
        </is>
      </c>
      <c r="D183" t="n">
        <v>2</v>
      </c>
      <c r="E183" s="575" t="inlineStr">
        <is>
          <t>Parking Lot</t>
        </is>
      </c>
      <c r="F183">
        <f>B183&amp;" - "&amp;E183</f>
        <v/>
      </c>
    </row>
    <row r="184" ht="13" customHeight="1" s="518">
      <c r="B184" s="575" t="n">
        <v>1112</v>
      </c>
      <c r="C184" t="inlineStr">
        <is>
          <t>Commercial</t>
        </is>
      </c>
      <c r="D184" t="n">
        <v>1</v>
      </c>
      <c r="E184" s="575" t="inlineStr">
        <is>
          <t>Parking Lot Income Producing</t>
        </is>
      </c>
      <c r="F184">
        <f>B184&amp;" - "&amp;E184</f>
        <v/>
      </c>
    </row>
    <row r="185" ht="13" customHeight="1" s="518">
      <c r="B185" s="575" t="n">
        <v>1157</v>
      </c>
      <c r="C185" t="inlineStr">
        <is>
          <t>Commercial</t>
        </is>
      </c>
      <c r="D185" t="n">
        <v>2</v>
      </c>
      <c r="E185" s="575" t="inlineStr">
        <is>
          <t>Maintenance (Storage) Buildings</t>
        </is>
      </c>
      <c r="F185">
        <f>B185&amp;" - "&amp;E185</f>
        <v/>
      </c>
    </row>
    <row r="186" ht="13" customHeight="1" s="518">
      <c r="B186" s="575" t="n">
        <v>1332</v>
      </c>
      <c r="C186" t="inlineStr">
        <is>
          <t>Commercial</t>
        </is>
      </c>
      <c r="D186" t="n">
        <v>39</v>
      </c>
      <c r="E186" s="575" t="inlineStr">
        <is>
          <t>Hotels - Limited Service</t>
        </is>
      </c>
      <c r="F186">
        <f>B186&amp;" - "&amp;E186</f>
        <v/>
      </c>
    </row>
    <row r="187" ht="13" customHeight="1" s="518">
      <c r="B187" s="575" t="n">
        <v>1332</v>
      </c>
      <c r="C187" t="inlineStr">
        <is>
          <t>Industrial</t>
        </is>
      </c>
      <c r="D187" t="n">
        <v>1</v>
      </c>
      <c r="E187" s="575" t="inlineStr">
        <is>
          <t>Hotels - Limited Service</t>
        </is>
      </c>
      <c r="F187">
        <f>B187&amp;" - "&amp;E187</f>
        <v/>
      </c>
    </row>
    <row r="188" ht="13" customHeight="1" s="518">
      <c r="B188" s="575" t="n">
        <v>1343</v>
      </c>
      <c r="C188" t="inlineStr">
        <is>
          <t>Commercial</t>
        </is>
      </c>
      <c r="D188" t="n">
        <v>4</v>
      </c>
      <c r="E188" s="575" t="inlineStr">
        <is>
          <t>Extended Stay Motels</t>
        </is>
      </c>
      <c r="F188">
        <f>B188&amp;" - "&amp;E188</f>
        <v/>
      </c>
    </row>
    <row r="189" ht="13" customHeight="1" s="518">
      <c r="B189" s="575" t="n">
        <v>1344</v>
      </c>
      <c r="C189" t="inlineStr">
        <is>
          <t>Commercial</t>
        </is>
      </c>
      <c r="D189" t="n">
        <v>173</v>
      </c>
      <c r="E189" s="575" t="inlineStr">
        <is>
          <t>Office Building - Condo</t>
        </is>
      </c>
      <c r="F189">
        <f>B189&amp;" - "&amp;E189</f>
        <v/>
      </c>
    </row>
    <row r="190" ht="13" customHeight="1" s="518">
      <c r="B190" s="575" t="n">
        <v>1353</v>
      </c>
      <c r="C190" t="inlineStr">
        <is>
          <t>Commercial</t>
        </is>
      </c>
      <c r="D190" t="n">
        <v>20</v>
      </c>
      <c r="E190" s="575" t="inlineStr">
        <is>
          <t>Retail Store - Condo</t>
        </is>
      </c>
      <c r="F190">
        <f>B190&amp;" - "&amp;E190</f>
        <v/>
      </c>
    </row>
    <row r="191" ht="13" customHeight="1" s="518">
      <c r="B191" s="575" t="n">
        <v>1458</v>
      </c>
      <c r="C191" t="inlineStr">
        <is>
          <t>Commercial</t>
        </is>
      </c>
      <c r="D191" t="n">
        <v>8</v>
      </c>
      <c r="E191" s="575" t="inlineStr">
        <is>
          <t>Warehouse Discount Store</t>
        </is>
      </c>
      <c r="F191">
        <f>B191&amp;" - "&amp;E191</f>
        <v/>
      </c>
    </row>
    <row r="192" ht="13" customHeight="1" s="518">
      <c r="B192" s="575" t="n">
        <v>1467</v>
      </c>
      <c r="C192" t="inlineStr">
        <is>
          <t>Commercial</t>
        </is>
      </c>
      <c r="D192" t="n">
        <v>2</v>
      </c>
      <c r="E192" s="575" t="inlineStr">
        <is>
          <t>Boat Storage Buildings</t>
        </is>
      </c>
      <c r="F192">
        <f>B192&amp;" - "&amp;E192</f>
        <v/>
      </c>
    </row>
    <row r="193" ht="13" customHeight="1" s="518">
      <c r="B193" s="575" t="n">
        <v>1468</v>
      </c>
      <c r="C193" t="inlineStr">
        <is>
          <t>Commercial</t>
        </is>
      </c>
      <c r="D193" t="n">
        <v>7</v>
      </c>
      <c r="E193" s="575" t="inlineStr">
        <is>
          <t>Material Storage Sheds</t>
        </is>
      </c>
      <c r="F193">
        <f>B193&amp;" - "&amp;E193</f>
        <v/>
      </c>
    </row>
    <row r="194" ht="13" customHeight="1" s="518">
      <c r="B194" s="575" t="n">
        <v>1468</v>
      </c>
      <c r="C194" t="inlineStr">
        <is>
          <t>Industrial</t>
        </is>
      </c>
      <c r="D194" t="n">
        <v>1</v>
      </c>
      <c r="E194" s="575" t="inlineStr">
        <is>
          <t>Material Storage Sheds</t>
        </is>
      </c>
      <c r="F194">
        <f>B194&amp;" - "&amp;E194</f>
        <v/>
      </c>
    </row>
    <row r="195" ht="13" customHeight="1" s="518">
      <c r="B195" s="575" t="n">
        <v>1471</v>
      </c>
      <c r="C195" t="inlineStr">
        <is>
          <t>Commercial</t>
        </is>
      </c>
      <c r="D195" t="n">
        <v>1</v>
      </c>
      <c r="E195" s="575" t="inlineStr">
        <is>
          <t>Light Commercial Utility</t>
        </is>
      </c>
      <c r="F195">
        <f>B195&amp;" - "&amp;E195</f>
        <v/>
      </c>
    </row>
    <row r="196" ht="13" customHeight="1" s="518">
      <c r="B196" s="575" t="n">
        <v>1473</v>
      </c>
      <c r="C196" t="inlineStr">
        <is>
          <t>Commercial</t>
        </is>
      </c>
      <c r="D196" t="n">
        <v>5</v>
      </c>
      <c r="E196" s="575" t="inlineStr">
        <is>
          <t>Material Shelters</t>
        </is>
      </c>
      <c r="F196">
        <f>B196&amp;" - "&amp;E196</f>
        <v/>
      </c>
    </row>
    <row r="197" ht="13" customHeight="1" s="518">
      <c r="B197" s="575" t="n">
        <v>1473</v>
      </c>
      <c r="C197" t="inlineStr">
        <is>
          <t>Industrial</t>
        </is>
      </c>
      <c r="D197" t="n">
        <v>1</v>
      </c>
      <c r="E197" s="575" t="inlineStr">
        <is>
          <t>Material Shelters</t>
        </is>
      </c>
      <c r="F197">
        <f>B197&amp;" - "&amp;E197</f>
        <v/>
      </c>
    </row>
    <row r="198" ht="13" customHeight="1" s="518">
      <c r="B198" s="575" t="n">
        <v>1513</v>
      </c>
      <c r="C198" t="inlineStr">
        <is>
          <t>Commercial</t>
        </is>
      </c>
      <c r="D198" t="n">
        <v>4</v>
      </c>
      <c r="E198" s="575" t="inlineStr">
        <is>
          <t>Regional Discount Shopping Centers</t>
        </is>
      </c>
      <c r="F198">
        <f>B198&amp;" - "&amp;E198</f>
        <v/>
      </c>
    </row>
    <row r="199" ht="13" customHeight="1" s="518">
      <c r="B199" s="575" t="n">
        <v>3441</v>
      </c>
      <c r="C199" t="inlineStr">
        <is>
          <t>Commercial</t>
        </is>
      </c>
      <c r="D199" t="n">
        <v>41</v>
      </c>
      <c r="E199" s="575" t="inlineStr">
        <is>
          <t>Office Conversion</t>
        </is>
      </c>
      <c r="F199">
        <f>B199&amp;" - "&amp;E199</f>
        <v/>
      </c>
    </row>
  </sheetData>
  <pageMargins left="0.75" right="0.75" top="1" bottom="1" header="0.5" footer="0.5"/>
</worksheet>
</file>

<file path=xl/worksheets/sheet17.xml><?xml version="1.0" encoding="utf-8"?>
<worksheet xmlns="http://schemas.openxmlformats.org/spreadsheetml/2006/main">
  <sheetPr>
    <tabColor rgb="FFD97706"/>
    <outlinePr summaryBelow="1" summaryRight="1"/>
    <pageSetUpPr/>
  </sheetPr>
  <dimension ref="B1:M108"/>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10" defaultColWidth="9" defaultRowHeight="12"/>
  <cols>
    <col width="26" customWidth="1" style="518" min="2" max="2"/>
    <col width="9" customWidth="1" style="518" min="4" max="5"/>
    <col width="14" customWidth="1" style="518" min="6" max="6"/>
    <col width="10" customWidth="1" style="518" min="7" max="7"/>
    <col width="16" customWidth="1" style="518" min="8" max="9"/>
    <col width="12" customWidth="1" style="518" min="10" max="10"/>
    <col width="14" customWidth="1" style="518" min="11" max="11"/>
    <col width="24" customWidth="1" style="518" min="12" max="12"/>
    <col width="13" customWidth="1" style="518" min="13" max="13"/>
  </cols>
  <sheetData>
    <row r="1" ht="17" customHeight="1" s="518">
      <c r="B1" s="125" t="inlineStr">
        <is>
          <t>ZONING -- INTERIM LIST</t>
        </is>
      </c>
    </row>
    <row r="2" ht="40" customHeight="1" s="518">
      <c r="B2" s="611" t="inlineStr">
        <is>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is>
      </c>
    </row>
    <row r="4">
      <c r="B4" s="193" t="inlineStr">
        <is>
          <t>Zone Value</t>
        </is>
      </c>
      <c r="D4" s="193" t="inlineStr">
        <is>
          <t>City-Filtered Zone Lists (for the Subject Property dropdown)</t>
        </is>
      </c>
    </row>
    <row r="5">
      <c r="D5" s="168" t="inlineStr">
        <is>
          <t>ARVADA</t>
        </is>
      </c>
      <c r="E5" s="168" t="inlineStr">
        <is>
          <t>AURORA</t>
        </is>
      </c>
      <c r="F5" s="168" t="inlineStr">
        <is>
          <t>BENNETT</t>
        </is>
      </c>
      <c r="G5" s="168" t="inlineStr">
        <is>
          <t>BRIGHTON</t>
        </is>
      </c>
      <c r="H5" s="168" t="inlineStr">
        <is>
          <t>COMMERCE CITY</t>
        </is>
      </c>
      <c r="I5" s="168" t="inlineStr">
        <is>
          <t>FEDERAL HEIGHTS</t>
        </is>
      </c>
      <c r="J5" s="168" t="inlineStr">
        <is>
          <t>NORTHGLENN</t>
        </is>
      </c>
      <c r="K5" s="168" t="inlineStr">
        <is>
          <t>STRASBURG</t>
        </is>
      </c>
      <c r="L5" s="168" t="inlineStr">
        <is>
          <t>THORNTON</t>
        </is>
      </c>
      <c r="M5" s="168" t="inlineStr">
        <is>
          <t>WESTMINSTER</t>
        </is>
      </c>
    </row>
    <row r="6">
      <c r="B6" t="inlineStr">
        <is>
          <t>Agricultural</t>
        </is>
      </c>
      <c r="D6" t="inlineStr">
        <is>
          <t>B-2-Arv</t>
        </is>
      </c>
      <c r="E6" t="inlineStr">
        <is>
          <t>Aurora</t>
        </is>
      </c>
      <c r="F6" t="inlineStr">
        <is>
          <t>Agricultural</t>
        </is>
      </c>
      <c r="G6" t="inlineStr">
        <is>
          <t>Brighton</t>
        </is>
      </c>
      <c r="H6" t="inlineStr">
        <is>
          <t>C-1-Com</t>
        </is>
      </c>
      <c r="I6" t="inlineStr">
        <is>
          <t>C-1-Fed</t>
        </is>
      </c>
      <c r="J6" t="inlineStr">
        <is>
          <t>C-0-Nor</t>
        </is>
      </c>
      <c r="K6" t="inlineStr">
        <is>
          <t>Agricultural</t>
        </is>
      </c>
      <c r="L6" t="inlineStr">
        <is>
          <t>Business Park</t>
        </is>
      </c>
      <c r="M6" t="inlineStr">
        <is>
          <t>B-1-Wes</t>
        </is>
      </c>
    </row>
    <row r="7">
      <c r="B7" t="inlineStr">
        <is>
          <t>Aurora</t>
        </is>
      </c>
      <c r="D7" t="inlineStr">
        <is>
          <t>I-1-Arv</t>
        </is>
      </c>
      <c r="E7" t="inlineStr">
        <is>
          <t>B-3-Aur</t>
        </is>
      </c>
      <c r="F7" t="inlineStr">
        <is>
          <t>Bennett</t>
        </is>
      </c>
      <c r="G7" t="inlineStr">
        <is>
          <t>C-1-Bri</t>
        </is>
      </c>
      <c r="H7" t="inlineStr">
        <is>
          <t>C-2-Com</t>
        </is>
      </c>
      <c r="I7" t="inlineStr">
        <is>
          <t>Federal Heights</t>
        </is>
      </c>
      <c r="J7" t="inlineStr">
        <is>
          <t>C-3-Nor</t>
        </is>
      </c>
      <c r="K7" t="inlineStr">
        <is>
          <t>Commercial</t>
        </is>
      </c>
      <c r="L7" t="inlineStr">
        <is>
          <t>City Center</t>
        </is>
      </c>
      <c r="M7" t="inlineStr">
        <is>
          <t>C-1-Wes</t>
        </is>
      </c>
    </row>
    <row r="8">
      <c r="B8" t="inlineStr">
        <is>
          <t>B-1-Wes</t>
        </is>
      </c>
      <c r="D8" t="inlineStr">
        <is>
          <t>I-2-Arv</t>
        </is>
      </c>
      <c r="E8" t="inlineStr">
        <is>
          <t>B-4-Aur</t>
        </is>
      </c>
      <c r="G8" t="inlineStr">
        <is>
          <t>C-2-Bri</t>
        </is>
      </c>
      <c r="H8" t="inlineStr">
        <is>
          <t>C-3-Com</t>
        </is>
      </c>
      <c r="J8" t="inlineStr">
        <is>
          <t>C-4-Nor</t>
        </is>
      </c>
      <c r="L8" t="inlineStr">
        <is>
          <t>Community Retail</t>
        </is>
      </c>
      <c r="M8" t="inlineStr">
        <is>
          <t>M-1-Wes</t>
        </is>
      </c>
    </row>
    <row r="9">
      <c r="B9" t="inlineStr">
        <is>
          <t>B-2-Arv</t>
        </is>
      </c>
      <c r="E9" t="inlineStr">
        <is>
          <t>E-470</t>
        </is>
      </c>
      <c r="G9" t="inlineStr">
        <is>
          <t>C-3-Bri</t>
        </is>
      </c>
      <c r="H9" t="inlineStr">
        <is>
          <t>Commerce City</t>
        </is>
      </c>
      <c r="J9" t="inlineStr">
        <is>
          <t>C-5-Nor</t>
        </is>
      </c>
      <c r="L9" t="inlineStr">
        <is>
          <t>Eastlake Services</t>
        </is>
      </c>
      <c r="M9" t="inlineStr">
        <is>
          <t>PUD-Wes</t>
        </is>
      </c>
    </row>
    <row r="10">
      <c r="B10" t="inlineStr">
        <is>
          <t>B-3-Aur</t>
        </is>
      </c>
      <c r="E10" t="inlineStr">
        <is>
          <t>FBA</t>
        </is>
      </c>
      <c r="G10" t="inlineStr">
        <is>
          <t>C-O</t>
        </is>
      </c>
      <c r="H10" t="inlineStr">
        <is>
          <t>I-1-Com</t>
        </is>
      </c>
      <c r="J10" t="inlineStr">
        <is>
          <t>I-2-Nor</t>
        </is>
      </c>
      <c r="L10" t="inlineStr">
        <is>
          <t>Planned Development</t>
        </is>
      </c>
      <c r="M10" t="inlineStr">
        <is>
          <t>SPD</t>
        </is>
      </c>
    </row>
    <row r="11">
      <c r="B11" t="inlineStr">
        <is>
          <t>B-4-Aur</t>
        </is>
      </c>
      <c r="E11" t="inlineStr">
        <is>
          <t>M-1-Aur</t>
        </is>
      </c>
      <c r="G11" t="inlineStr">
        <is>
          <t>DT</t>
        </is>
      </c>
      <c r="H11" t="inlineStr">
        <is>
          <t>I-1S</t>
        </is>
      </c>
      <c r="J11" t="inlineStr">
        <is>
          <t>Northglenn</t>
        </is>
      </c>
      <c r="L11" t="inlineStr">
        <is>
          <t>Regional Commercial</t>
        </is>
      </c>
      <c r="M11" t="inlineStr">
        <is>
          <t>Westminster</t>
        </is>
      </c>
    </row>
    <row r="12">
      <c r="B12" t="inlineStr">
        <is>
          <t>B2</t>
        </is>
      </c>
      <c r="E12" t="inlineStr">
        <is>
          <t>M-2</t>
        </is>
      </c>
      <c r="G12" t="inlineStr">
        <is>
          <t>I-1-Bri</t>
        </is>
      </c>
      <c r="H12" t="inlineStr">
        <is>
          <t>I-2-Com</t>
        </is>
      </c>
      <c r="J12" t="inlineStr">
        <is>
          <t>PUD-Nor</t>
        </is>
      </c>
      <c r="L12" t="inlineStr">
        <is>
          <t>Single Family Detached</t>
        </is>
      </c>
    </row>
    <row r="13">
      <c r="B13" t="inlineStr">
        <is>
          <t>B4</t>
        </is>
      </c>
      <c r="E13" t="inlineStr">
        <is>
          <t>M-3</t>
        </is>
      </c>
      <c r="G13" t="inlineStr">
        <is>
          <t>PUD-Bri</t>
        </is>
      </c>
      <c r="H13" t="inlineStr">
        <is>
          <t>I-3-Com</t>
        </is>
      </c>
      <c r="J13" t="inlineStr">
        <is>
          <t>R-1-B-Nor</t>
        </is>
      </c>
      <c r="L13" t="inlineStr">
        <is>
          <t>Thornton</t>
        </is>
      </c>
    </row>
    <row r="14">
      <c r="B14" t="inlineStr">
        <is>
          <t>B8</t>
        </is>
      </c>
      <c r="E14" t="inlineStr">
        <is>
          <t>OA-G</t>
        </is>
      </c>
      <c r="G14" t="inlineStr">
        <is>
          <t>R-2-Bri</t>
        </is>
      </c>
      <c r="H14" t="inlineStr">
        <is>
          <t>Industrial</t>
        </is>
      </c>
      <c r="J14" t="inlineStr">
        <is>
          <t>R-1-C-Nor</t>
        </is>
      </c>
    </row>
    <row r="15">
      <c r="B15" t="inlineStr">
        <is>
          <t>B8A</t>
        </is>
      </c>
      <c r="E15" t="inlineStr">
        <is>
          <t>OA-MS</t>
        </is>
      </c>
      <c r="H15" t="inlineStr">
        <is>
          <t>PUD-Com</t>
        </is>
      </c>
      <c r="J15" t="inlineStr">
        <is>
          <t>R-4-Nor</t>
        </is>
      </c>
    </row>
    <row r="16">
      <c r="B16" t="inlineStr">
        <is>
          <t>B8G</t>
        </is>
      </c>
      <c r="E16" t="inlineStr">
        <is>
          <t>PD</t>
        </is>
      </c>
      <c r="H16" t="inlineStr">
        <is>
          <t>R-2-Com</t>
        </is>
      </c>
    </row>
    <row r="17">
      <c r="B17" t="inlineStr">
        <is>
          <t>Bennett</t>
        </is>
      </c>
    </row>
    <row r="18">
      <c r="B18" t="inlineStr">
        <is>
          <t>Brighton</t>
        </is>
      </c>
    </row>
    <row r="19">
      <c r="B19" t="inlineStr">
        <is>
          <t>Business Park</t>
        </is>
      </c>
    </row>
    <row r="20">
      <c r="B20" t="inlineStr">
        <is>
          <t>C-0-Nor</t>
        </is>
      </c>
    </row>
    <row r="21">
      <c r="B21" t="inlineStr">
        <is>
          <t>C-1-Bri</t>
        </is>
      </c>
    </row>
    <row r="22">
      <c r="B22" t="inlineStr">
        <is>
          <t>C-1-Com</t>
        </is>
      </c>
    </row>
    <row r="23">
      <c r="B23" t="inlineStr">
        <is>
          <t>C-1-Fed</t>
        </is>
      </c>
    </row>
    <row r="24">
      <c r="B24" t="inlineStr">
        <is>
          <t>C-1-Wes</t>
        </is>
      </c>
    </row>
    <row r="25">
      <c r="B25" t="inlineStr">
        <is>
          <t>C-2-Bri</t>
        </is>
      </c>
    </row>
    <row r="26">
      <c r="B26" t="inlineStr">
        <is>
          <t>C-2-Com</t>
        </is>
      </c>
    </row>
    <row r="27">
      <c r="B27" t="inlineStr">
        <is>
          <t>C-3-Bri</t>
        </is>
      </c>
    </row>
    <row r="28">
      <c r="B28" t="inlineStr">
        <is>
          <t>C-3-Com</t>
        </is>
      </c>
    </row>
    <row r="29">
      <c r="B29" t="inlineStr">
        <is>
          <t>C-3-Nor</t>
        </is>
      </c>
    </row>
    <row r="30">
      <c r="B30" t="inlineStr">
        <is>
          <t>C-4-Nor</t>
        </is>
      </c>
    </row>
    <row r="31">
      <c r="B31" t="inlineStr">
        <is>
          <t>C-5-Nor</t>
        </is>
      </c>
    </row>
    <row r="32">
      <c r="B32" t="inlineStr">
        <is>
          <t>C-MS-8</t>
        </is>
      </c>
    </row>
    <row r="33">
      <c r="B33" t="inlineStr">
        <is>
          <t>C-MU-30</t>
        </is>
      </c>
    </row>
    <row r="34">
      <c r="B34" t="inlineStr">
        <is>
          <t>C-MX-12</t>
        </is>
      </c>
    </row>
    <row r="35">
      <c r="B35" t="inlineStr">
        <is>
          <t>C-MX-5</t>
        </is>
      </c>
    </row>
    <row r="36">
      <c r="B36" t="inlineStr">
        <is>
          <t>C-MX-8</t>
        </is>
      </c>
    </row>
    <row r="37">
      <c r="B37" t="inlineStr">
        <is>
          <t>C-O</t>
        </is>
      </c>
    </row>
    <row r="38">
      <c r="B38" t="inlineStr">
        <is>
          <t>CMU30</t>
        </is>
      </c>
    </row>
    <row r="39">
      <c r="B39" t="inlineStr">
        <is>
          <t>City Center</t>
        </is>
      </c>
    </row>
    <row r="40">
      <c r="B40" t="inlineStr">
        <is>
          <t>Commerce City</t>
        </is>
      </c>
    </row>
    <row r="41">
      <c r="B41" t="inlineStr">
        <is>
          <t>Commercial</t>
        </is>
      </c>
    </row>
    <row r="42">
      <c r="B42" t="inlineStr">
        <is>
          <t>Community Retail</t>
        </is>
      </c>
    </row>
    <row r="43">
      <c r="B43" t="inlineStr">
        <is>
          <t>D-AS</t>
        </is>
      </c>
    </row>
    <row r="44">
      <c r="B44" t="inlineStr">
        <is>
          <t>DT</t>
        </is>
      </c>
    </row>
    <row r="45">
      <c r="B45" t="inlineStr">
        <is>
          <t>E-470</t>
        </is>
      </c>
    </row>
    <row r="46">
      <c r="B46" t="inlineStr">
        <is>
          <t>E-CC-3</t>
        </is>
      </c>
    </row>
    <row r="47">
      <c r="B47" t="inlineStr">
        <is>
          <t>E-SU-D1X</t>
        </is>
      </c>
    </row>
    <row r="48">
      <c r="B48" t="inlineStr">
        <is>
          <t>Eastlake Services</t>
        </is>
      </c>
    </row>
    <row r="49">
      <c r="B49" t="inlineStr">
        <is>
          <t>FBA</t>
        </is>
      </c>
    </row>
    <row r="50">
      <c r="B50" t="inlineStr">
        <is>
          <t>Federal Heights</t>
        </is>
      </c>
    </row>
    <row r="51">
      <c r="B51" t="inlineStr">
        <is>
          <t>G-MX-3</t>
        </is>
      </c>
    </row>
    <row r="52">
      <c r="B52" t="inlineStr">
        <is>
          <t>I-0</t>
        </is>
      </c>
    </row>
    <row r="53">
      <c r="B53" t="inlineStr">
        <is>
          <t>I-1-Arv</t>
        </is>
      </c>
    </row>
    <row r="54">
      <c r="B54" t="inlineStr">
        <is>
          <t>I-1-Bri</t>
        </is>
      </c>
    </row>
    <row r="55">
      <c r="B55" t="inlineStr">
        <is>
          <t>I-1-Com</t>
        </is>
      </c>
    </row>
    <row r="56">
      <c r="B56" t="inlineStr">
        <is>
          <t>I-1S</t>
        </is>
      </c>
    </row>
    <row r="57">
      <c r="B57" t="inlineStr">
        <is>
          <t>I-2-Arv</t>
        </is>
      </c>
    </row>
    <row r="58">
      <c r="B58" t="inlineStr">
        <is>
          <t>I-2-Com</t>
        </is>
      </c>
    </row>
    <row r="59">
      <c r="B59" t="inlineStr">
        <is>
          <t>I-2-Nor</t>
        </is>
      </c>
    </row>
    <row r="60">
      <c r="B60" t="inlineStr">
        <is>
          <t>I-3-Com</t>
        </is>
      </c>
    </row>
    <row r="61">
      <c r="B61" t="inlineStr">
        <is>
          <t>I-A</t>
        </is>
      </c>
    </row>
    <row r="62">
      <c r="B62" t="inlineStr">
        <is>
          <t>I-B</t>
        </is>
      </c>
    </row>
    <row r="63">
      <c r="B63" t="inlineStr">
        <is>
          <t>I-MX-3</t>
        </is>
      </c>
    </row>
    <row r="64">
      <c r="B64" t="inlineStr">
        <is>
          <t>I-MX-5</t>
        </is>
      </c>
    </row>
    <row r="65">
      <c r="B65" t="inlineStr">
        <is>
          <t>I-MX-8</t>
        </is>
      </c>
    </row>
    <row r="66">
      <c r="B66" t="inlineStr">
        <is>
          <t>I0</t>
        </is>
      </c>
    </row>
    <row r="67">
      <c r="B67" t="inlineStr">
        <is>
          <t>I1</t>
        </is>
      </c>
    </row>
    <row r="68">
      <c r="B68" t="inlineStr">
        <is>
          <t>I2</t>
        </is>
      </c>
    </row>
    <row r="69">
      <c r="B69" t="inlineStr">
        <is>
          <t>I2 I1</t>
        </is>
      </c>
    </row>
    <row r="70">
      <c r="B70" t="inlineStr">
        <is>
          <t>Industrial</t>
        </is>
      </c>
    </row>
    <row r="71">
      <c r="B71" t="inlineStr">
        <is>
          <t>M-1-Aur</t>
        </is>
      </c>
    </row>
    <row r="72">
      <c r="B72" t="inlineStr">
        <is>
          <t>M-1-Wes</t>
        </is>
      </c>
    </row>
    <row r="73">
      <c r="B73" t="inlineStr">
        <is>
          <t>M-2</t>
        </is>
      </c>
    </row>
    <row r="74">
      <c r="B74" t="inlineStr">
        <is>
          <t>M-3</t>
        </is>
      </c>
    </row>
    <row r="75">
      <c r="B75" t="inlineStr">
        <is>
          <t>MS1</t>
        </is>
      </c>
    </row>
    <row r="76">
      <c r="B76" t="inlineStr">
        <is>
          <t>Northglenn</t>
        </is>
      </c>
    </row>
    <row r="77">
      <c r="B77" t="inlineStr">
        <is>
          <t>OA-G</t>
        </is>
      </c>
    </row>
    <row r="78">
      <c r="B78" t="inlineStr">
        <is>
          <t>OA-MS</t>
        </is>
      </c>
    </row>
    <row r="79">
      <c r="B79" t="inlineStr">
        <is>
          <t>PD</t>
        </is>
      </c>
    </row>
    <row r="80">
      <c r="B80" t="inlineStr">
        <is>
          <t>PRV</t>
        </is>
      </c>
    </row>
    <row r="81">
      <c r="B81" t="inlineStr">
        <is>
          <t>PUD</t>
        </is>
      </c>
    </row>
    <row r="82">
      <c r="B82" t="inlineStr">
        <is>
          <t>PUD-Bri</t>
        </is>
      </c>
    </row>
    <row r="83">
      <c r="B83" t="inlineStr">
        <is>
          <t>PUD-Com</t>
        </is>
      </c>
    </row>
    <row r="84">
      <c r="B84" t="inlineStr">
        <is>
          <t>PUD-Nor</t>
        </is>
      </c>
    </row>
    <row r="85">
      <c r="B85" t="inlineStr">
        <is>
          <t>PUD-Wes</t>
        </is>
      </c>
    </row>
    <row r="86">
      <c r="B86" t="inlineStr">
        <is>
          <t>Planned Development</t>
        </is>
      </c>
    </row>
    <row r="87">
      <c r="B87" t="inlineStr">
        <is>
          <t>Planned Unit Development</t>
        </is>
      </c>
    </row>
    <row r="88">
      <c r="B88" t="inlineStr">
        <is>
          <t>R-1-B-Nor</t>
        </is>
      </c>
    </row>
    <row r="89">
      <c r="B89" t="inlineStr">
        <is>
          <t>R-1-C-Nor</t>
        </is>
      </c>
    </row>
    <row r="90">
      <c r="B90" t="inlineStr">
        <is>
          <t>R-2-Bri</t>
        </is>
      </c>
    </row>
    <row r="91">
      <c r="B91" t="inlineStr">
        <is>
          <t>R-2-Com</t>
        </is>
      </c>
    </row>
    <row r="92">
      <c r="B92" t="inlineStr">
        <is>
          <t>R-4-Nor</t>
        </is>
      </c>
    </row>
    <row r="93">
      <c r="B93" t="inlineStr">
        <is>
          <t>R-MU-30</t>
        </is>
      </c>
    </row>
    <row r="94">
      <c r="B94" t="inlineStr">
        <is>
          <t>R1</t>
        </is>
      </c>
    </row>
    <row r="95">
      <c r="B95" t="inlineStr">
        <is>
          <t>R2</t>
        </is>
      </c>
    </row>
    <row r="96">
      <c r="B96" t="inlineStr">
        <is>
          <t>R3</t>
        </is>
      </c>
    </row>
    <row r="97">
      <c r="B97" t="inlineStr">
        <is>
          <t>R30MU</t>
        </is>
      </c>
    </row>
    <row r="98">
      <c r="B98" t="inlineStr">
        <is>
          <t>Regional Commercial</t>
        </is>
      </c>
    </row>
    <row r="99">
      <c r="B99" t="inlineStr">
        <is>
          <t>Residential</t>
        </is>
      </c>
    </row>
    <row r="100">
      <c r="B100" t="inlineStr">
        <is>
          <t>SPD</t>
        </is>
      </c>
    </row>
    <row r="101">
      <c r="B101" t="inlineStr">
        <is>
          <t>Single Family Detached</t>
        </is>
      </c>
    </row>
    <row r="102">
      <c r="B102" t="inlineStr">
        <is>
          <t>Thornton</t>
        </is>
      </c>
    </row>
    <row r="103">
      <c r="B103" t="inlineStr">
        <is>
          <t>U-MS-2</t>
        </is>
      </c>
    </row>
    <row r="104">
      <c r="B104" t="inlineStr">
        <is>
          <t>U-MS-3</t>
        </is>
      </c>
    </row>
    <row r="105">
      <c r="B105" t="inlineStr">
        <is>
          <t>U-MS-5</t>
        </is>
      </c>
    </row>
    <row r="106">
      <c r="B106" t="inlineStr">
        <is>
          <t>U-MX-3</t>
        </is>
      </c>
    </row>
    <row r="107">
      <c r="B107" t="inlineStr">
        <is>
          <t>Westminster</t>
        </is>
      </c>
    </row>
    <row r="108">
      <c r="B108" t="inlineStr">
        <is>
          <t>i2</t>
        </is>
      </c>
    </row>
  </sheetData>
  <mergeCells count="1">
    <mergeCell ref="B2:E2"/>
  </mergeCells>
  <pageMargins left="0.75" right="0.75" top="1" bottom="1" header="0.5" footer="0.5"/>
</worksheet>
</file>

<file path=xl/worksheets/sheet18.xml><?xml version="1.0" encoding="utf-8"?>
<worksheet xmlns="http://schemas.openxmlformats.org/spreadsheetml/2006/main">
  <sheetPr>
    <tabColor rgb="FFC55A11"/>
    <outlinePr summaryBelow="1" summaryRight="1"/>
    <pageSetUpPr/>
  </sheetPr>
  <dimension ref="B1:Y56"/>
  <sheetViews>
    <sheetView workbookViewId="0">
      <pane ySplit="3" topLeftCell="A4" activePane="bottomLeft" state="frozen"/>
      <selection pane="bottomLeft" activeCell="A1" sqref="A1"/>
    </sheetView>
  </sheetViews>
  <sheetFormatPr baseColWidth="10" defaultColWidth="9" defaultRowHeight="12"/>
  <cols>
    <col width="2" customWidth="1" style="518" min="1" max="1"/>
    <col width="36" customWidth="1" style="518" min="2" max="2"/>
    <col width="22" customWidth="1" style="518" min="3" max="3"/>
    <col width="20" customWidth="1" style="518" min="4" max="5"/>
    <col width="22" customWidth="1" style="518" min="6" max="6"/>
    <col width="18" customWidth="1" style="518" min="7" max="7"/>
    <col width="14" customWidth="1" style="518" min="8" max="8"/>
    <col width="20" customWidth="1" style="518" min="9" max="10"/>
    <col width="16" customWidth="1" style="518" min="11" max="11"/>
    <col width="12" customWidth="1" style="518" min="12" max="12"/>
    <col width="10" customWidth="1" style="518" min="13" max="13"/>
    <col width="46" customWidth="1" style="518" min="14" max="14"/>
    <col hidden="1" width="13" customWidth="1" style="518" min="16" max="25"/>
  </cols>
  <sheetData>
    <row r="1" ht="18" customHeight="1" s="518">
      <c r="B1" s="307" t="inlineStr">
        <is>
          <t>PROPERTY RESOURCES — Adams County, Colorado</t>
        </is>
      </c>
    </row>
    <row r="2" ht="78" customHeight="1" s="518">
      <c r="B2" s="575" t="inlineStr">
        <is>
          <t>Pick the jurisdiction the property sits in (step 1 below) and every link you need appears. A mailing city is NOT always the land-use jurisdiction — when unsure, check the parcel on the county GIS map first.</t>
        </is>
      </c>
    </row>
    <row r="4">
      <c r="B4" s="305" t="inlineStr">
        <is>
          <t>STEP 1 — Where is the property?</t>
        </is>
      </c>
      <c r="C4" s="308" t="n"/>
      <c r="D4" s="308" t="n"/>
      <c r="E4" s="308" t="n"/>
      <c r="F4" s="308" t="n"/>
    </row>
    <row r="5" ht="16" customHeight="1" s="518">
      <c r="B5" s="168" t="inlineStr">
        <is>
          <t>Jurisdiction (pick from list):</t>
        </is>
      </c>
      <c r="C5" s="309" t="inlineStr">
        <is>
          <t>Unincorporated Adams County</t>
        </is>
      </c>
      <c r="E5">
        <f>IF(Subj_Address="","", "Subject Property on file: "&amp;Subj_Address)</f>
        <v/>
      </c>
    </row>
    <row r="6">
      <c r="B6" s="724">
        <f>INDEX(RES_MATRIX_NOTE,MATCH($C$5,RES_MATRIX_JUR,0))</f>
        <v/>
      </c>
    </row>
    <row r="8">
      <c r="B8" s="305" t="inlineStr">
        <is>
          <t>STEP 2 — Jurisdiction links (zoning, planning, permits, hearings for the pick above)</t>
        </is>
      </c>
      <c r="C8" s="308" t="n"/>
      <c r="D8" s="308" t="n"/>
      <c r="E8" s="308" t="n"/>
      <c r="F8" s="308" t="n"/>
    </row>
    <row r="9">
      <c r="B9" s="310" t="inlineStr">
        <is>
          <t>Official website</t>
        </is>
      </c>
      <c r="C9" s="573">
        <f>HYPERLINK(INDEX(RES_MATRIX_C,MATCH($C$5,RES_MATRIX_JUR,0)),INDEX(RES_MATRIX_C,MATCH($C$5,RES_MATRIX_JUR,0)))</f>
        <v/>
      </c>
      <c r="D9" s="725" t="n"/>
      <c r="E9" s="725" t="n"/>
      <c r="F9" s="725" t="n"/>
    </row>
    <row r="10">
      <c r="B10" s="310" t="inlineStr">
        <is>
          <t>Property / GIS maps</t>
        </is>
      </c>
      <c r="C10" s="573">
        <f>HYPERLINK(INDEX(RES_MATRIX_D,MATCH($C$5,RES_MATRIX_JUR,0)),INDEX(RES_MATRIX_D,MATCH($C$5,RES_MATRIX_JUR,0)))</f>
        <v/>
      </c>
      <c r="D10" s="725" t="n"/>
      <c r="E10" s="725" t="n"/>
      <c r="F10" s="725" t="n"/>
    </row>
    <row r="11">
      <c r="B11" s="310" t="inlineStr">
        <is>
          <t>Zoning / land-use code</t>
        </is>
      </c>
      <c r="C11" s="573">
        <f>HYPERLINK(INDEX(RES_MATRIX_E,MATCH($C$5,RES_MATRIX_JUR,0)),INDEX(RES_MATRIX_E,MATCH($C$5,RES_MATRIX_JUR,0)))</f>
        <v/>
      </c>
      <c r="D11" s="725" t="n"/>
      <c r="E11" s="725" t="n"/>
      <c r="F11" s="725" t="n"/>
    </row>
    <row r="12">
      <c r="B12" s="310" t="inlineStr">
        <is>
          <t>Planning department</t>
        </is>
      </c>
      <c r="C12" s="573">
        <f>HYPERLINK(INDEX(RES_MATRIX_F,MATCH($C$5,RES_MATRIX_JUR,0)),INDEX(RES_MATRIX_F,MATCH($C$5,RES_MATRIX_JUR,0)))</f>
        <v/>
      </c>
      <c r="D12" s="725" t="n"/>
      <c r="E12" s="725" t="n"/>
      <c r="F12" s="725" t="n"/>
    </row>
    <row r="13">
      <c r="B13" s="310" t="inlineStr">
        <is>
          <t>Active development / projects</t>
        </is>
      </c>
      <c r="C13" s="573">
        <f>HYPERLINK(INDEX(RES_MATRIX_G,MATCH($C$5,RES_MATRIX_JUR,0)),INDEX(RES_MATRIX_G,MATCH($C$5,RES_MATRIX_JUR,0)))</f>
        <v/>
      </c>
      <c r="D13" s="725" t="n"/>
      <c r="E13" s="725" t="n"/>
      <c r="F13" s="725" t="n"/>
    </row>
    <row r="14">
      <c r="B14" s="310" t="inlineStr">
        <is>
          <t>Permits</t>
        </is>
      </c>
      <c r="C14" s="573">
        <f>HYPERLINK(INDEX(RES_MATRIX_H,MATCH($C$5,RES_MATRIX_JUR,0)),INDEX(RES_MATRIX_H,MATCH($C$5,RES_MATRIX_JUR,0)))</f>
        <v/>
      </c>
      <c r="D14" s="725" t="n"/>
      <c r="E14" s="725" t="n"/>
      <c r="F14" s="725" t="n"/>
    </row>
    <row r="15">
      <c r="B15" s="310" t="inlineStr">
        <is>
          <t>Long-range / comprehensive plan</t>
        </is>
      </c>
      <c r="C15" s="573">
        <f>HYPERLINK(INDEX(RES_MATRIX_I,MATCH($C$5,RES_MATRIX_JUR,0)),INDEX(RES_MATRIX_I,MATCH($C$5,RES_MATRIX_JUR,0)))</f>
        <v/>
      </c>
      <c r="D15" s="725" t="n"/>
      <c r="E15" s="725" t="n"/>
      <c r="F15" s="725" t="n"/>
    </row>
    <row r="16">
      <c r="B16" s="310" t="inlineStr">
        <is>
          <t>Agendas &amp; meetings</t>
        </is>
      </c>
      <c r="C16" s="573">
        <f>HYPERLINK(INDEX(RES_MATRIX_J,MATCH($C$5,RES_MATRIX_JUR,0)),INDEX(RES_MATRIX_J,MATCH($C$5,RES_MATRIX_JUR,0)))</f>
        <v/>
      </c>
      <c r="D16" s="725" t="n"/>
      <c r="E16" s="725" t="n"/>
      <c r="F16" s="725" t="n"/>
    </row>
    <row r="17">
      <c r="B17" s="310" t="inlineStr">
        <is>
          <t>Public / legal notices</t>
        </is>
      </c>
      <c r="C17" s="573">
        <f>HYPERLINK(INDEX(RES_MATRIX_K,MATCH($C$5,RES_MATRIX_JUR,0)),INDEX(RES_MATRIX_K,MATCH($C$5,RES_MATRIX_JUR,0)))</f>
        <v/>
      </c>
      <c r="D17" s="725" t="n"/>
      <c r="E17" s="725" t="n"/>
      <c r="F17" s="725" t="n"/>
    </row>
    <row r="18">
      <c r="B18" s="310" t="inlineStr">
        <is>
          <t>News</t>
        </is>
      </c>
      <c r="C18" s="573">
        <f>HYPERLINK(INDEX(RES_MATRIX_L,MATCH($C$5,RES_MATRIX_JUR,0)),INDEX(RES_MATRIX_L,MATCH($C$5,RES_MATRIX_JUR,0)))</f>
        <v/>
      </c>
      <c r="D18" s="725" t="n"/>
      <c r="E18" s="725" t="n"/>
      <c r="F18" s="725" t="n"/>
    </row>
    <row r="20">
      <c r="B20" s="305" t="inlineStr">
        <is>
          <t>STEP 3 — County records (work for ANY Adams County property, regardless of city)</t>
        </is>
      </c>
      <c r="C20" s="308" t="n"/>
      <c r="D20" s="308" t="n"/>
      <c r="E20" s="308" t="n"/>
      <c r="F20" s="308" t="n"/>
    </row>
    <row r="21">
      <c r="B21" s="310" t="inlineStr">
        <is>
          <t>Parcel / owner / value search</t>
        </is>
      </c>
      <c r="C21" s="573" t="inlineStr">
        <is>
          <t>https://adamscountyco.gov/service/search-real-property/</t>
        </is>
      </c>
      <c r="D21" s="725" t="n"/>
      <c r="E21" s="725" t="n"/>
      <c r="F21" s="725" t="n"/>
    </row>
    <row r="22">
      <c r="B22" s="310" t="inlineStr">
        <is>
          <t>Fast parcel lookup (GIS)</t>
        </is>
      </c>
      <c r="C22" s="573" t="inlineStr">
        <is>
          <t>https://gisapp.adcogov.org/quicksearch/</t>
        </is>
      </c>
      <c r="D22" s="725" t="n"/>
      <c r="E22" s="725" t="n"/>
      <c r="F22" s="725" t="n"/>
    </row>
    <row r="23">
      <c r="B23" s="310" t="inlineStr">
        <is>
          <t>Interactive county maps</t>
        </is>
      </c>
      <c r="C23" s="573" t="inlineStr">
        <is>
          <t>https://adamscountyco.gov/service/gis-interactive-maps/</t>
        </is>
      </c>
      <c r="D23" s="725" t="n"/>
      <c r="E23" s="725" t="n"/>
      <c r="F23" s="725" t="n"/>
    </row>
    <row r="24">
      <c r="B24" s="310" t="inlineStr">
        <is>
          <t>Recorded deeds &amp; documents</t>
        </is>
      </c>
      <c r="C24" s="573" t="inlineStr">
        <is>
          <t>https://recording.adamscountyco.gov/landmarkweb/</t>
        </is>
      </c>
      <c r="D24" s="725" t="n"/>
      <c r="E24" s="725" t="n"/>
      <c r="F24" s="725" t="n"/>
    </row>
    <row r="25">
      <c r="B25" s="310" t="inlineStr">
        <is>
          <t>Survey plats</t>
        </is>
      </c>
      <c r="C25" s="573" t="inlineStr">
        <is>
          <t>https://adamscountyco.gov/our-county/elected-officials/clerk-recorder/recording/land-survey-plats/</t>
        </is>
      </c>
      <c r="D25" s="725" t="n"/>
      <c r="E25" s="725" t="n"/>
      <c r="F25" s="725" t="n"/>
    </row>
    <row r="26">
      <c r="B26" s="310" t="inlineStr">
        <is>
          <t>Property taxes / balances</t>
        </is>
      </c>
      <c r="C26" s="573" t="inlineStr">
        <is>
          <t>https://adcotax.com/</t>
        </is>
      </c>
      <c r="D26" s="725" t="n"/>
      <c r="E26" s="725" t="n"/>
      <c r="F26" s="725" t="n"/>
    </row>
    <row r="27">
      <c r="B27" s="310" t="inlineStr">
        <is>
          <t>Foreclosure records</t>
        </is>
      </c>
      <c r="C27" s="573" t="inlineStr">
        <is>
          <t>https://apps.adcogov.org/PTForeclosureSearch/?ds=1</t>
        </is>
      </c>
      <c r="D27" s="725" t="n"/>
      <c r="E27" s="725" t="n"/>
      <c r="F27" s="725" t="n"/>
    </row>
    <row r="28">
      <c r="B28" s="310" t="inlineStr">
        <is>
          <t>Unincorporated planning &amp; zoning</t>
        </is>
      </c>
      <c r="C28" s="573" t="inlineStr">
        <is>
          <t>https://adamscountyco.gov/our-county/community-economic-development/planning-development/</t>
        </is>
      </c>
      <c r="D28" s="725" t="n"/>
      <c r="E28" s="725" t="n"/>
      <c r="F28" s="725" t="n"/>
    </row>
    <row r="29">
      <c r="B29" s="310" t="inlineStr">
        <is>
          <t>Pending land-use cases &amp; hearings</t>
        </is>
      </c>
      <c r="C29" s="573" t="inlineStr">
        <is>
          <t>https://adamscountyco.gov/our-county/community-economic-development/planning-development/current-land-use-cases/</t>
        </is>
      </c>
      <c r="D29" s="725" t="n"/>
      <c r="E29" s="725" t="n"/>
      <c r="F29" s="725" t="n"/>
    </row>
    <row r="30">
      <c r="B30" s="310" t="inlineStr">
        <is>
          <t>Unincorporated building permits</t>
        </is>
      </c>
      <c r="C30" s="573" t="inlineStr">
        <is>
          <t>https://adamscountyco.gov/our-county/community-economic-development/building-safety/building-permit/</t>
        </is>
      </c>
      <c r="D30" s="725" t="n"/>
      <c r="E30" s="725" t="n"/>
      <c r="F30" s="725" t="n"/>
    </row>
    <row r="32">
      <c r="B32" s="305" t="inlineStr">
        <is>
          <t>STEP 4 — State &amp; federal checks (apply everywhere)</t>
        </is>
      </c>
      <c r="C32" s="308" t="n"/>
      <c r="D32" s="308" t="n"/>
      <c r="E32" s="308" t="n"/>
      <c r="F32" s="308" t="n"/>
    </row>
    <row r="33">
      <c r="B33" s="310" t="inlineStr">
        <is>
          <t>Who owns the LLC? (Secretary of State)</t>
        </is>
      </c>
      <c r="C33" s="573" t="inlineStr">
        <is>
          <t>https://co.colorado.gov/search-business-records</t>
        </is>
      </c>
      <c r="D33" s="725" t="n"/>
      <c r="E33" s="725" t="n"/>
      <c r="F33" s="725" t="n"/>
    </row>
    <row r="34">
      <c r="B34" s="310" t="inlineStr">
        <is>
          <t>Municipal boundary map (DOLA)</t>
        </is>
      </c>
      <c r="C34" s="573" t="inlineStr">
        <is>
          <t>https://gis.dola.colorado.gov/CO_SpecialDistrict/</t>
        </is>
      </c>
      <c r="D34" s="725" t="n"/>
      <c r="E34" s="725" t="n"/>
      <c r="F34" s="725" t="n"/>
    </row>
    <row r="35">
      <c r="B35" s="310" t="inlineStr">
        <is>
          <t>Special / metro districts (DOLA)</t>
        </is>
      </c>
      <c r="C35" s="573" t="inlineStr">
        <is>
          <t>https://gis.dola.colorado.gov/CO_SpecialDistrict/</t>
        </is>
      </c>
      <c r="D35" s="725" t="n"/>
      <c r="E35" s="725" t="n"/>
      <c r="F35" s="725" t="n"/>
    </row>
    <row r="36">
      <c r="B36" s="310" t="inlineStr">
        <is>
          <t>Water rights, wells &amp; structures (DWR)</t>
        </is>
      </c>
      <c r="C36" s="573" t="inlineStr">
        <is>
          <t>https://gis.dola.colorado.gov/CO_SpecialDistrict/</t>
        </is>
      </c>
      <c r="D36" s="725" t="n"/>
      <c r="E36" s="725" t="n"/>
      <c r="F36" s="725" t="n"/>
    </row>
    <row r="37">
      <c r="B37" s="310" t="inlineStr">
        <is>
          <t>Oil &amp; gas wells (ECMC)</t>
        </is>
      </c>
      <c r="C37" s="573" t="inlineStr">
        <is>
          <t>https://ecmc.state.co.us/maps.html</t>
        </is>
      </c>
      <c r="D37" s="725" t="n"/>
      <c r="E37" s="725" t="n"/>
      <c r="F37" s="725" t="n"/>
    </row>
    <row r="38">
      <c r="B38" s="310" t="inlineStr">
        <is>
          <t>FEMA flood map</t>
        </is>
      </c>
      <c r="C38" s="573" t="inlineStr">
        <is>
          <t>https://www.fema.gov/flood-maps</t>
        </is>
      </c>
      <c r="D38" s="725" t="n"/>
      <c r="E38" s="725" t="n"/>
      <c r="F38" s="725" t="n"/>
    </row>
    <row r="39">
      <c r="B39" s="310" t="inlineStr">
        <is>
          <t>Environmental records (CDPHE)</t>
        </is>
      </c>
      <c r="C39" s="573" t="inlineStr">
        <is>
          <t>https://cdphe.colorado.gov/maps-and-gis-for-health-and-environment</t>
        </is>
      </c>
      <c r="D39" s="725" t="n"/>
      <c r="E39" s="725" t="n"/>
      <c r="F39" s="725" t="n"/>
    </row>
    <row r="40">
      <c r="B40" s="310" t="inlineStr">
        <is>
          <t>Soils survey (USDA NRCS)</t>
        </is>
      </c>
      <c r="C40" s="573" t="inlineStr">
        <is>
          <t>https://websoilsurvey.nrcs.usda.gov/</t>
        </is>
      </c>
      <c r="D40" s="725" t="n"/>
      <c r="E40" s="725" t="n"/>
      <c r="F40" s="725" t="n"/>
    </row>
    <row r="41">
      <c r="B41" s="310" t="inlineStr">
        <is>
          <t>State highway access (CDOT)</t>
        </is>
      </c>
      <c r="C41" s="573" t="inlineStr">
        <is>
          <t>https://dtdapps.codot.gov/otis</t>
        </is>
      </c>
      <c r="D41" s="725" t="n"/>
      <c r="E41" s="725" t="n"/>
      <c r="F41" s="725" t="n"/>
    </row>
    <row r="42">
      <c r="B42" s="312" t="inlineStr">
        <is>
          <t>Full list of every curated source (300+) and the step-by-step due-diligence checklist: see the Resource Directory tab.</t>
        </is>
      </c>
    </row>
    <row r="44">
      <c r="B44" s="305" t="inlineStr">
        <is>
          <t>ALL JURISDICTIONS AT A GLANCE (the picker above reads from this table)</t>
        </is>
      </c>
      <c r="C44" s="308" t="n"/>
      <c r="D44" s="308" t="n"/>
      <c r="E44" s="308" t="n"/>
      <c r="F44" s="308" t="n"/>
      <c r="G44" s="308" t="n"/>
      <c r="H44" s="308" t="n"/>
      <c r="I44" s="308" t="n"/>
      <c r="J44" s="308" t="n"/>
      <c r="K44" s="308" t="n"/>
      <c r="L44" s="308" t="n"/>
      <c r="M44" s="308" t="n"/>
    </row>
    <row r="45">
      <c r="B45" s="306" t="inlineStr">
        <is>
          <t>Jurisdiction</t>
        </is>
      </c>
      <c r="C45" s="306" t="inlineStr">
        <is>
          <t>Type</t>
        </is>
      </c>
      <c r="D45" s="306" t="inlineStr">
        <is>
          <t>Official Home</t>
        </is>
      </c>
      <c r="E45" s="306" t="inlineStr">
        <is>
          <t>Property / GIS</t>
        </is>
      </c>
      <c r="F45" s="306" t="inlineStr">
        <is>
          <t>Zoning / Code</t>
        </is>
      </c>
      <c r="G45" s="306" t="inlineStr">
        <is>
          <t>Planning</t>
        </is>
      </c>
      <c r="H45" s="306" t="inlineStr">
        <is>
          <t>Development / Projects</t>
        </is>
      </c>
      <c r="I45" s="306" t="inlineStr">
        <is>
          <t>Permits</t>
        </is>
      </c>
      <c r="J45" s="306" t="inlineStr">
        <is>
          <t>Long-Range Plan</t>
        </is>
      </c>
      <c r="K45" s="306" t="inlineStr">
        <is>
          <t>Agendas / Meetings</t>
        </is>
      </c>
      <c r="L45" s="306" t="inlineStr">
        <is>
          <t>Public Notices</t>
        </is>
      </c>
      <c r="M45" s="306" t="inlineStr">
        <is>
          <t>News</t>
        </is>
      </c>
      <c r="N45" s="306" t="inlineStr">
        <is>
          <t>Boundary / Use Note</t>
        </is>
      </c>
      <c r="P45" s="313" t="inlineStr">
        <is>
          <t>(raw URLs feeding the Step-2 links — do not delete)</t>
        </is>
      </c>
    </row>
    <row r="46" ht="39" customHeight="1" s="518">
      <c r="B46" s="310" t="inlineStr">
        <is>
          <t>Unincorporated Adams County</t>
        </is>
      </c>
      <c r="C46" s="314" t="inlineStr">
        <is>
          <t>County jurisdiction</t>
        </is>
      </c>
      <c r="D46" s="311" t="inlineStr">
        <is>
          <t>Official Home</t>
        </is>
      </c>
      <c r="E46" s="311" t="inlineStr">
        <is>
          <t>Property / GIS</t>
        </is>
      </c>
      <c r="F46" s="311" t="inlineStr">
        <is>
          <t>Zoning / Code</t>
        </is>
      </c>
      <c r="G46" s="311" t="inlineStr">
        <is>
          <t>Planning</t>
        </is>
      </c>
      <c r="H46" s="311" t="inlineStr">
        <is>
          <t>Development / Projects</t>
        </is>
      </c>
      <c r="I46" s="311" t="inlineStr">
        <is>
          <t>Permits</t>
        </is>
      </c>
      <c r="J46" s="311" t="inlineStr">
        <is>
          <t>Long-Range Plan</t>
        </is>
      </c>
      <c r="K46" s="311" t="inlineStr">
        <is>
          <t>Agendas / Meetings</t>
        </is>
      </c>
      <c r="L46" s="311" t="inlineStr">
        <is>
          <t>Public Notices</t>
        </is>
      </c>
      <c r="M46" s="311" t="inlineStr">
        <is>
          <t>News</t>
        </is>
      </c>
      <c r="N46" s="315" t="inlineStr">
        <is>
          <t>Use county land-use and permit resources only when the parcel is outside an incorporated city or town.</t>
        </is>
      </c>
      <c r="P46" t="inlineStr">
        <is>
          <t>https://adamscountyco.gov/</t>
        </is>
      </c>
      <c r="Q46" t="inlineStr">
        <is>
          <t>https://adamscountyco.gov/service/gis-interactive-maps/</t>
        </is>
      </c>
      <c r="R46" t="inlineStr">
        <is>
          <t>https://adamscountyco.gov/our-county/community-economic-development/planning-development/development-standards-regulations/</t>
        </is>
      </c>
      <c r="S46" t="inlineStr">
        <is>
          <t>https://adamscountyco.gov/our-county/community-economic-development/planning-development/</t>
        </is>
      </c>
      <c r="T46" t="inlineStr">
        <is>
          <t>https://adamscountyco.gov/our-county/community-economic-development/planning-development/current-land-use-cases/</t>
        </is>
      </c>
      <c r="U46" t="inlineStr">
        <is>
          <t>https://adamscountyco.gov/our-county/community-economic-development/building-safety/building-permit/</t>
        </is>
      </c>
      <c r="V46" t="inlineStr">
        <is>
          <t>https://adamscountyco.gov/our-county/community-economic-development/advancing-adams/comprehensive-plan/</t>
        </is>
      </c>
      <c r="W46" t="inlineStr">
        <is>
          <t>https://adamscountyco.gov/about-adams-county/public-meetings/</t>
        </is>
      </c>
      <c r="X46" t="inlineStr">
        <is>
          <t>https://adamscountyco.gov/our-county/community-economic-development/planning-development/current-land-use-cases/</t>
        </is>
      </c>
      <c r="Y46" t="inlineStr">
        <is>
          <t>https://adamscountyco.gov/about-adams-county/news/</t>
        </is>
      </c>
    </row>
    <row r="47" ht="39" customHeight="1" s="518">
      <c r="B47" s="310" t="inlineStr">
        <is>
          <t>Arvada</t>
        </is>
      </c>
      <c r="C47" s="314" t="inlineStr">
        <is>
          <t>City</t>
        </is>
      </c>
      <c r="D47" s="311" t="inlineStr">
        <is>
          <t>Official Home</t>
        </is>
      </c>
      <c r="E47" s="311" t="inlineStr">
        <is>
          <t>Property / GIS</t>
        </is>
      </c>
      <c r="F47" s="311" t="inlineStr">
        <is>
          <t>Zoning / Code</t>
        </is>
      </c>
      <c r="G47" s="311" t="inlineStr">
        <is>
          <t>Planning</t>
        </is>
      </c>
      <c r="H47" s="311" t="inlineStr">
        <is>
          <t>Development / Projects</t>
        </is>
      </c>
      <c r="I47" s="311" t="inlineStr">
        <is>
          <t>Permits</t>
        </is>
      </c>
      <c r="J47" s="311" t="inlineStr">
        <is>
          <t>Long-Range Plan</t>
        </is>
      </c>
      <c r="K47" s="311" t="inlineStr">
        <is>
          <t>Agendas / Meetings</t>
        </is>
      </c>
      <c r="L47" s="311" t="inlineStr">
        <is>
          <t>Public Notices</t>
        </is>
      </c>
      <c r="M47" s="311" t="inlineStr">
        <is>
          <t>News</t>
        </is>
      </c>
      <c r="N47" s="315" t="inlineStr">
        <is>
          <t>Use city land-use resources for the Arvada parcel; use the recorder/assessor for the parcel's actual county.</t>
        </is>
      </c>
      <c r="P47" t="inlineStr">
        <is>
          <t>https://www.arvadaco.gov/</t>
        </is>
      </c>
      <c r="Q47" t="inlineStr">
        <is>
          <t>https://www.arvadaco.gov/702/Maps-and-Property-Search</t>
        </is>
      </c>
      <c r="R47" t="inlineStr">
        <is>
          <t>https://www.arvadaco.gov/168/Zoning</t>
        </is>
      </c>
      <c r="S47" t="inlineStr">
        <is>
          <t>https://www.arvadaco.gov/1369/Planning-and-Development</t>
        </is>
      </c>
      <c r="T47" t="inlineStr">
        <is>
          <t>https://www.arvadaco.gov/1394/Active-Development-Projects</t>
        </is>
      </c>
      <c r="U47" t="inlineStr">
        <is>
          <t>https://www.arvadaco.gov/330/Permits</t>
        </is>
      </c>
      <c r="V47" t="inlineStr">
        <is>
          <t>https://www.arvadaco.gov/1374/2026-27-Comprehensive-Plan</t>
        </is>
      </c>
      <c r="W47" t="inlineStr">
        <is>
          <t>https://www.arvadaco.gov/AgendaCenter</t>
        </is>
      </c>
      <c r="X47" t="inlineStr">
        <is>
          <t>https://www.arvadaco.gov/245/Meetings-and-Other-Legal-Notices</t>
        </is>
      </c>
      <c r="Y47" t="inlineStr">
        <is>
          <t>https://www.arvadaco.gov/908/News-Releases</t>
        </is>
      </c>
    </row>
    <row r="48" ht="39" customHeight="1" s="518">
      <c r="B48" s="310" t="inlineStr">
        <is>
          <t>Aurora</t>
        </is>
      </c>
      <c r="C48" s="314" t="inlineStr">
        <is>
          <t>City</t>
        </is>
      </c>
      <c r="D48" s="311" t="inlineStr">
        <is>
          <t>Official Home</t>
        </is>
      </c>
      <c r="E48" s="311" t="inlineStr">
        <is>
          <t>Property / GIS</t>
        </is>
      </c>
      <c r="F48" s="311" t="inlineStr">
        <is>
          <t>Zoning / Code</t>
        </is>
      </c>
      <c r="G48" s="311" t="inlineStr">
        <is>
          <t>Planning</t>
        </is>
      </c>
      <c r="H48" s="311" t="inlineStr">
        <is>
          <t>Development / Projects</t>
        </is>
      </c>
      <c r="I48" s="311" t="inlineStr">
        <is>
          <t>Permits</t>
        </is>
      </c>
      <c r="J48" s="311" t="inlineStr">
        <is>
          <t>Long-Range Plan</t>
        </is>
      </c>
      <c r="K48" s="311" t="inlineStr">
        <is>
          <t>Agendas / Meetings</t>
        </is>
      </c>
      <c r="L48" s="311" t="inlineStr">
        <is>
          <t>Public Notices</t>
        </is>
      </c>
      <c r="M48" s="311" t="inlineStr">
        <is>
          <t>News</t>
        </is>
      </c>
      <c r="N48" s="315" t="inlineStr">
        <is>
          <t>Use these links for Aurora parcels in Adams County; verify county before deed, tax or assessor research.</t>
        </is>
      </c>
      <c r="P48" t="inlineStr">
        <is>
          <t>https://www.auroragov.org/</t>
        </is>
      </c>
      <c r="Q48" t="inlineStr">
        <is>
          <t>https://www.auroragov.org/city_hall/maps/planning_and_zoning_maps</t>
        </is>
      </c>
      <c r="R48" t="inlineStr">
        <is>
          <t>https://zoning.auroragov.org/</t>
        </is>
      </c>
      <c r="S48" t="inlineStr">
        <is>
          <t>https://www.auroragov.org/business_services/planning</t>
        </is>
      </c>
      <c r="T48" t="inlineStr">
        <is>
          <t>https://coaapps.auroragov.org/ProjectStatus/search.aspx</t>
        </is>
      </c>
      <c r="U48" t="inlineStr">
        <is>
          <t>https://www.auroragov.org/business_services/building_division/permits</t>
        </is>
      </c>
      <c r="V48" t="inlineStr">
        <is>
          <t>https://www.auroragov.org/business_services/planning/projects__plans___studies/comprehensive_plan</t>
        </is>
      </c>
      <c r="W48" t="inlineStr">
        <is>
          <t>https://www.auroragov.org/city_hall/mayor___city_council/council_meetings</t>
        </is>
      </c>
      <c r="X48" t="inlineStr">
        <is>
          <t>https://www.auroragov.org/city_hall/public_records/legal_notices/public_hearings</t>
        </is>
      </c>
      <c r="Y48" t="inlineStr">
        <is>
          <t>https://www.auroragov.org/news/whats_new</t>
        </is>
      </c>
    </row>
    <row r="49" ht="26" customHeight="1" s="518">
      <c r="B49" s="310" t="inlineStr">
        <is>
          <t>Bennett</t>
        </is>
      </c>
      <c r="C49" s="314" t="inlineStr">
        <is>
          <t>Town</t>
        </is>
      </c>
      <c r="D49" s="311" t="inlineStr">
        <is>
          <t>Official Home</t>
        </is>
      </c>
      <c r="E49" s="311" t="inlineStr">
        <is>
          <t>Property / GIS</t>
        </is>
      </c>
      <c r="F49" s="311" t="inlineStr">
        <is>
          <t>Zoning / Code</t>
        </is>
      </c>
      <c r="G49" s="311" t="inlineStr">
        <is>
          <t>Planning</t>
        </is>
      </c>
      <c r="H49" s="311" t="inlineStr">
        <is>
          <t>Development / Projects</t>
        </is>
      </c>
      <c r="I49" s="311" t="inlineStr">
        <is>
          <t>Permits</t>
        </is>
      </c>
      <c r="J49" s="311" t="inlineStr">
        <is>
          <t>Long-Range Plan</t>
        </is>
      </c>
      <c r="K49" s="311" t="inlineStr">
        <is>
          <t>Agendas / Meetings</t>
        </is>
      </c>
      <c r="L49" s="311" t="inlineStr">
        <is>
          <t>Public Notices</t>
        </is>
      </c>
      <c r="M49" s="311" t="inlineStr">
        <is>
          <t>News</t>
        </is>
      </c>
      <c r="N49" s="315" t="inlineStr">
        <is>
          <t>Use town land-use resources; confirm parcel county for assessor, deed and tax records.</t>
        </is>
      </c>
      <c r="P49" t="inlineStr">
        <is>
          <t>https://www.bennettco.gov/</t>
        </is>
      </c>
      <c r="Q49" t="inlineStr">
        <is>
          <t>https://www.bennettco.gov/business/page/bennett-zoning-map</t>
        </is>
      </c>
      <c r="R49" t="inlineStr">
        <is>
          <t>https://www.bennettco.gov/planning-economic-development/page/zoning-and-subdivision-regulations</t>
        </is>
      </c>
      <c r="S49" t="inlineStr">
        <is>
          <t>https://www.bennettco.gov/planning-economic-development/page/planning-and-zoning</t>
        </is>
      </c>
      <c r="T49" t="inlineStr">
        <is>
          <t>https://www.bennettco.gov/projects</t>
        </is>
      </c>
      <c r="U49" t="inlineStr">
        <is>
          <t>https://www.bennettco.gov/community-development/page/building-department</t>
        </is>
      </c>
      <c r="V49" t="inlineStr">
        <is>
          <t>https://www.bennettco.gov/planning-economic-development/page/master-plans-and-guiding-documents</t>
        </is>
      </c>
      <c r="W49" t="inlineStr">
        <is>
          <t>https://www.bennettco.gov/meetings/recent</t>
        </is>
      </c>
      <c r="X49" t="inlineStr">
        <is>
          <t>https://www.bennettco.gov/town-clerk/page/public-records</t>
        </is>
      </c>
      <c r="Y49" t="inlineStr">
        <is>
          <t>https://www.bennettco.gov/news</t>
        </is>
      </c>
    </row>
    <row r="50" ht="26" customHeight="1" s="518">
      <c r="B50" s="310" t="inlineStr">
        <is>
          <t>Brighton</t>
        </is>
      </c>
      <c r="C50" s="314" t="inlineStr">
        <is>
          <t>City</t>
        </is>
      </c>
      <c r="D50" s="311" t="inlineStr">
        <is>
          <t>Official Home</t>
        </is>
      </c>
      <c r="E50" s="311" t="inlineStr">
        <is>
          <t>Property / GIS</t>
        </is>
      </c>
      <c r="F50" s="311" t="inlineStr">
        <is>
          <t>Zoning / Code</t>
        </is>
      </c>
      <c r="G50" s="311" t="inlineStr">
        <is>
          <t>Planning</t>
        </is>
      </c>
      <c r="H50" s="311" t="inlineStr">
        <is>
          <t>Development / Projects</t>
        </is>
      </c>
      <c r="I50" s="311" t="inlineStr">
        <is>
          <t>Permits</t>
        </is>
      </c>
      <c r="J50" s="311" t="inlineStr">
        <is>
          <t>Long-Range Plan</t>
        </is>
      </c>
      <c r="K50" s="311" t="inlineStr">
        <is>
          <t>Agendas / Meetings</t>
        </is>
      </c>
      <c r="L50" s="311" t="inlineStr">
        <is>
          <t>Public Notices</t>
        </is>
      </c>
      <c r="M50" s="311" t="inlineStr">
        <is>
          <t>News</t>
        </is>
      </c>
      <c r="N50" s="315" t="inlineStr">
        <is>
          <t>Use city land-use resources; confirm parcel county before county-record research.</t>
        </is>
      </c>
      <c r="P50" t="inlineStr">
        <is>
          <t>https://www.brightonco.gov/</t>
        </is>
      </c>
      <c r="Q50" t="inlineStr">
        <is>
          <t>https://www.brightonco.gov/248/Geographic-Information-Systems</t>
        </is>
      </c>
      <c r="R50" t="inlineStr">
        <is>
          <t>https://www.brightonco.gov/363/Land-Use-Development-Code</t>
        </is>
      </c>
      <c r="S50" t="inlineStr">
        <is>
          <t>https://www.brightonco.gov/224/Planning-Zoning</t>
        </is>
      </c>
      <c r="T50" t="inlineStr">
        <is>
          <t>https://www.brightonco.gov/1596/Interactive-Development-Map</t>
        </is>
      </c>
      <c r="U50" t="inlineStr">
        <is>
          <t>https://www.brightonco.gov/222/Permitting</t>
        </is>
      </c>
      <c r="V50" t="inlineStr">
        <is>
          <t>https://www.brightonco.gov/553/Long-Range-Planning</t>
        </is>
      </c>
      <c r="W50" t="inlineStr">
        <is>
          <t>https://www.brightonco.gov/agendacenter</t>
        </is>
      </c>
      <c r="X50" t="inlineStr">
        <is>
          <t>https://www.brightonco.gov/453/Legal-Notices</t>
        </is>
      </c>
      <c r="Y50" t="inlineStr">
        <is>
          <t>https://www.brightonco.gov/175/News</t>
        </is>
      </c>
    </row>
    <row r="51" ht="39" customHeight="1" s="518">
      <c r="B51" s="310" t="inlineStr">
        <is>
          <t>Commerce City</t>
        </is>
      </c>
      <c r="C51" s="314" t="inlineStr">
        <is>
          <t>City</t>
        </is>
      </c>
      <c r="D51" s="311" t="inlineStr">
        <is>
          <t>Official Home</t>
        </is>
      </c>
      <c r="E51" s="311" t="inlineStr">
        <is>
          <t>Property / GIS</t>
        </is>
      </c>
      <c r="F51" s="311" t="inlineStr">
        <is>
          <t>Zoning / Code</t>
        </is>
      </c>
      <c r="G51" s="311" t="inlineStr">
        <is>
          <t>Planning</t>
        </is>
      </c>
      <c r="H51" s="311" t="inlineStr">
        <is>
          <t>Development / Projects</t>
        </is>
      </c>
      <c r="I51" s="311" t="inlineStr">
        <is>
          <t>Permits</t>
        </is>
      </c>
      <c r="J51" s="311" t="inlineStr">
        <is>
          <t>Long-Range Plan</t>
        </is>
      </c>
      <c r="K51" s="311" t="inlineStr">
        <is>
          <t>Agendas / Meetings</t>
        </is>
      </c>
      <c r="L51" s="311" t="inlineStr">
        <is>
          <t>Public Notices</t>
        </is>
      </c>
      <c r="M51" s="311" t="inlineStr">
        <is>
          <t>News</t>
        </is>
      </c>
      <c r="N51" s="315" t="inlineStr">
        <is>
          <t>Use city land-use resources and Adams County property/recording/tax sources for Adams County parcels.</t>
        </is>
      </c>
      <c r="P51" t="inlineStr">
        <is>
          <t>https://www.c3gov.com/Home</t>
        </is>
      </c>
      <c r="Q51" t="inlineStr">
        <is>
          <t>https://www.c3gov.com/Residents/Maps-Data-GIS</t>
        </is>
      </c>
      <c r="R51" t="inlineStr">
        <is>
          <t>https://www.c3gov.com/Government/City-Codes/Land-Development-Code</t>
        </is>
      </c>
      <c r="S51" t="inlineStr">
        <is>
          <t>https://www.c3gov.com/Government/Departments-Divisions/Community-Development</t>
        </is>
      </c>
      <c r="T51" t="inlineStr">
        <is>
          <t>https://www.c3gov.com/Business-Development/Development-Projects-Map</t>
        </is>
      </c>
      <c r="U51" t="inlineStr">
        <is>
          <t>https://www.c3gov.com/Business-Development/Building-Permits-Inspections</t>
        </is>
      </c>
      <c r="V51" t="inlineStr">
        <is>
          <t>https://www.c3gov.com/Government/City-Charter-Master-Plans/Comprehensive-Plan</t>
        </is>
      </c>
      <c r="W51" t="inlineStr">
        <is>
          <t>https://www.c3gov.com/Site-Footer/Footer-Widgets/Quick-Links/Meeting-Agendas-and-Schedules</t>
        </is>
      </c>
      <c r="X51" t="inlineStr">
        <is>
          <t>https://www.c3gov.com/Government/Departments-Divisions/City-Clerks-Office/Legal-Notices-Ordinances</t>
        </is>
      </c>
      <c r="Y51" t="inlineStr">
        <is>
          <t>https://www.c3gov.com/Government/Media-News/News-Announcements</t>
        </is>
      </c>
    </row>
    <row r="52" ht="26" customHeight="1" s="518">
      <c r="B52" s="310" t="inlineStr">
        <is>
          <t>Federal Heights</t>
        </is>
      </c>
      <c r="C52" s="314" t="inlineStr">
        <is>
          <t>City</t>
        </is>
      </c>
      <c r="D52" s="311" t="inlineStr">
        <is>
          <t>Official Home</t>
        </is>
      </c>
      <c r="E52" s="311" t="inlineStr">
        <is>
          <t>Property / GIS</t>
        </is>
      </c>
      <c r="F52" s="311" t="inlineStr">
        <is>
          <t>Zoning / Code</t>
        </is>
      </c>
      <c r="G52" s="311" t="inlineStr">
        <is>
          <t>Planning</t>
        </is>
      </c>
      <c r="H52" s="311" t="inlineStr">
        <is>
          <t>Development / Projects</t>
        </is>
      </c>
      <c r="I52" s="311" t="inlineStr">
        <is>
          <t>Permits</t>
        </is>
      </c>
      <c r="J52" s="311" t="inlineStr">
        <is>
          <t>Long-Range Plan</t>
        </is>
      </c>
      <c r="K52" s="311" t="inlineStr">
        <is>
          <t>Agendas / Meetings</t>
        </is>
      </c>
      <c r="L52" s="311" t="inlineStr">
        <is>
          <t>Public Notices</t>
        </is>
      </c>
      <c r="M52" s="311" t="inlineStr">
        <is>
          <t>News</t>
        </is>
      </c>
      <c r="N52" s="315" t="inlineStr">
        <is>
          <t>Use city land-use resources and Adams County property/recording/tax sources.</t>
        </is>
      </c>
      <c r="P52" t="inlineStr">
        <is>
          <t>https://www.fedheights.org/</t>
        </is>
      </c>
      <c r="Q52" t="inlineStr">
        <is>
          <t>https://www.fedheights.org/index.asp?SEC=D1A883BE-0C29-4602-8CC9-5D6A08DA5503</t>
        </is>
      </c>
      <c r="R52" t="inlineStr">
        <is>
          <t>https://www.fedheights.org/index.asp?SEC=D7AA9940-8607-468A-8215-7308DD3BF799</t>
        </is>
      </c>
      <c r="S52" t="inlineStr">
        <is>
          <t>https://www.fedheights.org/planning</t>
        </is>
      </c>
      <c r="T52" t="inlineStr">
        <is>
          <t>https://www.fedheights.org/index.asp?SEC=%7B76F23E1D-0819-4BAB-BD73-23D6092E8A3B%7D&amp;persistdesign=none</t>
        </is>
      </c>
      <c r="U52" t="inlineStr">
        <is>
          <t>https://www.fedheights.org/index.asp?SEC=D1CB6EB6-9C4B-4FA8-B119-EF1785E54CB6</t>
        </is>
      </c>
      <c r="V52" t="inlineStr">
        <is>
          <t>https://www.fedheights.org/index.asp?SEC=%7B5CF1D2C4-3E29-4A1A-BBFA-2BE19B3ABFD0%7D</t>
        </is>
      </c>
      <c r="W52" t="inlineStr">
        <is>
          <t>https://www.fedheights.org/index.asp?SEC=%7BE66D34DF-8290-4807-83DA-3AF56D110C00%7D</t>
        </is>
      </c>
      <c r="X52" t="inlineStr">
        <is>
          <t>https://www.fedheights.org/index.asp?SEC=%7B13723B89-BA4A-47C1-9634-50363F8CD1D2%7D&amp;persistdesign=none</t>
        </is>
      </c>
      <c r="Y52" t="inlineStr">
        <is>
          <t>https://www.fedheights.org/index.asp?SEC=407F7286-34E9-495F-B5F7-88E905D7C9A5</t>
        </is>
      </c>
    </row>
    <row r="53" ht="26" customHeight="1" s="518">
      <c r="B53" s="310" t="inlineStr">
        <is>
          <t>Lochbuie</t>
        </is>
      </c>
      <c r="C53" s="314" t="inlineStr">
        <is>
          <t>Town</t>
        </is>
      </c>
      <c r="D53" s="311" t="inlineStr">
        <is>
          <t>Official Home</t>
        </is>
      </c>
      <c r="E53" s="311" t="inlineStr">
        <is>
          <t>Property / GIS</t>
        </is>
      </c>
      <c r="F53" s="311" t="inlineStr">
        <is>
          <t>Zoning / Code</t>
        </is>
      </c>
      <c r="G53" s="311" t="inlineStr">
        <is>
          <t>Planning</t>
        </is>
      </c>
      <c r="H53" s="311" t="inlineStr">
        <is>
          <t>Development / Projects</t>
        </is>
      </c>
      <c r="I53" s="311" t="inlineStr">
        <is>
          <t>Permits</t>
        </is>
      </c>
      <c r="J53" s="311" t="inlineStr">
        <is>
          <t>Long-Range Plan</t>
        </is>
      </c>
      <c r="K53" s="311" t="inlineStr">
        <is>
          <t>Agendas / Meetings</t>
        </is>
      </c>
      <c r="L53" s="311" t="inlineStr">
        <is>
          <t>Public Notices</t>
        </is>
      </c>
      <c r="M53" s="311" t="inlineStr">
        <is>
          <t>News</t>
        </is>
      </c>
      <c r="N53" s="315" t="inlineStr">
        <is>
          <t>Use town land-use resources; confirm the parcel's county before deed, tax and assessor research.</t>
        </is>
      </c>
      <c r="P53" t="inlineStr">
        <is>
          <t>https://www.lochbuie.org/</t>
        </is>
      </c>
      <c r="Q53" t="inlineStr">
        <is>
          <t>https://www.lochbuie.org/community-dev/page/interactive-land-use-map</t>
        </is>
      </c>
      <c r="R53" t="inlineStr">
        <is>
          <t>https://www.lochbuie.org/administration/page/zoning-map</t>
        </is>
      </c>
      <c r="S53" t="inlineStr">
        <is>
          <t>https://www.lochbuie.org/community-dev/page/current-planning</t>
        </is>
      </c>
      <c r="T53" t="inlineStr">
        <is>
          <t>https://www.lochbuie.org/projects</t>
        </is>
      </c>
      <c r="U53" t="inlineStr">
        <is>
          <t>https://www.lochbuie.org/community-dev/page/building-permits-and-inspections</t>
        </is>
      </c>
      <c r="V53" t="inlineStr">
        <is>
          <t>https://www.lochbuie.org/community-dev/page/documents</t>
        </is>
      </c>
      <c r="W53" t="inlineStr">
        <is>
          <t>https://www.lochbuie.org/meetings</t>
        </is>
      </c>
      <c r="X53" t="inlineStr">
        <is>
          <t>https://www.lochbuie.org/publicnotice</t>
        </is>
      </c>
      <c r="Y53" t="inlineStr">
        <is>
          <t>https://www.lochbuie.org/news</t>
        </is>
      </c>
    </row>
    <row r="54" ht="26" customHeight="1" s="518">
      <c r="B54" s="310" t="inlineStr">
        <is>
          <t>Northglenn</t>
        </is>
      </c>
      <c r="C54" s="314" t="inlineStr">
        <is>
          <t>City</t>
        </is>
      </c>
      <c r="D54" s="311" t="inlineStr">
        <is>
          <t>Official Home</t>
        </is>
      </c>
      <c r="E54" s="311" t="inlineStr">
        <is>
          <t>Property / GIS</t>
        </is>
      </c>
      <c r="F54" s="311" t="inlineStr">
        <is>
          <t>Zoning / Code</t>
        </is>
      </c>
      <c r="G54" s="311" t="inlineStr">
        <is>
          <t>Planning</t>
        </is>
      </c>
      <c r="H54" s="311" t="inlineStr">
        <is>
          <t>Development / Projects</t>
        </is>
      </c>
      <c r="I54" s="311" t="inlineStr">
        <is>
          <t>Permits</t>
        </is>
      </c>
      <c r="J54" s="311" t="inlineStr">
        <is>
          <t>Long-Range Plan</t>
        </is>
      </c>
      <c r="K54" s="311" t="inlineStr">
        <is>
          <t>Agendas / Meetings</t>
        </is>
      </c>
      <c r="L54" s="311" t="inlineStr">
        <is>
          <t>Public Notices</t>
        </is>
      </c>
      <c r="M54" s="311" t="inlineStr">
        <is>
          <t>News</t>
        </is>
      </c>
      <c r="N54" s="315" t="inlineStr">
        <is>
          <t>Use city land-use resources; confirm the parcel's county before recorder, assessor and tax research.</t>
        </is>
      </c>
      <c r="P54" t="inlineStr">
        <is>
          <t>https://www.northglenn.org/</t>
        </is>
      </c>
      <c r="Q54" t="inlineStr">
        <is>
          <t>https://biz.northglenn.org/quickzone</t>
        </is>
      </c>
      <c r="R54" t="inlineStr">
        <is>
          <t>https://www.northglenn.org/government/land_use_zoning/new_code_northglenn.php</t>
        </is>
      </c>
      <c r="S54" t="inlineStr">
        <is>
          <t>https://www.northglenn.org/government/departments/planning_development/index.php</t>
        </is>
      </c>
      <c r="T54" t="inlineStr">
        <is>
          <t>https://www.northglenn.org/government/project_updates/</t>
        </is>
      </c>
      <c r="U54" t="inlineStr">
        <is>
          <t>https://www.northglenn.org/government/departments/building/pull_a_permit.php</t>
        </is>
      </c>
      <c r="V54" t="inlineStr">
        <is>
          <t>https://www.northglenn.org/government/land_use_zoning/comprehensive_plan.php</t>
        </is>
      </c>
      <c r="W54" t="inlineStr">
        <is>
          <t>https://webdocs.northglenn.org/</t>
        </is>
      </c>
      <c r="X54" t="inlineStr">
        <is>
          <t>https://webdocs.northglenn.org/</t>
        </is>
      </c>
      <c r="Y54" t="inlineStr">
        <is>
          <t>https://www.northglenn.org/newslist.php</t>
        </is>
      </c>
    </row>
    <row r="55" ht="26" customHeight="1" s="518">
      <c r="B55" s="310" t="inlineStr">
        <is>
          <t>Thornton</t>
        </is>
      </c>
      <c r="C55" s="314" t="inlineStr">
        <is>
          <t>City</t>
        </is>
      </c>
      <c r="D55" s="311" t="inlineStr">
        <is>
          <t>Official Home</t>
        </is>
      </c>
      <c r="E55" s="311" t="inlineStr">
        <is>
          <t>Property / GIS</t>
        </is>
      </c>
      <c r="F55" s="311" t="inlineStr">
        <is>
          <t>Zoning / Code</t>
        </is>
      </c>
      <c r="G55" s="311" t="inlineStr">
        <is>
          <t>Planning</t>
        </is>
      </c>
      <c r="H55" s="311" t="inlineStr">
        <is>
          <t>Development / Projects</t>
        </is>
      </c>
      <c r="I55" s="311" t="inlineStr">
        <is>
          <t>Permits</t>
        </is>
      </c>
      <c r="J55" s="311" t="inlineStr">
        <is>
          <t>Long-Range Plan</t>
        </is>
      </c>
      <c r="K55" s="311" t="inlineStr">
        <is>
          <t>Agendas / Meetings</t>
        </is>
      </c>
      <c r="L55" s="311" t="inlineStr">
        <is>
          <t>Public Notices</t>
        </is>
      </c>
      <c r="M55" s="311" t="inlineStr">
        <is>
          <t>News</t>
        </is>
      </c>
      <c r="N55" s="315" t="inlineStr">
        <is>
          <t>Use city land-use resources; confirm the parcel's county before county-record research.</t>
        </is>
      </c>
      <c r="P55" t="inlineStr">
        <is>
          <t>https://www.thorntonco.gov/</t>
        </is>
      </c>
      <c r="Q55" t="inlineStr">
        <is>
          <t>https://cityofthornton.maps.arcgis.com/apps/webappviewer/index.html?id=643abe02e8b8446586b6eb6d8ed43f84</t>
        </is>
      </c>
      <c r="R55" t="inlineStr">
        <is>
          <t>https://www.thorntonco.gov/business-development/city-development/current-planning-zoning/zoning-districts-uses-and-regulations</t>
        </is>
      </c>
      <c r="S55" t="inlineStr">
        <is>
          <t>https://www.thorntonco.gov/business-development/city-development</t>
        </is>
      </c>
      <c r="T55" t="inlineStr">
        <is>
          <t>https://www.thorntonco.gov/business-development/active-development</t>
        </is>
      </c>
      <c r="U55" t="inlineStr">
        <is>
          <t>https://www.thorntonco.gov/business-development/city-development/building-permits-inspections</t>
        </is>
      </c>
      <c r="V55" t="inlineStr">
        <is>
          <t>https://www.thorntonco.gov/business-development/city-development/long-range-planning/plans/thornton-comprehensive-plan</t>
        </is>
      </c>
      <c r="W55" t="inlineStr">
        <is>
          <t>https://www.thorntonco.gov/government/mayor-council/upcoming-meetings</t>
        </is>
      </c>
      <c r="X55" t="inlineStr">
        <is>
          <t>https://www.thorntonco.gov/government/public-notices</t>
        </is>
      </c>
      <c r="Y55" t="inlineStr">
        <is>
          <t>https://www.thorntonco.gov/news</t>
        </is>
      </c>
    </row>
    <row r="56" ht="26" customHeight="1" s="518">
      <c r="B56" s="310" t="inlineStr">
        <is>
          <t>Westminster</t>
        </is>
      </c>
      <c r="C56" s="314" t="inlineStr">
        <is>
          <t>City</t>
        </is>
      </c>
      <c r="D56" s="311" t="inlineStr">
        <is>
          <t>Official Home</t>
        </is>
      </c>
      <c r="E56" s="311" t="inlineStr">
        <is>
          <t>Property / GIS</t>
        </is>
      </c>
      <c r="F56" s="311" t="inlineStr">
        <is>
          <t>Zoning / Code</t>
        </is>
      </c>
      <c r="G56" s="311" t="inlineStr">
        <is>
          <t>Planning</t>
        </is>
      </c>
      <c r="H56" s="311" t="inlineStr">
        <is>
          <t>Development / Projects</t>
        </is>
      </c>
      <c r="I56" s="311" t="inlineStr">
        <is>
          <t>Permits</t>
        </is>
      </c>
      <c r="J56" s="311" t="inlineStr">
        <is>
          <t>Long-Range Plan</t>
        </is>
      </c>
      <c r="K56" s="311" t="inlineStr">
        <is>
          <t>Agendas / Meetings</t>
        </is>
      </c>
      <c r="L56" s="311" t="inlineStr">
        <is>
          <t>Public Notices</t>
        </is>
      </c>
      <c r="M56" s="311" t="inlineStr">
        <is>
          <t>News</t>
        </is>
      </c>
      <c r="N56" s="315" t="inlineStr">
        <is>
          <t>Use city land-use resources; confirm the parcel's county before recorder, assessor and tax research.</t>
        </is>
      </c>
      <c r="P56" t="inlineStr">
        <is>
          <t>https://www.westminsterco.gov/</t>
        </is>
      </c>
      <c r="Q56" t="inlineStr">
        <is>
          <t>https://www.westminsterco.gov/471/Maps</t>
        </is>
      </c>
      <c r="R56" t="inlineStr">
        <is>
          <t>https://www.westminsterco.gov/727/Zoning</t>
        </is>
      </c>
      <c r="S56" t="inlineStr">
        <is>
          <t>https://www.westminsterco.gov/707/Planning</t>
        </is>
      </c>
      <c r="T56" t="inlineStr">
        <is>
          <t>https://www.westminsterco.gov/855/Current-Development-Project-Map</t>
        </is>
      </c>
      <c r="U56" t="inlineStr">
        <is>
          <t>https://www.westminsterco.gov/617/Apply-for-a-Permit-Project</t>
        </is>
      </c>
      <c r="V56" t="inlineStr">
        <is>
          <t>https://www.westminsterco.gov/DocumentCenter/View/5605/Comprehensive-Plan_November2025-LR</t>
        </is>
      </c>
      <c r="W56" t="inlineStr">
        <is>
          <t>https://www.westminsterco.gov/AgendaCenter</t>
        </is>
      </c>
      <c r="X56" t="inlineStr">
        <is>
          <t>https://www.westminsterco.gov/1098/Public-Notices</t>
        </is>
      </c>
      <c r="Y56" t="inlineStr">
        <is>
          <t>https://www.westminsterco.gov/m/NewsFlash</t>
        </is>
      </c>
    </row>
  </sheetData>
  <mergeCells count="30">
    <mergeCell ref="C17:F17"/>
    <mergeCell ref="C23:F23"/>
    <mergeCell ref="C39:F39"/>
    <mergeCell ref="C38:F38"/>
    <mergeCell ref="C37:F37"/>
    <mergeCell ref="C28:F28"/>
    <mergeCell ref="C13:F13"/>
    <mergeCell ref="C18:F18"/>
    <mergeCell ref="C34:F34"/>
    <mergeCell ref="C30:F30"/>
    <mergeCell ref="C15:F15"/>
    <mergeCell ref="C33:F33"/>
    <mergeCell ref="C24:F24"/>
    <mergeCell ref="C14:F14"/>
    <mergeCell ref="C35:F35"/>
    <mergeCell ref="C26:F26"/>
    <mergeCell ref="C29:F29"/>
    <mergeCell ref="C16:F16"/>
    <mergeCell ref="C25:F25"/>
    <mergeCell ref="C41:F41"/>
    <mergeCell ref="C10:F10"/>
    <mergeCell ref="C22:F22"/>
    <mergeCell ref="C40:F40"/>
    <mergeCell ref="C9:F9"/>
    <mergeCell ref="B6:F6"/>
    <mergeCell ref="C12:F12"/>
    <mergeCell ref="C21:F21"/>
    <mergeCell ref="C11:F11"/>
    <mergeCell ref="C27:F27"/>
    <mergeCell ref="C36:F36"/>
  </mergeCells>
  <dataValidations count="1">
    <dataValidation sqref="C5" showDropDown="0" showInputMessage="0" showErrorMessage="0" allowBlank="0" type="list">
      <formula1>"Unincorporated Adams County,Arvada,Aurora,Bennett,Brighton,Commerce City,Federal Heights,Lochbuie,Northglenn,Thornton,Westminster"</formula1>
    </dataValidation>
  </dataValidations>
  <hyperlinks>
    <hyperlink xmlns:r="http://schemas.openxmlformats.org/officeDocument/2006/relationships" ref="C21" r:id="rId1"/>
    <hyperlink xmlns:r="http://schemas.openxmlformats.org/officeDocument/2006/relationships" ref="C22" r:id="rId2"/>
    <hyperlink xmlns:r="http://schemas.openxmlformats.org/officeDocument/2006/relationships" ref="C23" r:id="rId3"/>
    <hyperlink xmlns:r="http://schemas.openxmlformats.org/officeDocument/2006/relationships" ref="C24" r:id="rId4"/>
    <hyperlink xmlns:r="http://schemas.openxmlformats.org/officeDocument/2006/relationships" ref="C25" r:id="rId5"/>
    <hyperlink xmlns:r="http://schemas.openxmlformats.org/officeDocument/2006/relationships" ref="C26" r:id="rId6"/>
    <hyperlink xmlns:r="http://schemas.openxmlformats.org/officeDocument/2006/relationships" ref="C27" r:id="rId7"/>
    <hyperlink xmlns:r="http://schemas.openxmlformats.org/officeDocument/2006/relationships" ref="C28" r:id="rId8"/>
    <hyperlink xmlns:r="http://schemas.openxmlformats.org/officeDocument/2006/relationships" ref="C29" r:id="rId9"/>
    <hyperlink xmlns:r="http://schemas.openxmlformats.org/officeDocument/2006/relationships" ref="C30" r:id="rId10"/>
    <hyperlink xmlns:r="http://schemas.openxmlformats.org/officeDocument/2006/relationships" ref="C33" r:id="rId11"/>
    <hyperlink xmlns:r="http://schemas.openxmlformats.org/officeDocument/2006/relationships" ref="C34" r:id="rId12"/>
    <hyperlink xmlns:r="http://schemas.openxmlformats.org/officeDocument/2006/relationships" ref="C35" r:id="rId13"/>
    <hyperlink xmlns:r="http://schemas.openxmlformats.org/officeDocument/2006/relationships" ref="C36" r:id="rId14"/>
    <hyperlink xmlns:r="http://schemas.openxmlformats.org/officeDocument/2006/relationships" ref="C37" r:id="rId15"/>
    <hyperlink xmlns:r="http://schemas.openxmlformats.org/officeDocument/2006/relationships" ref="C38" r:id="rId16"/>
    <hyperlink xmlns:r="http://schemas.openxmlformats.org/officeDocument/2006/relationships" ref="C39" r:id="rId17"/>
    <hyperlink xmlns:r="http://schemas.openxmlformats.org/officeDocument/2006/relationships" ref="C40" r:id="rId18"/>
    <hyperlink xmlns:r="http://schemas.openxmlformats.org/officeDocument/2006/relationships" ref="C41" r:id="rId19"/>
    <hyperlink xmlns:r="http://schemas.openxmlformats.org/officeDocument/2006/relationships" ref="D46" r:id="rId20"/>
    <hyperlink xmlns:r="http://schemas.openxmlformats.org/officeDocument/2006/relationships" ref="E46" r:id="rId21"/>
    <hyperlink xmlns:r="http://schemas.openxmlformats.org/officeDocument/2006/relationships" ref="F46" r:id="rId22"/>
    <hyperlink xmlns:r="http://schemas.openxmlformats.org/officeDocument/2006/relationships" ref="G46" r:id="rId23"/>
    <hyperlink xmlns:r="http://schemas.openxmlformats.org/officeDocument/2006/relationships" ref="H46" r:id="rId24"/>
    <hyperlink xmlns:r="http://schemas.openxmlformats.org/officeDocument/2006/relationships" ref="I46" r:id="rId25"/>
    <hyperlink xmlns:r="http://schemas.openxmlformats.org/officeDocument/2006/relationships" ref="J46" r:id="rId26"/>
    <hyperlink xmlns:r="http://schemas.openxmlformats.org/officeDocument/2006/relationships" ref="K46" r:id="rId27"/>
    <hyperlink xmlns:r="http://schemas.openxmlformats.org/officeDocument/2006/relationships" ref="L46" r:id="rId28"/>
    <hyperlink xmlns:r="http://schemas.openxmlformats.org/officeDocument/2006/relationships" ref="M46" r:id="rId29"/>
    <hyperlink xmlns:r="http://schemas.openxmlformats.org/officeDocument/2006/relationships" ref="D47" r:id="rId30"/>
    <hyperlink xmlns:r="http://schemas.openxmlformats.org/officeDocument/2006/relationships" ref="E47" r:id="rId31"/>
    <hyperlink xmlns:r="http://schemas.openxmlformats.org/officeDocument/2006/relationships" ref="F47" r:id="rId32"/>
    <hyperlink xmlns:r="http://schemas.openxmlformats.org/officeDocument/2006/relationships" ref="G47" r:id="rId33"/>
    <hyperlink xmlns:r="http://schemas.openxmlformats.org/officeDocument/2006/relationships" ref="H47" r:id="rId34"/>
    <hyperlink xmlns:r="http://schemas.openxmlformats.org/officeDocument/2006/relationships" ref="I47" r:id="rId35"/>
    <hyperlink xmlns:r="http://schemas.openxmlformats.org/officeDocument/2006/relationships" ref="J47" r:id="rId36"/>
    <hyperlink xmlns:r="http://schemas.openxmlformats.org/officeDocument/2006/relationships" ref="K47" r:id="rId37"/>
    <hyperlink xmlns:r="http://schemas.openxmlformats.org/officeDocument/2006/relationships" ref="L47" r:id="rId38"/>
    <hyperlink xmlns:r="http://schemas.openxmlformats.org/officeDocument/2006/relationships" ref="M47" r:id="rId39"/>
    <hyperlink xmlns:r="http://schemas.openxmlformats.org/officeDocument/2006/relationships" ref="D48" r:id="rId40"/>
    <hyperlink xmlns:r="http://schemas.openxmlformats.org/officeDocument/2006/relationships" ref="E48" r:id="rId41"/>
    <hyperlink xmlns:r="http://schemas.openxmlformats.org/officeDocument/2006/relationships" ref="F48" r:id="rId42"/>
    <hyperlink xmlns:r="http://schemas.openxmlformats.org/officeDocument/2006/relationships" ref="G48" r:id="rId43"/>
    <hyperlink xmlns:r="http://schemas.openxmlformats.org/officeDocument/2006/relationships" ref="H48" r:id="rId44"/>
    <hyperlink xmlns:r="http://schemas.openxmlformats.org/officeDocument/2006/relationships" ref="I48" r:id="rId45"/>
    <hyperlink xmlns:r="http://schemas.openxmlformats.org/officeDocument/2006/relationships" ref="J48" r:id="rId46"/>
    <hyperlink xmlns:r="http://schemas.openxmlformats.org/officeDocument/2006/relationships" ref="K48" r:id="rId47"/>
    <hyperlink xmlns:r="http://schemas.openxmlformats.org/officeDocument/2006/relationships" ref="L48" r:id="rId48"/>
    <hyperlink xmlns:r="http://schemas.openxmlformats.org/officeDocument/2006/relationships" ref="M48" r:id="rId49"/>
    <hyperlink xmlns:r="http://schemas.openxmlformats.org/officeDocument/2006/relationships" ref="D49" r:id="rId50"/>
    <hyperlink xmlns:r="http://schemas.openxmlformats.org/officeDocument/2006/relationships" ref="E49" r:id="rId51"/>
    <hyperlink xmlns:r="http://schemas.openxmlformats.org/officeDocument/2006/relationships" ref="F49" r:id="rId52"/>
    <hyperlink xmlns:r="http://schemas.openxmlformats.org/officeDocument/2006/relationships" ref="G49" r:id="rId53"/>
    <hyperlink xmlns:r="http://schemas.openxmlformats.org/officeDocument/2006/relationships" ref="H49" r:id="rId54"/>
    <hyperlink xmlns:r="http://schemas.openxmlformats.org/officeDocument/2006/relationships" ref="I49" r:id="rId55"/>
    <hyperlink xmlns:r="http://schemas.openxmlformats.org/officeDocument/2006/relationships" ref="J49" r:id="rId56"/>
    <hyperlink xmlns:r="http://schemas.openxmlformats.org/officeDocument/2006/relationships" ref="K49" r:id="rId57"/>
    <hyperlink xmlns:r="http://schemas.openxmlformats.org/officeDocument/2006/relationships" ref="L49" r:id="rId58"/>
    <hyperlink xmlns:r="http://schemas.openxmlformats.org/officeDocument/2006/relationships" ref="M49" r:id="rId59"/>
    <hyperlink xmlns:r="http://schemas.openxmlformats.org/officeDocument/2006/relationships" ref="D50" r:id="rId60"/>
    <hyperlink xmlns:r="http://schemas.openxmlformats.org/officeDocument/2006/relationships" ref="E50" r:id="rId61"/>
    <hyperlink xmlns:r="http://schemas.openxmlformats.org/officeDocument/2006/relationships" ref="F50" r:id="rId62"/>
    <hyperlink xmlns:r="http://schemas.openxmlformats.org/officeDocument/2006/relationships" ref="G50" r:id="rId63"/>
    <hyperlink xmlns:r="http://schemas.openxmlformats.org/officeDocument/2006/relationships" ref="H50" r:id="rId64"/>
    <hyperlink xmlns:r="http://schemas.openxmlformats.org/officeDocument/2006/relationships" ref="I50" r:id="rId65"/>
    <hyperlink xmlns:r="http://schemas.openxmlformats.org/officeDocument/2006/relationships" ref="J50" r:id="rId66"/>
    <hyperlink xmlns:r="http://schemas.openxmlformats.org/officeDocument/2006/relationships" ref="K50" r:id="rId67"/>
    <hyperlink xmlns:r="http://schemas.openxmlformats.org/officeDocument/2006/relationships" ref="L50" r:id="rId68"/>
    <hyperlink xmlns:r="http://schemas.openxmlformats.org/officeDocument/2006/relationships" ref="M50" r:id="rId69"/>
    <hyperlink xmlns:r="http://schemas.openxmlformats.org/officeDocument/2006/relationships" ref="D51" r:id="rId70"/>
    <hyperlink xmlns:r="http://schemas.openxmlformats.org/officeDocument/2006/relationships" ref="E51" r:id="rId71"/>
    <hyperlink xmlns:r="http://schemas.openxmlformats.org/officeDocument/2006/relationships" ref="F51" r:id="rId72"/>
    <hyperlink xmlns:r="http://schemas.openxmlformats.org/officeDocument/2006/relationships" ref="G51" r:id="rId73"/>
    <hyperlink xmlns:r="http://schemas.openxmlformats.org/officeDocument/2006/relationships" ref="H51" r:id="rId74"/>
    <hyperlink xmlns:r="http://schemas.openxmlformats.org/officeDocument/2006/relationships" ref="I51" r:id="rId75"/>
    <hyperlink xmlns:r="http://schemas.openxmlformats.org/officeDocument/2006/relationships" ref="J51" r:id="rId76"/>
    <hyperlink xmlns:r="http://schemas.openxmlformats.org/officeDocument/2006/relationships" ref="K51" r:id="rId77"/>
    <hyperlink xmlns:r="http://schemas.openxmlformats.org/officeDocument/2006/relationships" ref="L51" r:id="rId78"/>
    <hyperlink xmlns:r="http://schemas.openxmlformats.org/officeDocument/2006/relationships" ref="M51" r:id="rId79"/>
    <hyperlink xmlns:r="http://schemas.openxmlformats.org/officeDocument/2006/relationships" ref="D52" r:id="rId80"/>
    <hyperlink xmlns:r="http://schemas.openxmlformats.org/officeDocument/2006/relationships" ref="E52" r:id="rId81"/>
    <hyperlink xmlns:r="http://schemas.openxmlformats.org/officeDocument/2006/relationships" ref="F52" r:id="rId82"/>
    <hyperlink xmlns:r="http://schemas.openxmlformats.org/officeDocument/2006/relationships" ref="G52" r:id="rId83"/>
    <hyperlink xmlns:r="http://schemas.openxmlformats.org/officeDocument/2006/relationships" ref="H52" r:id="rId84"/>
    <hyperlink xmlns:r="http://schemas.openxmlformats.org/officeDocument/2006/relationships" ref="I52" r:id="rId85"/>
    <hyperlink xmlns:r="http://schemas.openxmlformats.org/officeDocument/2006/relationships" ref="J52" r:id="rId86"/>
    <hyperlink xmlns:r="http://schemas.openxmlformats.org/officeDocument/2006/relationships" ref="K52" r:id="rId87"/>
    <hyperlink xmlns:r="http://schemas.openxmlformats.org/officeDocument/2006/relationships" ref="L52" r:id="rId88"/>
    <hyperlink xmlns:r="http://schemas.openxmlformats.org/officeDocument/2006/relationships" ref="M52" r:id="rId89"/>
    <hyperlink xmlns:r="http://schemas.openxmlformats.org/officeDocument/2006/relationships" ref="D53" r:id="rId90"/>
    <hyperlink xmlns:r="http://schemas.openxmlformats.org/officeDocument/2006/relationships" ref="E53" r:id="rId91"/>
    <hyperlink xmlns:r="http://schemas.openxmlformats.org/officeDocument/2006/relationships" ref="F53" r:id="rId92"/>
    <hyperlink xmlns:r="http://schemas.openxmlformats.org/officeDocument/2006/relationships" ref="G53" r:id="rId93"/>
    <hyperlink xmlns:r="http://schemas.openxmlformats.org/officeDocument/2006/relationships" ref="H53" r:id="rId94"/>
    <hyperlink xmlns:r="http://schemas.openxmlformats.org/officeDocument/2006/relationships" ref="I53" r:id="rId95"/>
    <hyperlink xmlns:r="http://schemas.openxmlformats.org/officeDocument/2006/relationships" ref="J53" r:id="rId96"/>
    <hyperlink xmlns:r="http://schemas.openxmlformats.org/officeDocument/2006/relationships" ref="K53" r:id="rId97"/>
    <hyperlink xmlns:r="http://schemas.openxmlformats.org/officeDocument/2006/relationships" ref="L53" r:id="rId98"/>
    <hyperlink xmlns:r="http://schemas.openxmlformats.org/officeDocument/2006/relationships" ref="M53" r:id="rId99"/>
    <hyperlink xmlns:r="http://schemas.openxmlformats.org/officeDocument/2006/relationships" ref="D54" r:id="rId100"/>
    <hyperlink xmlns:r="http://schemas.openxmlformats.org/officeDocument/2006/relationships" ref="E54" r:id="rId101"/>
    <hyperlink xmlns:r="http://schemas.openxmlformats.org/officeDocument/2006/relationships" ref="F54" r:id="rId102"/>
    <hyperlink xmlns:r="http://schemas.openxmlformats.org/officeDocument/2006/relationships" ref="G54" r:id="rId103"/>
    <hyperlink xmlns:r="http://schemas.openxmlformats.org/officeDocument/2006/relationships" ref="H54" r:id="rId104"/>
    <hyperlink xmlns:r="http://schemas.openxmlformats.org/officeDocument/2006/relationships" ref="I54" r:id="rId105"/>
    <hyperlink xmlns:r="http://schemas.openxmlformats.org/officeDocument/2006/relationships" ref="J54" r:id="rId106"/>
    <hyperlink xmlns:r="http://schemas.openxmlformats.org/officeDocument/2006/relationships" ref="K54" r:id="rId107"/>
    <hyperlink xmlns:r="http://schemas.openxmlformats.org/officeDocument/2006/relationships" ref="L54" r:id="rId108"/>
    <hyperlink xmlns:r="http://schemas.openxmlformats.org/officeDocument/2006/relationships" ref="M54" r:id="rId109"/>
    <hyperlink xmlns:r="http://schemas.openxmlformats.org/officeDocument/2006/relationships" ref="D55" r:id="rId110"/>
    <hyperlink xmlns:r="http://schemas.openxmlformats.org/officeDocument/2006/relationships" ref="E55" r:id="rId111"/>
    <hyperlink xmlns:r="http://schemas.openxmlformats.org/officeDocument/2006/relationships" ref="F55" r:id="rId112"/>
    <hyperlink xmlns:r="http://schemas.openxmlformats.org/officeDocument/2006/relationships" ref="G55" r:id="rId113"/>
    <hyperlink xmlns:r="http://schemas.openxmlformats.org/officeDocument/2006/relationships" ref="H55" r:id="rId114"/>
    <hyperlink xmlns:r="http://schemas.openxmlformats.org/officeDocument/2006/relationships" ref="I55" r:id="rId115"/>
    <hyperlink xmlns:r="http://schemas.openxmlformats.org/officeDocument/2006/relationships" ref="J55" r:id="rId116"/>
    <hyperlink xmlns:r="http://schemas.openxmlformats.org/officeDocument/2006/relationships" ref="K55" r:id="rId117"/>
    <hyperlink xmlns:r="http://schemas.openxmlformats.org/officeDocument/2006/relationships" ref="L55" r:id="rId118"/>
    <hyperlink xmlns:r="http://schemas.openxmlformats.org/officeDocument/2006/relationships" ref="M55" r:id="rId119"/>
    <hyperlink xmlns:r="http://schemas.openxmlformats.org/officeDocument/2006/relationships" ref="D56" r:id="rId120"/>
    <hyperlink xmlns:r="http://schemas.openxmlformats.org/officeDocument/2006/relationships" ref="E56" r:id="rId121"/>
    <hyperlink xmlns:r="http://schemas.openxmlformats.org/officeDocument/2006/relationships" ref="F56" r:id="rId122"/>
    <hyperlink xmlns:r="http://schemas.openxmlformats.org/officeDocument/2006/relationships" ref="G56" r:id="rId123"/>
    <hyperlink xmlns:r="http://schemas.openxmlformats.org/officeDocument/2006/relationships" ref="H56" r:id="rId124"/>
    <hyperlink xmlns:r="http://schemas.openxmlformats.org/officeDocument/2006/relationships" ref="I56" r:id="rId125"/>
    <hyperlink xmlns:r="http://schemas.openxmlformats.org/officeDocument/2006/relationships" ref="J56" r:id="rId126"/>
    <hyperlink xmlns:r="http://schemas.openxmlformats.org/officeDocument/2006/relationships" ref="K56" r:id="rId127"/>
    <hyperlink xmlns:r="http://schemas.openxmlformats.org/officeDocument/2006/relationships" ref="L56" r:id="rId128"/>
    <hyperlink xmlns:r="http://schemas.openxmlformats.org/officeDocument/2006/relationships" ref="M56" r:id="rId129"/>
  </hyperlinks>
  <pageMargins left="0.75" right="0.75" top="1" bottom="1" header="0.5" footer="0.5"/>
</worksheet>
</file>

<file path=xl/worksheets/sheet19.xml><?xml version="1.0" encoding="utf-8"?>
<worksheet xmlns="http://schemas.openxmlformats.org/spreadsheetml/2006/main">
  <sheetPr>
    <tabColor rgb="FFC55A11"/>
    <outlinePr summaryBelow="1" summaryRight="1"/>
    <pageSetUpPr/>
  </sheetPr>
  <dimension ref="B1:J332"/>
  <sheetViews>
    <sheetView workbookViewId="0">
      <pane xSplit="1" ySplit="4" topLeftCell="B5" activePane="bottomRight" state="frozen"/>
      <selection pane="topRight" activeCell="A1" sqref="A1"/>
      <selection pane="bottomLeft" activeCell="A1" sqref="A1"/>
      <selection pane="bottomRight" activeCell="A1" sqref="A1"/>
    </sheetView>
  </sheetViews>
  <sheetFormatPr baseColWidth="10" defaultColWidth="9" defaultRowHeight="12"/>
  <cols>
    <col width="2" customWidth="1" style="518" min="1" max="1"/>
    <col width="26" customWidth="1" style="518" min="2" max="2"/>
    <col width="24" customWidth="1" style="518" min="3" max="3"/>
    <col width="34" customWidth="1" style="518" min="4" max="4"/>
    <col width="46" customWidth="1" style="518" min="5" max="6"/>
    <col width="52" customWidth="1" style="518" min="7" max="7"/>
    <col width="12" customWidth="1" style="518" min="8" max="8"/>
    <col width="14" customWidth="1" style="518" min="9" max="9"/>
    <col width="24" customWidth="1" style="518" min="10" max="10"/>
  </cols>
  <sheetData>
    <row r="1" ht="18" customHeight="1" s="518">
      <c r="B1" s="307" t="inlineStr">
        <is>
          <t>RESOURCE DIRECTORY — every curated source in one filterable table</t>
        </is>
      </c>
    </row>
    <row r="2" ht="169" customHeight="1" s="518">
      <c r="B2" s="575" t="inlineStr">
        <is>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is>
      </c>
    </row>
    <row r="4">
      <c r="B4" s="306" t="inlineStr">
        <is>
          <t>Jurisdiction / Agency</t>
        </is>
      </c>
      <c r="C4" s="306" t="inlineStr">
        <is>
          <t>Category</t>
        </is>
      </c>
      <c r="D4" s="306" t="inlineStr">
        <is>
          <t>Resource</t>
        </is>
      </c>
      <c r="E4" s="306" t="inlineStr">
        <is>
          <t>What It Provides</t>
        </is>
      </c>
      <c r="F4" s="306" t="inlineStr">
        <is>
          <t>Best Use / Why It Matters</t>
        </is>
      </c>
      <c r="G4" s="306" t="inlineStr">
        <is>
          <t>Link</t>
        </is>
      </c>
      <c r="H4" s="306" t="inlineStr">
        <is>
          <t>Priority</t>
        </is>
      </c>
    </row>
    <row r="5" ht="39" customHeight="1" s="518">
      <c r="B5" s="314" t="inlineStr">
        <is>
          <t>Adams County</t>
        </is>
      </c>
      <c r="C5" s="314" t="inlineStr">
        <is>
          <t>Jurisdictions</t>
        </is>
      </c>
      <c r="D5" s="314" t="inlineStr">
        <is>
          <t>Cities &amp; Towns in Adams County</t>
        </is>
      </c>
      <c r="E5" s="315" t="inlineStr">
        <is>
          <t>Official county list of municipalities with territory in Adams County and named unincorporated communities.</t>
        </is>
      </c>
      <c r="F5" s="315" t="inlineStr">
        <is>
          <t>Confirm which municipal websites belong in the search set.</t>
        </is>
      </c>
      <c r="G5" s="311" t="inlineStr">
        <is>
          <t>https://adamscountyco.gov/about-adams-county/cities-towns/</t>
        </is>
      </c>
      <c r="H5" s="314" t="inlineStr">
        <is>
          <t>Critical</t>
        </is>
      </c>
    </row>
    <row r="6" ht="26" customHeight="1" s="518">
      <c r="B6" s="314" t="inlineStr">
        <is>
          <t>Adams County</t>
        </is>
      </c>
      <c r="C6" s="314" t="inlineStr">
        <is>
          <t>Property Search</t>
        </is>
      </c>
      <c r="D6" s="314" t="inlineStr">
        <is>
          <t>Search Real Property</t>
        </is>
      </c>
      <c r="E6" s="315" t="inlineStr">
        <is>
          <t>County assessor entry page for parcel, owner, address, account and assessment research.</t>
        </is>
      </c>
      <c r="F6" s="315" t="inlineStr">
        <is>
          <t>Start every Adams County property investigation and obtain the parcel/account number.</t>
        </is>
      </c>
      <c r="G6" s="311" t="inlineStr">
        <is>
          <t>https://adamscountyco.gov/service/search-real-property/</t>
        </is>
      </c>
      <c r="H6" s="314" t="inlineStr">
        <is>
          <t>Critical</t>
        </is>
      </c>
    </row>
    <row r="7" ht="26" customHeight="1" s="518">
      <c r="B7" s="314" t="inlineStr">
        <is>
          <t>Adams County</t>
        </is>
      </c>
      <c r="C7" s="314" t="inlineStr">
        <is>
          <t>Property Search</t>
        </is>
      </c>
      <c r="D7" s="314" t="inlineStr">
        <is>
          <t>Assessor Quick Search</t>
        </is>
      </c>
      <c r="E7" s="315" t="inlineStr">
        <is>
          <t>Direct assessor/GIS parcel lookup.</t>
        </is>
      </c>
      <c r="F7" s="315" t="inlineStr">
        <is>
          <t>Search by owner, address, parcel or account number and view assessment attributes.</t>
        </is>
      </c>
      <c r="G7" s="311" t="inlineStr">
        <is>
          <t>https://gisapp.adcogov.org/quicksearch/</t>
        </is>
      </c>
      <c r="H7" s="314" t="inlineStr">
        <is>
          <t>Critical</t>
        </is>
      </c>
    </row>
    <row r="8" ht="26" customHeight="1" s="518">
      <c r="B8" s="314" t="inlineStr">
        <is>
          <t>Adams County</t>
        </is>
      </c>
      <c r="C8" s="314" t="inlineStr">
        <is>
          <t>Assessor</t>
        </is>
      </c>
      <c r="D8" s="314" t="inlineStr">
        <is>
          <t>Assessor Office</t>
        </is>
      </c>
      <c r="E8" s="315" t="inlineStr">
        <is>
          <t>Assessment, valuation, exemptions, appeals and ownership record guidance.</t>
        </is>
      </c>
      <c r="F8" s="315" t="inlineStr">
        <is>
          <t>Resolve valuation or ownership questions and locate appeal information.</t>
        </is>
      </c>
      <c r="G8" s="311" t="inlineStr">
        <is>
          <t>https://adamscountyco.gov/our-county/elected-officials/assessor/</t>
        </is>
      </c>
      <c r="H8" s="314" t="inlineStr">
        <is>
          <t>High</t>
        </is>
      </c>
    </row>
    <row r="9" ht="26" customHeight="1" s="518">
      <c r="B9" s="314" t="inlineStr">
        <is>
          <t>Adams County</t>
        </is>
      </c>
      <c r="C9" s="314" t="inlineStr">
        <is>
          <t>GIS / Data</t>
        </is>
      </c>
      <c r="D9" s="314" t="inlineStr">
        <is>
          <t>Assessor Maps &amp; Data</t>
        </is>
      </c>
      <c r="E9" s="315" t="inlineStr">
        <is>
          <t>Assessor mapping and downloadable property-related data resources.</t>
        </is>
      </c>
      <c r="F9" s="315" t="inlineStr">
        <is>
          <t>Cross-check parcel geometry, neighborhood and assessment map data.</t>
        </is>
      </c>
      <c r="G9" s="311" t="inlineStr">
        <is>
          <t>https://adamscountyco.gov/our-county/elected-officials/assessor/maps-data/</t>
        </is>
      </c>
      <c r="H9" s="314" t="inlineStr">
        <is>
          <t>High</t>
        </is>
      </c>
    </row>
    <row r="10" ht="26" customHeight="1" s="518">
      <c r="B10" s="314" t="inlineStr">
        <is>
          <t>Adams County</t>
        </is>
      </c>
      <c r="C10" s="314" t="inlineStr">
        <is>
          <t>GIS / Data</t>
        </is>
      </c>
      <c r="D10" s="314" t="inlineStr">
        <is>
          <t>GIS Interactive Maps</t>
        </is>
      </c>
      <c r="E10" s="315" t="inlineStr">
        <is>
          <t>County interactive mapping applications.</t>
        </is>
      </c>
      <c r="F10" s="315" t="inlineStr">
        <is>
          <t>Screen parcels, boundaries, services, hazards and other mapped county data.</t>
        </is>
      </c>
      <c r="G10" s="311" t="inlineStr">
        <is>
          <t>https://adamscountyco.gov/service/gis-interactive-maps/</t>
        </is>
      </c>
      <c r="H10" s="314" t="inlineStr">
        <is>
          <t>Critical</t>
        </is>
      </c>
    </row>
    <row r="11" ht="26" customHeight="1" s="518">
      <c r="B11" s="314" t="inlineStr">
        <is>
          <t>Adams County</t>
        </is>
      </c>
      <c r="C11" s="314" t="inlineStr">
        <is>
          <t>GIS / Data</t>
        </is>
      </c>
      <c r="D11" s="314" t="inlineStr">
        <is>
          <t>Geographic Information Systems</t>
        </is>
      </c>
      <c r="E11" s="315" t="inlineStr">
        <is>
          <t>County GIS program overview and limitations.</t>
        </is>
      </c>
      <c r="F11" s="315" t="inlineStr">
        <is>
          <t>Understand map sources and remember that GIS parcel lines are not a legal survey.</t>
        </is>
      </c>
      <c r="G11" s="311" t="inlineStr">
        <is>
          <t>https://adamscountyco.gov/our-county/information-technology-innovation/geographic-information-systems/</t>
        </is>
      </c>
      <c r="H11" s="314" t="inlineStr">
        <is>
          <t>High</t>
        </is>
      </c>
    </row>
    <row r="12" ht="26" customHeight="1" s="518">
      <c r="B12" s="314" t="inlineStr">
        <is>
          <t>Adams County</t>
        </is>
      </c>
      <c r="C12" s="314" t="inlineStr">
        <is>
          <t>Recorded Documents</t>
        </is>
      </c>
      <c r="D12" s="314" t="inlineStr">
        <is>
          <t>Find Public Records / Recorded Documents</t>
        </is>
      </c>
      <c r="E12" s="315" t="inlineStr">
        <is>
          <t>Guide to recorded real estate documents, search methods and copies.</t>
        </is>
      </c>
      <c r="F12" s="315" t="inlineStr">
        <is>
          <t>Learn how to search deeds, deeds of trust, releases, easements, liens, plats and related filings.</t>
        </is>
      </c>
      <c r="G12" s="311" t="inlineStr">
        <is>
          <t>https://adamscountyco.gov/service/find-public-records-recorded-documents/</t>
        </is>
      </c>
      <c r="H12" s="314" t="inlineStr">
        <is>
          <t>Critical</t>
        </is>
      </c>
    </row>
    <row r="13" ht="26" customHeight="1" s="518">
      <c r="B13" s="314" t="inlineStr">
        <is>
          <t>Adams County</t>
        </is>
      </c>
      <c r="C13" s="314" t="inlineStr">
        <is>
          <t>Recorded Documents</t>
        </is>
      </c>
      <c r="D13" s="314" t="inlineStr">
        <is>
          <t>Landmark Web Recording Search</t>
        </is>
      </c>
      <c r="E13" s="315" t="inlineStr">
        <is>
          <t>Direct public index for recorded documents.</t>
        </is>
      </c>
      <c r="F13" s="315" t="inlineStr">
        <is>
          <t>Search the grantor/grantee index, legal description references and document numbers.</t>
        </is>
      </c>
      <c r="G13" s="311" t="inlineStr">
        <is>
          <t>https://recording.adamscountyco.gov/landmarkweb/</t>
        </is>
      </c>
      <c r="H13" s="314" t="inlineStr">
        <is>
          <t>Critical</t>
        </is>
      </c>
    </row>
    <row r="14" ht="26" customHeight="1" s="518">
      <c r="B14" s="314" t="inlineStr">
        <is>
          <t>Adams County</t>
        </is>
      </c>
      <c r="C14" s="314" t="inlineStr">
        <is>
          <t>Recorded Documents</t>
        </is>
      </c>
      <c r="D14" s="314" t="inlineStr">
        <is>
          <t>Recording Division</t>
        </is>
      </c>
      <c r="E14" s="315" t="inlineStr">
        <is>
          <t>Recorder services, fees, document standards and contact information.</t>
        </is>
      </c>
      <c r="F14" s="315" t="inlineStr">
        <is>
          <t>Order copies or resolve questions about recorded instruments.</t>
        </is>
      </c>
      <c r="G14" s="311" t="inlineStr">
        <is>
          <t>https://adamscountyco.gov/our-county/elected-officials/clerk-recorder/recording/</t>
        </is>
      </c>
      <c r="H14" s="314" t="inlineStr">
        <is>
          <t>High</t>
        </is>
      </c>
    </row>
    <row r="15" ht="26" customHeight="1" s="518">
      <c r="B15" s="314" t="inlineStr">
        <is>
          <t>Adams County</t>
        </is>
      </c>
      <c r="C15" s="314" t="inlineStr">
        <is>
          <t>Survey / Plat</t>
        </is>
      </c>
      <c r="D15" s="314" t="inlineStr">
        <is>
          <t>Land Survey Plats</t>
        </is>
      </c>
      <c r="E15" s="315" t="inlineStr">
        <is>
          <t>Recorded survey plat resources and filing information.</t>
        </is>
      </c>
      <c r="F15" s="315" t="inlineStr">
        <is>
          <t>Research recorded surveys and surveyor filings; still obtain a current survey when required.</t>
        </is>
      </c>
      <c r="G15" s="311" t="inlineStr">
        <is>
          <t>https://adamscountyco.gov/our-county/elected-officials/clerk-recorder/recording/land-survey-plats/</t>
        </is>
      </c>
      <c r="H15" s="314" t="inlineStr">
        <is>
          <t>High</t>
        </is>
      </c>
    </row>
    <row r="16" ht="26" customHeight="1" s="518">
      <c r="B16" s="314" t="inlineStr">
        <is>
          <t>Adams County</t>
        </is>
      </c>
      <c r="C16" s="314" t="inlineStr">
        <is>
          <t>Public Postings</t>
        </is>
      </c>
      <c r="D16" s="314" t="inlineStr">
        <is>
          <t>Public Document Postings</t>
        </is>
      </c>
      <c r="E16" s="315" t="inlineStr">
        <is>
          <t>Publicly posted documents maintained through the recording division.</t>
        </is>
      </c>
      <c r="F16" s="315" t="inlineStr">
        <is>
          <t>Check statutory postings and other public documents relevant to a parcel or entity.</t>
        </is>
      </c>
      <c r="G16" s="311" t="inlineStr">
        <is>
          <t>https://adamscountyco.gov/our-county/elected-officials/clerk-recorder/recording/public-document-postings/</t>
        </is>
      </c>
      <c r="H16" s="314" t="inlineStr">
        <is>
          <t>Useful</t>
        </is>
      </c>
    </row>
    <row r="17" ht="26" customHeight="1" s="518">
      <c r="B17" s="314" t="inlineStr">
        <is>
          <t>Adams County</t>
        </is>
      </c>
      <c r="C17" s="314" t="inlineStr">
        <is>
          <t>Property Tax</t>
        </is>
      </c>
      <c r="D17" s="314" t="inlineStr">
        <is>
          <t>Adams County Tax Portal</t>
        </is>
      </c>
      <c r="E17" s="315" t="inlineStr">
        <is>
          <t>Direct tax account search and payment portal.</t>
        </is>
      </c>
      <c r="F17" s="315" t="inlineStr">
        <is>
          <t>Verify current taxes, balances, tax history and payment status.</t>
        </is>
      </c>
      <c r="G17" s="311" t="inlineStr">
        <is>
          <t>https://adcotax.com/</t>
        </is>
      </c>
      <c r="H17" s="314" t="inlineStr">
        <is>
          <t>Critical</t>
        </is>
      </c>
    </row>
    <row r="18" ht="26" customHeight="1" s="518">
      <c r="B18" s="314" t="inlineStr">
        <is>
          <t>Adams County</t>
        </is>
      </c>
      <c r="C18" s="314" t="inlineStr">
        <is>
          <t>Property Tax</t>
        </is>
      </c>
      <c r="D18" s="314" t="inlineStr">
        <is>
          <t>Treasurer Division</t>
        </is>
      </c>
      <c r="E18" s="315" t="inlineStr">
        <is>
          <t>Treasurer services and property-tax administration information.</t>
        </is>
      </c>
      <c r="F18" s="315" t="inlineStr">
        <is>
          <t>Resolve tax bills, payment questions and certificates.</t>
        </is>
      </c>
      <c r="G18" s="311" t="inlineStr">
        <is>
          <t>https://adamscountyco.gov/our-county/elected-officials/treasurer-public-trustee/treasurer-division/</t>
        </is>
      </c>
      <c r="H18" s="314" t="inlineStr">
        <is>
          <t>High</t>
        </is>
      </c>
    </row>
    <row r="19" ht="26" customHeight="1" s="518">
      <c r="B19" s="314" t="inlineStr">
        <is>
          <t>Adams County</t>
        </is>
      </c>
      <c r="C19" s="314" t="inlineStr">
        <is>
          <t>Property Tax</t>
        </is>
      </c>
      <c r="D19" s="314" t="inlineStr">
        <is>
          <t>Property Tax Information</t>
        </is>
      </c>
      <c r="E19" s="315" t="inlineStr">
        <is>
          <t>Property tax timelines, payment methods and frequently used tax information.</t>
        </is>
      </c>
      <c r="F19" s="315" t="inlineStr">
        <is>
          <t>Understand due dates, delinquency and tax account procedures.</t>
        </is>
      </c>
      <c r="G19" s="311" t="inlineStr">
        <is>
          <t>https://adamscountyco.gov/our-county/elected-officials/treasurer-public-trustee/treasurer-division/property-tax-information/</t>
        </is>
      </c>
      <c r="H19" s="314" t="inlineStr">
        <is>
          <t>High</t>
        </is>
      </c>
    </row>
    <row r="20" ht="26" customHeight="1" s="518">
      <c r="B20" s="314" t="inlineStr">
        <is>
          <t>Adams County</t>
        </is>
      </c>
      <c r="C20" s="314" t="inlineStr">
        <is>
          <t>Tax Lien</t>
        </is>
      </c>
      <c r="D20" s="314" t="inlineStr">
        <is>
          <t>Tax Lien Sale</t>
        </is>
      </c>
      <c r="E20" s="315" t="inlineStr">
        <is>
          <t>County tax lien sale process and related information.</t>
        </is>
      </c>
      <c r="F20" s="315" t="inlineStr">
        <is>
          <t>Research delinquent tax liens and sale procedures.</t>
        </is>
      </c>
      <c r="G20" s="311" t="inlineStr">
        <is>
          <t>https://adamscountyco.gov/our-county/elected-officials/treasurer-public-trustee/treasurer-division/tax-lien-sale/</t>
        </is>
      </c>
      <c r="H20" s="314" t="inlineStr">
        <is>
          <t>High</t>
        </is>
      </c>
    </row>
    <row r="21" ht="26" customHeight="1" s="518">
      <c r="B21" s="314" t="inlineStr">
        <is>
          <t>Adams County</t>
        </is>
      </c>
      <c r="C21" s="314" t="inlineStr">
        <is>
          <t>Tax Lien</t>
        </is>
      </c>
      <c r="D21" s="314" t="inlineStr">
        <is>
          <t>Treasurer's Deed</t>
        </is>
      </c>
      <c r="E21" s="315" t="inlineStr">
        <is>
          <t>Information on the treasurer's deed process after a tax lien.</t>
        </is>
      </c>
      <c r="F21" s="315" t="inlineStr">
        <is>
          <t>Investigate tax-deed procedures and required notices.</t>
        </is>
      </c>
      <c r="G21" s="311" t="inlineStr">
        <is>
          <t>https://adamscountyco.gov/our-county/elected-officials/treasurer-public-trustee/treasurer-division/tax-lien-sale/treasurers-deed/</t>
        </is>
      </c>
      <c r="H21" s="314" t="inlineStr">
        <is>
          <t>High</t>
        </is>
      </c>
    </row>
    <row r="22" ht="26" customHeight="1" s="518">
      <c r="B22" s="314" t="inlineStr">
        <is>
          <t>Adams County</t>
        </is>
      </c>
      <c r="C22" s="314" t="inlineStr">
        <is>
          <t>Foreclosure</t>
        </is>
      </c>
      <c r="D22" s="314" t="inlineStr">
        <is>
          <t>Public Trustee Division</t>
        </is>
      </c>
      <c r="E22" s="315" t="inlineStr">
        <is>
          <t>County public trustee functions for deeds of trust and foreclosure administration.</t>
        </is>
      </c>
      <c r="F22" s="315" t="inlineStr">
        <is>
          <t>Understand foreclosure, releases and public trustee procedures.</t>
        </is>
      </c>
      <c r="G22" s="311" t="inlineStr">
        <is>
          <t>https://adamscountyco.gov/our-county/elected-officials/treasurer-public-trustee/public-trustee-division/</t>
        </is>
      </c>
      <c r="H22" s="314" t="inlineStr">
        <is>
          <t>High</t>
        </is>
      </c>
    </row>
    <row r="23" ht="26" customHeight="1" s="518">
      <c r="B23" s="314" t="inlineStr">
        <is>
          <t>Adams County</t>
        </is>
      </c>
      <c r="C23" s="314" t="inlineStr">
        <is>
          <t>Foreclosure</t>
        </is>
      </c>
      <c r="D23" s="314" t="inlineStr">
        <is>
          <t>Foreclosure Search</t>
        </is>
      </c>
      <c r="E23" s="315" t="inlineStr">
        <is>
          <t>Direct search of Adams County public trustee foreclosure records.</t>
        </is>
      </c>
      <c r="F23" s="315" t="inlineStr">
        <is>
          <t>Check pending and historical foreclosure activity associated with a borrower or property.</t>
        </is>
      </c>
      <c r="G23" s="311" t="inlineStr">
        <is>
          <t>https://apps.adcogov.org/PTForeclosureSearch/?ds=1</t>
        </is>
      </c>
      <c r="H23" s="314" t="inlineStr">
        <is>
          <t>Critical</t>
        </is>
      </c>
    </row>
    <row r="24" ht="13" customHeight="1" s="518">
      <c r="B24" s="314" t="inlineStr">
        <is>
          <t>Adams County</t>
        </is>
      </c>
      <c r="C24" s="314" t="inlineStr">
        <is>
          <t>Foreclosure</t>
        </is>
      </c>
      <c r="D24" s="314" t="inlineStr">
        <is>
          <t>Foreclosure Reports</t>
        </is>
      </c>
      <c r="E24" s="315" t="inlineStr">
        <is>
          <t>Public trustee foreclosure reports.</t>
        </is>
      </c>
      <c r="F24" s="315" t="inlineStr">
        <is>
          <t>Monitor foreclosure filings and sale-related reports.</t>
        </is>
      </c>
      <c r="G24" s="311" t="inlineStr">
        <is>
          <t>https://apps.adcogov.org/PTForeclosureSearch/reports</t>
        </is>
      </c>
      <c r="H24" s="314" t="inlineStr">
        <is>
          <t>High</t>
        </is>
      </c>
    </row>
    <row r="25" ht="26" customHeight="1" s="518">
      <c r="B25" s="314" t="inlineStr">
        <is>
          <t>Adams County</t>
        </is>
      </c>
      <c r="C25" s="314" t="inlineStr">
        <is>
          <t>Planning / Zoning</t>
        </is>
      </c>
      <c r="D25" s="314" t="inlineStr">
        <is>
          <t>Planning &amp; Development</t>
        </is>
      </c>
      <c r="E25" s="315" t="inlineStr">
        <is>
          <t>County planning, zoning and development review for unincorporated Adams County.</t>
        </is>
      </c>
      <c r="F25" s="315" t="inlineStr">
        <is>
          <t>Use only for unincorporated parcels; incorporated parcels are governed by their city or town.</t>
        </is>
      </c>
      <c r="G25" s="311" t="inlineStr">
        <is>
          <t>https://adamscountyco.gov/our-county/community-economic-development/planning-development/</t>
        </is>
      </c>
      <c r="H25" s="314" t="inlineStr">
        <is>
          <t>Critical</t>
        </is>
      </c>
    </row>
    <row r="26" ht="39" customHeight="1" s="518">
      <c r="B26" s="314" t="inlineStr">
        <is>
          <t>Adams County</t>
        </is>
      </c>
      <c r="C26" s="314" t="inlineStr">
        <is>
          <t>Planning / Zoning</t>
        </is>
      </c>
      <c r="D26" s="314" t="inlineStr">
        <is>
          <t>Development Standards &amp; Regulations</t>
        </is>
      </c>
      <c r="E26" s="315" t="inlineStr">
        <is>
          <t>Current county land-use and development regulations.</t>
        </is>
      </c>
      <c r="F26" s="315" t="inlineStr">
        <is>
          <t>Research zone districts, allowed uses, overlays, subdivisions and application standards in unincorporated areas.</t>
        </is>
      </c>
      <c r="G26" s="311" t="inlineStr">
        <is>
          <t>https://adamscountyco.gov/our-county/community-economic-development/planning-development/development-standards-regulations/</t>
        </is>
      </c>
      <c r="H26" s="314" t="inlineStr">
        <is>
          <t>Critical</t>
        </is>
      </c>
    </row>
    <row r="27" ht="39" customHeight="1" s="518">
      <c r="B27" s="314" t="inlineStr">
        <is>
          <t>Adams County</t>
        </is>
      </c>
      <c r="C27" s="314" t="inlineStr">
        <is>
          <t>Planning / Zoning</t>
        </is>
      </c>
      <c r="D27" s="314" t="inlineStr">
        <is>
          <t>Current Land Use Cases</t>
        </is>
      </c>
      <c r="E27" s="315" t="inlineStr">
        <is>
          <t>Scheduled land-use cases, public hearings and recent decisions.</t>
        </is>
      </c>
      <c r="F27" s="315" t="inlineStr">
        <is>
          <t>Identify rezonings, conditional uses, plats, variances and nearby proposals before final approval.</t>
        </is>
      </c>
      <c r="G27" s="311" t="inlineStr">
        <is>
          <t>https://adamscountyco.gov/our-county/community-economic-development/planning-development/current-land-use-cases/</t>
        </is>
      </c>
      <c r="H27" s="314" t="inlineStr">
        <is>
          <t>Critical</t>
        </is>
      </c>
    </row>
    <row r="28" ht="26" customHeight="1" s="518">
      <c r="B28" s="314" t="inlineStr">
        <is>
          <t>Adams County</t>
        </is>
      </c>
      <c r="C28" s="314" t="inlineStr">
        <is>
          <t>Long-Range Planning</t>
        </is>
      </c>
      <c r="D28" s="314" t="inlineStr">
        <is>
          <t>Advancing Adams Comprehensive Plan</t>
        </is>
      </c>
      <c r="E28" s="315" t="inlineStr">
        <is>
          <t>Countywide policy plan and future land-use maps for unincorporated Adams County.</t>
        </is>
      </c>
      <c r="F28" s="315" t="inlineStr">
        <is>
          <t>Evaluate future land-use direction, policy context and long-range growth patterns.</t>
        </is>
      </c>
      <c r="G28" s="311" t="inlineStr">
        <is>
          <t>https://adamscountyco.gov/our-county/community-economic-development/advancing-adams/comprehensive-plan/</t>
        </is>
      </c>
      <c r="H28" s="314" t="inlineStr">
        <is>
          <t>High</t>
        </is>
      </c>
    </row>
    <row r="29" ht="26" customHeight="1" s="518">
      <c r="B29" s="314" t="inlineStr">
        <is>
          <t>Adams County</t>
        </is>
      </c>
      <c r="C29" s="314" t="inlineStr">
        <is>
          <t>Long-Range Planning</t>
        </is>
      </c>
      <c r="D29" s="314" t="inlineStr">
        <is>
          <t>Long Range Planning</t>
        </is>
      </c>
      <c r="E29" s="315" t="inlineStr">
        <is>
          <t>Adopted plans and ongoing long-range planning work.</t>
        </is>
      </c>
      <c r="F29" s="315" t="inlineStr">
        <is>
          <t>Find subarea, transportation and other adopted planning documents.</t>
        </is>
      </c>
      <c r="G29" s="311" t="inlineStr">
        <is>
          <t>https://adamscountyco.gov/our-county/community-economic-development/planning-development/long-range-planning/</t>
        </is>
      </c>
      <c r="H29" s="314" t="inlineStr">
        <is>
          <t>High</t>
        </is>
      </c>
    </row>
    <row r="30" ht="26" customHeight="1" s="518">
      <c r="B30" s="314" t="inlineStr">
        <is>
          <t>Adams County</t>
        </is>
      </c>
      <c r="C30" s="314" t="inlineStr">
        <is>
          <t>Permits</t>
        </is>
      </c>
      <c r="D30" s="314" t="inlineStr">
        <is>
          <t>Permits &amp; Licensing</t>
        </is>
      </c>
      <c r="E30" s="315" t="inlineStr">
        <is>
          <t>County permit, license and Eye on Adams resources for unincorporated property.</t>
        </is>
      </c>
      <c r="F30" s="315" t="inlineStr">
        <is>
          <t>Find permit tools, licensing information and code-related records.</t>
        </is>
      </c>
      <c r="G30" s="311" t="inlineStr">
        <is>
          <t>https://adamscountyco.gov/our-county/community-economic-development/permits-licensing/</t>
        </is>
      </c>
      <c r="H30" s="314" t="inlineStr">
        <is>
          <t>Critical</t>
        </is>
      </c>
    </row>
    <row r="31" ht="26" customHeight="1" s="518">
      <c r="B31" s="314" t="inlineStr">
        <is>
          <t>Adams County</t>
        </is>
      </c>
      <c r="C31" s="314" t="inlineStr">
        <is>
          <t>Permits</t>
        </is>
      </c>
      <c r="D31" s="314" t="inlineStr">
        <is>
          <t>Building Permit</t>
        </is>
      </c>
      <c r="E31" s="315" t="inlineStr">
        <is>
          <t>Building-permit application, review, payment and permit-tracking guidance.</t>
        </is>
      </c>
      <c r="F31" s="315" t="inlineStr">
        <is>
          <t>Research or apply for building permits in unincorporated Adams County.</t>
        </is>
      </c>
      <c r="G31" s="311" t="inlineStr">
        <is>
          <t>https://adamscountyco.gov/our-county/community-economic-development/building-safety/building-permit/</t>
        </is>
      </c>
      <c r="H31" s="314" t="inlineStr">
        <is>
          <t>Critical</t>
        </is>
      </c>
    </row>
    <row r="32" ht="26" customHeight="1" s="518">
      <c r="B32" s="314" t="inlineStr">
        <is>
          <t>Adams County</t>
        </is>
      </c>
      <c r="C32" s="314" t="inlineStr">
        <is>
          <t>Permits</t>
        </is>
      </c>
      <c r="D32" s="314" t="inlineStr">
        <is>
          <t>Apply for a Building Permit</t>
        </is>
      </c>
      <c r="E32" s="315" t="inlineStr">
        <is>
          <t>Service guide to the building-permit process and required resources.</t>
        </is>
      </c>
      <c r="F32" s="315" t="inlineStr">
        <is>
          <t>Use as a concise application starting point.</t>
        </is>
      </c>
      <c r="G32" s="311" t="inlineStr">
        <is>
          <t>https://adamscountyco.gov/service/apply-for-a-building-permit/</t>
        </is>
      </c>
      <c r="H32" s="314" t="inlineStr">
        <is>
          <t>High</t>
        </is>
      </c>
    </row>
    <row r="33" ht="26" customHeight="1" s="518">
      <c r="B33" s="314" t="inlineStr">
        <is>
          <t>Adams County</t>
        </is>
      </c>
      <c r="C33" s="314" t="inlineStr">
        <is>
          <t>Permits</t>
        </is>
      </c>
      <c r="D33" s="314" t="inlineStr">
        <is>
          <t>Permit Fees &amp; Contractor Registration</t>
        </is>
      </c>
      <c r="E33" s="315" t="inlineStr">
        <is>
          <t>Permit fee and contractor licensing information.</t>
        </is>
      </c>
      <c r="F33" s="315" t="inlineStr">
        <is>
          <t>Estimate administrative requirements and verify contractor registration procedures.</t>
        </is>
      </c>
      <c r="G33" s="311" t="inlineStr">
        <is>
          <t>https://adamscountyco.gov/our-county/community-economic-development/building-safety/permit-fees-contractor-registration/</t>
        </is>
      </c>
      <c r="H33" s="314" t="inlineStr">
        <is>
          <t>Useful</t>
        </is>
      </c>
    </row>
    <row r="34" ht="26" customHeight="1" s="518">
      <c r="B34" s="314" t="inlineStr">
        <is>
          <t>Adams County</t>
        </is>
      </c>
      <c r="C34" s="314" t="inlineStr">
        <is>
          <t>Permits</t>
        </is>
      </c>
      <c r="D34" s="314" t="inlineStr">
        <is>
          <t>Submittal Checklists</t>
        </is>
      </c>
      <c r="E34" s="315" t="inlineStr">
        <is>
          <t>Checklists for development and building submittals.</t>
        </is>
      </c>
      <c r="F34" s="315" t="inlineStr">
        <is>
          <t>Confirm required documents before filing an application.</t>
        </is>
      </c>
      <c r="G34" s="311" t="inlineStr">
        <is>
          <t>https://adamscountyco.gov/our-county/community-economic-development/submittal-checklists/</t>
        </is>
      </c>
      <c r="H34" s="314" t="inlineStr">
        <is>
          <t>High</t>
        </is>
      </c>
    </row>
    <row r="35" ht="26" customHeight="1" s="518">
      <c r="B35" s="314" t="inlineStr">
        <is>
          <t>Adams County</t>
        </is>
      </c>
      <c r="C35" s="314" t="inlineStr">
        <is>
          <t>Codes</t>
        </is>
      </c>
      <c r="D35" s="314" t="inlineStr">
        <is>
          <t>Codes &amp; Information</t>
        </is>
      </c>
      <c r="E35" s="315" t="inlineStr">
        <is>
          <t>Building codes, development regulations and related compliance resources.</t>
        </is>
      </c>
      <c r="F35" s="315" t="inlineStr">
        <is>
          <t>Verify current construction and land-use standards before design or acquisition.</t>
        </is>
      </c>
      <c r="G35" s="311" t="inlineStr">
        <is>
          <t>https://adamscountyco.gov/our-county/community-economic-development/permits-licensing/codes-information/</t>
        </is>
      </c>
      <c r="H35" s="314" t="inlineStr">
        <is>
          <t>High</t>
        </is>
      </c>
    </row>
    <row r="36" ht="26" customHeight="1" s="518">
      <c r="B36" s="314" t="inlineStr">
        <is>
          <t>Adams County</t>
        </is>
      </c>
      <c r="C36" s="314" t="inlineStr">
        <is>
          <t>Online Tools</t>
        </is>
      </c>
      <c r="D36" s="314" t="inlineStr">
        <is>
          <t>Community &amp; Economic Development Online Resources</t>
        </is>
      </c>
      <c r="E36" s="315" t="inlineStr">
        <is>
          <t>Online research and application resources for planning, building and permits.</t>
        </is>
      </c>
      <c r="F36" s="315" t="inlineStr">
        <is>
          <t>Use as a consolidated starting point for development services.</t>
        </is>
      </c>
      <c r="G36" s="311" t="inlineStr">
        <is>
          <t>https://adamscountyco.gov/our-county/community-economic-development/online-resources/</t>
        </is>
      </c>
      <c r="H36" s="314" t="inlineStr">
        <is>
          <t>Useful</t>
        </is>
      </c>
    </row>
    <row r="37" ht="26" customHeight="1" s="518">
      <c r="B37" s="314" t="inlineStr">
        <is>
          <t>Adams County</t>
        </is>
      </c>
      <c r="C37" s="314" t="inlineStr">
        <is>
          <t>Road / Access</t>
        </is>
      </c>
      <c r="D37" s="314" t="inlineStr">
        <is>
          <t>Public Works</t>
        </is>
      </c>
      <c r="E37" s="315" t="inlineStr">
        <is>
          <t>County roads, right-of-way, access, stormwater and infrastructure permit information.</t>
        </is>
      </c>
      <c r="F37" s="315" t="inlineStr">
        <is>
          <t>Check county road jurisdiction, access permits and public works projects.</t>
        </is>
      </c>
      <c r="G37" s="311" t="inlineStr">
        <is>
          <t>https://adamscountyco.gov/our-county/public-works/</t>
        </is>
      </c>
      <c r="H37" s="314" t="inlineStr">
        <is>
          <t>High</t>
        </is>
      </c>
    </row>
    <row r="38" ht="26" customHeight="1" s="518">
      <c r="B38" s="314" t="inlineStr">
        <is>
          <t>Adams County</t>
        </is>
      </c>
      <c r="C38" s="314" t="inlineStr">
        <is>
          <t>Meetings</t>
        </is>
      </c>
      <c r="D38" s="314" t="inlineStr">
        <is>
          <t>Public Meetings</t>
        </is>
      </c>
      <c r="E38" s="315" t="inlineStr">
        <is>
          <t>County boards, commissions, hearings and public participation links.</t>
        </is>
      </c>
      <c r="F38" s="315" t="inlineStr">
        <is>
          <t>Monitor decisions and public-comment opportunities.</t>
        </is>
      </c>
      <c r="G38" s="311" t="inlineStr">
        <is>
          <t>https://adamscountyco.gov/about-adams-county/public-meetings/</t>
        </is>
      </c>
      <c r="H38" s="314" t="inlineStr">
        <is>
          <t>High</t>
        </is>
      </c>
    </row>
    <row r="39" ht="26" customHeight="1" s="518">
      <c r="B39" s="314" t="inlineStr">
        <is>
          <t>Adams County</t>
        </is>
      </c>
      <c r="C39" s="314" t="inlineStr">
        <is>
          <t>Meetings</t>
        </is>
      </c>
      <c r="D39" s="314" t="inlineStr">
        <is>
          <t>Current Meeting Agendas &amp; Archives</t>
        </is>
      </c>
      <c r="E39" s="315" t="inlineStr">
        <is>
          <t>Board of County Commissioners agendas, minutes, audio and public hearing information.</t>
        </is>
      </c>
      <c r="F39" s="315" t="inlineStr">
        <is>
          <t>Track pending and completed county actions.</t>
        </is>
      </c>
      <c r="G39" s="311" t="inlineStr">
        <is>
          <t>https://adamscountyco.gov/our-county/elected-officials/board-of-county-commissioners/current-meeting-agendas-archives/</t>
        </is>
      </c>
      <c r="H39" s="314" t="inlineStr">
        <is>
          <t>High</t>
        </is>
      </c>
    </row>
    <row r="40" ht="26" customHeight="1" s="518">
      <c r="B40" s="314" t="inlineStr">
        <is>
          <t>Adams County</t>
        </is>
      </c>
      <c r="C40" s="314" t="inlineStr">
        <is>
          <t>News</t>
        </is>
      </c>
      <c r="D40" s="314" t="inlineStr">
        <is>
          <t>Adams County News</t>
        </is>
      </c>
      <c r="E40" s="315" t="inlineStr">
        <is>
          <t>Official county news and announcements.</t>
        </is>
      </c>
      <c r="F40" s="315" t="inlineStr">
        <is>
          <t>Monitor code updates, projects, hearings, public programs and policy changes.</t>
        </is>
      </c>
      <c r="G40" s="311" t="inlineStr">
        <is>
          <t>https://adamscountyco.gov/about-adams-county/news/</t>
        </is>
      </c>
      <c r="H40" s="314" t="inlineStr">
        <is>
          <t>High</t>
        </is>
      </c>
    </row>
    <row r="41" ht="26" customHeight="1" s="518">
      <c r="B41" s="314" t="inlineStr">
        <is>
          <t>Adams County</t>
        </is>
      </c>
      <c r="C41" s="314" t="inlineStr">
        <is>
          <t>News</t>
        </is>
      </c>
      <c r="D41" s="314" t="inlineStr">
        <is>
          <t>Planning &amp; Development News &amp; Updates</t>
        </is>
      </c>
      <c r="E41" s="315" t="inlineStr">
        <is>
          <t>Updates from the county planning and development division.</t>
        </is>
      </c>
      <c r="F41" s="315" t="inlineStr">
        <is>
          <t>Watch for development-regulation changes and planning initiatives.</t>
        </is>
      </c>
      <c r="G41" s="311" t="inlineStr">
        <is>
          <t>https://adamscountyco.gov/our-county/community-economic-development/planning-development/news-updates/</t>
        </is>
      </c>
      <c r="H41" s="314" t="inlineStr">
        <is>
          <t>High</t>
        </is>
      </c>
    </row>
    <row r="42" ht="13" customHeight="1" s="518">
      <c r="B42" s="314" t="inlineStr">
        <is>
          <t>Arvada</t>
        </is>
      </c>
      <c r="C42" s="314" t="inlineStr">
        <is>
          <t>Official Website</t>
        </is>
      </c>
      <c r="D42" s="314" t="inlineStr">
        <is>
          <t>City of Arvada</t>
        </is>
      </c>
      <c r="E42" s="315" t="inlineStr">
        <is>
          <t>Main city website and departmental navigation.</t>
        </is>
      </c>
      <c r="F42" s="315" t="inlineStr">
        <is>
          <t>Verify current city contacts and services.</t>
        </is>
      </c>
      <c r="G42" s="311" t="inlineStr">
        <is>
          <t>https://www.arvadaco.gov/</t>
        </is>
      </c>
      <c r="H42" s="314" t="inlineStr">
        <is>
          <t>Reference</t>
        </is>
      </c>
    </row>
    <row r="43" ht="13" customHeight="1" s="518">
      <c r="B43" s="314" t="inlineStr">
        <is>
          <t>Arvada</t>
        </is>
      </c>
      <c r="C43" s="314" t="inlineStr">
        <is>
          <t>GIS / Property</t>
        </is>
      </c>
      <c r="D43" s="314" t="inlineStr">
        <is>
          <t>Maps and Property Search</t>
        </is>
      </c>
      <c r="E43" s="315" t="inlineStr">
        <is>
          <t>City maps and parcel/property research links.</t>
        </is>
      </c>
      <c r="F43" s="315" t="inlineStr">
        <is>
          <t>Locate parcels, zoning and mapped city information.</t>
        </is>
      </c>
      <c r="G43" s="311" t="inlineStr">
        <is>
          <t>https://www.arvadaco.gov/702/Maps-and-Property-Search</t>
        </is>
      </c>
      <c r="H43" s="314" t="inlineStr">
        <is>
          <t>Critical</t>
        </is>
      </c>
    </row>
    <row r="44" ht="13" customHeight="1" s="518">
      <c r="B44" s="314" t="inlineStr">
        <is>
          <t>Arvada</t>
        </is>
      </c>
      <c r="C44" s="314" t="inlineStr">
        <is>
          <t>Zoning</t>
        </is>
      </c>
      <c r="D44" s="314" t="inlineStr">
        <is>
          <t>Zoning</t>
        </is>
      </c>
      <c r="E44" s="315" t="inlineStr">
        <is>
          <t>Zoning districts, regulations and zoning information.</t>
        </is>
      </c>
      <c r="F44" s="315" t="inlineStr">
        <is>
          <t>Confirm district and permitted-use rules.</t>
        </is>
      </c>
      <c r="G44" s="311" t="inlineStr">
        <is>
          <t>https://www.arvadaco.gov/168/Zoning</t>
        </is>
      </c>
      <c r="H44" s="314" t="inlineStr">
        <is>
          <t>Critical</t>
        </is>
      </c>
    </row>
    <row r="45" ht="26" customHeight="1" s="518">
      <c r="B45" s="314" t="inlineStr">
        <is>
          <t>Arvada</t>
        </is>
      </c>
      <c r="C45" s="314" t="inlineStr">
        <is>
          <t>Planning</t>
        </is>
      </c>
      <c r="D45" s="314" t="inlineStr">
        <is>
          <t>Planning and Development</t>
        </is>
      </c>
      <c r="E45" s="315" t="inlineStr">
        <is>
          <t>Planning, land use, development review and long-range resources.</t>
        </is>
      </c>
      <c r="F45" s="315" t="inlineStr">
        <is>
          <t>Start development or entitlement research.</t>
        </is>
      </c>
      <c r="G45" s="311" t="inlineStr">
        <is>
          <t>https://www.arvadaco.gov/1369/Planning-and-Development</t>
        </is>
      </c>
      <c r="H45" s="314" t="inlineStr">
        <is>
          <t>Critical</t>
        </is>
      </c>
    </row>
    <row r="46" ht="26" customHeight="1" s="518">
      <c r="B46" s="314" t="inlineStr">
        <is>
          <t>Arvada</t>
        </is>
      </c>
      <c r="C46" s="314" t="inlineStr">
        <is>
          <t>Code</t>
        </is>
      </c>
      <c r="D46" s="314" t="inlineStr">
        <is>
          <t>Land Development Code</t>
        </is>
      </c>
      <c r="E46" s="315" t="inlineStr">
        <is>
          <t>Current land-development regulations.</t>
        </is>
      </c>
      <c r="F46" s="315" t="inlineStr">
        <is>
          <t>Review use, dimensional, design and review standards.</t>
        </is>
      </c>
      <c r="G46" s="311" t="inlineStr">
        <is>
          <t>https://www.arvadaco.gov/1397/Land-Development-Code</t>
        </is>
      </c>
      <c r="H46" s="314" t="inlineStr">
        <is>
          <t>Critical</t>
        </is>
      </c>
    </row>
    <row r="47" ht="26" customHeight="1" s="518">
      <c r="B47" s="314" t="inlineStr">
        <is>
          <t>Arvada</t>
        </is>
      </c>
      <c r="C47" s="314" t="inlineStr">
        <is>
          <t>Development</t>
        </is>
      </c>
      <c r="D47" s="314" t="inlineStr">
        <is>
          <t>Active Development Projects</t>
        </is>
      </c>
      <c r="E47" s="315" t="inlineStr">
        <is>
          <t>Map/list of current development projects.</t>
        </is>
      </c>
      <c r="F47" s="315" t="inlineStr">
        <is>
          <t>Identify pending or active projects near a target property.</t>
        </is>
      </c>
      <c r="G47" s="311" t="inlineStr">
        <is>
          <t>https://www.arvadaco.gov/1394/Active-Development-Projects</t>
        </is>
      </c>
      <c r="H47" s="314" t="inlineStr">
        <is>
          <t>High</t>
        </is>
      </c>
    </row>
    <row r="48" ht="26" customHeight="1" s="518">
      <c r="B48" s="314" t="inlineStr">
        <is>
          <t>Arvada</t>
        </is>
      </c>
      <c r="C48" s="314" t="inlineStr">
        <is>
          <t>Development</t>
        </is>
      </c>
      <c r="D48" s="314" t="inlineStr">
        <is>
          <t>Development Review Process</t>
        </is>
      </c>
      <c r="E48" s="315" t="inlineStr">
        <is>
          <t>Explanation of land-use and development review steps.</t>
        </is>
      </c>
      <c r="F48" s="315" t="inlineStr">
        <is>
          <t>Estimate entitlement path and required approvals.</t>
        </is>
      </c>
      <c r="G48" s="311" t="inlineStr">
        <is>
          <t>https://www.arvadaco.gov/1393/Development-Review-Process</t>
        </is>
      </c>
      <c r="H48" s="314" t="inlineStr">
        <is>
          <t>High</t>
        </is>
      </c>
    </row>
    <row r="49" ht="26" customHeight="1" s="518">
      <c r="B49" s="314" t="inlineStr">
        <is>
          <t>Arvada</t>
        </is>
      </c>
      <c r="C49" s="314" t="inlineStr">
        <is>
          <t>Planning Documents</t>
        </is>
      </c>
      <c r="D49" s="314" t="inlineStr">
        <is>
          <t>Documents and Downloads</t>
        </is>
      </c>
      <c r="E49" s="315" t="inlineStr">
        <is>
          <t>Applications, checklists, plans and planning documents.</t>
        </is>
      </c>
      <c r="F49" s="315" t="inlineStr">
        <is>
          <t>Collect forms and supporting standards.</t>
        </is>
      </c>
      <c r="G49" s="311" t="inlineStr">
        <is>
          <t>https://www.arvadaco.gov/363/Documents-and-Downloads</t>
        </is>
      </c>
      <c r="H49" s="314" t="inlineStr">
        <is>
          <t>Useful</t>
        </is>
      </c>
    </row>
    <row r="50" ht="13" customHeight="1" s="518">
      <c r="B50" s="314" t="inlineStr">
        <is>
          <t>Arvada</t>
        </is>
      </c>
      <c r="C50" s="314" t="inlineStr">
        <is>
          <t>Permits</t>
        </is>
      </c>
      <c r="D50" s="314" t="inlineStr">
        <is>
          <t>Permits</t>
        </is>
      </c>
      <c r="E50" s="315" t="inlineStr">
        <is>
          <t>City permit portal and permit categories.</t>
        </is>
      </c>
      <c r="F50" s="315" t="inlineStr">
        <is>
          <t>Find applicable city permits.</t>
        </is>
      </c>
      <c r="G50" s="311" t="inlineStr">
        <is>
          <t>https://www.arvadaco.gov/330/Permits</t>
        </is>
      </c>
      <c r="H50" s="314" t="inlineStr">
        <is>
          <t>High</t>
        </is>
      </c>
    </row>
    <row r="51" ht="13" customHeight="1" s="518">
      <c r="B51" s="314" t="inlineStr">
        <is>
          <t>Arvada</t>
        </is>
      </c>
      <c r="C51" s="314" t="inlineStr">
        <is>
          <t>Permits</t>
        </is>
      </c>
      <c r="D51" s="314" t="inlineStr">
        <is>
          <t>Building Permits</t>
        </is>
      </c>
      <c r="E51" s="315" t="inlineStr">
        <is>
          <t>Building-permit requirements and guidance.</t>
        </is>
      </c>
      <c r="F51" s="315" t="inlineStr">
        <is>
          <t>Research construction permit needs.</t>
        </is>
      </c>
      <c r="G51" s="311" t="inlineStr">
        <is>
          <t>https://www.arvadaco.gov/332/Building-Permits</t>
        </is>
      </c>
      <c r="H51" s="314" t="inlineStr">
        <is>
          <t>Critical</t>
        </is>
      </c>
    </row>
    <row r="52" ht="13" customHeight="1" s="518">
      <c r="B52" s="314" t="inlineStr">
        <is>
          <t>Arvada</t>
        </is>
      </c>
      <c r="C52" s="314" t="inlineStr">
        <is>
          <t>Permits</t>
        </is>
      </c>
      <c r="D52" s="314" t="inlineStr">
        <is>
          <t>eTRAKiT Help</t>
        </is>
      </c>
      <c r="E52" s="315" t="inlineStr">
        <is>
          <t>Online permit and project portal help.</t>
        </is>
      </c>
      <c r="F52" s="315" t="inlineStr">
        <is>
          <t>Search or manage permits and development cases.</t>
        </is>
      </c>
      <c r="G52" s="311" t="inlineStr">
        <is>
          <t>https://www.arvadaco.gov/593/eTRAKiT-Help/permithelp</t>
        </is>
      </c>
      <c r="H52" s="314" t="inlineStr">
        <is>
          <t>High</t>
        </is>
      </c>
    </row>
    <row r="53" ht="13" customHeight="1" s="518">
      <c r="B53" s="314" t="inlineStr">
        <is>
          <t>Arvada</t>
        </is>
      </c>
      <c r="C53" s="314" t="inlineStr">
        <is>
          <t>Permit History</t>
        </is>
      </c>
      <c r="D53" s="314" t="inlineStr">
        <is>
          <t>Researching Permits</t>
        </is>
      </c>
      <c r="E53" s="315" t="inlineStr">
        <is>
          <t>Instructions for researching historical permits.</t>
        </is>
      </c>
      <c r="F53" s="315" t="inlineStr">
        <is>
          <t>Check prior construction and permit records.</t>
        </is>
      </c>
      <c r="G53" s="311" t="inlineStr">
        <is>
          <t>https://www.arvadaco.gov/627/Researching-Permits</t>
        </is>
      </c>
      <c r="H53" s="314" t="inlineStr">
        <is>
          <t>High</t>
        </is>
      </c>
    </row>
    <row r="54" ht="13" customHeight="1" s="518">
      <c r="B54" s="314" t="inlineStr">
        <is>
          <t>Arvada</t>
        </is>
      </c>
      <c r="C54" s="314" t="inlineStr">
        <is>
          <t>Long-Range Planning</t>
        </is>
      </c>
      <c r="D54" s="314" t="inlineStr">
        <is>
          <t>2026-27 Comprehensive Plan</t>
        </is>
      </c>
      <c r="E54" s="315" t="inlineStr">
        <is>
          <t>Current comprehensive-plan update information.</t>
        </is>
      </c>
      <c r="F54" s="315" t="inlineStr">
        <is>
          <t>Track future land-use policy and plan changes.</t>
        </is>
      </c>
      <c r="G54" s="311" t="inlineStr">
        <is>
          <t>https://www.arvadaco.gov/1374/2026-27-Comprehensive-Plan</t>
        </is>
      </c>
      <c r="H54" s="314" t="inlineStr">
        <is>
          <t>High</t>
        </is>
      </c>
    </row>
    <row r="55" ht="13" customHeight="1" s="518">
      <c r="B55" s="314" t="inlineStr">
        <is>
          <t>Arvada</t>
        </is>
      </c>
      <c r="C55" s="314" t="inlineStr">
        <is>
          <t>Plans</t>
        </is>
      </c>
      <c r="D55" s="314" t="inlineStr">
        <is>
          <t>City Plans</t>
        </is>
      </c>
      <c r="E55" s="315" t="inlineStr">
        <is>
          <t>Adopted and ongoing city plans.</t>
        </is>
      </c>
      <c r="F55" s="315" t="inlineStr">
        <is>
          <t>Review subarea and long-range policy documents.</t>
        </is>
      </c>
      <c r="G55" s="311" t="inlineStr">
        <is>
          <t>https://www.arvadaco.gov/304/City-Plans</t>
        </is>
      </c>
      <c r="H55" s="314" t="inlineStr">
        <is>
          <t>Useful</t>
        </is>
      </c>
    </row>
    <row r="56" ht="26" customHeight="1" s="518">
      <c r="B56" s="314" t="inlineStr">
        <is>
          <t>Arvada</t>
        </is>
      </c>
      <c r="C56" s="314" t="inlineStr">
        <is>
          <t>Meetings</t>
        </is>
      </c>
      <c r="D56" s="314" t="inlineStr">
        <is>
          <t>Planning Commission</t>
        </is>
      </c>
      <c r="E56" s="315" t="inlineStr">
        <is>
          <t>Planning Commission information and meeting resources.</t>
        </is>
      </c>
      <c r="F56" s="315" t="inlineStr">
        <is>
          <t>Monitor land-use recommendations and hearings.</t>
        </is>
      </c>
      <c r="G56" s="311" t="inlineStr">
        <is>
          <t>https://www.arvadaco.gov/276/Planning-Commission</t>
        </is>
      </c>
      <c r="H56" s="314" t="inlineStr">
        <is>
          <t>High</t>
        </is>
      </c>
    </row>
    <row r="57" ht="13" customHeight="1" s="518">
      <c r="B57" s="314" t="inlineStr">
        <is>
          <t>Arvada</t>
        </is>
      </c>
      <c r="C57" s="314" t="inlineStr">
        <is>
          <t>Meetings</t>
        </is>
      </c>
      <c r="D57" s="314" t="inlineStr">
        <is>
          <t>Agenda Center</t>
        </is>
      </c>
      <c r="E57" s="315" t="inlineStr">
        <is>
          <t>Agendas and minutes for city boards and council.</t>
        </is>
      </c>
      <c r="F57" s="315" t="inlineStr">
        <is>
          <t>Track official actions and hearing dates.</t>
        </is>
      </c>
      <c r="G57" s="311" t="inlineStr">
        <is>
          <t>https://www.arvadaco.gov/AgendaCenter</t>
        </is>
      </c>
      <c r="H57" s="314" t="inlineStr">
        <is>
          <t>High</t>
        </is>
      </c>
    </row>
    <row r="58" ht="13" customHeight="1" s="518">
      <c r="B58" s="314" t="inlineStr">
        <is>
          <t>Arvada</t>
        </is>
      </c>
      <c r="C58" s="314" t="inlineStr">
        <is>
          <t>Public Notices</t>
        </is>
      </c>
      <c r="D58" s="314" t="inlineStr">
        <is>
          <t>Meetings and Other Legal Notices</t>
        </is>
      </c>
      <c r="E58" s="315" t="inlineStr">
        <is>
          <t>Official notices and public-hearing information.</t>
        </is>
      </c>
      <c r="F58" s="315" t="inlineStr">
        <is>
          <t>Confirm formal notice and comment deadlines.</t>
        </is>
      </c>
      <c r="G58" s="311" t="inlineStr">
        <is>
          <t>https://www.arvadaco.gov/245/Meetings-and-Other-Legal-Notices</t>
        </is>
      </c>
      <c r="H58" s="314" t="inlineStr">
        <is>
          <t>High</t>
        </is>
      </c>
    </row>
    <row r="59" ht="26" customHeight="1" s="518">
      <c r="B59" s="314" t="inlineStr">
        <is>
          <t>Arvada</t>
        </is>
      </c>
      <c r="C59" s="314" t="inlineStr">
        <is>
          <t>News</t>
        </is>
      </c>
      <c r="D59" s="314" t="inlineStr">
        <is>
          <t>News Releases</t>
        </is>
      </c>
      <c r="E59" s="315" t="inlineStr">
        <is>
          <t>Official city news releases.</t>
        </is>
      </c>
      <c r="F59" s="315" t="inlineStr">
        <is>
          <t>Monitor city projects, policy and development announcements.</t>
        </is>
      </c>
      <c r="G59" s="311" t="inlineStr">
        <is>
          <t>https://www.arvadaco.gov/908/News-Releases</t>
        </is>
      </c>
      <c r="H59" s="314" t="inlineStr">
        <is>
          <t>Useful</t>
        </is>
      </c>
    </row>
    <row r="60" ht="13" customHeight="1" s="518">
      <c r="B60" s="314" t="inlineStr">
        <is>
          <t>Arvada</t>
        </is>
      </c>
      <c r="C60" s="314" t="inlineStr">
        <is>
          <t>Public Records</t>
        </is>
      </c>
      <c r="D60" s="314" t="inlineStr">
        <is>
          <t>Records and Requests</t>
        </is>
      </c>
      <c r="E60" s="315" t="inlineStr">
        <is>
          <t>Public records request information.</t>
        </is>
      </c>
      <c r="F60" s="315" t="inlineStr">
        <is>
          <t>Request records not available in online systems.</t>
        </is>
      </c>
      <c r="G60" s="311" t="inlineStr">
        <is>
          <t>https://www.arvadaco.gov/247/Records-and-Requests</t>
        </is>
      </c>
      <c r="H60" s="314" t="inlineStr">
        <is>
          <t>High</t>
        </is>
      </c>
    </row>
    <row r="61" ht="13" customHeight="1" s="518">
      <c r="B61" s="314" t="inlineStr">
        <is>
          <t>Aurora</t>
        </is>
      </c>
      <c r="C61" s="314" t="inlineStr">
        <is>
          <t>Official Website</t>
        </is>
      </c>
      <c r="D61" s="314" t="inlineStr">
        <is>
          <t>City of Aurora</t>
        </is>
      </c>
      <c r="E61" s="315" t="inlineStr">
        <is>
          <t>Main city website.</t>
        </is>
      </c>
      <c r="F61" s="315" t="inlineStr">
        <is>
          <t>Navigate city departments and services.</t>
        </is>
      </c>
      <c r="G61" s="311" t="inlineStr">
        <is>
          <t>https://www.auroragov.org/</t>
        </is>
      </c>
      <c r="H61" s="314" t="inlineStr">
        <is>
          <t>Reference</t>
        </is>
      </c>
    </row>
    <row r="62" ht="26" customHeight="1" s="518">
      <c r="B62" s="314" t="inlineStr">
        <is>
          <t>Aurora</t>
        </is>
      </c>
      <c r="C62" s="314" t="inlineStr">
        <is>
          <t>GIS / Property</t>
        </is>
      </c>
      <c r="D62" s="314" t="inlineStr">
        <is>
          <t>Planning and Zoning Maps</t>
        </is>
      </c>
      <c r="E62" s="315" t="inlineStr">
        <is>
          <t>Planning, zoning and related interactive maps.</t>
        </is>
      </c>
      <c r="F62" s="315" t="inlineStr">
        <is>
          <t>Locate zoning, plan areas and mapped land-use information.</t>
        </is>
      </c>
      <c r="G62" s="311" t="inlineStr">
        <is>
          <t>https://www.auroragov.org/city_hall/maps/planning_and_zoning_maps</t>
        </is>
      </c>
      <c r="H62" s="314" t="inlineStr">
        <is>
          <t>Critical</t>
        </is>
      </c>
    </row>
    <row r="63" ht="26" customHeight="1" s="518">
      <c r="B63" s="314" t="inlineStr">
        <is>
          <t>Aurora</t>
        </is>
      </c>
      <c r="C63" s="314" t="inlineStr">
        <is>
          <t>GIS / Open Data</t>
        </is>
      </c>
      <c r="D63" s="314" t="inlineStr">
        <is>
          <t>Aurora Open Data Map Services</t>
        </is>
      </c>
      <c r="E63" s="315" t="inlineStr">
        <is>
          <t>City GIS open-data map services.</t>
        </is>
      </c>
      <c r="F63" s="315" t="inlineStr">
        <is>
          <t>Use detailed GIS layers or connect mapping software.</t>
        </is>
      </c>
      <c r="G63" s="311" t="inlineStr">
        <is>
          <t>https://ags.auroragov.org/aurora/rest/services/OpenData/MapServer</t>
        </is>
      </c>
      <c r="H63" s="314" t="inlineStr">
        <is>
          <t>Useful</t>
        </is>
      </c>
    </row>
    <row r="64" ht="26" customHeight="1" s="518">
      <c r="B64" s="314" t="inlineStr">
        <is>
          <t>Aurora</t>
        </is>
      </c>
      <c r="C64" s="314" t="inlineStr">
        <is>
          <t>Zoning</t>
        </is>
      </c>
      <c r="D64" s="314" t="inlineStr">
        <is>
          <t>Zoning Navigator</t>
        </is>
      </c>
      <c r="E64" s="315" t="inlineStr">
        <is>
          <t>Interactive zoning and development-code navigation.</t>
        </is>
      </c>
      <c r="F64" s="315" t="inlineStr">
        <is>
          <t>Research district standards and applicable regulations.</t>
        </is>
      </c>
      <c r="G64" s="311" t="inlineStr">
        <is>
          <t>https://zoning.auroragov.org/</t>
        </is>
      </c>
      <c r="H64" s="314" t="inlineStr">
        <is>
          <t>Critical</t>
        </is>
      </c>
    </row>
    <row r="65" ht="26" customHeight="1" s="518">
      <c r="B65" s="314" t="inlineStr">
        <is>
          <t>Aurora</t>
        </is>
      </c>
      <c r="C65" s="314" t="inlineStr">
        <is>
          <t>Planning</t>
        </is>
      </c>
      <c r="D65" s="314" t="inlineStr">
        <is>
          <t>Planning</t>
        </is>
      </c>
      <c r="E65" s="315" t="inlineStr">
        <is>
          <t>Planning division resources, plans and land-use services.</t>
        </is>
      </c>
      <c r="F65" s="315" t="inlineStr">
        <is>
          <t>Start zoning or planning research.</t>
        </is>
      </c>
      <c r="G65" s="311" t="inlineStr">
        <is>
          <t>https://www.auroragov.org/business_services/planning</t>
        </is>
      </c>
      <c r="H65" s="314" t="inlineStr">
        <is>
          <t>Critical</t>
        </is>
      </c>
    </row>
    <row r="66" ht="26" customHeight="1" s="518">
      <c r="B66" s="314" t="inlineStr">
        <is>
          <t>Aurora</t>
        </is>
      </c>
      <c r="C66" s="314" t="inlineStr">
        <is>
          <t>Planning</t>
        </is>
      </c>
      <c r="D66" s="314" t="inlineStr">
        <is>
          <t>Planning &amp; Development Services</t>
        </is>
      </c>
      <c r="E66" s="315" t="inlineStr">
        <is>
          <t>Department-level planning, building and development services.</t>
        </is>
      </c>
      <c r="F66" s="315" t="inlineStr">
        <is>
          <t>Navigate project review and development departments.</t>
        </is>
      </c>
      <c r="G66" s="311" t="inlineStr">
        <is>
          <t>https://www.auroragov.org/city_hall/departments/planning___development_services</t>
        </is>
      </c>
      <c r="H66" s="314" t="inlineStr">
        <is>
          <t>High</t>
        </is>
      </c>
    </row>
    <row r="67" ht="26" customHeight="1" s="518">
      <c r="B67" s="314" t="inlineStr">
        <is>
          <t>Aurora</t>
        </is>
      </c>
      <c r="C67" s="314" t="inlineStr">
        <is>
          <t>Code</t>
        </is>
      </c>
      <c r="D67" s="314" t="inlineStr">
        <is>
          <t>Unified Development Ordinance</t>
        </is>
      </c>
      <c r="E67" s="315" t="inlineStr">
        <is>
          <t>Aurora's land-use and zoning ordinance.</t>
        </is>
      </c>
      <c r="F67" s="315" t="inlineStr">
        <is>
          <t>Review permitted uses, districts and development standards.</t>
        </is>
      </c>
      <c r="G67" s="311" t="inlineStr">
        <is>
          <t>https://www.auroragov.org/business_services/development_center/codes_rules/building___zoning_code/unified_development_ordinance</t>
        </is>
      </c>
      <c r="H67" s="314" t="inlineStr">
        <is>
          <t>Critical</t>
        </is>
      </c>
    </row>
    <row r="68" ht="13" customHeight="1" s="518">
      <c r="B68" s="314" t="inlineStr">
        <is>
          <t>Aurora</t>
        </is>
      </c>
      <c r="C68" s="314" t="inlineStr">
        <is>
          <t>Codes</t>
        </is>
      </c>
      <c r="D68" s="314" t="inlineStr">
        <is>
          <t>Building &amp; Zoning Code</t>
        </is>
      </c>
      <c r="E68" s="315" t="inlineStr">
        <is>
          <t>Building and zoning code resources.</t>
        </is>
      </c>
      <c r="F68" s="315" t="inlineStr">
        <is>
          <t>Verify construction and zoning requirements.</t>
        </is>
      </c>
      <c r="G68" s="311" t="inlineStr">
        <is>
          <t>https://www.auroragov.org/business_services/development_center/codes_rules/building___zoning_code</t>
        </is>
      </c>
      <c r="H68" s="314" t="inlineStr">
        <is>
          <t>High</t>
        </is>
      </c>
    </row>
    <row r="69" ht="26" customHeight="1" s="518">
      <c r="B69" s="314" t="inlineStr">
        <is>
          <t>Aurora</t>
        </is>
      </c>
      <c r="C69" s="314" t="inlineStr">
        <is>
          <t>Development</t>
        </is>
      </c>
      <c r="D69" s="314" t="inlineStr">
        <is>
          <t>Project Status Search</t>
        </is>
      </c>
      <c r="E69" s="315" t="inlineStr">
        <is>
          <t>Online search for development project status.</t>
        </is>
      </c>
      <c r="F69" s="315" t="inlineStr">
        <is>
          <t>Check active or historical development review cases.</t>
        </is>
      </c>
      <c r="G69" s="311" t="inlineStr">
        <is>
          <t>https://coaapps.auroragov.org/ProjectStatus/search.aspx</t>
        </is>
      </c>
      <c r="H69" s="314" t="inlineStr">
        <is>
          <t>Critical</t>
        </is>
      </c>
    </row>
    <row r="70" ht="26" customHeight="1" s="518">
      <c r="B70" s="314" t="inlineStr">
        <is>
          <t>Aurora</t>
        </is>
      </c>
      <c r="C70" s="314" t="inlineStr">
        <is>
          <t>Development</t>
        </is>
      </c>
      <c r="D70" s="314" t="inlineStr">
        <is>
          <t>Forms and Applications</t>
        </is>
      </c>
      <c r="E70" s="315" t="inlineStr">
        <is>
          <t>Development-center forms and applications.</t>
        </is>
      </c>
      <c r="F70" s="315" t="inlineStr">
        <is>
          <t>Identify required land-use and development submittals.</t>
        </is>
      </c>
      <c r="G70" s="311" t="inlineStr">
        <is>
          <t>https://www.auroragov.org/business_services/development_center/development_process/forms_and_applications</t>
        </is>
      </c>
      <c r="H70" s="314" t="inlineStr">
        <is>
          <t>High</t>
        </is>
      </c>
    </row>
    <row r="71" ht="26" customHeight="1" s="518">
      <c r="B71" s="314" t="inlineStr">
        <is>
          <t>Aurora</t>
        </is>
      </c>
      <c r="C71" s="314" t="inlineStr">
        <is>
          <t>Development</t>
        </is>
      </c>
      <c r="D71" s="314" t="inlineStr">
        <is>
          <t>Projects, Plans &amp; Studies</t>
        </is>
      </c>
      <c r="E71" s="315" t="inlineStr">
        <is>
          <t>Current and adopted planning projects and studies.</t>
        </is>
      </c>
      <c r="F71" s="315" t="inlineStr">
        <is>
          <t>Track area plans, corridor studies and policy changes.</t>
        </is>
      </c>
      <c r="G71" s="311" t="inlineStr">
        <is>
          <t>https://www.auroragov.org/business_services/planning/projects__plans___studies</t>
        </is>
      </c>
      <c r="H71" s="314" t="inlineStr">
        <is>
          <t>High</t>
        </is>
      </c>
    </row>
    <row r="72" ht="13" customHeight="1" s="518">
      <c r="B72" s="314" t="inlineStr">
        <is>
          <t>Aurora</t>
        </is>
      </c>
      <c r="C72" s="314" t="inlineStr">
        <is>
          <t>Long-Range Planning</t>
        </is>
      </c>
      <c r="D72" s="314" t="inlineStr">
        <is>
          <t>Comprehensive Plan</t>
        </is>
      </c>
      <c r="E72" s="315" t="inlineStr">
        <is>
          <t>Aurora comprehensive-plan resources.</t>
        </is>
      </c>
      <c r="F72" s="315" t="inlineStr">
        <is>
          <t>Evaluate future land-use and policy direction.</t>
        </is>
      </c>
      <c r="G72" s="311" t="inlineStr">
        <is>
          <t>https://www.auroragov.org/business_services/planning/projects__plans___studies/comprehensive_plan</t>
        </is>
      </c>
      <c r="H72" s="314" t="inlineStr">
        <is>
          <t>High</t>
        </is>
      </c>
    </row>
    <row r="73" ht="13" customHeight="1" s="518">
      <c r="B73" s="314" t="inlineStr">
        <is>
          <t>Aurora</t>
        </is>
      </c>
      <c r="C73" s="314" t="inlineStr">
        <is>
          <t>Neighborhood Planning</t>
        </is>
      </c>
      <c r="D73" s="314" t="inlineStr">
        <is>
          <t>Neighborhood Planning</t>
        </is>
      </c>
      <c r="E73" s="315" t="inlineStr">
        <is>
          <t>Area and neighborhood plan information.</t>
        </is>
      </c>
      <c r="F73" s="315" t="inlineStr">
        <is>
          <t>Research smaller-area plans affecting a parcel.</t>
        </is>
      </c>
      <c r="G73" s="311" t="inlineStr">
        <is>
          <t>https://www.auroragov.org/residents/neighborhood_planning</t>
        </is>
      </c>
      <c r="H73" s="314" t="inlineStr">
        <is>
          <t>Useful</t>
        </is>
      </c>
    </row>
    <row r="74" ht="13" customHeight="1" s="518">
      <c r="B74" s="314" t="inlineStr">
        <is>
          <t>Aurora</t>
        </is>
      </c>
      <c r="C74" s="314" t="inlineStr">
        <is>
          <t>Permits</t>
        </is>
      </c>
      <c r="D74" s="314" t="inlineStr">
        <is>
          <t>Building Permits</t>
        </is>
      </c>
      <c r="E74" s="315" t="inlineStr">
        <is>
          <t>Building permit information and application guidance.</t>
        </is>
      </c>
      <c r="F74" s="315" t="inlineStr">
        <is>
          <t>Check permit requirements and application paths.</t>
        </is>
      </c>
      <c r="G74" s="311" t="inlineStr">
        <is>
          <t>https://www.auroragov.org/business_services/building_division/permits</t>
        </is>
      </c>
      <c r="H74" s="314" t="inlineStr">
        <is>
          <t>Critical</t>
        </is>
      </c>
    </row>
    <row r="75" ht="13" customHeight="1" s="518">
      <c r="B75" s="314" t="inlineStr">
        <is>
          <t>Aurora</t>
        </is>
      </c>
      <c r="C75" s="314" t="inlineStr">
        <is>
          <t>Permits</t>
        </is>
      </c>
      <c r="D75" s="314" t="inlineStr">
        <is>
          <t>Development Center Permitting</t>
        </is>
      </c>
      <c r="E75" s="315" t="inlineStr">
        <is>
          <t>Development permitting and online processes.</t>
        </is>
      </c>
      <c r="F75" s="315" t="inlineStr">
        <is>
          <t>Manage or research development-related permits.</t>
        </is>
      </c>
      <c r="G75" s="311" t="inlineStr">
        <is>
          <t>https://www.auroragov.org/business_services/development_center/permitting</t>
        </is>
      </c>
      <c r="H75" s="314" t="inlineStr">
        <is>
          <t>High</t>
        </is>
      </c>
    </row>
    <row r="76" ht="13" customHeight="1" s="518">
      <c r="B76" s="314" t="inlineStr">
        <is>
          <t>Aurora</t>
        </is>
      </c>
      <c r="C76" s="314" t="inlineStr">
        <is>
          <t>Online Portal</t>
        </is>
      </c>
      <c r="D76" s="314" t="inlineStr">
        <is>
          <t>Aurora4Biz</t>
        </is>
      </c>
      <c r="E76" s="315" t="inlineStr">
        <is>
          <t>Online business, permit and licensing services.</t>
        </is>
      </c>
      <c r="F76" s="315" t="inlineStr">
        <is>
          <t>Access city permitting and business services.</t>
        </is>
      </c>
      <c r="G76" s="311" t="inlineStr">
        <is>
          <t>https://www.auroragov.org/business_services/aurora4biz</t>
        </is>
      </c>
      <c r="H76" s="314" t="inlineStr">
        <is>
          <t>High</t>
        </is>
      </c>
    </row>
    <row r="77" ht="26" customHeight="1" s="518">
      <c r="B77" s="314" t="inlineStr">
        <is>
          <t>Aurora</t>
        </is>
      </c>
      <c r="C77" s="314" t="inlineStr">
        <is>
          <t>Meetings</t>
        </is>
      </c>
      <c r="D77" s="314" t="inlineStr">
        <is>
          <t>Planning &amp; Zoning Commission</t>
        </is>
      </c>
      <c r="E77" s="315" t="inlineStr">
        <is>
          <t>Commission schedules, records and participation information.</t>
        </is>
      </c>
      <c r="F77" s="315" t="inlineStr">
        <is>
          <t>Monitor land-use hearings and recommendations.</t>
        </is>
      </c>
      <c r="G77" s="311" t="inlineStr">
        <is>
          <t>https://www.auroragov.org/city_hall/boards___commissions/planning___zoning_commission</t>
        </is>
      </c>
      <c r="H77" s="314" t="inlineStr">
        <is>
          <t>High</t>
        </is>
      </c>
    </row>
    <row r="78" ht="13" customHeight="1" s="518">
      <c r="B78" s="314" t="inlineStr">
        <is>
          <t>Aurora</t>
        </is>
      </c>
      <c r="C78" s="314" t="inlineStr">
        <is>
          <t>Meetings</t>
        </is>
      </c>
      <c r="D78" s="314" t="inlineStr">
        <is>
          <t>City Council Meetings</t>
        </is>
      </c>
      <c r="E78" s="315" t="inlineStr">
        <is>
          <t>Council meeting agendas and records.</t>
        </is>
      </c>
      <c r="F78" s="315" t="inlineStr">
        <is>
          <t>Track final legislative and land-use actions.</t>
        </is>
      </c>
      <c r="G78" s="311" t="inlineStr">
        <is>
          <t>https://www.auroragov.org/city_hall/mayor___city_council/council_meetings</t>
        </is>
      </c>
      <c r="H78" s="314" t="inlineStr">
        <is>
          <t>High</t>
        </is>
      </c>
    </row>
    <row r="79" ht="26" customHeight="1" s="518">
      <c r="B79" s="314" t="inlineStr">
        <is>
          <t>Aurora</t>
        </is>
      </c>
      <c r="C79" s="314" t="inlineStr">
        <is>
          <t>Public Notices</t>
        </is>
      </c>
      <c r="D79" s="314" t="inlineStr">
        <is>
          <t>Public Hearings</t>
        </is>
      </c>
      <c r="E79" s="315" t="inlineStr">
        <is>
          <t>Official public-hearing notices.</t>
        </is>
      </c>
      <c r="F79" s="315" t="inlineStr">
        <is>
          <t>Confirm hearing dates, applications and public-comment opportunities.</t>
        </is>
      </c>
      <c r="G79" s="311" t="inlineStr">
        <is>
          <t>https://www.auroragov.org/city_hall/public_records/legal_notices/public_hearings</t>
        </is>
      </c>
      <c r="H79" s="314" t="inlineStr">
        <is>
          <t>High</t>
        </is>
      </c>
    </row>
    <row r="80" ht="26" customHeight="1" s="518">
      <c r="B80" s="314" t="inlineStr">
        <is>
          <t>Aurora</t>
        </is>
      </c>
      <c r="C80" s="314" t="inlineStr">
        <is>
          <t>Public Records</t>
        </is>
      </c>
      <c r="D80" s="314" t="inlineStr">
        <is>
          <t>Public Records</t>
        </is>
      </c>
      <c r="E80" s="315" t="inlineStr">
        <is>
          <t>Codes, ordinances, records and legal-notice navigation.</t>
        </is>
      </c>
      <c r="F80" s="315" t="inlineStr">
        <is>
          <t>Request or retrieve official city records.</t>
        </is>
      </c>
      <c r="G80" s="311" t="inlineStr">
        <is>
          <t>https://www.auroragov.org/city_hall/public_records</t>
        </is>
      </c>
      <c r="H80" s="314" t="inlineStr">
        <is>
          <t>High</t>
        </is>
      </c>
    </row>
    <row r="81" ht="13" customHeight="1" s="518">
      <c r="B81" s="314" t="inlineStr">
        <is>
          <t>Aurora</t>
        </is>
      </c>
      <c r="C81" s="314" t="inlineStr">
        <is>
          <t>News</t>
        </is>
      </c>
      <c r="D81" s="314" t="inlineStr">
        <is>
          <t>What's New</t>
        </is>
      </c>
      <c r="E81" s="315" t="inlineStr">
        <is>
          <t>Official city news and announcements.</t>
        </is>
      </c>
      <c r="F81" s="315" t="inlineStr">
        <is>
          <t>Monitor city changes, projects and public initiatives.</t>
        </is>
      </c>
      <c r="G81" s="311" t="inlineStr">
        <is>
          <t>https://www.auroragov.org/news/whats_new</t>
        </is>
      </c>
      <c r="H81" s="314" t="inlineStr">
        <is>
          <t>Useful</t>
        </is>
      </c>
    </row>
    <row r="82" ht="13" customHeight="1" s="518">
      <c r="B82" s="314" t="inlineStr">
        <is>
          <t>Bennett</t>
        </is>
      </c>
      <c r="C82" s="314" t="inlineStr">
        <is>
          <t>Official Website</t>
        </is>
      </c>
      <c r="D82" s="314" t="inlineStr">
        <is>
          <t>Town of Bennett</t>
        </is>
      </c>
      <c r="E82" s="315" t="inlineStr">
        <is>
          <t>Main town website.</t>
        </is>
      </c>
      <c r="F82" s="315" t="inlineStr">
        <is>
          <t>Navigate municipal services and updates.</t>
        </is>
      </c>
      <c r="G82" s="311" t="inlineStr">
        <is>
          <t>https://www.bennettco.gov/</t>
        </is>
      </c>
      <c r="H82" s="314" t="inlineStr">
        <is>
          <t>Reference</t>
        </is>
      </c>
    </row>
    <row r="83" ht="13" customHeight="1" s="518">
      <c r="B83" s="314" t="inlineStr">
        <is>
          <t>Bennett</t>
        </is>
      </c>
      <c r="C83" s="314" t="inlineStr">
        <is>
          <t>Zoning</t>
        </is>
      </c>
      <c r="D83" s="314" t="inlineStr">
        <is>
          <t>Bennett Zoning Map</t>
        </is>
      </c>
      <c r="E83" s="315" t="inlineStr">
        <is>
          <t>Official town zoning map.</t>
        </is>
      </c>
      <c r="F83" s="315" t="inlineStr">
        <is>
          <t>Identify the zoning district for a property.</t>
        </is>
      </c>
      <c r="G83" s="311" t="inlineStr">
        <is>
          <t>https://www.bennettco.gov/business/page/bennett-zoning-map</t>
        </is>
      </c>
      <c r="H83" s="314" t="inlineStr">
        <is>
          <t>Critical</t>
        </is>
      </c>
    </row>
    <row r="84" ht="13" customHeight="1" s="518">
      <c r="B84" s="314" t="inlineStr">
        <is>
          <t>Bennett</t>
        </is>
      </c>
      <c r="C84" s="314" t="inlineStr">
        <is>
          <t>Planning</t>
        </is>
      </c>
      <c r="D84" s="314" t="inlineStr">
        <is>
          <t>Planning and Zoning</t>
        </is>
      </c>
      <c r="E84" s="315" t="inlineStr">
        <is>
          <t>Planning and zoning services, forms and guidance.</t>
        </is>
      </c>
      <c r="F84" s="315" t="inlineStr">
        <is>
          <t>Start land-use and entitlement research.</t>
        </is>
      </c>
      <c r="G84" s="311" t="inlineStr">
        <is>
          <t>https://www.bennettco.gov/planning-economic-development/page/planning-and-zoning</t>
        </is>
      </c>
      <c r="H84" s="314" t="inlineStr">
        <is>
          <t>Critical</t>
        </is>
      </c>
    </row>
    <row r="85" ht="26" customHeight="1" s="518">
      <c r="B85" s="314" t="inlineStr">
        <is>
          <t>Bennett</t>
        </is>
      </c>
      <c r="C85" s="314" t="inlineStr">
        <is>
          <t>Planning</t>
        </is>
      </c>
      <c r="D85" s="314" t="inlineStr">
        <is>
          <t>Planning &amp; Economic Development</t>
        </is>
      </c>
      <c r="E85" s="315" t="inlineStr">
        <is>
          <t>Department-level planning and economic-development resources.</t>
        </is>
      </c>
      <c r="F85" s="315" t="inlineStr">
        <is>
          <t>Find staff, plans and development assistance.</t>
        </is>
      </c>
      <c r="G85" s="311" t="inlineStr">
        <is>
          <t>https://www.bennettco.gov/planning-economic-development</t>
        </is>
      </c>
      <c r="H85" s="314" t="inlineStr">
        <is>
          <t>High</t>
        </is>
      </c>
    </row>
    <row r="86" ht="26" customHeight="1" s="518">
      <c r="B86" s="314" t="inlineStr">
        <is>
          <t>Bennett</t>
        </is>
      </c>
      <c r="C86" s="314" t="inlineStr">
        <is>
          <t>Code</t>
        </is>
      </c>
      <c r="D86" s="314" t="inlineStr">
        <is>
          <t>Zoning and Subdivision Regulations</t>
        </is>
      </c>
      <c r="E86" s="315" t="inlineStr">
        <is>
          <t>Town zoning and subdivision regulations.</t>
        </is>
      </c>
      <c r="F86" s="315" t="inlineStr">
        <is>
          <t>Review allowed uses, lot standards and subdivision rules.</t>
        </is>
      </c>
      <c r="G86" s="311" t="inlineStr">
        <is>
          <t>https://www.bennettco.gov/planning-economic-development/page/zoning-and-subdivision-regulations</t>
        </is>
      </c>
      <c r="H86" s="314" t="inlineStr">
        <is>
          <t>Critical</t>
        </is>
      </c>
    </row>
    <row r="87" ht="26" customHeight="1" s="518">
      <c r="B87" s="314" t="inlineStr">
        <is>
          <t>Bennett</t>
        </is>
      </c>
      <c r="C87" s="314" t="inlineStr">
        <is>
          <t>Development</t>
        </is>
      </c>
      <c r="D87" s="314" t="inlineStr">
        <is>
          <t>Development Portal</t>
        </is>
      </c>
      <c r="E87" s="315" t="inlineStr">
        <is>
          <t>Development applications, projects and related tools.</t>
        </is>
      </c>
      <c r="F87" s="315" t="inlineStr">
        <is>
          <t>Begin project and entitlement research.</t>
        </is>
      </c>
      <c r="G87" s="311" t="inlineStr">
        <is>
          <t>https://www.bennettco.gov/development</t>
        </is>
      </c>
      <c r="H87" s="314" t="inlineStr">
        <is>
          <t>High</t>
        </is>
      </c>
    </row>
    <row r="88" ht="13" customHeight="1" s="518">
      <c r="B88" s="314" t="inlineStr">
        <is>
          <t>Bennett</t>
        </is>
      </c>
      <c r="C88" s="314" t="inlineStr">
        <is>
          <t>Development</t>
        </is>
      </c>
      <c r="D88" s="314" t="inlineStr">
        <is>
          <t>Active Projects</t>
        </is>
      </c>
      <c r="E88" s="315" t="inlineStr">
        <is>
          <t>Current town projects and development information.</t>
        </is>
      </c>
      <c r="F88" s="315" t="inlineStr">
        <is>
          <t>Monitor infrastructure and development activity.</t>
        </is>
      </c>
      <c r="G88" s="311" t="inlineStr">
        <is>
          <t>https://www.bennettco.gov/projects</t>
        </is>
      </c>
      <c r="H88" s="314" t="inlineStr">
        <is>
          <t>High</t>
        </is>
      </c>
    </row>
    <row r="89" ht="13" customHeight="1" s="518">
      <c r="B89" s="314" t="inlineStr">
        <is>
          <t>Bennett</t>
        </is>
      </c>
      <c r="C89" s="314" t="inlineStr">
        <is>
          <t>Development</t>
        </is>
      </c>
      <c r="D89" s="314" t="inlineStr">
        <is>
          <t>Applicant Guides</t>
        </is>
      </c>
      <c r="E89" s="315" t="inlineStr">
        <is>
          <t>Guides for planning and development applications.</t>
        </is>
      </c>
      <c r="F89" s="315" t="inlineStr">
        <is>
          <t>Understand application standards and submittals.</t>
        </is>
      </c>
      <c r="G89" s="311" t="inlineStr">
        <is>
          <t>https://www.bennettco.gov/planning-economic-development/page/applicant-guides</t>
        </is>
      </c>
      <c r="H89" s="314" t="inlineStr">
        <is>
          <t>High</t>
        </is>
      </c>
    </row>
    <row r="90" ht="13" customHeight="1" s="518">
      <c r="B90" s="314" t="inlineStr">
        <is>
          <t>Bennett</t>
        </is>
      </c>
      <c r="C90" s="314" t="inlineStr">
        <is>
          <t>Permits</t>
        </is>
      </c>
      <c r="D90" s="314" t="inlineStr">
        <is>
          <t>Self-Service Guide: Permits and Zoning</t>
        </is>
      </c>
      <c r="E90" s="315" t="inlineStr">
        <is>
          <t>Online guidance for permits and zoning services.</t>
        </is>
      </c>
      <c r="F90" s="315" t="inlineStr">
        <is>
          <t>Navigate permit and zoning requests.</t>
        </is>
      </c>
      <c r="G90" s="311" t="inlineStr">
        <is>
          <t>https://www.bennettco.gov/community-development/page/self-service-guide-permits-and-zoning</t>
        </is>
      </c>
      <c r="H90" s="314" t="inlineStr">
        <is>
          <t>High</t>
        </is>
      </c>
    </row>
    <row r="91" ht="13" customHeight="1" s="518">
      <c r="B91" s="314" t="inlineStr">
        <is>
          <t>Bennett</t>
        </is>
      </c>
      <c r="C91" s="314" t="inlineStr">
        <is>
          <t>Permits</t>
        </is>
      </c>
      <c r="D91" s="314" t="inlineStr">
        <is>
          <t>Building Department</t>
        </is>
      </c>
      <c r="E91" s="315" t="inlineStr">
        <is>
          <t>Building permits, inspections and code information.</t>
        </is>
      </c>
      <c r="F91" s="315" t="inlineStr">
        <is>
          <t>Research construction permitting.</t>
        </is>
      </c>
      <c r="G91" s="311" t="inlineStr">
        <is>
          <t>https://www.bennettco.gov/community-development/page/building-department</t>
        </is>
      </c>
      <c r="H91" s="314" t="inlineStr">
        <is>
          <t>Critical</t>
        </is>
      </c>
    </row>
    <row r="92" ht="13" customHeight="1" s="518">
      <c r="B92" s="314" t="inlineStr">
        <is>
          <t>Bennett</t>
        </is>
      </c>
      <c r="C92" s="314" t="inlineStr">
        <is>
          <t>Permits</t>
        </is>
      </c>
      <c r="D92" s="314" t="inlineStr">
        <is>
          <t>How to Obtain a Permit</t>
        </is>
      </c>
      <c r="E92" s="315" t="inlineStr">
        <is>
          <t>Step-by-step permit guidance.</t>
        </is>
      </c>
      <c r="F92" s="315" t="inlineStr">
        <is>
          <t>Prepare a building permit application.</t>
        </is>
      </c>
      <c r="G92" s="311" t="inlineStr">
        <is>
          <t>https://www.bennettco.gov/community-development/page/how-obtain-permit</t>
        </is>
      </c>
      <c r="H92" s="314" t="inlineStr">
        <is>
          <t>High</t>
        </is>
      </c>
    </row>
    <row r="93" ht="26" customHeight="1" s="518">
      <c r="B93" s="314" t="inlineStr">
        <is>
          <t>Bennett</t>
        </is>
      </c>
      <c r="C93" s="314" t="inlineStr">
        <is>
          <t>Long-Range Planning</t>
        </is>
      </c>
      <c r="D93" s="314" t="inlineStr">
        <is>
          <t>Master Plans and Guiding Documents</t>
        </is>
      </c>
      <c r="E93" s="315" t="inlineStr">
        <is>
          <t>Town master plans and policy documents.</t>
        </is>
      </c>
      <c r="F93" s="315" t="inlineStr">
        <is>
          <t>Evaluate future land-use and infrastructure direction.</t>
        </is>
      </c>
      <c r="G93" s="311" t="inlineStr">
        <is>
          <t>https://www.bennettco.gov/planning-economic-development/page/master-plans-and-guiding-documents</t>
        </is>
      </c>
      <c r="H93" s="314" t="inlineStr">
        <is>
          <t>High</t>
        </is>
      </c>
    </row>
    <row r="94" ht="13" customHeight="1" s="518">
      <c r="B94" s="314" t="inlineStr">
        <is>
          <t>Bennett</t>
        </is>
      </c>
      <c r="C94" s="314" t="inlineStr">
        <is>
          <t>Meetings</t>
        </is>
      </c>
      <c r="D94" s="314" t="inlineStr">
        <is>
          <t>Planning &amp; Zoning Commission</t>
        </is>
      </c>
      <c r="E94" s="315" t="inlineStr">
        <is>
          <t>Commission information and meeting resources.</t>
        </is>
      </c>
      <c r="F94" s="315" t="inlineStr">
        <is>
          <t>Monitor planning hearings and recommendations.</t>
        </is>
      </c>
      <c r="G94" s="311" t="inlineStr">
        <is>
          <t>https://www.bennettco.gov/planning-and-zoning-commission</t>
        </is>
      </c>
      <c r="H94" s="314" t="inlineStr">
        <is>
          <t>High</t>
        </is>
      </c>
    </row>
    <row r="95" ht="13" customHeight="1" s="518">
      <c r="B95" s="314" t="inlineStr">
        <is>
          <t>Bennett</t>
        </is>
      </c>
      <c r="C95" s="314" t="inlineStr">
        <is>
          <t>Meetings</t>
        </is>
      </c>
      <c r="D95" s="314" t="inlineStr">
        <is>
          <t>Recent Meetings</t>
        </is>
      </c>
      <c r="E95" s="315" t="inlineStr">
        <is>
          <t>Agendas and meeting records.</t>
        </is>
      </c>
      <c r="F95" s="315" t="inlineStr">
        <is>
          <t>Track board and commission actions.</t>
        </is>
      </c>
      <c r="G95" s="311" t="inlineStr">
        <is>
          <t>https://www.bennettco.gov/meetings/recent</t>
        </is>
      </c>
      <c r="H95" s="314" t="inlineStr">
        <is>
          <t>High</t>
        </is>
      </c>
    </row>
    <row r="96" ht="13" customHeight="1" s="518">
      <c r="B96" s="314" t="inlineStr">
        <is>
          <t>Bennett</t>
        </is>
      </c>
      <c r="C96" s="314" t="inlineStr">
        <is>
          <t>Public Records</t>
        </is>
      </c>
      <c r="D96" s="314" t="inlineStr">
        <is>
          <t>Public Records</t>
        </is>
      </c>
      <c r="E96" s="315" t="inlineStr">
        <is>
          <t>Town public-records request information.</t>
        </is>
      </c>
      <c r="F96" s="315" t="inlineStr">
        <is>
          <t>Obtain records not posted online.</t>
        </is>
      </c>
      <c r="G96" s="311" t="inlineStr">
        <is>
          <t>https://www.bennettco.gov/town-clerk/page/public-records</t>
        </is>
      </c>
      <c r="H96" s="314" t="inlineStr">
        <is>
          <t>High</t>
        </is>
      </c>
    </row>
    <row r="97" ht="26" customHeight="1" s="518">
      <c r="B97" s="314" t="inlineStr">
        <is>
          <t>Bennett</t>
        </is>
      </c>
      <c r="C97" s="314" t="inlineStr">
        <is>
          <t>News</t>
        </is>
      </c>
      <c r="D97" s="314" t="inlineStr">
        <is>
          <t>Town News</t>
        </is>
      </c>
      <c r="E97" s="315" t="inlineStr">
        <is>
          <t>Official Bennett news and notices.</t>
        </is>
      </c>
      <c r="F97" s="315" t="inlineStr">
        <is>
          <t>Monitor code, permit, project and public-service updates.</t>
        </is>
      </c>
      <c r="G97" s="311" t="inlineStr">
        <is>
          <t>https://www.bennettco.gov/news</t>
        </is>
      </c>
      <c r="H97" s="314" t="inlineStr">
        <is>
          <t>High</t>
        </is>
      </c>
    </row>
    <row r="98" ht="13" customHeight="1" s="518">
      <c r="B98" s="314" t="inlineStr">
        <is>
          <t>Brighton</t>
        </is>
      </c>
      <c r="C98" s="314" t="inlineStr">
        <is>
          <t>Official Website</t>
        </is>
      </c>
      <c r="D98" s="314" t="inlineStr">
        <is>
          <t>City of Brighton</t>
        </is>
      </c>
      <c r="E98" s="315" t="inlineStr">
        <is>
          <t>Main city website.</t>
        </is>
      </c>
      <c r="F98" s="315" t="inlineStr">
        <is>
          <t>Navigate city services and departments.</t>
        </is>
      </c>
      <c r="G98" s="311" t="inlineStr">
        <is>
          <t>https://www.brightonco.gov/</t>
        </is>
      </c>
      <c r="H98" s="314" t="inlineStr">
        <is>
          <t>Reference</t>
        </is>
      </c>
    </row>
    <row r="99" ht="26" customHeight="1" s="518">
      <c r="B99" s="314" t="inlineStr">
        <is>
          <t>Brighton</t>
        </is>
      </c>
      <c r="C99" s="314" t="inlineStr">
        <is>
          <t>GIS / Property</t>
        </is>
      </c>
      <c r="D99" s="314" t="inlineStr">
        <is>
          <t>Geographic Information Systems</t>
        </is>
      </c>
      <c r="E99" s="315" t="inlineStr">
        <is>
          <t>City GIS maps and data.</t>
        </is>
      </c>
      <c r="F99" s="315" t="inlineStr">
        <is>
          <t>Research parcels, infrastructure and municipal mapping.</t>
        </is>
      </c>
      <c r="G99" s="311" t="inlineStr">
        <is>
          <t>https://www.brightonco.gov/248/Geographic-Information-Systems</t>
        </is>
      </c>
      <c r="H99" s="314" t="inlineStr">
        <is>
          <t>Critical</t>
        </is>
      </c>
    </row>
    <row r="100" ht="13" customHeight="1" s="518">
      <c r="B100" s="314" t="inlineStr">
        <is>
          <t>Brighton</t>
        </is>
      </c>
      <c r="C100" s="314" t="inlineStr">
        <is>
          <t>Zoning / Planning</t>
        </is>
      </c>
      <c r="D100" s="314" t="inlineStr">
        <is>
          <t>Planning &amp; Zoning</t>
        </is>
      </c>
      <c r="E100" s="315" t="inlineStr">
        <is>
          <t>Planning, zoning, applications and staff resources.</t>
        </is>
      </c>
      <c r="F100" s="315" t="inlineStr">
        <is>
          <t>Start zoning and entitlement research.</t>
        </is>
      </c>
      <c r="G100" s="311" t="inlineStr">
        <is>
          <t>https://www.brightonco.gov/224/Planning-Zoning</t>
        </is>
      </c>
      <c r="H100" s="314" t="inlineStr">
        <is>
          <t>Critical</t>
        </is>
      </c>
    </row>
    <row r="101" ht="26" customHeight="1" s="518">
      <c r="B101" s="314" t="inlineStr">
        <is>
          <t>Brighton</t>
        </is>
      </c>
      <c r="C101" s="314" t="inlineStr">
        <is>
          <t>Code</t>
        </is>
      </c>
      <c r="D101" s="314" t="inlineStr">
        <is>
          <t>Land Use &amp; Development Code</t>
        </is>
      </c>
      <c r="E101" s="315" t="inlineStr">
        <is>
          <t>Current city land-use and development code.</t>
        </is>
      </c>
      <c r="F101" s="315" t="inlineStr">
        <is>
          <t>Review zoning districts, uses and development standards.</t>
        </is>
      </c>
      <c r="G101" s="311" t="inlineStr">
        <is>
          <t>https://www.brightonco.gov/363/Land-Use-Development-Code</t>
        </is>
      </c>
      <c r="H101" s="314" t="inlineStr">
        <is>
          <t>Critical</t>
        </is>
      </c>
    </row>
    <row r="102" ht="26" customHeight="1" s="518">
      <c r="B102" s="314" t="inlineStr">
        <is>
          <t>Brighton</t>
        </is>
      </c>
      <c r="C102" s="314" t="inlineStr">
        <is>
          <t>Development</t>
        </is>
      </c>
      <c r="D102" s="314" t="inlineStr">
        <is>
          <t>Land Use &amp; Development Applications</t>
        </is>
      </c>
      <c r="E102" s="315" t="inlineStr">
        <is>
          <t>Applications and procedural information.</t>
        </is>
      </c>
      <c r="F102" s="315" t="inlineStr">
        <is>
          <t>Identify entitlement types and application requirements.</t>
        </is>
      </c>
      <c r="G102" s="311" t="inlineStr">
        <is>
          <t>https://www.brightonco.gov/1142/Land-Use-Development-Applications</t>
        </is>
      </c>
      <c r="H102" s="314" t="inlineStr">
        <is>
          <t>High</t>
        </is>
      </c>
    </row>
    <row r="103" ht="13" customHeight="1" s="518">
      <c r="B103" s="314" t="inlineStr">
        <is>
          <t>Brighton</t>
        </is>
      </c>
      <c r="C103" s="314" t="inlineStr">
        <is>
          <t>Development</t>
        </is>
      </c>
      <c r="D103" s="314" t="inlineStr">
        <is>
          <t>Interactive Development Map</t>
        </is>
      </c>
      <c r="E103" s="315" t="inlineStr">
        <is>
          <t>Interactive map of development activity.</t>
        </is>
      </c>
      <c r="F103" s="315" t="inlineStr">
        <is>
          <t>Find active projects near a target property.</t>
        </is>
      </c>
      <c r="G103" s="311" t="inlineStr">
        <is>
          <t>https://www.brightonco.gov/1596/Interactive-Development-Map</t>
        </is>
      </c>
      <c r="H103" s="314" t="inlineStr">
        <is>
          <t>Critical</t>
        </is>
      </c>
    </row>
    <row r="104" ht="26" customHeight="1" s="518">
      <c r="B104" s="314" t="inlineStr">
        <is>
          <t>Brighton</t>
        </is>
      </c>
      <c r="C104" s="314" t="inlineStr">
        <is>
          <t>Development</t>
        </is>
      </c>
      <c r="D104" s="314" t="inlineStr">
        <is>
          <t>Development Resources</t>
        </is>
      </c>
      <c r="E104" s="315" t="inlineStr">
        <is>
          <t>Development standards, guides and applicant resources.</t>
        </is>
      </c>
      <c r="F104" s="315" t="inlineStr">
        <is>
          <t>Plan a development submittal or feasibility review.</t>
        </is>
      </c>
      <c r="G104" s="311" t="inlineStr">
        <is>
          <t>https://www.brightonco.gov/1146/Development-Resources</t>
        </is>
      </c>
      <c r="H104" s="314" t="inlineStr">
        <is>
          <t>High</t>
        </is>
      </c>
    </row>
    <row r="105" ht="13" customHeight="1" s="518">
      <c r="B105" s="314" t="inlineStr">
        <is>
          <t>Brighton</t>
        </is>
      </c>
      <c r="C105" s="314" t="inlineStr">
        <is>
          <t>Permits</t>
        </is>
      </c>
      <c r="D105" s="314" t="inlineStr">
        <is>
          <t>Permitting</t>
        </is>
      </c>
      <c r="E105" s="315" t="inlineStr">
        <is>
          <t>City permitting resources and online services.</t>
        </is>
      </c>
      <c r="F105" s="315" t="inlineStr">
        <is>
          <t>Research permit requirements and status.</t>
        </is>
      </c>
      <c r="G105" s="311" t="inlineStr">
        <is>
          <t>https://www.brightonco.gov/222/Permitting</t>
        </is>
      </c>
      <c r="H105" s="314" t="inlineStr">
        <is>
          <t>Critical</t>
        </is>
      </c>
    </row>
    <row r="106" ht="26" customHeight="1" s="518">
      <c r="B106" s="314" t="inlineStr">
        <is>
          <t>Brighton</t>
        </is>
      </c>
      <c r="C106" s="314" t="inlineStr">
        <is>
          <t>Codes</t>
        </is>
      </c>
      <c r="D106" s="314" t="inlineStr">
        <is>
          <t>Codes</t>
        </is>
      </c>
      <c r="E106" s="315" t="inlineStr">
        <is>
          <t>Building and municipal code resources.</t>
        </is>
      </c>
      <c r="F106" s="315" t="inlineStr">
        <is>
          <t>Confirm adopted construction and municipal standards.</t>
        </is>
      </c>
      <c r="G106" s="311" t="inlineStr">
        <is>
          <t>https://www.brightonco.gov/1194/Codes</t>
        </is>
      </c>
      <c r="H106" s="314" t="inlineStr">
        <is>
          <t>High</t>
        </is>
      </c>
    </row>
    <row r="107" ht="13" customHeight="1" s="518">
      <c r="B107" s="314" t="inlineStr">
        <is>
          <t>Brighton</t>
        </is>
      </c>
      <c r="C107" s="314" t="inlineStr">
        <is>
          <t>Long-Range Planning</t>
        </is>
      </c>
      <c r="D107" s="314" t="inlineStr">
        <is>
          <t>Long Range Planning</t>
        </is>
      </c>
      <c r="E107" s="315" t="inlineStr">
        <is>
          <t>Comprehensive and area planning resources.</t>
        </is>
      </c>
      <c r="F107" s="315" t="inlineStr">
        <is>
          <t>Research future land use and long-range initiatives.</t>
        </is>
      </c>
      <c r="G107" s="311" t="inlineStr">
        <is>
          <t>https://www.brightonco.gov/553/Long-Range-Planning</t>
        </is>
      </c>
      <c r="H107" s="314" t="inlineStr">
        <is>
          <t>High</t>
        </is>
      </c>
    </row>
    <row r="108" ht="13" customHeight="1" s="518">
      <c r="B108" s="314" t="inlineStr">
        <is>
          <t>Brighton</t>
        </is>
      </c>
      <c r="C108" s="314" t="inlineStr">
        <is>
          <t>Meetings</t>
        </is>
      </c>
      <c r="D108" s="314" t="inlineStr">
        <is>
          <t>Planning Commission</t>
        </is>
      </c>
      <c r="E108" s="315" t="inlineStr">
        <is>
          <t>Planning Commission information.</t>
        </is>
      </c>
      <c r="F108" s="315" t="inlineStr">
        <is>
          <t>Monitor land-use hearings and recommendations.</t>
        </is>
      </c>
      <c r="G108" s="311" t="inlineStr">
        <is>
          <t>https://www.brightonco.gov/197/Planning-Commission</t>
        </is>
      </c>
      <c r="H108" s="314" t="inlineStr">
        <is>
          <t>High</t>
        </is>
      </c>
    </row>
    <row r="109" ht="13" customHeight="1" s="518">
      <c r="B109" s="314" t="inlineStr">
        <is>
          <t>Brighton</t>
        </is>
      </c>
      <c r="C109" s="314" t="inlineStr">
        <is>
          <t>Meetings</t>
        </is>
      </c>
      <c r="D109" s="314" t="inlineStr">
        <is>
          <t>Agenda Center</t>
        </is>
      </c>
      <c r="E109" s="315" t="inlineStr">
        <is>
          <t>Agendas, minutes and meeting records.</t>
        </is>
      </c>
      <c r="F109" s="315" t="inlineStr">
        <is>
          <t>Track official city decisions.</t>
        </is>
      </c>
      <c r="G109" s="311" t="inlineStr">
        <is>
          <t>https://www.brightonco.gov/agendacenter</t>
        </is>
      </c>
      <c r="H109" s="314" t="inlineStr">
        <is>
          <t>High</t>
        </is>
      </c>
    </row>
    <row r="110" ht="13" customHeight="1" s="518">
      <c r="B110" s="314" t="inlineStr">
        <is>
          <t>Brighton</t>
        </is>
      </c>
      <c r="C110" s="314" t="inlineStr">
        <is>
          <t>Public Notices</t>
        </is>
      </c>
      <c r="D110" s="314" t="inlineStr">
        <is>
          <t>Legal Notices</t>
        </is>
      </c>
      <c r="E110" s="315" t="inlineStr">
        <is>
          <t>Official legal notices and hearing postings.</t>
        </is>
      </c>
      <c r="F110" s="315" t="inlineStr">
        <is>
          <t>Confirm formal notices and deadlines.</t>
        </is>
      </c>
      <c r="G110" s="311" t="inlineStr">
        <is>
          <t>https://www.brightonco.gov/453/Legal-Notices</t>
        </is>
      </c>
      <c r="H110" s="314" t="inlineStr">
        <is>
          <t>High</t>
        </is>
      </c>
    </row>
    <row r="111" ht="13" customHeight="1" s="518">
      <c r="B111" s="314" t="inlineStr">
        <is>
          <t>Brighton</t>
        </is>
      </c>
      <c r="C111" s="314" t="inlineStr">
        <is>
          <t>News</t>
        </is>
      </c>
      <c r="D111" s="314" t="inlineStr">
        <is>
          <t>City News</t>
        </is>
      </c>
      <c r="E111" s="315" t="inlineStr">
        <is>
          <t>Official city news and announcements.</t>
        </is>
      </c>
      <c r="F111" s="315" t="inlineStr">
        <is>
          <t>Monitor projects, policy and community changes.</t>
        </is>
      </c>
      <c r="G111" s="311" t="inlineStr">
        <is>
          <t>https://www.brightonco.gov/175/News</t>
        </is>
      </c>
      <c r="H111" s="314" t="inlineStr">
        <is>
          <t>Useful</t>
        </is>
      </c>
    </row>
    <row r="112" ht="13" customHeight="1" s="518">
      <c r="B112" s="314" t="inlineStr">
        <is>
          <t>Brighton</t>
        </is>
      </c>
      <c r="C112" s="314" t="inlineStr">
        <is>
          <t>Alerts</t>
        </is>
      </c>
      <c r="D112" s="314" t="inlineStr">
        <is>
          <t>Notify Me</t>
        </is>
      </c>
      <c r="E112" s="315" t="inlineStr">
        <is>
          <t>Email subscription categories and alerts.</t>
        </is>
      </c>
      <c r="F112" s="315" t="inlineStr">
        <is>
          <t>Subscribe to meeting, project and news updates.</t>
        </is>
      </c>
      <c r="G112" s="311" t="inlineStr">
        <is>
          <t>https://www.brightonco.gov/notifyme</t>
        </is>
      </c>
      <c r="H112" s="314" t="inlineStr">
        <is>
          <t>Useful</t>
        </is>
      </c>
    </row>
    <row r="113" ht="13" customHeight="1" s="518">
      <c r="B113" s="314" t="inlineStr">
        <is>
          <t>Commerce City</t>
        </is>
      </c>
      <c r="C113" s="314" t="inlineStr">
        <is>
          <t>Official Website</t>
        </is>
      </c>
      <c r="D113" s="314" t="inlineStr">
        <is>
          <t>Commerce City</t>
        </is>
      </c>
      <c r="E113" s="315" t="inlineStr">
        <is>
          <t>Main city website.</t>
        </is>
      </c>
      <c r="F113" s="315" t="inlineStr">
        <is>
          <t>Navigate city departments and services.</t>
        </is>
      </c>
      <c r="G113" s="311" t="inlineStr">
        <is>
          <t>https://www.c3gov.com/Home</t>
        </is>
      </c>
      <c r="H113" s="314" t="inlineStr">
        <is>
          <t>Reference</t>
        </is>
      </c>
    </row>
    <row r="114" ht="26" customHeight="1" s="518">
      <c r="B114" s="314" t="inlineStr">
        <is>
          <t>Commerce City</t>
        </is>
      </c>
      <c r="C114" s="314" t="inlineStr">
        <is>
          <t>GIS / Property</t>
        </is>
      </c>
      <c r="D114" s="314" t="inlineStr">
        <is>
          <t>Maps, Data &amp; GIS</t>
        </is>
      </c>
      <c r="E114" s="315" t="inlineStr">
        <is>
          <t>City maps, data and GIS resources.</t>
        </is>
      </c>
      <c r="F114" s="315" t="inlineStr">
        <is>
          <t>Research zoning, parcels, boundaries and infrastructure.</t>
        </is>
      </c>
      <c r="G114" s="311" t="inlineStr">
        <is>
          <t>https://www.c3gov.com/Residents/Maps-Data-GIS</t>
        </is>
      </c>
      <c r="H114" s="314" t="inlineStr">
        <is>
          <t>Critical</t>
        </is>
      </c>
    </row>
    <row r="115" ht="26" customHeight="1" s="518">
      <c r="B115" s="314" t="inlineStr">
        <is>
          <t>Commerce City</t>
        </is>
      </c>
      <c r="C115" s="314" t="inlineStr">
        <is>
          <t>Code</t>
        </is>
      </c>
      <c r="D115" s="314" t="inlineStr">
        <is>
          <t>Land Development Code</t>
        </is>
      </c>
      <c r="E115" s="315" t="inlineStr">
        <is>
          <t>City land-development regulations.</t>
        </is>
      </c>
      <c r="F115" s="315" t="inlineStr">
        <is>
          <t>Review zoning, use, subdivision and development standards.</t>
        </is>
      </c>
      <c r="G115" s="311" t="inlineStr">
        <is>
          <t>https://www.c3gov.com/Government/City-Codes/Land-Development-Code</t>
        </is>
      </c>
      <c r="H115" s="314" t="inlineStr">
        <is>
          <t>Critical</t>
        </is>
      </c>
    </row>
    <row r="116" ht="26" customHeight="1" s="518">
      <c r="B116" s="314" t="inlineStr">
        <is>
          <t>Commerce City</t>
        </is>
      </c>
      <c r="C116" s="314" t="inlineStr">
        <is>
          <t>Code</t>
        </is>
      </c>
      <c r="D116" s="314" t="inlineStr">
        <is>
          <t>Land Development Code Transition</t>
        </is>
      </c>
      <c r="E116" s="315" t="inlineStr">
        <is>
          <t>Information on current code changes and transition rules.</t>
        </is>
      </c>
      <c r="F116" s="315" t="inlineStr">
        <is>
          <t>Check which code version applies to a project.</t>
        </is>
      </c>
      <c r="G116" s="311" t="inlineStr">
        <is>
          <t>https://www.c3gov.com/Government/City-Codes/Land-Development-Code/Land-Development-Code-Transition</t>
        </is>
      </c>
      <c r="H116" s="314" t="inlineStr">
        <is>
          <t>High</t>
        </is>
      </c>
    </row>
    <row r="117" ht="13" customHeight="1" s="518">
      <c r="B117" s="314" t="inlineStr">
        <is>
          <t>Commerce City</t>
        </is>
      </c>
      <c r="C117" s="314" t="inlineStr">
        <is>
          <t>Zoning / Standards</t>
        </is>
      </c>
      <c r="D117" s="314" t="inlineStr">
        <is>
          <t>Land Use Standards</t>
        </is>
      </c>
      <c r="E117" s="315" t="inlineStr">
        <is>
          <t>Land-use and development standards.</t>
        </is>
      </c>
      <c r="F117" s="315" t="inlineStr">
        <is>
          <t>Confirm site and use requirements.</t>
        </is>
      </c>
      <c r="G117" s="311" t="inlineStr">
        <is>
          <t>https://www.c3gov.com/Business-Development/Developing-in-Commerce-City/Land-Use-Standards</t>
        </is>
      </c>
      <c r="H117" s="314" t="inlineStr">
        <is>
          <t>Critical</t>
        </is>
      </c>
    </row>
    <row r="118" ht="26" customHeight="1" s="518">
      <c r="B118" s="314" t="inlineStr">
        <is>
          <t>Commerce City</t>
        </is>
      </c>
      <c r="C118" s="314" t="inlineStr">
        <is>
          <t>Planning</t>
        </is>
      </c>
      <c r="D118" s="314" t="inlineStr">
        <is>
          <t>Community Development</t>
        </is>
      </c>
      <c r="E118" s="315" t="inlineStr">
        <is>
          <t>Planning, building and development department resources.</t>
        </is>
      </c>
      <c r="F118" s="315" t="inlineStr">
        <is>
          <t>Start land-use and development research.</t>
        </is>
      </c>
      <c r="G118" s="311" t="inlineStr">
        <is>
          <t>https://www.c3gov.com/Government/Departments-Divisions/Community-Development</t>
        </is>
      </c>
      <c r="H118" s="314" t="inlineStr">
        <is>
          <t>High</t>
        </is>
      </c>
    </row>
    <row r="119" ht="13" customHeight="1" s="518">
      <c r="B119" s="314" t="inlineStr">
        <is>
          <t>Commerce City</t>
        </is>
      </c>
      <c r="C119" s="314" t="inlineStr">
        <is>
          <t>Development</t>
        </is>
      </c>
      <c r="D119" s="314" t="inlineStr">
        <is>
          <t>Developing in Commerce City</t>
        </is>
      </c>
      <c r="E119" s="315" t="inlineStr">
        <is>
          <t>Development-process overview and resources.</t>
        </is>
      </c>
      <c r="F119" s="315" t="inlineStr">
        <is>
          <t>Understand approvals, standards and contacts.</t>
        </is>
      </c>
      <c r="G119" s="311" t="inlineStr">
        <is>
          <t>https://www.c3gov.com/Business-Development/Developing-in-Commerce-City</t>
        </is>
      </c>
      <c r="H119" s="314" t="inlineStr">
        <is>
          <t>High</t>
        </is>
      </c>
    </row>
    <row r="120" ht="13" customHeight="1" s="518">
      <c r="B120" s="314" t="inlineStr">
        <is>
          <t>Commerce City</t>
        </is>
      </c>
      <c r="C120" s="314" t="inlineStr">
        <is>
          <t>Development</t>
        </is>
      </c>
      <c r="D120" s="314" t="inlineStr">
        <is>
          <t>Land Use Approvals</t>
        </is>
      </c>
      <c r="E120" s="315" t="inlineStr">
        <is>
          <t>Land-use approval types and application guidance.</t>
        </is>
      </c>
      <c r="F120" s="315" t="inlineStr">
        <is>
          <t>Determine the entitlement process for a proposal.</t>
        </is>
      </c>
      <c r="G120" s="311" t="inlineStr">
        <is>
          <t>https://www.c3gov.com/Business-Development/Developing-in-Commerce-City/Land-Use-Approvals</t>
        </is>
      </c>
      <c r="H120" s="314" t="inlineStr">
        <is>
          <t>High</t>
        </is>
      </c>
    </row>
    <row r="121" ht="13" customHeight="1" s="518">
      <c r="B121" s="314" t="inlineStr">
        <is>
          <t>Commerce City</t>
        </is>
      </c>
      <c r="C121" s="314" t="inlineStr">
        <is>
          <t>Development</t>
        </is>
      </c>
      <c r="D121" s="314" t="inlineStr">
        <is>
          <t>Development Projects Map</t>
        </is>
      </c>
      <c r="E121" s="315" t="inlineStr">
        <is>
          <t>Map of active development projects.</t>
        </is>
      </c>
      <c r="F121" s="315" t="inlineStr">
        <is>
          <t>Identify projects near a property and monitor status.</t>
        </is>
      </c>
      <c r="G121" s="311" t="inlineStr">
        <is>
          <t>https://www.c3gov.com/Business-Development/Development-Projects-Map</t>
        </is>
      </c>
      <c r="H121" s="314" t="inlineStr">
        <is>
          <t>Critical</t>
        </is>
      </c>
    </row>
    <row r="122" ht="13" customHeight="1" s="518">
      <c r="B122" s="314" t="inlineStr">
        <is>
          <t>Commerce City</t>
        </is>
      </c>
      <c r="C122" s="314" t="inlineStr">
        <is>
          <t>Permits</t>
        </is>
      </c>
      <c r="D122" s="314" t="inlineStr">
        <is>
          <t>Building Permits &amp; Inspections</t>
        </is>
      </c>
      <c r="E122" s="315" t="inlineStr">
        <is>
          <t>Building-permit and inspection information.</t>
        </is>
      </c>
      <c r="F122" s="315" t="inlineStr">
        <is>
          <t>Research construction permits and inspections.</t>
        </is>
      </c>
      <c r="G122" s="311" t="inlineStr">
        <is>
          <t>https://www.c3gov.com/Business-Development/Building-Permits-Inspections</t>
        </is>
      </c>
      <c r="H122" s="314" t="inlineStr">
        <is>
          <t>Critical</t>
        </is>
      </c>
    </row>
    <row r="123" ht="13" customHeight="1" s="518">
      <c r="B123" s="314" t="inlineStr">
        <is>
          <t>Commerce City</t>
        </is>
      </c>
      <c r="C123" s="314" t="inlineStr">
        <is>
          <t>Online Portal</t>
        </is>
      </c>
      <c r="D123" s="314" t="inlineStr">
        <is>
          <t>eTRAKiT Portal</t>
        </is>
      </c>
      <c r="E123" s="315" t="inlineStr">
        <is>
          <t>Online permitting and project portal.</t>
        </is>
      </c>
      <c r="F123" s="315" t="inlineStr">
        <is>
          <t>Search or manage permits and development cases.</t>
        </is>
      </c>
      <c r="G123" s="311" t="inlineStr">
        <is>
          <t>https://www.c3gov.com/Business-Development/eTRAKiT-Portal</t>
        </is>
      </c>
      <c r="H123" s="314" t="inlineStr">
        <is>
          <t>High</t>
        </is>
      </c>
    </row>
    <row r="124" ht="13" customHeight="1" s="518">
      <c r="B124" s="314" t="inlineStr">
        <is>
          <t>Commerce City</t>
        </is>
      </c>
      <c r="C124" s="314" t="inlineStr">
        <is>
          <t>Long-Range Planning</t>
        </is>
      </c>
      <c r="D124" s="314" t="inlineStr">
        <is>
          <t>Comprehensive Plan</t>
        </is>
      </c>
      <c r="E124" s="315" t="inlineStr">
        <is>
          <t>City comprehensive plan and related documents.</t>
        </is>
      </c>
      <c r="F124" s="315" t="inlineStr">
        <is>
          <t>Evaluate future land use and city policy.</t>
        </is>
      </c>
      <c r="G124" s="311" t="inlineStr">
        <is>
          <t>https://www.c3gov.com/Government/City-Charter-Master-Plans/Comprehensive-Plan</t>
        </is>
      </c>
      <c r="H124" s="314" t="inlineStr">
        <is>
          <t>High</t>
        </is>
      </c>
    </row>
    <row r="125" ht="13" customHeight="1" s="518">
      <c r="B125" s="314" t="inlineStr">
        <is>
          <t>Commerce City</t>
        </is>
      </c>
      <c r="C125" s="314" t="inlineStr">
        <is>
          <t>Meetings</t>
        </is>
      </c>
      <c r="D125" s="314" t="inlineStr">
        <is>
          <t>Planning Commission</t>
        </is>
      </c>
      <c r="E125" s="315" t="inlineStr">
        <is>
          <t>Planning Commission information and meetings.</t>
        </is>
      </c>
      <c r="F125" s="315" t="inlineStr">
        <is>
          <t>Monitor planning hearings and recommendations.</t>
        </is>
      </c>
      <c r="G125" s="311" t="inlineStr">
        <is>
          <t>https://www.c3gov.com/Government/Boards-Commissions/Planning-Commission</t>
        </is>
      </c>
      <c r="H125" s="314" t="inlineStr">
        <is>
          <t>High</t>
        </is>
      </c>
    </row>
    <row r="126" ht="13" customHeight="1" s="518">
      <c r="B126" s="314" t="inlineStr">
        <is>
          <t>Commerce City</t>
        </is>
      </c>
      <c r="C126" s="314" t="inlineStr">
        <is>
          <t>Meetings</t>
        </is>
      </c>
      <c r="D126" s="314" t="inlineStr">
        <is>
          <t>Meeting Agendas and Schedules</t>
        </is>
      </c>
      <c r="E126" s="315" t="inlineStr">
        <is>
          <t>Agendas, schedules and public meeting records.</t>
        </is>
      </c>
      <c r="F126" s="315" t="inlineStr">
        <is>
          <t>Track city council and board action.</t>
        </is>
      </c>
      <c r="G126" s="311" t="inlineStr">
        <is>
          <t>https://www.c3gov.com/Site-Footer/Footer-Widgets/Quick-Links/Meeting-Agendas-and-Schedules</t>
        </is>
      </c>
      <c r="H126" s="314" t="inlineStr">
        <is>
          <t>High</t>
        </is>
      </c>
    </row>
    <row r="127" ht="26" customHeight="1" s="518">
      <c r="B127" s="314" t="inlineStr">
        <is>
          <t>Commerce City</t>
        </is>
      </c>
      <c r="C127" s="314" t="inlineStr">
        <is>
          <t>Public Notices</t>
        </is>
      </c>
      <c r="D127" s="314" t="inlineStr">
        <is>
          <t>Legal Notices &amp; Ordinances</t>
        </is>
      </c>
      <c r="E127" s="315" t="inlineStr">
        <is>
          <t>Official legal notices and ordinances.</t>
        </is>
      </c>
      <c r="F127" s="315" t="inlineStr">
        <is>
          <t>Confirm hearings, ordinances and public-notice deadlines.</t>
        </is>
      </c>
      <c r="G127" s="311" t="inlineStr">
        <is>
          <t>https://www.c3gov.com/Government/Departments-Divisions/City-Clerks-Office/Legal-Notices-Ordinances</t>
        </is>
      </c>
      <c r="H127" s="314" t="inlineStr">
        <is>
          <t>High</t>
        </is>
      </c>
    </row>
    <row r="128" ht="13" customHeight="1" s="518">
      <c r="B128" s="314" t="inlineStr">
        <is>
          <t>Commerce City</t>
        </is>
      </c>
      <c r="C128" s="314" t="inlineStr">
        <is>
          <t>News</t>
        </is>
      </c>
      <c r="D128" s="314" t="inlineStr">
        <is>
          <t>News &amp; Announcements</t>
        </is>
      </c>
      <c r="E128" s="315" t="inlineStr">
        <is>
          <t>Official city news and announcements.</t>
        </is>
      </c>
      <c r="F128" s="315" t="inlineStr">
        <is>
          <t>Monitor projects, policies and public updates.</t>
        </is>
      </c>
      <c r="G128" s="311" t="inlineStr">
        <is>
          <t>https://www.c3gov.com/Government/Media-News/News-Announcements</t>
        </is>
      </c>
      <c r="H128" s="314" t="inlineStr">
        <is>
          <t>Useful</t>
        </is>
      </c>
    </row>
    <row r="129" ht="13" customHeight="1" s="518">
      <c r="B129" s="314" t="inlineStr">
        <is>
          <t>Federal Heights</t>
        </is>
      </c>
      <c r="C129" s="314" t="inlineStr">
        <is>
          <t>Official Website</t>
        </is>
      </c>
      <c r="D129" s="314" t="inlineStr">
        <is>
          <t>City of Federal Heights</t>
        </is>
      </c>
      <c r="E129" s="315" t="inlineStr">
        <is>
          <t>Main city website.</t>
        </is>
      </c>
      <c r="F129" s="315" t="inlineStr">
        <is>
          <t>Navigate city services and departments.</t>
        </is>
      </c>
      <c r="G129" s="311" t="inlineStr">
        <is>
          <t>https://www.fedheights.org/</t>
        </is>
      </c>
      <c r="H129" s="314" t="inlineStr">
        <is>
          <t>Reference</t>
        </is>
      </c>
    </row>
    <row r="130" ht="26" customHeight="1" s="518">
      <c r="B130" s="314" t="inlineStr">
        <is>
          <t>Federal Heights</t>
        </is>
      </c>
      <c r="C130" s="314" t="inlineStr">
        <is>
          <t>GIS / Property</t>
        </is>
      </c>
      <c r="D130" s="314" t="inlineStr">
        <is>
          <t>City Maps and GIS Data</t>
        </is>
      </c>
      <c r="E130" s="315" t="inlineStr">
        <is>
          <t>City maps, zoning map and GIS resources.</t>
        </is>
      </c>
      <c r="F130" s="315" t="inlineStr">
        <is>
          <t>Identify municipal boundaries and mapped information.</t>
        </is>
      </c>
      <c r="G130" s="311" t="inlineStr">
        <is>
          <t>https://www.fedheights.org/index.asp?SEC=D1A883BE-0C29-4602-8CC9-5D6A08DA5503</t>
        </is>
      </c>
      <c r="H130" s="314" t="inlineStr">
        <is>
          <t>Critical</t>
        </is>
      </c>
    </row>
    <row r="131" ht="13" customHeight="1" s="518">
      <c r="B131" s="314" t="inlineStr">
        <is>
          <t>Federal Heights</t>
        </is>
      </c>
      <c r="C131" s="314" t="inlineStr">
        <is>
          <t>Zoning</t>
        </is>
      </c>
      <c r="D131" s="314" t="inlineStr">
        <is>
          <t>Zoning Information</t>
        </is>
      </c>
      <c r="E131" s="315" t="inlineStr">
        <is>
          <t>Zoning district and zoning process information.</t>
        </is>
      </c>
      <c r="F131" s="315" t="inlineStr">
        <is>
          <t>Confirm zoning rules and contacts.</t>
        </is>
      </c>
      <c r="G131" s="311" t="inlineStr">
        <is>
          <t>https://www.fedheights.org/index.asp?SEC=D7AA9940-8607-468A-8215-7308DD3BF799</t>
        </is>
      </c>
      <c r="H131" s="314" t="inlineStr">
        <is>
          <t>Critical</t>
        </is>
      </c>
    </row>
    <row r="132" ht="13" customHeight="1" s="518">
      <c r="B132" s="314" t="inlineStr">
        <is>
          <t>Federal Heights</t>
        </is>
      </c>
      <c r="C132" s="314" t="inlineStr">
        <is>
          <t>Planning</t>
        </is>
      </c>
      <c r="D132" s="314" t="inlineStr">
        <is>
          <t>Planning</t>
        </is>
      </c>
      <c r="E132" s="315" t="inlineStr">
        <is>
          <t>Planning services and land-use information.</t>
        </is>
      </c>
      <c r="F132" s="315" t="inlineStr">
        <is>
          <t>Start zoning or development research.</t>
        </is>
      </c>
      <c r="G132" s="311" t="inlineStr">
        <is>
          <t>https://www.fedheights.org/planning</t>
        </is>
      </c>
      <c r="H132" s="314" t="inlineStr">
        <is>
          <t>Critical</t>
        </is>
      </c>
    </row>
    <row r="133" ht="13" customHeight="1" s="518">
      <c r="B133" s="314" t="inlineStr">
        <is>
          <t>Federal Heights</t>
        </is>
      </c>
      <c r="C133" s="314" t="inlineStr">
        <is>
          <t>Code</t>
        </is>
      </c>
      <c r="D133" s="314" t="inlineStr">
        <is>
          <t>Municipal Code and Charter</t>
        </is>
      </c>
      <c r="E133" s="315" t="inlineStr">
        <is>
          <t>Municipal code and charter resources.</t>
        </is>
      </c>
      <c r="F133" s="315" t="inlineStr">
        <is>
          <t>Review official local regulations.</t>
        </is>
      </c>
      <c r="G133" s="311" t="inlineStr">
        <is>
          <t>https://www.fedheights.org/index.asp?SEC=E0D5E6BC-02A8-4AEF-88A1-9093297C3662</t>
        </is>
      </c>
      <c r="H133" s="314" t="inlineStr">
        <is>
          <t>High</t>
        </is>
      </c>
    </row>
    <row r="134" ht="13" customHeight="1" s="518">
      <c r="B134" s="314" t="inlineStr">
        <is>
          <t>Federal Heights</t>
        </is>
      </c>
      <c r="C134" s="314" t="inlineStr">
        <is>
          <t>Permits</t>
        </is>
      </c>
      <c r="D134" s="314" t="inlineStr">
        <is>
          <t>Building Department</t>
        </is>
      </c>
      <c r="E134" s="315" t="inlineStr">
        <is>
          <t>Building permits, inspections and adopted codes.</t>
        </is>
      </c>
      <c r="F134" s="315" t="inlineStr">
        <is>
          <t>Research building-permit requirements.</t>
        </is>
      </c>
      <c r="G134" s="311" t="inlineStr">
        <is>
          <t>https://www.fedheights.org/index.asp?SEC=D1CB6EB6-9C4B-4FA8-B119-EF1785E54CB6</t>
        </is>
      </c>
      <c r="H134" s="314" t="inlineStr">
        <is>
          <t>Critical</t>
        </is>
      </c>
    </row>
    <row r="135" ht="13" customHeight="1" s="518">
      <c r="B135" s="314" t="inlineStr">
        <is>
          <t>Federal Heights</t>
        </is>
      </c>
      <c r="C135" s="314" t="inlineStr">
        <is>
          <t>Permits</t>
        </is>
      </c>
      <c r="D135" s="314" t="inlineStr">
        <is>
          <t>Building Guides</t>
        </is>
      </c>
      <c r="E135" s="315" t="inlineStr">
        <is>
          <t>Building and permit guidance documents.</t>
        </is>
      </c>
      <c r="F135" s="315" t="inlineStr">
        <is>
          <t>Prepare a permit submittal.</t>
        </is>
      </c>
      <c r="G135" s="311" t="inlineStr">
        <is>
          <t>https://www.fedheights.org/index.asp?SEC=%7BCB7135BC-846F-468B-B85D-0ECE8B03FFCD%7D&amp;persistdesign=none</t>
        </is>
      </c>
      <c r="H135" s="314" t="inlineStr">
        <is>
          <t>High</t>
        </is>
      </c>
    </row>
    <row r="136" ht="26" customHeight="1" s="518">
      <c r="B136" s="314" t="inlineStr">
        <is>
          <t>Federal Heights</t>
        </is>
      </c>
      <c r="C136" s="314" t="inlineStr">
        <is>
          <t>Permit History</t>
        </is>
      </c>
      <c r="D136" s="314" t="inlineStr">
        <is>
          <t>Monthly Permit Reports</t>
        </is>
      </c>
      <c r="E136" s="315" t="inlineStr">
        <is>
          <t>Monthly building-permit reports.</t>
        </is>
      </c>
      <c r="F136" s="315" t="inlineStr">
        <is>
          <t>Review recent permit activity and construction trends.</t>
        </is>
      </c>
      <c r="G136" s="311" t="inlineStr">
        <is>
          <t>https://www.fedheights.org/index.asp?SEC=%7B76F23E1D-0819-4BAB-BD73-23D6092E8A3B%7D&amp;persistdesign=none</t>
        </is>
      </c>
      <c r="H136" s="314" t="inlineStr">
        <is>
          <t>High</t>
        </is>
      </c>
    </row>
    <row r="137" ht="13" customHeight="1" s="518">
      <c r="B137" s="314" t="inlineStr">
        <is>
          <t>Federal Heights</t>
        </is>
      </c>
      <c r="C137" s="314" t="inlineStr">
        <is>
          <t>Long-Range Planning</t>
        </is>
      </c>
      <c r="D137" s="314" t="inlineStr">
        <is>
          <t>Comprehensive Plan</t>
        </is>
      </c>
      <c r="E137" s="315" t="inlineStr">
        <is>
          <t>Comprehensive-plan information.</t>
        </is>
      </c>
      <c r="F137" s="315" t="inlineStr">
        <is>
          <t>Evaluate future land use and policy direction.</t>
        </is>
      </c>
      <c r="G137" s="311" t="inlineStr">
        <is>
          <t>https://www.fedheights.org/index.asp?SEC=%7B5CF1D2C4-3E29-4A1A-BBFA-2BE19B3ABFD0%7D</t>
        </is>
      </c>
      <c r="H137" s="314" t="inlineStr">
        <is>
          <t>High</t>
        </is>
      </c>
    </row>
    <row r="138" ht="13" customHeight="1" s="518">
      <c r="B138" s="314" t="inlineStr">
        <is>
          <t>Federal Heights</t>
        </is>
      </c>
      <c r="C138" s="314" t="inlineStr">
        <is>
          <t>Meetings</t>
        </is>
      </c>
      <c r="D138" s="314" t="inlineStr">
        <is>
          <t>Meetings and Study Sessions</t>
        </is>
      </c>
      <c r="E138" s="315" t="inlineStr">
        <is>
          <t>Council minutes and audio recordings.</t>
        </is>
      </c>
      <c r="F138" s="315" t="inlineStr">
        <is>
          <t>Track council decisions and discussions.</t>
        </is>
      </c>
      <c r="G138" s="311" t="inlineStr">
        <is>
          <t>https://www.fedheights.org/index.asp?SEC=%7BE66D34DF-8290-4807-83DA-3AF56D110C00%7D</t>
        </is>
      </c>
      <c r="H138" s="314" t="inlineStr">
        <is>
          <t>High</t>
        </is>
      </c>
    </row>
    <row r="139" ht="26" customHeight="1" s="518">
      <c r="B139" s="314" t="inlineStr">
        <is>
          <t>Federal Heights</t>
        </is>
      </c>
      <c r="C139" s="314" t="inlineStr">
        <is>
          <t>Public Records</t>
        </is>
      </c>
      <c r="D139" s="314" t="inlineStr">
        <is>
          <t>Public Records</t>
        </is>
      </c>
      <c r="E139" s="315" t="inlineStr">
        <is>
          <t>Public records request process.</t>
        </is>
      </c>
      <c r="F139" s="315" t="inlineStr">
        <is>
          <t>Request planning, permit or city records not posted online.</t>
        </is>
      </c>
      <c r="G139" s="311" t="inlineStr">
        <is>
          <t>https://www.fedheights.org/index.asp?SEC=%7B13723B89-BA4A-47C1-9634-50363F8CD1D2%7D&amp;persistdesign=none</t>
        </is>
      </c>
      <c r="H139" s="314" t="inlineStr">
        <is>
          <t>High</t>
        </is>
      </c>
    </row>
    <row r="140" ht="13" customHeight="1" s="518">
      <c r="B140" s="314" t="inlineStr">
        <is>
          <t>Federal Heights</t>
        </is>
      </c>
      <c r="C140" s="314" t="inlineStr">
        <is>
          <t>News</t>
        </is>
      </c>
      <c r="D140" s="314" t="inlineStr">
        <is>
          <t>News and Events</t>
        </is>
      </c>
      <c r="E140" s="315" t="inlineStr">
        <is>
          <t>Official news and city calendar.</t>
        </is>
      </c>
      <c r="F140" s="315" t="inlineStr">
        <is>
          <t>Monitor meetings, announcements and city activity.</t>
        </is>
      </c>
      <c r="G140" s="311" t="inlineStr">
        <is>
          <t>https://www.fedheights.org/index.asp?SEC=407F7286-34E9-495F-B5F7-88E905D7C9A5</t>
        </is>
      </c>
      <c r="H140" s="314" t="inlineStr">
        <is>
          <t>Useful</t>
        </is>
      </c>
    </row>
    <row r="141" ht="26" customHeight="1" s="518">
      <c r="B141" s="314" t="inlineStr">
        <is>
          <t>Federal Heights</t>
        </is>
      </c>
      <c r="C141" s="314" t="inlineStr">
        <is>
          <t>Newsletter</t>
        </is>
      </c>
      <c r="D141" s="314" t="inlineStr">
        <is>
          <t>The Federal Heights Focus</t>
        </is>
      </c>
      <c r="E141" s="315" t="inlineStr">
        <is>
          <t>Quarterly official city newsletter.</t>
        </is>
      </c>
      <c r="F141" s="315" t="inlineStr">
        <is>
          <t>Monitor policy, infrastructure and community updates.</t>
        </is>
      </c>
      <c r="G141" s="311" t="inlineStr">
        <is>
          <t>https://www.fedheights.org/index.asp?SEC=%7B2E7DCCA1-1FEF-4EA7-8AE7-6C3F92D19EF3%7D&amp;persistdesign=none</t>
        </is>
      </c>
      <c r="H141" s="314" t="inlineStr">
        <is>
          <t>Useful</t>
        </is>
      </c>
    </row>
    <row r="142" ht="13" customHeight="1" s="518">
      <c r="B142" s="314" t="inlineStr">
        <is>
          <t>Lochbuie</t>
        </is>
      </c>
      <c r="C142" s="314" t="inlineStr">
        <is>
          <t>Official Website</t>
        </is>
      </c>
      <c r="D142" s="314" t="inlineStr">
        <is>
          <t>Town of Lochbuie</t>
        </is>
      </c>
      <c r="E142" s="315" t="inlineStr">
        <is>
          <t>Main town website.</t>
        </is>
      </c>
      <c r="F142" s="315" t="inlineStr">
        <is>
          <t>Navigate municipal services and updates.</t>
        </is>
      </c>
      <c r="G142" s="311" t="inlineStr">
        <is>
          <t>https://www.lochbuie.org/</t>
        </is>
      </c>
      <c r="H142" s="314" t="inlineStr">
        <is>
          <t>Reference</t>
        </is>
      </c>
    </row>
    <row r="143" ht="13" customHeight="1" s="518">
      <c r="B143" s="314" t="inlineStr">
        <is>
          <t>Lochbuie</t>
        </is>
      </c>
      <c r="C143" s="314" t="inlineStr">
        <is>
          <t>GIS / Property</t>
        </is>
      </c>
      <c r="D143" s="314" t="inlineStr">
        <is>
          <t>Interactive Land Use Map</t>
        </is>
      </c>
      <c r="E143" s="315" t="inlineStr">
        <is>
          <t>Interactive land-use and planning map.</t>
        </is>
      </c>
      <c r="F143" s="315" t="inlineStr">
        <is>
          <t>Research zoning and land-use information.</t>
        </is>
      </c>
      <c r="G143" s="311" t="inlineStr">
        <is>
          <t>https://www.lochbuie.org/community-dev/page/interactive-land-use-map</t>
        </is>
      </c>
      <c r="H143" s="314" t="inlineStr">
        <is>
          <t>Critical</t>
        </is>
      </c>
    </row>
    <row r="144" ht="26" customHeight="1" s="518">
      <c r="B144" s="314" t="inlineStr">
        <is>
          <t>Lochbuie</t>
        </is>
      </c>
      <c r="C144" s="314" t="inlineStr">
        <is>
          <t>GIS / Maps</t>
        </is>
      </c>
      <c r="D144" s="314" t="inlineStr">
        <is>
          <t>Maps</t>
        </is>
      </c>
      <c r="E144" s="315" t="inlineStr">
        <is>
          <t>Town mapping resources.</t>
        </is>
      </c>
      <c r="F144" s="315" t="inlineStr">
        <is>
          <t>Confirm planning areas and municipal map information.</t>
        </is>
      </c>
      <c r="G144" s="311" t="inlineStr">
        <is>
          <t>https://www.lochbuie.org/community-dev/page/maps</t>
        </is>
      </c>
      <c r="H144" s="314" t="inlineStr">
        <is>
          <t>High</t>
        </is>
      </c>
    </row>
    <row r="145" ht="13" customHeight="1" s="518">
      <c r="B145" s="314" t="inlineStr">
        <is>
          <t>Lochbuie</t>
        </is>
      </c>
      <c r="C145" s="314" t="inlineStr">
        <is>
          <t>Zoning</t>
        </is>
      </c>
      <c r="D145" s="314" t="inlineStr">
        <is>
          <t>Zoning Map</t>
        </is>
      </c>
      <c r="E145" s="315" t="inlineStr">
        <is>
          <t>Official town zoning map.</t>
        </is>
      </c>
      <c r="F145" s="315" t="inlineStr">
        <is>
          <t>Identify a property's zoning district.</t>
        </is>
      </c>
      <c r="G145" s="311" t="inlineStr">
        <is>
          <t>https://www.lochbuie.org/administration/page/zoning-map</t>
        </is>
      </c>
      <c r="H145" s="314" t="inlineStr">
        <is>
          <t>Critical</t>
        </is>
      </c>
    </row>
    <row r="146" ht="13" customHeight="1" s="518">
      <c r="B146" s="314" t="inlineStr">
        <is>
          <t>Lochbuie</t>
        </is>
      </c>
      <c r="C146" s="314" t="inlineStr">
        <is>
          <t>Planning</t>
        </is>
      </c>
      <c r="D146" s="314" t="inlineStr">
        <is>
          <t>Current Planning</t>
        </is>
      </c>
      <c r="E146" s="315" t="inlineStr">
        <is>
          <t>Current planning applications and services.</t>
        </is>
      </c>
      <c r="F146" s="315" t="inlineStr">
        <is>
          <t>Research ongoing land-use review.</t>
        </is>
      </c>
      <c r="G146" s="311" t="inlineStr">
        <is>
          <t>https://www.lochbuie.org/community-dev/page/current-planning</t>
        </is>
      </c>
      <c r="H146" s="314" t="inlineStr">
        <is>
          <t>Critical</t>
        </is>
      </c>
    </row>
    <row r="147" ht="13" customHeight="1" s="518">
      <c r="B147" s="314" t="inlineStr">
        <is>
          <t>Lochbuie</t>
        </is>
      </c>
      <c r="C147" s="314" t="inlineStr">
        <is>
          <t>Planning</t>
        </is>
      </c>
      <c r="D147" s="314" t="inlineStr">
        <is>
          <t>Community Development</t>
        </is>
      </c>
      <c r="E147" s="315" t="inlineStr">
        <is>
          <t>Planning, building and development resources.</t>
        </is>
      </c>
      <c r="F147" s="315" t="inlineStr">
        <is>
          <t>Start project feasibility and entitlement research.</t>
        </is>
      </c>
      <c r="G147" s="311" t="inlineStr">
        <is>
          <t>https://www.lochbuie.org/community-dev</t>
        </is>
      </c>
      <c r="H147" s="314" t="inlineStr">
        <is>
          <t>High</t>
        </is>
      </c>
    </row>
    <row r="148" ht="13" customHeight="1" s="518">
      <c r="B148" s="314" t="inlineStr">
        <is>
          <t>Lochbuie</t>
        </is>
      </c>
      <c r="C148" s="314" t="inlineStr">
        <is>
          <t>Development</t>
        </is>
      </c>
      <c r="D148" s="314" t="inlineStr">
        <is>
          <t>Land Use Applications</t>
        </is>
      </c>
      <c r="E148" s="315" t="inlineStr">
        <is>
          <t>Land-use applications and procedural resources.</t>
        </is>
      </c>
      <c r="F148" s="315" t="inlineStr">
        <is>
          <t>Determine application types and requirements.</t>
        </is>
      </c>
      <c r="G148" s="311" t="inlineStr">
        <is>
          <t>https://www.lochbuie.org/community-dev/page/land-use-applications</t>
        </is>
      </c>
      <c r="H148" s="314" t="inlineStr">
        <is>
          <t>High</t>
        </is>
      </c>
    </row>
    <row r="149" ht="13" customHeight="1" s="518">
      <c r="B149" s="314" t="inlineStr">
        <is>
          <t>Lochbuie</t>
        </is>
      </c>
      <c r="C149" s="314" t="inlineStr">
        <is>
          <t>Development</t>
        </is>
      </c>
      <c r="D149" s="314" t="inlineStr">
        <is>
          <t>Development Resources</t>
        </is>
      </c>
      <c r="E149" s="315" t="inlineStr">
        <is>
          <t>Development forms, standards and guidance.</t>
        </is>
      </c>
      <c r="F149" s="315" t="inlineStr">
        <is>
          <t>Prepare a development submittal.</t>
        </is>
      </c>
      <c r="G149" s="311" t="inlineStr">
        <is>
          <t>https://www.lochbuie.org/community-dev/page/development-resources</t>
        </is>
      </c>
      <c r="H149" s="314" t="inlineStr">
        <is>
          <t>High</t>
        </is>
      </c>
    </row>
    <row r="150" ht="13" customHeight="1" s="518">
      <c r="B150" s="314" t="inlineStr">
        <is>
          <t>Lochbuie</t>
        </is>
      </c>
      <c r="C150" s="314" t="inlineStr">
        <is>
          <t>Development</t>
        </is>
      </c>
      <c r="D150" s="314" t="inlineStr">
        <is>
          <t>Active Projects</t>
        </is>
      </c>
      <c r="E150" s="315" t="inlineStr">
        <is>
          <t>Current town projects.</t>
        </is>
      </c>
      <c r="F150" s="315" t="inlineStr">
        <is>
          <t>Monitor development and infrastructure activity.</t>
        </is>
      </c>
      <c r="G150" s="311" t="inlineStr">
        <is>
          <t>https://www.lochbuie.org/projects</t>
        </is>
      </c>
      <c r="H150" s="314" t="inlineStr">
        <is>
          <t>High</t>
        </is>
      </c>
    </row>
    <row r="151" ht="13" customHeight="1" s="518">
      <c r="B151" s="314" t="inlineStr">
        <is>
          <t>Lochbuie</t>
        </is>
      </c>
      <c r="C151" s="314" t="inlineStr">
        <is>
          <t>Permits</t>
        </is>
      </c>
      <c r="D151" s="314" t="inlineStr">
        <is>
          <t>Building Permits and Inspections</t>
        </is>
      </c>
      <c r="E151" s="315" t="inlineStr">
        <is>
          <t>Building permit and inspection guidance.</t>
        </is>
      </c>
      <c r="F151" s="315" t="inlineStr">
        <is>
          <t>Research construction permitting.</t>
        </is>
      </c>
      <c r="G151" s="311" t="inlineStr">
        <is>
          <t>https://www.lochbuie.org/community-dev/page/building-permits-and-inspections</t>
        </is>
      </c>
      <c r="H151" s="314" t="inlineStr">
        <is>
          <t>Critical</t>
        </is>
      </c>
    </row>
    <row r="152" ht="26" customHeight="1" s="518">
      <c r="B152" s="314" t="inlineStr">
        <is>
          <t>Lochbuie</t>
        </is>
      </c>
      <c r="C152" s="314" t="inlineStr">
        <is>
          <t>Long-Range Planning</t>
        </is>
      </c>
      <c r="D152" s="314" t="inlineStr">
        <is>
          <t>Documents / Comprehensive Plan</t>
        </is>
      </c>
      <c r="E152" s="315" t="inlineStr">
        <is>
          <t>Adopted planning documents, including the current comprehensive plan.</t>
        </is>
      </c>
      <c r="F152" s="315" t="inlineStr">
        <is>
          <t>Evaluate future land-use and policy direction.</t>
        </is>
      </c>
      <c r="G152" s="311" t="inlineStr">
        <is>
          <t>https://www.lochbuie.org/community-dev/page/documents</t>
        </is>
      </c>
      <c r="H152" s="314" t="inlineStr">
        <is>
          <t>High</t>
        </is>
      </c>
    </row>
    <row r="153" ht="13" customHeight="1" s="518">
      <c r="B153" s="314" t="inlineStr">
        <is>
          <t>Lochbuie</t>
        </is>
      </c>
      <c r="C153" s="314" t="inlineStr">
        <is>
          <t>Long-Range Planning</t>
        </is>
      </c>
      <c r="D153" s="314" t="inlineStr">
        <is>
          <t>Long-Range Planning</t>
        </is>
      </c>
      <c r="E153" s="315" t="inlineStr">
        <is>
          <t>Long-range planning initiatives and plans.</t>
        </is>
      </c>
      <c r="F153" s="315" t="inlineStr">
        <is>
          <t>Track policy and growth planning.</t>
        </is>
      </c>
      <c r="G153" s="311" t="inlineStr">
        <is>
          <t>https://www.lochbuie.org/community-dev/page/long-range-planning</t>
        </is>
      </c>
      <c r="H153" s="314" t="inlineStr">
        <is>
          <t>High</t>
        </is>
      </c>
    </row>
    <row r="154" ht="13" customHeight="1" s="518">
      <c r="B154" s="314" t="inlineStr">
        <is>
          <t>Lochbuie</t>
        </is>
      </c>
      <c r="C154" s="314" t="inlineStr">
        <is>
          <t>Code</t>
        </is>
      </c>
      <c r="D154" s="314" t="inlineStr">
        <is>
          <t>Ordinances</t>
        </is>
      </c>
      <c r="E154" s="315" t="inlineStr">
        <is>
          <t>Town ordinances and adopted regulations.</t>
        </is>
      </c>
      <c r="F154" s="315" t="inlineStr">
        <is>
          <t>Review recent legal changes and local rules.</t>
        </is>
      </c>
      <c r="G154" s="311" t="inlineStr">
        <is>
          <t>https://www.lochbuie.org/publicnotice/page/ordinances</t>
        </is>
      </c>
      <c r="H154" s="314" t="inlineStr">
        <is>
          <t>High</t>
        </is>
      </c>
    </row>
    <row r="155" ht="13" customHeight="1" s="518">
      <c r="B155" s="314" t="inlineStr">
        <is>
          <t>Lochbuie</t>
        </is>
      </c>
      <c r="C155" s="314" t="inlineStr">
        <is>
          <t>Meetings</t>
        </is>
      </c>
      <c r="D155" s="314" t="inlineStr">
        <is>
          <t>Upcoming Meetings</t>
        </is>
      </c>
      <c r="E155" s="315" t="inlineStr">
        <is>
          <t>Upcoming board and commission meetings.</t>
        </is>
      </c>
      <c r="F155" s="315" t="inlineStr">
        <is>
          <t>Monitor hearing dates and agendas.</t>
        </is>
      </c>
      <c r="G155" s="311" t="inlineStr">
        <is>
          <t>https://www.lochbuie.org/meetings</t>
        </is>
      </c>
      <c r="H155" s="314" t="inlineStr">
        <is>
          <t>High</t>
        </is>
      </c>
    </row>
    <row r="156" ht="13" customHeight="1" s="518">
      <c r="B156" s="314" t="inlineStr">
        <is>
          <t>Lochbuie</t>
        </is>
      </c>
      <c r="C156" s="314" t="inlineStr">
        <is>
          <t>Public Notices</t>
        </is>
      </c>
      <c r="D156" s="314" t="inlineStr">
        <is>
          <t>Public Notices</t>
        </is>
      </c>
      <c r="E156" s="315" t="inlineStr">
        <is>
          <t>Official public notices.</t>
        </is>
      </c>
      <c r="F156" s="315" t="inlineStr">
        <is>
          <t>Confirm hearings, ordinances and deadlines.</t>
        </is>
      </c>
      <c r="G156" s="311" t="inlineStr">
        <is>
          <t>https://www.lochbuie.org/publicnotice</t>
        </is>
      </c>
      <c r="H156" s="314" t="inlineStr">
        <is>
          <t>High</t>
        </is>
      </c>
    </row>
    <row r="157" ht="13" customHeight="1" s="518">
      <c r="B157" s="314" t="inlineStr">
        <is>
          <t>Lochbuie</t>
        </is>
      </c>
      <c r="C157" s="314" t="inlineStr">
        <is>
          <t>News</t>
        </is>
      </c>
      <c r="D157" s="314" t="inlineStr">
        <is>
          <t>Town News</t>
        </is>
      </c>
      <c r="E157" s="315" t="inlineStr">
        <is>
          <t>Official town news.</t>
        </is>
      </c>
      <c r="F157" s="315" t="inlineStr">
        <is>
          <t>Monitor development and municipal announcements.</t>
        </is>
      </c>
      <c r="G157" s="311" t="inlineStr">
        <is>
          <t>https://www.lochbuie.org/news</t>
        </is>
      </c>
      <c r="H157" s="314" t="inlineStr">
        <is>
          <t>Useful</t>
        </is>
      </c>
    </row>
    <row r="158" ht="13" customHeight="1" s="518">
      <c r="B158" s="314" t="inlineStr">
        <is>
          <t>Lochbuie</t>
        </is>
      </c>
      <c r="C158" s="314" t="inlineStr">
        <is>
          <t>Alerts</t>
        </is>
      </c>
      <c r="D158" s="314" t="inlineStr">
        <is>
          <t>Resident Portal / Alerts</t>
        </is>
      </c>
      <c r="E158" s="315" t="inlineStr">
        <is>
          <t>Town alert and portal resources.</t>
        </is>
      </c>
      <c r="F158" s="315" t="inlineStr">
        <is>
          <t>Subscribe to current notices and updates.</t>
        </is>
      </c>
      <c r="G158" s="311" t="inlineStr">
        <is>
          <t>https://www.lochbuie.org/portal</t>
        </is>
      </c>
      <c r="H158" s="314" t="inlineStr">
        <is>
          <t>Useful</t>
        </is>
      </c>
    </row>
    <row r="159" ht="13" customHeight="1" s="518">
      <c r="B159" s="314" t="inlineStr">
        <is>
          <t>Northglenn</t>
        </is>
      </c>
      <c r="C159" s="314" t="inlineStr">
        <is>
          <t>Official Website</t>
        </is>
      </c>
      <c r="D159" s="314" t="inlineStr">
        <is>
          <t>City of Northglenn</t>
        </is>
      </c>
      <c r="E159" s="315" t="inlineStr">
        <is>
          <t>Main city website.</t>
        </is>
      </c>
      <c r="F159" s="315" t="inlineStr">
        <is>
          <t>Navigate city services and departments.</t>
        </is>
      </c>
      <c r="G159" s="311" t="inlineStr">
        <is>
          <t>https://www.northglenn.org/</t>
        </is>
      </c>
      <c r="H159" s="314" t="inlineStr">
        <is>
          <t>Reference</t>
        </is>
      </c>
    </row>
    <row r="160" ht="26" customHeight="1" s="518">
      <c r="B160" s="314" t="inlineStr">
        <is>
          <t>Northglenn</t>
        </is>
      </c>
      <c r="C160" s="314" t="inlineStr">
        <is>
          <t>Planning</t>
        </is>
      </c>
      <c r="D160" s="314" t="inlineStr">
        <is>
          <t>Planning &amp; Development</t>
        </is>
      </c>
      <c r="E160" s="315" t="inlineStr">
        <is>
          <t>Planning, development review and economic-development resources.</t>
        </is>
      </c>
      <c r="F160" s="315" t="inlineStr">
        <is>
          <t>Start land-use and development research.</t>
        </is>
      </c>
      <c r="G160" s="311" t="inlineStr">
        <is>
          <t>https://www.northglenn.org/government/departments/planning_development/index.php</t>
        </is>
      </c>
      <c r="H160" s="314" t="inlineStr">
        <is>
          <t>Critical</t>
        </is>
      </c>
    </row>
    <row r="161" ht="13" customHeight="1" s="518">
      <c r="B161" s="314" t="inlineStr">
        <is>
          <t>Northglenn</t>
        </is>
      </c>
      <c r="C161" s="314" t="inlineStr">
        <is>
          <t>Zoning</t>
        </is>
      </c>
      <c r="D161" s="314" t="inlineStr">
        <is>
          <t>Land Use &amp; Zoning</t>
        </is>
      </c>
      <c r="E161" s="315" t="inlineStr">
        <is>
          <t>Zoning, land-use code and applications.</t>
        </is>
      </c>
      <c r="F161" s="315" t="inlineStr">
        <is>
          <t>Confirm district rules and application options.</t>
        </is>
      </c>
      <c r="G161" s="311" t="inlineStr">
        <is>
          <t>https://www.northglenn.org/government/land_use_zoning/index.php</t>
        </is>
      </c>
      <c r="H161" s="314" t="inlineStr">
        <is>
          <t>Critical</t>
        </is>
      </c>
    </row>
    <row r="162" ht="13" customHeight="1" s="518">
      <c r="B162" s="314" t="inlineStr">
        <is>
          <t>Northglenn</t>
        </is>
      </c>
      <c r="C162" s="314" t="inlineStr">
        <is>
          <t>GIS / Zoning</t>
        </is>
      </c>
      <c r="D162" s="314" t="inlineStr">
        <is>
          <t>Zoning Map</t>
        </is>
      </c>
      <c r="E162" s="315" t="inlineStr">
        <is>
          <t>Official zoning map.</t>
        </is>
      </c>
      <c r="F162" s="315" t="inlineStr">
        <is>
          <t>Identify parcel zoning.</t>
        </is>
      </c>
      <c r="G162" s="311" t="inlineStr">
        <is>
          <t>https://www.northglenn.org/government/land_use_zoning/zoning_map.php</t>
        </is>
      </c>
      <c r="H162" s="314" t="inlineStr">
        <is>
          <t>Critical</t>
        </is>
      </c>
    </row>
    <row r="163" ht="13" customHeight="1" s="518">
      <c r="B163" s="314" t="inlineStr">
        <is>
          <t>Northglenn</t>
        </is>
      </c>
      <c r="C163" s="314" t="inlineStr">
        <is>
          <t>GIS / Property</t>
        </is>
      </c>
      <c r="D163" s="314" t="inlineStr">
        <is>
          <t>QuickZone</t>
        </is>
      </c>
      <c r="E163" s="315" t="inlineStr">
        <is>
          <t>Interactive zoning/property lookup.</t>
        </is>
      </c>
      <c r="F163" s="315" t="inlineStr">
        <is>
          <t>Search an address and retrieve zoning information.</t>
        </is>
      </c>
      <c r="G163" s="311" t="inlineStr">
        <is>
          <t>https://biz.northglenn.org/quickzone</t>
        </is>
      </c>
      <c r="H163" s="314" t="inlineStr">
        <is>
          <t>Critical</t>
        </is>
      </c>
    </row>
    <row r="164" ht="26" customHeight="1" s="518">
      <c r="B164" s="314" t="inlineStr">
        <is>
          <t>Northglenn</t>
        </is>
      </c>
      <c r="C164" s="314" t="inlineStr">
        <is>
          <t>Code</t>
        </is>
      </c>
      <c r="D164" s="314" t="inlineStr">
        <is>
          <t>Unified Development Ordinance</t>
        </is>
      </c>
      <c r="E164" s="315" t="inlineStr">
        <is>
          <t>Northglenn land-use and development code.</t>
        </is>
      </c>
      <c r="F164" s="315" t="inlineStr">
        <is>
          <t>Review permitted uses, design and development standards.</t>
        </is>
      </c>
      <c r="G164" s="311" t="inlineStr">
        <is>
          <t>https://www.northglenn.org/government/land_use_zoning/new_code_northglenn.php</t>
        </is>
      </c>
      <c r="H164" s="314" t="inlineStr">
        <is>
          <t>Critical</t>
        </is>
      </c>
    </row>
    <row r="165" ht="13" customHeight="1" s="518">
      <c r="B165" s="314" t="inlineStr">
        <is>
          <t>Northglenn</t>
        </is>
      </c>
      <c r="C165" s="314" t="inlineStr">
        <is>
          <t>Development</t>
        </is>
      </c>
      <c r="D165" s="314" t="inlineStr">
        <is>
          <t>Land Use Applications</t>
        </is>
      </c>
      <c r="E165" s="315" t="inlineStr">
        <is>
          <t>Land-use application types and materials.</t>
        </is>
      </c>
      <c r="F165" s="315" t="inlineStr">
        <is>
          <t>Determine entitlement requirements.</t>
        </is>
      </c>
      <c r="G165" s="311" t="inlineStr">
        <is>
          <t>https://www.northglenn.org/government/land_use_zoning/land_use_applications.php</t>
        </is>
      </c>
      <c r="H165" s="314" t="inlineStr">
        <is>
          <t>High</t>
        </is>
      </c>
    </row>
    <row r="166" ht="13" customHeight="1" s="518">
      <c r="B166" s="314" t="inlineStr">
        <is>
          <t>Northglenn</t>
        </is>
      </c>
      <c r="C166" s="314" t="inlineStr">
        <is>
          <t>Development</t>
        </is>
      </c>
      <c r="D166" s="314" t="inlineStr">
        <is>
          <t>Development Review Process</t>
        </is>
      </c>
      <c r="E166" s="315" t="inlineStr">
        <is>
          <t>Development review process and steps.</t>
        </is>
      </c>
      <c r="F166" s="315" t="inlineStr">
        <is>
          <t>Estimate project path and review timing.</t>
        </is>
      </c>
      <c r="G166" s="311" t="inlineStr">
        <is>
          <t>https://www.northglenn.org/government/departments/planning_development/development_review_process.php</t>
        </is>
      </c>
      <c r="H166" s="314" t="inlineStr">
        <is>
          <t>High</t>
        </is>
      </c>
    </row>
    <row r="167" ht="26" customHeight="1" s="518">
      <c r="B167" s="314" t="inlineStr">
        <is>
          <t>Northglenn</t>
        </is>
      </c>
      <c r="C167" s="314" t="inlineStr">
        <is>
          <t>Development</t>
        </is>
      </c>
      <c r="D167" s="314" t="inlineStr">
        <is>
          <t>Project Updates</t>
        </is>
      </c>
      <c r="E167" s="315" t="inlineStr">
        <is>
          <t>City project and construction updates.</t>
        </is>
      </c>
      <c r="F167" s="315" t="inlineStr">
        <is>
          <t>Monitor development and public infrastructure projects.</t>
        </is>
      </c>
      <c r="G167" s="311" t="inlineStr">
        <is>
          <t>https://www.northglenn.org/government/project_updates/</t>
        </is>
      </c>
      <c r="H167" s="314" t="inlineStr">
        <is>
          <t>High</t>
        </is>
      </c>
    </row>
    <row r="168" ht="13" customHeight="1" s="518">
      <c r="B168" s="314" t="inlineStr">
        <is>
          <t>Northglenn</t>
        </is>
      </c>
      <c r="C168" s="314" t="inlineStr">
        <is>
          <t>Permits</t>
        </is>
      </c>
      <c r="D168" s="314" t="inlineStr">
        <is>
          <t>Licenses and Permits</t>
        </is>
      </c>
      <c r="E168" s="315" t="inlineStr">
        <is>
          <t>City licensing and permit resources.</t>
        </is>
      </c>
      <c r="F168" s="315" t="inlineStr">
        <is>
          <t>Locate applicable permits and application links.</t>
        </is>
      </c>
      <c r="G168" s="311" t="inlineStr">
        <is>
          <t>https://www.northglenn.org/services/licenses_and_permits/index.php</t>
        </is>
      </c>
      <c r="H168" s="314" t="inlineStr">
        <is>
          <t>High</t>
        </is>
      </c>
    </row>
    <row r="169" ht="13" customHeight="1" s="518">
      <c r="B169" s="314" t="inlineStr">
        <is>
          <t>Northglenn</t>
        </is>
      </c>
      <c r="C169" s="314" t="inlineStr">
        <is>
          <t>Permits</t>
        </is>
      </c>
      <c r="D169" s="314" t="inlineStr">
        <is>
          <t>Pull a Permit</t>
        </is>
      </c>
      <c r="E169" s="315" t="inlineStr">
        <is>
          <t>Building-permit application guidance.</t>
        </is>
      </c>
      <c r="F169" s="315" t="inlineStr">
        <is>
          <t>Apply for or research building permits.</t>
        </is>
      </c>
      <c r="G169" s="311" t="inlineStr">
        <is>
          <t>https://www.northglenn.org/government/departments/building/pull_a_permit.php</t>
        </is>
      </c>
      <c r="H169" s="314" t="inlineStr">
        <is>
          <t>Critical</t>
        </is>
      </c>
    </row>
    <row r="170" ht="13" customHeight="1" s="518">
      <c r="B170" s="314" t="inlineStr">
        <is>
          <t>Northglenn</t>
        </is>
      </c>
      <c r="C170" s="314" t="inlineStr">
        <is>
          <t>Long-Range Planning</t>
        </is>
      </c>
      <c r="D170" s="314" t="inlineStr">
        <is>
          <t>Comprehensive Plan</t>
        </is>
      </c>
      <c r="E170" s="315" t="inlineStr">
        <is>
          <t>Comprehensive-plan resources.</t>
        </is>
      </c>
      <c r="F170" s="315" t="inlineStr">
        <is>
          <t>Evaluate future land use and city policy.</t>
        </is>
      </c>
      <c r="G170" s="311" t="inlineStr">
        <is>
          <t>https://www.northglenn.org/government/land_use_zoning/comprehensive_plan.php</t>
        </is>
      </c>
      <c r="H170" s="314" t="inlineStr">
        <is>
          <t>High</t>
        </is>
      </c>
    </row>
    <row r="171" ht="13" customHeight="1" s="518">
      <c r="B171" s="314" t="inlineStr">
        <is>
          <t>Northglenn</t>
        </is>
      </c>
      <c r="C171" s="314" t="inlineStr">
        <is>
          <t>Plans</t>
        </is>
      </c>
      <c r="D171" s="314" t="inlineStr">
        <is>
          <t>Area Plans</t>
        </is>
      </c>
      <c r="E171" s="315" t="inlineStr">
        <is>
          <t>Adopted small-area and corridor plans.</t>
        </is>
      </c>
      <c r="F171" s="315" t="inlineStr">
        <is>
          <t>Research area-specific policies affecting a property.</t>
        </is>
      </c>
      <c r="G171" s="311" t="inlineStr">
        <is>
          <t>https://www.northglenn.org/government/land_use_zoning/area_plans/index.php</t>
        </is>
      </c>
      <c r="H171" s="314" t="inlineStr">
        <is>
          <t>Useful</t>
        </is>
      </c>
    </row>
    <row r="172" ht="13" customHeight="1" s="518">
      <c r="B172" s="314" t="inlineStr">
        <is>
          <t>Northglenn</t>
        </is>
      </c>
      <c r="C172" s="314" t="inlineStr">
        <is>
          <t>Meetings</t>
        </is>
      </c>
      <c r="D172" s="314" t="inlineStr">
        <is>
          <t>Planning Commission</t>
        </is>
      </c>
      <c r="E172" s="315" t="inlineStr">
        <is>
          <t>Planning Commission information.</t>
        </is>
      </c>
      <c r="F172" s="315" t="inlineStr">
        <is>
          <t>Monitor land-use hearings and recommendations.</t>
        </is>
      </c>
      <c r="G172" s="311" t="inlineStr">
        <is>
          <t>https://www.northglenn.org/government/boards_commissions/planning_commission.php</t>
        </is>
      </c>
      <c r="H172" s="314" t="inlineStr">
        <is>
          <t>High</t>
        </is>
      </c>
    </row>
    <row r="173" ht="26" customHeight="1" s="518">
      <c r="B173" s="314" t="inlineStr">
        <is>
          <t>Northglenn</t>
        </is>
      </c>
      <c r="C173" s="314" t="inlineStr">
        <is>
          <t>Meetings / Records</t>
        </is>
      </c>
      <c r="D173" s="314" t="inlineStr">
        <is>
          <t>Public Meeting Records</t>
        </is>
      </c>
      <c r="E173" s="315" t="inlineStr">
        <is>
          <t>Searchable agendas, minutes and public meeting documents.</t>
        </is>
      </c>
      <c r="F173" s="315" t="inlineStr">
        <is>
          <t>Track city council and board actions.</t>
        </is>
      </c>
      <c r="G173" s="311" t="inlineStr">
        <is>
          <t>https://webdocs.northglenn.org/</t>
        </is>
      </c>
      <c r="H173" s="314" t="inlineStr">
        <is>
          <t>High</t>
        </is>
      </c>
    </row>
    <row r="174" ht="13" customHeight="1" s="518">
      <c r="B174" s="314" t="inlineStr">
        <is>
          <t>Northglenn</t>
        </is>
      </c>
      <c r="C174" s="314" t="inlineStr">
        <is>
          <t>News</t>
        </is>
      </c>
      <c r="D174" s="314" t="inlineStr">
        <is>
          <t>City News Listings</t>
        </is>
      </c>
      <c r="E174" s="315" t="inlineStr">
        <is>
          <t>Official city news and announcements.</t>
        </is>
      </c>
      <c r="F174" s="315" t="inlineStr">
        <is>
          <t>Monitor projects, hearings and municipal changes.</t>
        </is>
      </c>
      <c r="G174" s="311" t="inlineStr">
        <is>
          <t>https://www.northglenn.org/newslist.php</t>
        </is>
      </c>
      <c r="H174" s="314" t="inlineStr">
        <is>
          <t>Useful</t>
        </is>
      </c>
    </row>
    <row r="175" ht="26" customHeight="1" s="518">
      <c r="B175" s="314" t="inlineStr">
        <is>
          <t>Northglenn</t>
        </is>
      </c>
      <c r="C175" s="314" t="inlineStr">
        <is>
          <t>Alerts</t>
        </is>
      </c>
      <c r="D175" s="314" t="inlineStr">
        <is>
          <t>TextMyGov Notifications</t>
        </is>
      </c>
      <c r="E175" s="315" t="inlineStr">
        <is>
          <t>Text alerts for council, utilities and city updates.</t>
        </is>
      </c>
      <c r="F175" s="315" t="inlineStr">
        <is>
          <t>Subscribe to hearings, road closures and government notices.</t>
        </is>
      </c>
      <c r="G175" s="311" t="inlineStr">
        <is>
          <t>https://www.northglenn.org/community/communications/textmygov.php</t>
        </is>
      </c>
      <c r="H175" s="314" t="inlineStr">
        <is>
          <t>Useful</t>
        </is>
      </c>
    </row>
    <row r="176" ht="13" customHeight="1" s="518">
      <c r="B176" s="314" t="inlineStr">
        <is>
          <t>Thornton</t>
        </is>
      </c>
      <c r="C176" s="314" t="inlineStr">
        <is>
          <t>Official Website</t>
        </is>
      </c>
      <c r="D176" s="314" t="inlineStr">
        <is>
          <t>City of Thornton</t>
        </is>
      </c>
      <c r="E176" s="315" t="inlineStr">
        <is>
          <t>Main city website.</t>
        </is>
      </c>
      <c r="F176" s="315" t="inlineStr">
        <is>
          <t>Navigate city services and departments.</t>
        </is>
      </c>
      <c r="G176" s="311" t="inlineStr">
        <is>
          <t>https://www.thorntonco.gov/</t>
        </is>
      </c>
      <c r="H176" s="314" t="inlineStr">
        <is>
          <t>Reference</t>
        </is>
      </c>
    </row>
    <row r="177" ht="26" customHeight="1" s="518">
      <c r="B177" s="314" t="inlineStr">
        <is>
          <t>Thornton</t>
        </is>
      </c>
      <c r="C177" s="314" t="inlineStr">
        <is>
          <t>Planning</t>
        </is>
      </c>
      <c r="D177" s="314" t="inlineStr">
        <is>
          <t>City Development</t>
        </is>
      </c>
      <c r="E177" s="315" t="inlineStr">
        <is>
          <t>Planning, building, development engineering and long-range resources.</t>
        </is>
      </c>
      <c r="F177" s="315" t="inlineStr">
        <is>
          <t>Start land-use, permitting and development research.</t>
        </is>
      </c>
      <c r="G177" s="311" t="inlineStr">
        <is>
          <t>https://www.thorntonco.gov/business-development/city-development</t>
        </is>
      </c>
      <c r="H177" s="314" t="inlineStr">
        <is>
          <t>Critical</t>
        </is>
      </c>
    </row>
    <row r="178" ht="26" customHeight="1" s="518">
      <c r="B178" s="314" t="inlineStr">
        <is>
          <t>Thornton</t>
        </is>
      </c>
      <c r="C178" s="314" t="inlineStr">
        <is>
          <t>Zoning</t>
        </is>
      </c>
      <c r="D178" s="314" t="inlineStr">
        <is>
          <t>Current Planning &amp; Zoning</t>
        </is>
      </c>
      <c r="E178" s="315" t="inlineStr">
        <is>
          <t>Zoning, development applications and current planning.</t>
        </is>
      </c>
      <c r="F178" s="315" t="inlineStr">
        <is>
          <t>Confirm zoning and active entitlement processes.</t>
        </is>
      </c>
      <c r="G178" s="311" t="inlineStr">
        <is>
          <t>https://www.thorntonco.gov/business-development/city-development/current-planning-zoning</t>
        </is>
      </c>
      <c r="H178" s="314" t="inlineStr">
        <is>
          <t>Critical</t>
        </is>
      </c>
    </row>
    <row r="179" ht="13" customHeight="1" s="518">
      <c r="B179" s="314" t="inlineStr">
        <is>
          <t>Thornton</t>
        </is>
      </c>
      <c r="C179" s="314" t="inlineStr">
        <is>
          <t>Zoning</t>
        </is>
      </c>
      <c r="D179" s="314" t="inlineStr">
        <is>
          <t>Zoning Districts, Uses and Regulations</t>
        </is>
      </c>
      <c r="E179" s="315" t="inlineStr">
        <is>
          <t>District standards and use regulations.</t>
        </is>
      </c>
      <c r="F179" s="315" t="inlineStr">
        <is>
          <t>Evaluate allowed uses and dimensional standards.</t>
        </is>
      </c>
      <c r="G179" s="311" t="inlineStr">
        <is>
          <t>https://www.thorntonco.gov/business-development/city-development/current-planning-zoning/zoning-districts-uses-and-regulations</t>
        </is>
      </c>
      <c r="H179" s="314" t="inlineStr">
        <is>
          <t>Critical</t>
        </is>
      </c>
    </row>
    <row r="180" ht="26" customHeight="1" s="518">
      <c r="B180" s="314" t="inlineStr">
        <is>
          <t>Thornton</t>
        </is>
      </c>
      <c r="C180" s="314" t="inlineStr">
        <is>
          <t>GIS / Property</t>
        </is>
      </c>
      <c r="D180" s="314" t="inlineStr">
        <is>
          <t>Interactive Zoning / Property Map</t>
        </is>
      </c>
      <c r="E180" s="315" t="inlineStr">
        <is>
          <t>Interactive city zoning and parcel map.</t>
        </is>
      </c>
      <c r="F180" s="315" t="inlineStr">
        <is>
          <t>Locate a parcel and screen zoning and mapped attributes.</t>
        </is>
      </c>
      <c r="G180" s="311" t="inlineStr">
        <is>
          <t>https://cityofthornton.maps.arcgis.com/apps/webappviewer/index.html?id=643abe02e8b8446586b6eb6d8ed43f84</t>
        </is>
      </c>
      <c r="H180" s="314" t="inlineStr">
        <is>
          <t>Critical</t>
        </is>
      </c>
    </row>
    <row r="181" ht="13" customHeight="1" s="518">
      <c r="B181" s="314" t="inlineStr">
        <is>
          <t>Thornton</t>
        </is>
      </c>
      <c r="C181" s="314" t="inlineStr">
        <is>
          <t>GIS / Open Data</t>
        </is>
      </c>
      <c r="D181" s="314" t="inlineStr">
        <is>
          <t>Thornton GIS Open Data</t>
        </is>
      </c>
      <c r="E181" s="315" t="inlineStr">
        <is>
          <t>Downloadable city GIS layers and maps.</t>
        </is>
      </c>
      <c r="F181" s="315" t="inlineStr">
        <is>
          <t>Perform advanced mapping and spatial analysis.</t>
        </is>
      </c>
      <c r="G181" s="311" t="inlineStr">
        <is>
          <t>https://data-cityofthornton.opendata.arcgis.com/</t>
        </is>
      </c>
      <c r="H181" s="314" t="inlineStr">
        <is>
          <t>Useful</t>
        </is>
      </c>
    </row>
    <row r="182" ht="13" customHeight="1" s="518">
      <c r="B182" s="314" t="inlineStr">
        <is>
          <t>Thornton</t>
        </is>
      </c>
      <c r="C182" s="314" t="inlineStr">
        <is>
          <t>Development</t>
        </is>
      </c>
      <c r="D182" s="314" t="inlineStr">
        <is>
          <t>Planning Application Search</t>
        </is>
      </c>
      <c r="E182" s="315" t="inlineStr">
        <is>
          <t>CityView search for planning applications.</t>
        </is>
      </c>
      <c r="F182" s="315" t="inlineStr">
        <is>
          <t>Check planning cases and application records.</t>
        </is>
      </c>
      <c r="G182" s="311" t="inlineStr">
        <is>
          <t>https://cityviewportal.thorntonco.gov/Planning/Locator</t>
        </is>
      </c>
      <c r="H182" s="314" t="inlineStr">
        <is>
          <t>Critical</t>
        </is>
      </c>
    </row>
    <row r="183" ht="26" customHeight="1" s="518">
      <c r="B183" s="314" t="inlineStr">
        <is>
          <t>Thornton</t>
        </is>
      </c>
      <c r="C183" s="314" t="inlineStr">
        <is>
          <t>Development</t>
        </is>
      </c>
      <c r="D183" s="314" t="inlineStr">
        <is>
          <t>Active Development</t>
        </is>
      </c>
      <c r="E183" s="315" t="inlineStr">
        <is>
          <t>Current development projects and related information.</t>
        </is>
      </c>
      <c r="F183" s="315" t="inlineStr">
        <is>
          <t>Identify nearby development and status.</t>
        </is>
      </c>
      <c r="G183" s="311" t="inlineStr">
        <is>
          <t>https://www.thorntonco.gov/business-development/active-development</t>
        </is>
      </c>
      <c r="H183" s="314" t="inlineStr">
        <is>
          <t>Critical</t>
        </is>
      </c>
    </row>
    <row r="184" ht="26" customHeight="1" s="518">
      <c r="B184" s="314" t="inlineStr">
        <is>
          <t>Thornton</t>
        </is>
      </c>
      <c r="C184" s="314" t="inlineStr">
        <is>
          <t>Development</t>
        </is>
      </c>
      <c r="D184" s="314" t="inlineStr">
        <is>
          <t>Development Applications</t>
        </is>
      </c>
      <c r="E184" s="315" t="inlineStr">
        <is>
          <t>Application types and development review resources.</t>
        </is>
      </c>
      <c r="F184" s="315" t="inlineStr">
        <is>
          <t>Determine entitlement and submittal requirements.</t>
        </is>
      </c>
      <c r="G184" s="311" t="inlineStr">
        <is>
          <t>https://www.thorntonco.gov/business-development/city-development/current-planning-zoning/development-applications</t>
        </is>
      </c>
      <c r="H184" s="314" t="inlineStr">
        <is>
          <t>High</t>
        </is>
      </c>
    </row>
    <row r="185" ht="26" customHeight="1" s="518">
      <c r="B185" s="314" t="inlineStr">
        <is>
          <t>Thornton</t>
        </is>
      </c>
      <c r="C185" s="314" t="inlineStr">
        <is>
          <t>Development</t>
        </is>
      </c>
      <c r="D185" s="314" t="inlineStr">
        <is>
          <t>Development Engineering &amp; Construction</t>
        </is>
      </c>
      <c r="E185" s="315" t="inlineStr">
        <is>
          <t>Engineering, construction and infrastructure review.</t>
        </is>
      </c>
      <c r="F185" s="315" t="inlineStr">
        <is>
          <t>Research civil plans, access and construction requirements.</t>
        </is>
      </c>
      <c r="G185" s="311" t="inlineStr">
        <is>
          <t>https://www.thorntonco.gov/business-development/city-development/development-engineering-construction</t>
        </is>
      </c>
      <c r="H185" s="314" t="inlineStr">
        <is>
          <t>High</t>
        </is>
      </c>
    </row>
    <row r="186" ht="26" customHeight="1" s="518">
      <c r="B186" s="314" t="inlineStr">
        <is>
          <t>Thornton</t>
        </is>
      </c>
      <c r="C186" s="314" t="inlineStr">
        <is>
          <t>Permits</t>
        </is>
      </c>
      <c r="D186" s="314" t="inlineStr">
        <is>
          <t>Building Permits &amp; Inspections</t>
        </is>
      </c>
      <c r="E186" s="315" t="inlineStr">
        <is>
          <t>Building permits, inspections and contractor information.</t>
        </is>
      </c>
      <c r="F186" s="315" t="inlineStr">
        <is>
          <t>Research construction permits.</t>
        </is>
      </c>
      <c r="G186" s="311" t="inlineStr">
        <is>
          <t>https://www.thorntonco.gov/business-development/city-development/building-permits-inspections</t>
        </is>
      </c>
      <c r="H186" s="314" t="inlineStr">
        <is>
          <t>Critical</t>
        </is>
      </c>
    </row>
    <row r="187" ht="13" customHeight="1" s="518">
      <c r="B187" s="314" t="inlineStr">
        <is>
          <t>Thornton</t>
        </is>
      </c>
      <c r="C187" s="314" t="inlineStr">
        <is>
          <t>Permits</t>
        </is>
      </c>
      <c r="D187" s="314" t="inlineStr">
        <is>
          <t>Permit Search</t>
        </is>
      </c>
      <c r="E187" s="315" t="inlineStr">
        <is>
          <t>CityView permit and submittal search.</t>
        </is>
      </c>
      <c r="F187" s="315" t="inlineStr">
        <is>
          <t>Check permit records and status.</t>
        </is>
      </c>
      <c r="G187" s="311" t="inlineStr">
        <is>
          <t>https://cityviewportal.thorntonco.gov/Permit/LocatorSubmittals</t>
        </is>
      </c>
      <c r="H187" s="314" t="inlineStr">
        <is>
          <t>Critical</t>
        </is>
      </c>
    </row>
    <row r="188" ht="13" customHeight="1" s="518">
      <c r="B188" s="314" t="inlineStr">
        <is>
          <t>Thornton</t>
        </is>
      </c>
      <c r="C188" s="314" t="inlineStr">
        <is>
          <t>Online Portal</t>
        </is>
      </c>
      <c r="D188" s="314" t="inlineStr">
        <is>
          <t>Thornton Permit Portal</t>
        </is>
      </c>
      <c r="E188" s="315" t="inlineStr">
        <is>
          <t>Online permit application portal.</t>
        </is>
      </c>
      <c r="F188" s="315" t="inlineStr">
        <is>
          <t>Submit or manage permits.</t>
        </is>
      </c>
      <c r="G188" s="311" t="inlineStr">
        <is>
          <t>https://permits.thorntonco.gov/</t>
        </is>
      </c>
      <c r="H188" s="314" t="inlineStr">
        <is>
          <t>High</t>
        </is>
      </c>
    </row>
    <row r="189" ht="13" customHeight="1" s="518">
      <c r="B189" s="314" t="inlineStr">
        <is>
          <t>Thornton</t>
        </is>
      </c>
      <c r="C189" s="314" t="inlineStr">
        <is>
          <t>Long-Range Planning</t>
        </is>
      </c>
      <c r="D189" s="314" t="inlineStr">
        <is>
          <t>Long Range Planning</t>
        </is>
      </c>
      <c r="E189" s="315" t="inlineStr">
        <is>
          <t>Long-range planning programs and resources.</t>
        </is>
      </c>
      <c r="F189" s="315" t="inlineStr">
        <is>
          <t>Evaluate future growth and policy context.</t>
        </is>
      </c>
      <c r="G189" s="311" t="inlineStr">
        <is>
          <t>https://www.thorntonco.gov/business-development/city-development/long-range-planning</t>
        </is>
      </c>
      <c r="H189" s="314" t="inlineStr">
        <is>
          <t>High</t>
        </is>
      </c>
    </row>
    <row r="190" ht="13" customHeight="1" s="518">
      <c r="B190" s="314" t="inlineStr">
        <is>
          <t>Thornton</t>
        </is>
      </c>
      <c r="C190" s="314" t="inlineStr">
        <is>
          <t>Long-Range Planning</t>
        </is>
      </c>
      <c r="D190" s="314" t="inlineStr">
        <is>
          <t>Thornton Comprehensive Plan</t>
        </is>
      </c>
      <c r="E190" s="315" t="inlineStr">
        <is>
          <t>Current comprehensive-plan resources.</t>
        </is>
      </c>
      <c r="F190" s="315" t="inlineStr">
        <is>
          <t>Review future land use and citywide policy.</t>
        </is>
      </c>
      <c r="G190" s="311" t="inlineStr">
        <is>
          <t>https://www.thorntonco.gov/business-development/city-development/long-range-planning/plans/thornton-comprehensive-plan</t>
        </is>
      </c>
      <c r="H190" s="314" t="inlineStr">
        <is>
          <t>High</t>
        </is>
      </c>
    </row>
    <row r="191" ht="13" customHeight="1" s="518">
      <c r="B191" s="314" t="inlineStr">
        <is>
          <t>Thornton</t>
        </is>
      </c>
      <c r="C191" s="314" t="inlineStr">
        <is>
          <t>Long-Range Planning</t>
        </is>
      </c>
      <c r="D191" s="314" t="inlineStr">
        <is>
          <t>Current Long-Range Projects</t>
        </is>
      </c>
      <c r="E191" s="315" t="inlineStr">
        <is>
          <t>Current planning initiatives and plan updates.</t>
        </is>
      </c>
      <c r="F191" s="315" t="inlineStr">
        <is>
          <t>Track future policy changes affecting property.</t>
        </is>
      </c>
      <c r="G191" s="311" t="inlineStr">
        <is>
          <t>https://www.thorntonco.gov/business-development/city-development/long-range-planning/current-projects</t>
        </is>
      </c>
      <c r="H191" s="314" t="inlineStr">
        <is>
          <t>High</t>
        </is>
      </c>
    </row>
    <row r="192" ht="13" customHeight="1" s="518">
      <c r="B192" s="314" t="inlineStr">
        <is>
          <t>Thornton</t>
        </is>
      </c>
      <c r="C192" s="314" t="inlineStr">
        <is>
          <t>Meetings</t>
        </is>
      </c>
      <c r="D192" s="314" t="inlineStr">
        <is>
          <t>Planning Commission / Board of Adjustment</t>
        </is>
      </c>
      <c r="E192" s="315" t="inlineStr">
        <is>
          <t>Board and commission information.</t>
        </is>
      </c>
      <c r="F192" s="315" t="inlineStr">
        <is>
          <t>Monitor land-use hearings, variances and appeals.</t>
        </is>
      </c>
      <c r="G192" s="311" t="inlineStr">
        <is>
          <t>https://www.thorntonco.gov/government/boards-commissions/planning-commission-board-adjustment</t>
        </is>
      </c>
      <c r="H192" s="314" t="inlineStr">
        <is>
          <t>High</t>
        </is>
      </c>
    </row>
    <row r="193" ht="13" customHeight="1" s="518">
      <c r="B193" s="314" t="inlineStr">
        <is>
          <t>Thornton</t>
        </is>
      </c>
      <c r="C193" s="314" t="inlineStr">
        <is>
          <t>Meetings</t>
        </is>
      </c>
      <c r="D193" s="314" t="inlineStr">
        <is>
          <t>Upcoming Meetings</t>
        </is>
      </c>
      <c r="E193" s="315" t="inlineStr">
        <is>
          <t>City council and public meeting calendar.</t>
        </is>
      </c>
      <c r="F193" s="315" t="inlineStr">
        <is>
          <t>Track meeting dates and agenda publication.</t>
        </is>
      </c>
      <c r="G193" s="311" t="inlineStr">
        <is>
          <t>https://www.thorntonco.gov/government/mayor-council/upcoming-meetings</t>
        </is>
      </c>
      <c r="H193" s="314" t="inlineStr">
        <is>
          <t>High</t>
        </is>
      </c>
    </row>
    <row r="194" ht="26" customHeight="1" s="518">
      <c r="B194" s="314" t="inlineStr">
        <is>
          <t>Thornton</t>
        </is>
      </c>
      <c r="C194" s="314" t="inlineStr">
        <is>
          <t>Public Notices</t>
        </is>
      </c>
      <c r="D194" s="314" t="inlineStr">
        <is>
          <t>Public Notices</t>
        </is>
      </c>
      <c r="E194" s="315" t="inlineStr">
        <is>
          <t>Approved ordinances, hearing notices and other public notices.</t>
        </is>
      </c>
      <c r="F194" s="315" t="inlineStr">
        <is>
          <t>Confirm formal hearings and legal actions.</t>
        </is>
      </c>
      <c r="G194" s="311" t="inlineStr">
        <is>
          <t>https://www.thorntonco.gov/government/public-notices</t>
        </is>
      </c>
      <c r="H194" s="314" t="inlineStr">
        <is>
          <t>High</t>
        </is>
      </c>
    </row>
    <row r="195" ht="13" customHeight="1" s="518">
      <c r="B195" s="314" t="inlineStr">
        <is>
          <t>Thornton</t>
        </is>
      </c>
      <c r="C195" s="314" t="inlineStr">
        <is>
          <t>News</t>
        </is>
      </c>
      <c r="D195" s="314" t="inlineStr">
        <is>
          <t>Thornton News</t>
        </is>
      </c>
      <c r="E195" s="315" t="inlineStr">
        <is>
          <t>Official city news and City Voice items.</t>
        </is>
      </c>
      <c r="F195" s="315" t="inlineStr">
        <is>
          <t>Monitor projects, council actions and city updates.</t>
        </is>
      </c>
      <c r="G195" s="311" t="inlineStr">
        <is>
          <t>https://www.thorntonco.gov/news</t>
        </is>
      </c>
      <c r="H195" s="314" t="inlineStr">
        <is>
          <t>Useful</t>
        </is>
      </c>
    </row>
    <row r="196" ht="26" customHeight="1" s="518">
      <c r="B196" s="314" t="inlineStr">
        <is>
          <t>Thornton</t>
        </is>
      </c>
      <c r="C196" s="314" t="inlineStr">
        <is>
          <t>Alerts</t>
        </is>
      </c>
      <c r="D196" s="314" t="inlineStr">
        <is>
          <t>T-Alerts</t>
        </is>
      </c>
      <c r="E196" s="315" t="inlineStr">
        <is>
          <t>Email subscriptions for meetings, development and city topics.</t>
        </is>
      </c>
      <c r="F196" s="315" t="inlineStr">
        <is>
          <t>Subscribe to current updates and meeting documents.</t>
        </is>
      </c>
      <c r="G196" s="311" t="inlineStr">
        <is>
          <t>https://talerts.thorntonco.gov/</t>
        </is>
      </c>
      <c r="H196" s="314" t="inlineStr">
        <is>
          <t>Useful</t>
        </is>
      </c>
    </row>
    <row r="197" ht="13" customHeight="1" s="518">
      <c r="B197" s="314" t="inlineStr">
        <is>
          <t>Westminster</t>
        </is>
      </c>
      <c r="C197" s="314" t="inlineStr">
        <is>
          <t>Official Website</t>
        </is>
      </c>
      <c r="D197" s="314" t="inlineStr">
        <is>
          <t>City of Westminster</t>
        </is>
      </c>
      <c r="E197" s="315" t="inlineStr">
        <is>
          <t>Main city website.</t>
        </is>
      </c>
      <c r="F197" s="315" t="inlineStr">
        <is>
          <t>Navigate city services and departments.</t>
        </is>
      </c>
      <c r="G197" s="311" t="inlineStr">
        <is>
          <t>https://www.westminsterco.gov/</t>
        </is>
      </c>
      <c r="H197" s="314" t="inlineStr">
        <is>
          <t>Reference</t>
        </is>
      </c>
    </row>
    <row r="198" ht="26" customHeight="1" s="518">
      <c r="B198" s="314" t="inlineStr">
        <is>
          <t>Westminster</t>
        </is>
      </c>
      <c r="C198" s="314" t="inlineStr">
        <is>
          <t>GIS / Property</t>
        </is>
      </c>
      <c r="D198" s="314" t="inlineStr">
        <is>
          <t>Maps</t>
        </is>
      </c>
      <c r="E198" s="315" t="inlineStr">
        <is>
          <t>City maps and GIS resources.</t>
        </is>
      </c>
      <c r="F198" s="315" t="inlineStr">
        <is>
          <t>Research zoning, parcels, utilities and city boundaries.</t>
        </is>
      </c>
      <c r="G198" s="311" t="inlineStr">
        <is>
          <t>https://www.westminsterco.gov/471/Maps</t>
        </is>
      </c>
      <c r="H198" s="314" t="inlineStr">
        <is>
          <t>Critical</t>
        </is>
      </c>
    </row>
    <row r="199" ht="13" customHeight="1" s="518">
      <c r="B199" s="314" t="inlineStr">
        <is>
          <t>Westminster</t>
        </is>
      </c>
      <c r="C199" s="314" t="inlineStr">
        <is>
          <t>Zoning</t>
        </is>
      </c>
      <c r="D199" s="314" t="inlineStr">
        <is>
          <t>Zoning</t>
        </is>
      </c>
      <c r="E199" s="315" t="inlineStr">
        <is>
          <t>Zoning map, districts and zoning resources.</t>
        </is>
      </c>
      <c r="F199" s="315" t="inlineStr">
        <is>
          <t>Confirm zoning and use standards.</t>
        </is>
      </c>
      <c r="G199" s="311" t="inlineStr">
        <is>
          <t>https://www.westminsterco.gov/727/Zoning</t>
        </is>
      </c>
      <c r="H199" s="314" t="inlineStr">
        <is>
          <t>Critical</t>
        </is>
      </c>
    </row>
    <row r="200" ht="13" customHeight="1" s="518">
      <c r="B200" s="314" t="inlineStr">
        <is>
          <t>Westminster</t>
        </is>
      </c>
      <c r="C200" s="314" t="inlineStr">
        <is>
          <t>Planning</t>
        </is>
      </c>
      <c r="D200" s="314" t="inlineStr">
        <is>
          <t>Planning</t>
        </is>
      </c>
      <c r="E200" s="315" t="inlineStr">
        <is>
          <t>Planning services, plans and development review.</t>
        </is>
      </c>
      <c r="F200" s="315" t="inlineStr">
        <is>
          <t>Start land-use and entitlement research.</t>
        </is>
      </c>
      <c r="G200" s="311" t="inlineStr">
        <is>
          <t>https://www.westminsterco.gov/707/Planning</t>
        </is>
      </c>
      <c r="H200" s="314" t="inlineStr">
        <is>
          <t>Critical</t>
        </is>
      </c>
    </row>
    <row r="201" ht="26" customHeight="1" s="518">
      <c r="B201" s="314" t="inlineStr">
        <is>
          <t>Westminster</t>
        </is>
      </c>
      <c r="C201" s="314" t="inlineStr">
        <is>
          <t>Development</t>
        </is>
      </c>
      <c r="D201" s="314" t="inlineStr">
        <is>
          <t>Develop in Westminster</t>
        </is>
      </c>
      <c r="E201" s="315" t="inlineStr">
        <is>
          <t>Development process, applications and standards.</t>
        </is>
      </c>
      <c r="F201" s="315" t="inlineStr">
        <is>
          <t>Understand approvals and development requirements.</t>
        </is>
      </c>
      <c r="G201" s="311" t="inlineStr">
        <is>
          <t>https://www.westminsterco.gov/703/Develop-in-Westminster</t>
        </is>
      </c>
      <c r="H201" s="314" t="inlineStr">
        <is>
          <t>High</t>
        </is>
      </c>
    </row>
    <row r="202" ht="13" customHeight="1" s="518">
      <c r="B202" s="314" t="inlineStr">
        <is>
          <t>Westminster</t>
        </is>
      </c>
      <c r="C202" s="314" t="inlineStr">
        <is>
          <t>Development</t>
        </is>
      </c>
      <c r="D202" s="314" t="inlineStr">
        <is>
          <t>Current Development Project Map</t>
        </is>
      </c>
      <c r="E202" s="315" t="inlineStr">
        <is>
          <t>Interactive map of current development projects.</t>
        </is>
      </c>
      <c r="F202" s="315" t="inlineStr">
        <is>
          <t>Identify active projects near a property.</t>
        </is>
      </c>
      <c r="G202" s="311" t="inlineStr">
        <is>
          <t>https://www.westminsterco.gov/855/Current-Development-Project-Map</t>
        </is>
      </c>
      <c r="H202" s="314" t="inlineStr">
        <is>
          <t>Critical</t>
        </is>
      </c>
    </row>
    <row r="203" ht="26" customHeight="1" s="518">
      <c r="B203" s="314" t="inlineStr">
        <is>
          <t>Westminster</t>
        </is>
      </c>
      <c r="C203" s="314" t="inlineStr">
        <is>
          <t>Development</t>
        </is>
      </c>
      <c r="D203" s="314" t="inlineStr">
        <is>
          <t>Redevelopment</t>
        </is>
      </c>
      <c r="E203" s="315" t="inlineStr">
        <is>
          <t>Redevelopment plans and initiatives.</t>
        </is>
      </c>
      <c r="F203" s="315" t="inlineStr">
        <is>
          <t>Research targeted redevelopment areas and programs.</t>
        </is>
      </c>
      <c r="G203" s="311" t="inlineStr">
        <is>
          <t>https://www.westminsterco.gov/1060/Redevelopment</t>
        </is>
      </c>
      <c r="H203" s="314" t="inlineStr">
        <is>
          <t>High</t>
        </is>
      </c>
    </row>
    <row r="204" ht="13" customHeight="1" s="518">
      <c r="B204" s="314" t="inlineStr">
        <is>
          <t>Westminster</t>
        </is>
      </c>
      <c r="C204" s="314" t="inlineStr">
        <is>
          <t>Permits</t>
        </is>
      </c>
      <c r="D204" s="314" t="inlineStr">
        <is>
          <t>Permits &amp; Licenses</t>
        </is>
      </c>
      <c r="E204" s="315" t="inlineStr">
        <is>
          <t>Permit and licensing resources.</t>
        </is>
      </c>
      <c r="F204" s="315" t="inlineStr">
        <is>
          <t>Find applicable city permits and licenses.</t>
        </is>
      </c>
      <c r="G204" s="311" t="inlineStr">
        <is>
          <t>https://www.westminsterco.gov/833/Permits-Licenses</t>
        </is>
      </c>
      <c r="H204" s="314" t="inlineStr">
        <is>
          <t>High</t>
        </is>
      </c>
    </row>
    <row r="205" ht="13" customHeight="1" s="518">
      <c r="B205" s="314" t="inlineStr">
        <is>
          <t>Westminster</t>
        </is>
      </c>
      <c r="C205" s="314" t="inlineStr">
        <is>
          <t>Permits</t>
        </is>
      </c>
      <c r="D205" s="314" t="inlineStr">
        <is>
          <t>Apply for a Permit / Project</t>
        </is>
      </c>
      <c r="E205" s="315" t="inlineStr">
        <is>
          <t>Online permit and project application guidance.</t>
        </is>
      </c>
      <c r="F205" s="315" t="inlineStr">
        <is>
          <t>Apply for or research permits and projects.</t>
        </is>
      </c>
      <c r="G205" s="311" t="inlineStr">
        <is>
          <t>https://www.westminsterco.gov/617/Apply-for-a-Permit-Project</t>
        </is>
      </c>
      <c r="H205" s="314" t="inlineStr">
        <is>
          <t>Critical</t>
        </is>
      </c>
    </row>
    <row r="206" ht="26" customHeight="1" s="518">
      <c r="B206" s="314" t="inlineStr">
        <is>
          <t>Westminster</t>
        </is>
      </c>
      <c r="C206" s="314" t="inlineStr">
        <is>
          <t>Long-Range Planning</t>
        </is>
      </c>
      <c r="D206" s="314" t="inlineStr">
        <is>
          <t>Comprehensive Plan (November 2025)</t>
        </is>
      </c>
      <c r="E206" s="315" t="inlineStr">
        <is>
          <t>Current city comprehensive plan PDF.</t>
        </is>
      </c>
      <c r="F206" s="315" t="inlineStr">
        <is>
          <t>Evaluate future land use, policy and growth direction.</t>
        </is>
      </c>
      <c r="G206" s="311" t="inlineStr">
        <is>
          <t>https://www.westminsterco.gov/DocumentCenter/View/5605/Comprehensive-Plan_November2025-LR</t>
        </is>
      </c>
      <c r="H206" s="314" t="inlineStr">
        <is>
          <t>High</t>
        </is>
      </c>
    </row>
    <row r="207" ht="26" customHeight="1" s="518">
      <c r="B207" s="314" t="inlineStr">
        <is>
          <t>Westminster</t>
        </is>
      </c>
      <c r="C207" s="314" t="inlineStr">
        <is>
          <t>Standards</t>
        </is>
      </c>
      <c r="D207" s="314" t="inlineStr">
        <is>
          <t>City Standards &amp; Specifications</t>
        </is>
      </c>
      <c r="E207" s="315" t="inlineStr">
        <is>
          <t>Engineering and development standards.</t>
        </is>
      </c>
      <c r="F207" s="315" t="inlineStr">
        <is>
          <t>Review technical requirements for construction and infrastructure.</t>
        </is>
      </c>
      <c r="G207" s="311" t="inlineStr">
        <is>
          <t>https://www.westminsterco.gov/747/City-Standards-Specifications</t>
        </is>
      </c>
      <c r="H207" s="314" t="inlineStr">
        <is>
          <t>High</t>
        </is>
      </c>
    </row>
    <row r="208" ht="13" customHeight="1" s="518">
      <c r="B208" s="314" t="inlineStr">
        <is>
          <t>Westminster</t>
        </is>
      </c>
      <c r="C208" s="314" t="inlineStr">
        <is>
          <t>Code Enforcement</t>
        </is>
      </c>
      <c r="D208" s="314" t="inlineStr">
        <is>
          <t>Code Enforcement</t>
        </is>
      </c>
      <c r="E208" s="315" t="inlineStr">
        <is>
          <t>Property and municipal code compliance information.</t>
        </is>
      </c>
      <c r="F208" s="315" t="inlineStr">
        <is>
          <t>Research complaint and compliance processes.</t>
        </is>
      </c>
      <c r="G208" s="311" t="inlineStr">
        <is>
          <t>https://www.westminsterco.gov/639/Code-Enforcement</t>
        </is>
      </c>
      <c r="H208" s="314" t="inlineStr">
        <is>
          <t>Useful</t>
        </is>
      </c>
    </row>
    <row r="209" ht="13" customHeight="1" s="518">
      <c r="B209" s="314" t="inlineStr">
        <is>
          <t>Westminster</t>
        </is>
      </c>
      <c r="C209" s="314" t="inlineStr">
        <is>
          <t>Meetings</t>
        </is>
      </c>
      <c r="D209" s="314" t="inlineStr">
        <is>
          <t>Planning Commission</t>
        </is>
      </c>
      <c r="E209" s="315" t="inlineStr">
        <is>
          <t>Planning Commission information and meetings.</t>
        </is>
      </c>
      <c r="F209" s="315" t="inlineStr">
        <is>
          <t>Monitor land-use hearings and recommendations.</t>
        </is>
      </c>
      <c r="G209" s="311" t="inlineStr">
        <is>
          <t>https://www.westminsterco.gov/614/Planning-Commission</t>
        </is>
      </c>
      <c r="H209" s="314" t="inlineStr">
        <is>
          <t>High</t>
        </is>
      </c>
    </row>
    <row r="210" ht="13" customHeight="1" s="518">
      <c r="B210" s="314" t="inlineStr">
        <is>
          <t>Westminster</t>
        </is>
      </c>
      <c r="C210" s="314" t="inlineStr">
        <is>
          <t>Meetings</t>
        </is>
      </c>
      <c r="D210" s="314" t="inlineStr">
        <is>
          <t>Agenda Center</t>
        </is>
      </c>
      <c r="E210" s="315" t="inlineStr">
        <is>
          <t>Agendas and minutes for boards and council.</t>
        </is>
      </c>
      <c r="F210" s="315" t="inlineStr">
        <is>
          <t>Track official decisions and meeting records.</t>
        </is>
      </c>
      <c r="G210" s="311" t="inlineStr">
        <is>
          <t>https://www.westminsterco.gov/AgendaCenter</t>
        </is>
      </c>
      <c r="H210" s="314" t="inlineStr">
        <is>
          <t>High</t>
        </is>
      </c>
    </row>
    <row r="211" ht="13" customHeight="1" s="518">
      <c r="B211" s="314" t="inlineStr">
        <is>
          <t>Westminster</t>
        </is>
      </c>
      <c r="C211" s="314" t="inlineStr">
        <is>
          <t>Public Notices</t>
        </is>
      </c>
      <c r="D211" s="314" t="inlineStr">
        <is>
          <t>Public Notices</t>
        </is>
      </c>
      <c r="E211" s="315" t="inlineStr">
        <is>
          <t>Official public and legal notices.</t>
        </is>
      </c>
      <c r="F211" s="315" t="inlineStr">
        <is>
          <t>Confirm hearings, ordinances and notice deadlines.</t>
        </is>
      </c>
      <c r="G211" s="311" t="inlineStr">
        <is>
          <t>https://www.westminsterco.gov/1098/Public-Notices</t>
        </is>
      </c>
      <c r="H211" s="314" t="inlineStr">
        <is>
          <t>High</t>
        </is>
      </c>
    </row>
    <row r="212" ht="13" customHeight="1" s="518">
      <c r="B212" s="314" t="inlineStr">
        <is>
          <t>Westminster</t>
        </is>
      </c>
      <c r="C212" s="314" t="inlineStr">
        <is>
          <t>News</t>
        </is>
      </c>
      <c r="D212" s="314" t="inlineStr">
        <is>
          <t>City News</t>
        </is>
      </c>
      <c r="E212" s="315" t="inlineStr">
        <is>
          <t>Official city news releases and updates.</t>
        </is>
      </c>
      <c r="F212" s="315" t="inlineStr">
        <is>
          <t>Monitor development, policy and public projects.</t>
        </is>
      </c>
      <c r="G212" s="311" t="inlineStr">
        <is>
          <t>https://www.westminsterco.gov/m/NewsFlash</t>
        </is>
      </c>
      <c r="H212" s="314" t="inlineStr">
        <is>
          <t>Useful</t>
        </is>
      </c>
    </row>
    <row r="213" ht="13" customHeight="1" s="518">
      <c r="B213" s="314" t="inlineStr">
        <is>
          <t>Westminster</t>
        </is>
      </c>
      <c r="C213" s="314" t="inlineStr">
        <is>
          <t>Public Records</t>
        </is>
      </c>
      <c r="D213" s="314" t="inlineStr">
        <is>
          <t>Public Records Request</t>
        </is>
      </c>
      <c r="E213" s="315" t="inlineStr">
        <is>
          <t>City public-records request information.</t>
        </is>
      </c>
      <c r="F213" s="315" t="inlineStr">
        <is>
          <t>Request planning, permit and other official records.</t>
        </is>
      </c>
      <c r="G213" s="311" t="inlineStr">
        <is>
          <t>https://www.westminsterco.gov/565/Public-Records-Request</t>
        </is>
      </c>
      <c r="H213" s="314" t="inlineStr">
        <is>
          <t>High</t>
        </is>
      </c>
    </row>
    <row r="214" ht="26" customHeight="1" s="518">
      <c r="B214" s="314" t="inlineStr">
        <is>
          <t>Adams County</t>
        </is>
      </c>
      <c r="C214" s="314" t="inlineStr">
        <is>
          <t>Meetings/News – Public meetings</t>
        </is>
      </c>
      <c r="D214" s="314" t="inlineStr">
        <is>
          <t>County Public Meetings</t>
        </is>
      </c>
      <c r="E214" s="315" t="inlineStr">
        <is>
          <t>Central page for county boards, commissions and hearings.</t>
        </is>
      </c>
      <c r="F214" s="315" t="inlineStr">
        <is>
          <t>Review weekly and before any due-diligence deadline.</t>
        </is>
      </c>
      <c r="G214" s="311" t="inlineStr">
        <is>
          <t>https://adamscountyco.gov/about-adams-county/public-meetings/</t>
        </is>
      </c>
      <c r="H214" s="314" t="inlineStr">
        <is>
          <t>Critical</t>
        </is>
      </c>
    </row>
    <row r="215" ht="26" customHeight="1" s="518">
      <c r="B215" s="314" t="inlineStr">
        <is>
          <t>Adams County</t>
        </is>
      </c>
      <c r="C215" s="314" t="inlineStr">
        <is>
          <t>Meetings/News – Land-use cases</t>
        </is>
      </c>
      <c r="D215" s="314" t="inlineStr">
        <is>
          <t>Current Land Use Cases</t>
        </is>
      </c>
      <c r="E215" s="315" t="inlineStr">
        <is>
          <t>Shows scheduled land-use cases requiring hearings and recent decisions.</t>
        </is>
      </c>
      <c r="F215" s="315" t="inlineStr">
        <is>
          <t>Check by location, case number and hearing body.</t>
        </is>
      </c>
      <c r="G215" s="311" t="inlineStr">
        <is>
          <t>https://adamscountyco.gov/our-county/community-economic-development/planning-development/current-land-use-cases/</t>
        </is>
      </c>
      <c r="H215" s="314" t="inlineStr">
        <is>
          <t>Critical</t>
        </is>
      </c>
    </row>
    <row r="216" ht="26" customHeight="1" s="518">
      <c r="B216" s="314" t="inlineStr">
        <is>
          <t>Adams County</t>
        </is>
      </c>
      <c r="C216" s="314" t="inlineStr">
        <is>
          <t>Meetings/News – Agendas</t>
        </is>
      </c>
      <c r="D216" s="314" t="inlineStr">
        <is>
          <t>Current Meeting Agendas &amp; Archives</t>
        </is>
      </c>
      <c r="E216" s="315" t="inlineStr">
        <is>
          <t>BOCC agendas, minutes, audio and public comments.</t>
        </is>
      </c>
      <c r="F216" s="315" t="inlineStr">
        <is>
          <t>Search agendas for address, applicant or project name.</t>
        </is>
      </c>
      <c r="G216" s="311" t="inlineStr">
        <is>
          <t>https://adamscountyco.gov/our-county/elected-officials/board-of-county-commissioners/current-meeting-agendas-archives/</t>
        </is>
      </c>
      <c r="H216" s="314" t="inlineStr">
        <is>
          <t>Critical</t>
        </is>
      </c>
    </row>
    <row r="217" ht="26" customHeight="1" s="518">
      <c r="B217" s="314" t="inlineStr">
        <is>
          <t>Adams County</t>
        </is>
      </c>
      <c r="C217" s="314" t="inlineStr">
        <is>
          <t>Meetings/News – Archives</t>
        </is>
      </c>
      <c r="D217" s="314" t="inlineStr">
        <is>
          <t>Archived Hearing Agendas &amp; Audio</t>
        </is>
      </c>
      <c r="E217" s="315" t="inlineStr">
        <is>
          <t>Archived BOCC, Board of Adjustment and Planning Commission records.</t>
        </is>
      </c>
      <c r="F217" s="315" t="inlineStr">
        <is>
          <t>Use for entitlement history and past decisions.</t>
        </is>
      </c>
      <c r="G217" s="311" t="inlineStr">
        <is>
          <t>https://adamscountyco.gov/about-adams-county/public-meetings/archived-hearing-agendas-audio/</t>
        </is>
      </c>
      <c r="H217" s="314" t="inlineStr">
        <is>
          <t>High</t>
        </is>
      </c>
    </row>
    <row r="218" ht="26" customHeight="1" s="518">
      <c r="B218" s="314" t="inlineStr">
        <is>
          <t>Adams County</t>
        </is>
      </c>
      <c r="C218" s="314" t="inlineStr">
        <is>
          <t>Meetings/News – Official news</t>
        </is>
      </c>
      <c r="D218" s="314" t="inlineStr">
        <is>
          <t>Adams County News</t>
        </is>
      </c>
      <c r="E218" s="315" t="inlineStr">
        <is>
          <t>County announcements, policy changes and project updates.</t>
        </is>
      </c>
      <c r="F218" s="315" t="inlineStr">
        <is>
          <t>Subscribe or review regularly.</t>
        </is>
      </c>
      <c r="G218" s="311" t="inlineStr">
        <is>
          <t>https://adamscountyco.gov/about-adams-county/news/</t>
        </is>
      </c>
      <c r="H218" s="314" t="inlineStr">
        <is>
          <t>High</t>
        </is>
      </c>
    </row>
    <row r="219" ht="26" customHeight="1" s="518">
      <c r="B219" s="314" t="inlineStr">
        <is>
          <t>Adams County</t>
        </is>
      </c>
      <c r="C219" s="314" t="inlineStr">
        <is>
          <t>Meetings/News – Planning updates</t>
        </is>
      </c>
      <c r="D219" s="314" t="inlineStr">
        <is>
          <t>Planning &amp; Development News</t>
        </is>
      </c>
      <c r="E219" s="315" t="inlineStr">
        <is>
          <t>Planning initiatives, code amendments and development updates.</t>
        </is>
      </c>
      <c r="F219" s="315" t="inlineStr">
        <is>
          <t>Review for code-update and plan-update notices.</t>
        </is>
      </c>
      <c r="G219" s="311" t="inlineStr">
        <is>
          <t>https://adamscountyco.gov/our-county/community-economic-development/planning-development/news-updates/</t>
        </is>
      </c>
      <c r="H219" s="314" t="inlineStr">
        <is>
          <t>High</t>
        </is>
      </c>
    </row>
    <row r="220" ht="13" customHeight="1" s="518">
      <c r="B220" s="314" t="inlineStr">
        <is>
          <t>Adams County</t>
        </is>
      </c>
      <c r="C220" s="314" t="inlineStr">
        <is>
          <t>Meetings/News – Public documents</t>
        </is>
      </c>
      <c r="D220" s="314" t="inlineStr">
        <is>
          <t>Public Document Postings</t>
        </is>
      </c>
      <c r="E220" s="315" t="inlineStr">
        <is>
          <t>Recorded/public postings and notices.</t>
        </is>
      </c>
      <c r="F220" s="315" t="inlineStr">
        <is>
          <t>Search relevant names and legal descriptions.</t>
        </is>
      </c>
      <c r="G220" s="311" t="inlineStr">
        <is>
          <t>https://adamscountyco.gov/our-county/elected-officials/clerk-recorder/recording/public-document-postings/</t>
        </is>
      </c>
      <c r="H220" s="314" t="inlineStr">
        <is>
          <t>Useful</t>
        </is>
      </c>
    </row>
    <row r="221" ht="26" customHeight="1" s="518">
      <c r="B221" s="314" t="inlineStr">
        <is>
          <t>Arvada</t>
        </is>
      </c>
      <c r="C221" s="314" t="inlineStr">
        <is>
          <t>Meetings/News – Agendas</t>
        </is>
      </c>
      <c r="D221" s="314" t="inlineStr">
        <is>
          <t>Agenda Center</t>
        </is>
      </c>
      <c r="E221" s="315" t="inlineStr">
        <is>
          <t>City council, boards and commission agendas and minutes.</t>
        </is>
      </c>
      <c r="F221" s="315" t="inlineStr">
        <is>
          <t>Search project name, address and case number.</t>
        </is>
      </c>
      <c r="G221" s="311" t="inlineStr">
        <is>
          <t>https://www.arvadaco.gov/AgendaCenter</t>
        </is>
      </c>
      <c r="H221" s="314" t="inlineStr">
        <is>
          <t>High</t>
        </is>
      </c>
    </row>
    <row r="222" ht="13" customHeight="1" s="518">
      <c r="B222" s="314" t="inlineStr">
        <is>
          <t>Arvada</t>
        </is>
      </c>
      <c r="C222" s="314" t="inlineStr">
        <is>
          <t>Meetings/News – Legal notices</t>
        </is>
      </c>
      <c r="D222" s="314" t="inlineStr">
        <is>
          <t>Meetings and Other Legal Notices</t>
        </is>
      </c>
      <c r="E222" s="315" t="inlineStr">
        <is>
          <t>Formal meeting and legal notices.</t>
        </is>
      </c>
      <c r="F222" s="315" t="inlineStr">
        <is>
          <t>Review before relying on an application status.</t>
        </is>
      </c>
      <c r="G222" s="311" t="inlineStr">
        <is>
          <t>https://www.arvadaco.gov/245/Meetings-and-Other-Legal-Notices</t>
        </is>
      </c>
      <c r="H222" s="314" t="inlineStr">
        <is>
          <t>High</t>
        </is>
      </c>
    </row>
    <row r="223" ht="13" customHeight="1" s="518">
      <c r="B223" s="314" t="inlineStr">
        <is>
          <t>Arvada</t>
        </is>
      </c>
      <c r="C223" s="314" t="inlineStr">
        <is>
          <t>Meetings/News – Official news</t>
        </is>
      </c>
      <c r="D223" s="314" t="inlineStr">
        <is>
          <t>News Releases</t>
        </is>
      </c>
      <c r="E223" s="315" t="inlineStr">
        <is>
          <t>Official city announcements.</t>
        </is>
      </c>
      <c r="F223" s="315" t="inlineStr">
        <is>
          <t>Monitor weekly for project and policy changes.</t>
        </is>
      </c>
      <c r="G223" s="311" t="inlineStr">
        <is>
          <t>https://www.arvadaco.gov/908/News-Releases</t>
        </is>
      </c>
      <c r="H223" s="314" t="inlineStr">
        <is>
          <t>Useful</t>
        </is>
      </c>
    </row>
    <row r="224" ht="26" customHeight="1" s="518">
      <c r="B224" s="314" t="inlineStr">
        <is>
          <t>Aurora</t>
        </is>
      </c>
      <c r="C224" s="314" t="inlineStr">
        <is>
          <t>Meetings/News – Planning meetings</t>
        </is>
      </c>
      <c r="D224" s="314" t="inlineStr">
        <is>
          <t>Planning &amp; Zoning Commission</t>
        </is>
      </c>
      <c r="E224" s="315" t="inlineStr">
        <is>
          <t>Commission records and public participation information.</t>
        </is>
      </c>
      <c r="F224" s="315" t="inlineStr">
        <is>
          <t>Check agendas for land-use cases.</t>
        </is>
      </c>
      <c r="G224" s="311" t="inlineStr">
        <is>
          <t>https://www.auroragov.org/city_hall/boards___commissions/planning___zoning_commission</t>
        </is>
      </c>
      <c r="H224" s="314" t="inlineStr">
        <is>
          <t>High</t>
        </is>
      </c>
    </row>
    <row r="225" ht="13" customHeight="1" s="518">
      <c r="B225" s="314" t="inlineStr">
        <is>
          <t>Aurora</t>
        </is>
      </c>
      <c r="C225" s="314" t="inlineStr">
        <is>
          <t>Meetings/News – Council meetings</t>
        </is>
      </c>
      <c r="D225" s="314" t="inlineStr">
        <is>
          <t>City Council Meetings</t>
        </is>
      </c>
      <c r="E225" s="315" t="inlineStr">
        <is>
          <t>Council agendas and records.</t>
        </is>
      </c>
      <c r="F225" s="315" t="inlineStr">
        <is>
          <t>Track final approvals and ordinances.</t>
        </is>
      </c>
      <c r="G225" s="311" t="inlineStr">
        <is>
          <t>https://www.auroragov.org/city_hall/mayor___city_council/council_meetings</t>
        </is>
      </c>
      <c r="H225" s="314" t="inlineStr">
        <is>
          <t>High</t>
        </is>
      </c>
    </row>
    <row r="226" ht="13" customHeight="1" s="518">
      <c r="B226" s="314" t="inlineStr">
        <is>
          <t>Aurora</t>
        </is>
      </c>
      <c r="C226" s="314" t="inlineStr">
        <is>
          <t>Meetings/News – Public hearings</t>
        </is>
      </c>
      <c r="D226" s="314" t="inlineStr">
        <is>
          <t>Public Hearings</t>
        </is>
      </c>
      <c r="E226" s="315" t="inlineStr">
        <is>
          <t>Official notices of public hearings.</t>
        </is>
      </c>
      <c r="F226" s="315" t="inlineStr">
        <is>
          <t>Check frequently during an active application.</t>
        </is>
      </c>
      <c r="G226" s="311" t="inlineStr">
        <is>
          <t>https://www.auroragov.org/city_hall/public_records/legal_notices/public_hearings</t>
        </is>
      </c>
      <c r="H226" s="314" t="inlineStr">
        <is>
          <t>Critical</t>
        </is>
      </c>
    </row>
    <row r="227" ht="13" customHeight="1" s="518">
      <c r="B227" s="314" t="inlineStr">
        <is>
          <t>Aurora</t>
        </is>
      </c>
      <c r="C227" s="314" t="inlineStr">
        <is>
          <t>Meetings/News – Official news</t>
        </is>
      </c>
      <c r="D227" s="314" t="inlineStr">
        <is>
          <t>What's New</t>
        </is>
      </c>
      <c r="E227" s="315" t="inlineStr">
        <is>
          <t>Official city news feed.</t>
        </is>
      </c>
      <c r="F227" s="315" t="inlineStr">
        <is>
          <t>Monitor citywide projects and policy changes.</t>
        </is>
      </c>
      <c r="G227" s="311" t="inlineStr">
        <is>
          <t>https://www.auroragov.org/news/whats_new</t>
        </is>
      </c>
      <c r="H227" s="314" t="inlineStr">
        <is>
          <t>Useful</t>
        </is>
      </c>
    </row>
    <row r="228" ht="13" customHeight="1" s="518">
      <c r="B228" s="314" t="inlineStr">
        <is>
          <t>Bennett</t>
        </is>
      </c>
      <c r="C228" s="314" t="inlineStr">
        <is>
          <t>Meetings/News – Meetings</t>
        </is>
      </c>
      <c r="D228" s="314" t="inlineStr">
        <is>
          <t>Recent Meetings</t>
        </is>
      </c>
      <c r="E228" s="315" t="inlineStr">
        <is>
          <t>Board and commission agendas and minutes.</t>
        </is>
      </c>
      <c r="F228" s="315" t="inlineStr">
        <is>
          <t>Search planning and board records.</t>
        </is>
      </c>
      <c r="G228" s="311" t="inlineStr">
        <is>
          <t>https://www.bennettco.gov/meetings/recent</t>
        </is>
      </c>
      <c r="H228" s="314" t="inlineStr">
        <is>
          <t>High</t>
        </is>
      </c>
    </row>
    <row r="229" ht="13" customHeight="1" s="518">
      <c r="B229" s="314" t="inlineStr">
        <is>
          <t>Bennett</t>
        </is>
      </c>
      <c r="C229" s="314" t="inlineStr">
        <is>
          <t>Meetings/News – Planning meetings</t>
        </is>
      </c>
      <c r="D229" s="314" t="inlineStr">
        <is>
          <t>Planning &amp; Zoning Commission</t>
        </is>
      </c>
      <c r="E229" s="315" t="inlineStr">
        <is>
          <t>Planning commission information and records.</t>
        </is>
      </c>
      <c r="F229" s="315" t="inlineStr">
        <is>
          <t>Review upcoming land-use hearings.</t>
        </is>
      </c>
      <c r="G229" s="311" t="inlineStr">
        <is>
          <t>https://www.bennettco.gov/planning-and-zoning-commission</t>
        </is>
      </c>
      <c r="H229" s="314" t="inlineStr">
        <is>
          <t>High</t>
        </is>
      </c>
    </row>
    <row r="230" ht="13" customHeight="1" s="518">
      <c r="B230" s="314" t="inlineStr">
        <is>
          <t>Bennett</t>
        </is>
      </c>
      <c r="C230" s="314" t="inlineStr">
        <is>
          <t>Meetings/News – Official news</t>
        </is>
      </c>
      <c r="D230" s="314" t="inlineStr">
        <is>
          <t>Town News</t>
        </is>
      </c>
      <c r="E230" s="315" t="inlineStr">
        <is>
          <t>Town announcements and current notices.</t>
        </is>
      </c>
      <c r="F230" s="315" t="inlineStr">
        <is>
          <t>Review regularly for code and permit changes.</t>
        </is>
      </c>
      <c r="G230" s="311" t="inlineStr">
        <is>
          <t>https://www.bennettco.gov/news</t>
        </is>
      </c>
      <c r="H230" s="314" t="inlineStr">
        <is>
          <t>High</t>
        </is>
      </c>
    </row>
    <row r="231" ht="13" customHeight="1" s="518">
      <c r="B231" s="314" t="inlineStr">
        <is>
          <t>Brighton</t>
        </is>
      </c>
      <c r="C231" s="314" t="inlineStr">
        <is>
          <t>Meetings/News – Agendas</t>
        </is>
      </c>
      <c r="D231" s="314" t="inlineStr">
        <is>
          <t>Agenda Center</t>
        </is>
      </c>
      <c r="E231" s="315" t="inlineStr">
        <is>
          <t>Council and board agendas and minutes.</t>
        </is>
      </c>
      <c r="F231" s="315" t="inlineStr">
        <is>
          <t>Search address, project or applicant.</t>
        </is>
      </c>
      <c r="G231" s="311" t="inlineStr">
        <is>
          <t>https://www.brightonco.gov/agendacenter</t>
        </is>
      </c>
      <c r="H231" s="314" t="inlineStr">
        <is>
          <t>High</t>
        </is>
      </c>
    </row>
    <row r="232" ht="13" customHeight="1" s="518">
      <c r="B232" s="314" t="inlineStr">
        <is>
          <t>Brighton</t>
        </is>
      </c>
      <c r="C232" s="314" t="inlineStr">
        <is>
          <t>Meetings/News – Legal notices</t>
        </is>
      </c>
      <c r="D232" s="314" t="inlineStr">
        <is>
          <t>Legal Notices</t>
        </is>
      </c>
      <c r="E232" s="315" t="inlineStr">
        <is>
          <t>Official legal and hearing notices.</t>
        </is>
      </c>
      <c r="F232" s="315" t="inlineStr">
        <is>
          <t>Confirm hearing dates and comment periods.</t>
        </is>
      </c>
      <c r="G232" s="311" t="inlineStr">
        <is>
          <t>https://www.brightonco.gov/453/Legal-Notices</t>
        </is>
      </c>
      <c r="H232" s="314" t="inlineStr">
        <is>
          <t>Critical</t>
        </is>
      </c>
    </row>
    <row r="233" ht="13" customHeight="1" s="518">
      <c r="B233" s="314" t="inlineStr">
        <is>
          <t>Brighton</t>
        </is>
      </c>
      <c r="C233" s="314" t="inlineStr">
        <is>
          <t>Meetings/News – Official news</t>
        </is>
      </c>
      <c r="D233" s="314" t="inlineStr">
        <is>
          <t>City News</t>
        </is>
      </c>
      <c r="E233" s="315" t="inlineStr">
        <is>
          <t>Official city announcements.</t>
        </is>
      </c>
      <c r="F233" s="315" t="inlineStr">
        <is>
          <t>Monitor development and infrastructure updates.</t>
        </is>
      </c>
      <c r="G233" s="311" t="inlineStr">
        <is>
          <t>https://www.brightonco.gov/175/News</t>
        </is>
      </c>
      <c r="H233" s="314" t="inlineStr">
        <is>
          <t>Useful</t>
        </is>
      </c>
    </row>
    <row r="234" ht="13" customHeight="1" s="518">
      <c r="B234" s="314" t="inlineStr">
        <is>
          <t>Brighton</t>
        </is>
      </c>
      <c r="C234" s="314" t="inlineStr">
        <is>
          <t>Meetings/News – Subscriptions</t>
        </is>
      </c>
      <c r="D234" s="314" t="inlineStr">
        <is>
          <t>Notify Me</t>
        </is>
      </c>
      <c r="E234" s="315" t="inlineStr">
        <is>
          <t>Email subscriptions for agendas, notices and news.</t>
        </is>
      </c>
      <c r="F234" s="315" t="inlineStr">
        <is>
          <t>Subscribe to planning and city council categories.</t>
        </is>
      </c>
      <c r="G234" s="311" t="inlineStr">
        <is>
          <t>https://www.brightonco.gov/notifyme</t>
        </is>
      </c>
      <c r="H234" s="314" t="inlineStr">
        <is>
          <t>Useful</t>
        </is>
      </c>
    </row>
    <row r="235" ht="26" customHeight="1" s="518">
      <c r="B235" s="314" t="inlineStr">
        <is>
          <t>Commerce City</t>
        </is>
      </c>
      <c r="C235" s="314" t="inlineStr">
        <is>
          <t>Meetings/News – Agendas</t>
        </is>
      </c>
      <c r="D235" s="314" t="inlineStr">
        <is>
          <t>Meeting Agendas and Schedules</t>
        </is>
      </c>
      <c r="E235" s="315" t="inlineStr">
        <is>
          <t>Council and board agendas, meetings and schedules.</t>
        </is>
      </c>
      <c r="F235" s="315" t="inlineStr">
        <is>
          <t>Search all meeting records for project terms.</t>
        </is>
      </c>
      <c r="G235" s="311" t="inlineStr">
        <is>
          <t>https://www.c3gov.com/Site-Footer/Footer-Widgets/Quick-Links/Meeting-Agendas-and-Schedules</t>
        </is>
      </c>
      <c r="H235" s="314" t="inlineStr">
        <is>
          <t>High</t>
        </is>
      </c>
    </row>
    <row r="236" ht="13" customHeight="1" s="518">
      <c r="B236" s="314" t="inlineStr">
        <is>
          <t>Commerce City</t>
        </is>
      </c>
      <c r="C236" s="314" t="inlineStr">
        <is>
          <t>Meetings/News – Legal notices</t>
        </is>
      </c>
      <c r="D236" s="314" t="inlineStr">
        <is>
          <t>Legal Notices &amp; Ordinances</t>
        </is>
      </c>
      <c r="E236" s="315" t="inlineStr">
        <is>
          <t>Formal notices and ordinance postings.</t>
        </is>
      </c>
      <c r="F236" s="315" t="inlineStr">
        <is>
          <t>Confirm legal notice and adoption status.</t>
        </is>
      </c>
      <c r="G236" s="311" t="inlineStr">
        <is>
          <t>https://www.c3gov.com/Government/Departments-Divisions/City-Clerks-Office/Legal-Notices-Ordinances</t>
        </is>
      </c>
      <c r="H236" s="314" t="inlineStr">
        <is>
          <t>Critical</t>
        </is>
      </c>
    </row>
    <row r="237" ht="26" customHeight="1" s="518">
      <c r="B237" s="314" t="inlineStr">
        <is>
          <t>Commerce City</t>
        </is>
      </c>
      <c r="C237" s="314" t="inlineStr">
        <is>
          <t>Meetings/News – Official news</t>
        </is>
      </c>
      <c r="D237" s="314" t="inlineStr">
        <is>
          <t>News &amp; Announcements</t>
        </is>
      </c>
      <c r="E237" s="315" t="inlineStr">
        <is>
          <t>Official city news feed.</t>
        </is>
      </c>
      <c r="F237" s="315" t="inlineStr">
        <is>
          <t>Monitor projects, code changes and public programs.</t>
        </is>
      </c>
      <c r="G237" s="311" t="inlineStr">
        <is>
          <t>https://www.c3gov.com/Government/Media-News/News-Announcements</t>
        </is>
      </c>
      <c r="H237" s="314" t="inlineStr">
        <is>
          <t>Useful</t>
        </is>
      </c>
    </row>
    <row r="238" ht="13" customHeight="1" s="518">
      <c r="B238" s="314" t="inlineStr">
        <is>
          <t>Federal Heights</t>
        </is>
      </c>
      <c r="C238" s="314" t="inlineStr">
        <is>
          <t>Meetings/News – Meetings</t>
        </is>
      </c>
      <c r="D238" s="314" t="inlineStr">
        <is>
          <t>Meetings and Study Sessions</t>
        </is>
      </c>
      <c r="E238" s="315" t="inlineStr">
        <is>
          <t>Minutes and audio recordings.</t>
        </is>
      </c>
      <c r="F238" s="315" t="inlineStr">
        <is>
          <t>Review council records for property-related actions.</t>
        </is>
      </c>
      <c r="G238" s="311" t="inlineStr">
        <is>
          <t>https://www.fedheights.org/index.asp?SEC=%7BE66D34DF-8290-4807-83DA-3AF56D110C00%7D</t>
        </is>
      </c>
      <c r="H238" s="314" t="inlineStr">
        <is>
          <t>High</t>
        </is>
      </c>
    </row>
    <row r="239" ht="13" customHeight="1" s="518">
      <c r="B239" s="314" t="inlineStr">
        <is>
          <t>Federal Heights</t>
        </is>
      </c>
      <c r="C239" s="314" t="inlineStr">
        <is>
          <t>Meetings/News – Official news</t>
        </is>
      </c>
      <c r="D239" s="314" t="inlineStr">
        <is>
          <t>News and Events</t>
        </is>
      </c>
      <c r="E239" s="315" t="inlineStr">
        <is>
          <t>Official calendar and announcements.</t>
        </is>
      </c>
      <c r="F239" s="315" t="inlineStr">
        <is>
          <t>Review current calendar and notices.</t>
        </is>
      </c>
      <c r="G239" s="311" t="inlineStr">
        <is>
          <t>https://www.fedheights.org/index.asp?SEC=407F7286-34E9-495F-B5F7-88E905D7C9A5</t>
        </is>
      </c>
      <c r="H239" s="314" t="inlineStr">
        <is>
          <t>Useful</t>
        </is>
      </c>
    </row>
    <row r="240" ht="13" customHeight="1" s="518">
      <c r="B240" s="314" t="inlineStr">
        <is>
          <t>Federal Heights</t>
        </is>
      </c>
      <c r="C240" s="314" t="inlineStr">
        <is>
          <t>Meetings/News – Newsletter</t>
        </is>
      </c>
      <c r="D240" s="314" t="inlineStr">
        <is>
          <t>Federal Heights Focus</t>
        </is>
      </c>
      <c r="E240" s="315" t="inlineStr">
        <is>
          <t>Quarterly city newsletter.</t>
        </is>
      </c>
      <c r="F240" s="315" t="inlineStr">
        <is>
          <t>Use for longer-term city project updates.</t>
        </is>
      </c>
      <c r="G240" s="311" t="inlineStr">
        <is>
          <t>https://www.fedheights.org/index.asp?SEC=%7B2E7DCCA1-1FEF-4EA7-8AE7-6C3F92D19EF3%7D&amp;persistdesign=none</t>
        </is>
      </c>
      <c r="H240" s="314" t="inlineStr">
        <is>
          <t>Useful</t>
        </is>
      </c>
    </row>
    <row r="241" ht="13" customHeight="1" s="518">
      <c r="B241" s="314" t="inlineStr">
        <is>
          <t>Lochbuie</t>
        </is>
      </c>
      <c r="C241" s="314" t="inlineStr">
        <is>
          <t>Meetings/News – Meetings</t>
        </is>
      </c>
      <c r="D241" s="314" t="inlineStr">
        <is>
          <t>Upcoming Meetings</t>
        </is>
      </c>
      <c r="E241" s="315" t="inlineStr">
        <is>
          <t>Upcoming town meetings.</t>
        </is>
      </c>
      <c r="F241" s="315" t="inlineStr">
        <is>
          <t>Review agendas before board action.</t>
        </is>
      </c>
      <c r="G241" s="311" t="inlineStr">
        <is>
          <t>https://www.lochbuie.org/meetings</t>
        </is>
      </c>
      <c r="H241" s="314" t="inlineStr">
        <is>
          <t>High</t>
        </is>
      </c>
    </row>
    <row r="242" ht="13" customHeight="1" s="518">
      <c r="B242" s="314" t="inlineStr">
        <is>
          <t>Lochbuie</t>
        </is>
      </c>
      <c r="C242" s="314" t="inlineStr">
        <is>
          <t>Meetings/News – Public notices</t>
        </is>
      </c>
      <c r="D242" s="314" t="inlineStr">
        <is>
          <t>Public Notices</t>
        </is>
      </c>
      <c r="E242" s="315" t="inlineStr">
        <is>
          <t>Formal town notices.</t>
        </is>
      </c>
      <c r="F242" s="315" t="inlineStr">
        <is>
          <t>Confirm hearings and ordinance notices.</t>
        </is>
      </c>
      <c r="G242" s="311" t="inlineStr">
        <is>
          <t>https://www.lochbuie.org/publicnotice</t>
        </is>
      </c>
      <c r="H242" s="314" t="inlineStr">
        <is>
          <t>Critical</t>
        </is>
      </c>
    </row>
    <row r="243" ht="13" customHeight="1" s="518">
      <c r="B243" s="314" t="inlineStr">
        <is>
          <t>Lochbuie</t>
        </is>
      </c>
      <c r="C243" s="314" t="inlineStr">
        <is>
          <t>Meetings/News – Official news</t>
        </is>
      </c>
      <c r="D243" s="314" t="inlineStr">
        <is>
          <t>Town News</t>
        </is>
      </c>
      <c r="E243" s="315" t="inlineStr">
        <is>
          <t>Official town news feed.</t>
        </is>
      </c>
      <c r="F243" s="315" t="inlineStr">
        <is>
          <t>Monitor development and infrastructure changes.</t>
        </is>
      </c>
      <c r="G243" s="311" t="inlineStr">
        <is>
          <t>https://www.lochbuie.org/news</t>
        </is>
      </c>
      <c r="H243" s="314" t="inlineStr">
        <is>
          <t>Useful</t>
        </is>
      </c>
    </row>
    <row r="244" ht="26" customHeight="1" s="518">
      <c r="B244" s="314" t="inlineStr">
        <is>
          <t>Northglenn</t>
        </is>
      </c>
      <c r="C244" s="314" t="inlineStr">
        <is>
          <t>Meetings/News – Meeting records</t>
        </is>
      </c>
      <c r="D244" s="314" t="inlineStr">
        <is>
          <t>Public Meeting Records</t>
        </is>
      </c>
      <c r="E244" s="315" t="inlineStr">
        <is>
          <t>Searchable agendas, minutes and hearing documents.</t>
        </is>
      </c>
      <c r="F244" s="315" t="inlineStr">
        <is>
          <t>Search address, case number, ordinance and applicant.</t>
        </is>
      </c>
      <c r="G244" s="311" t="inlineStr">
        <is>
          <t>https://webdocs.northglenn.org/</t>
        </is>
      </c>
      <c r="H244" s="314" t="inlineStr">
        <is>
          <t>Critical</t>
        </is>
      </c>
    </row>
    <row r="245" ht="13" customHeight="1" s="518">
      <c r="B245" s="314" t="inlineStr">
        <is>
          <t>Northglenn</t>
        </is>
      </c>
      <c r="C245" s="314" t="inlineStr">
        <is>
          <t>Meetings/News – Official news</t>
        </is>
      </c>
      <c r="D245" s="314" t="inlineStr">
        <is>
          <t>City News Listings</t>
        </is>
      </c>
      <c r="E245" s="315" t="inlineStr">
        <is>
          <t>Official city news feed.</t>
        </is>
      </c>
      <c r="F245" s="315" t="inlineStr">
        <is>
          <t>Monitor citywide projects and policy updates.</t>
        </is>
      </c>
      <c r="G245" s="311" t="inlineStr">
        <is>
          <t>https://www.northglenn.org/newslist.php</t>
        </is>
      </c>
      <c r="H245" s="314" t="inlineStr">
        <is>
          <t>Useful</t>
        </is>
      </c>
    </row>
    <row r="246" ht="26" customHeight="1" s="518">
      <c r="B246" s="314" t="inlineStr">
        <is>
          <t>Northglenn</t>
        </is>
      </c>
      <c r="C246" s="314" t="inlineStr">
        <is>
          <t>Meetings/News – Alerts</t>
        </is>
      </c>
      <c r="D246" s="314" t="inlineStr">
        <is>
          <t>TextMyGov</t>
        </is>
      </c>
      <c r="E246" s="315" t="inlineStr">
        <is>
          <t>Text notifications for council, utilities and city topics.</t>
        </is>
      </c>
      <c r="F246" s="315" t="inlineStr">
        <is>
          <t>Subscribe to City Council and Utilities alerts.</t>
        </is>
      </c>
      <c r="G246" s="311" t="inlineStr">
        <is>
          <t>https://www.northglenn.org/community/communications/textmygov.php</t>
        </is>
      </c>
      <c r="H246" s="314" t="inlineStr">
        <is>
          <t>Useful</t>
        </is>
      </c>
    </row>
    <row r="247" ht="13" customHeight="1" s="518">
      <c r="B247" s="314" t="inlineStr">
        <is>
          <t>Thornton</t>
        </is>
      </c>
      <c r="C247" s="314" t="inlineStr">
        <is>
          <t>Meetings/News – Meetings</t>
        </is>
      </c>
      <c r="D247" s="314" t="inlineStr">
        <is>
          <t>Upcoming Meetings</t>
        </is>
      </c>
      <c r="E247" s="315" t="inlineStr">
        <is>
          <t>Council and public meeting calendar.</t>
        </is>
      </c>
      <c r="F247" s="315" t="inlineStr">
        <is>
          <t>Open meeting details and linked documents.</t>
        </is>
      </c>
      <c r="G247" s="311" t="inlineStr">
        <is>
          <t>https://www.thorntonco.gov/government/mayor-council/upcoming-meetings</t>
        </is>
      </c>
      <c r="H247" s="314" t="inlineStr">
        <is>
          <t>High</t>
        </is>
      </c>
    </row>
    <row r="248" ht="26" customHeight="1" s="518">
      <c r="B248" s="314" t="inlineStr">
        <is>
          <t>Thornton</t>
        </is>
      </c>
      <c r="C248" s="314" t="inlineStr">
        <is>
          <t>Meetings/News – Public notices</t>
        </is>
      </c>
      <c r="D248" s="314" t="inlineStr">
        <is>
          <t>Public Notices</t>
        </is>
      </c>
      <c r="E248" s="315" t="inlineStr">
        <is>
          <t>Hearing notices, approved ordinances and other notices.</t>
        </is>
      </c>
      <c r="F248" s="315" t="inlineStr">
        <is>
          <t>Confirm current hearing and ordinance status.</t>
        </is>
      </c>
      <c r="G248" s="311" t="inlineStr">
        <is>
          <t>https://www.thorntonco.gov/government/public-notices</t>
        </is>
      </c>
      <c r="H248" s="314" t="inlineStr">
        <is>
          <t>Critical</t>
        </is>
      </c>
    </row>
    <row r="249" ht="26" customHeight="1" s="518">
      <c r="B249" s="314" t="inlineStr">
        <is>
          <t>Thornton</t>
        </is>
      </c>
      <c r="C249" s="314" t="inlineStr">
        <is>
          <t>Meetings/News – Official news</t>
        </is>
      </c>
      <c r="D249" s="314" t="inlineStr">
        <is>
          <t>Thornton News</t>
        </is>
      </c>
      <c r="E249" s="315" t="inlineStr">
        <is>
          <t>Official news and City Voice feed.</t>
        </is>
      </c>
      <c r="F249" s="315" t="inlineStr">
        <is>
          <t>Monitor council, development and infrastructure updates.</t>
        </is>
      </c>
      <c r="G249" s="311" t="inlineStr">
        <is>
          <t>https://www.thorntonco.gov/news</t>
        </is>
      </c>
      <c r="H249" s="314" t="inlineStr">
        <is>
          <t>Useful</t>
        </is>
      </c>
    </row>
    <row r="250" ht="26" customHeight="1" s="518">
      <c r="B250" s="314" t="inlineStr">
        <is>
          <t>Thornton</t>
        </is>
      </c>
      <c r="C250" s="314" t="inlineStr">
        <is>
          <t>Meetings/News – Subscriptions</t>
        </is>
      </c>
      <c r="D250" s="314" t="inlineStr">
        <is>
          <t>T-Alerts</t>
        </is>
      </c>
      <c r="E250" s="315" t="inlineStr">
        <is>
          <t>Email subscriptions including city council documents and business topics.</t>
        </is>
      </c>
      <c r="F250" s="315" t="inlineStr">
        <is>
          <t>Subscribe to City Council Meeting Documents and Thornton News.</t>
        </is>
      </c>
      <c r="G250" s="311" t="inlineStr">
        <is>
          <t>https://talerts.thorntonco.gov/</t>
        </is>
      </c>
      <c r="H250" s="314" t="inlineStr">
        <is>
          <t>Useful</t>
        </is>
      </c>
    </row>
    <row r="251" ht="13" customHeight="1" s="518">
      <c r="B251" s="314" t="inlineStr">
        <is>
          <t>Westminster</t>
        </is>
      </c>
      <c r="C251" s="314" t="inlineStr">
        <is>
          <t>Meetings/News – Agendas</t>
        </is>
      </c>
      <c r="D251" s="314" t="inlineStr">
        <is>
          <t>Agenda Center</t>
        </is>
      </c>
      <c r="E251" s="315" t="inlineStr">
        <is>
          <t>Council and board agendas and minutes.</t>
        </is>
      </c>
      <c r="F251" s="315" t="inlineStr">
        <is>
          <t>Search project names and land-use cases.</t>
        </is>
      </c>
      <c r="G251" s="311" t="inlineStr">
        <is>
          <t>https://www.westminsterco.gov/AgendaCenter</t>
        </is>
      </c>
      <c r="H251" s="314" t="inlineStr">
        <is>
          <t>High</t>
        </is>
      </c>
    </row>
    <row r="252" ht="26" customHeight="1" s="518">
      <c r="B252" s="314" t="inlineStr">
        <is>
          <t>Westminster</t>
        </is>
      </c>
      <c r="C252" s="314" t="inlineStr">
        <is>
          <t>Meetings/News – Public notices</t>
        </is>
      </c>
      <c r="D252" s="314" t="inlineStr">
        <is>
          <t>Public Notices</t>
        </is>
      </c>
      <c r="E252" s="315" t="inlineStr">
        <is>
          <t>Formal notices and public-hearing information.</t>
        </is>
      </c>
      <c r="F252" s="315" t="inlineStr">
        <is>
          <t>Review during any active entitlement or code amendment.</t>
        </is>
      </c>
      <c r="G252" s="311" t="inlineStr">
        <is>
          <t>https://www.westminsterco.gov/1098/Public-Notices</t>
        </is>
      </c>
      <c r="H252" s="314" t="inlineStr">
        <is>
          <t>Critical</t>
        </is>
      </c>
    </row>
    <row r="253" ht="26" customHeight="1" s="518">
      <c r="B253" s="314" t="inlineStr">
        <is>
          <t>Westminster</t>
        </is>
      </c>
      <c r="C253" s="314" t="inlineStr">
        <is>
          <t>Meetings/News – Official news</t>
        </is>
      </c>
      <c r="D253" s="314" t="inlineStr">
        <is>
          <t>City News</t>
        </is>
      </c>
      <c r="E253" s="315" t="inlineStr">
        <is>
          <t>Official city news feed.</t>
        </is>
      </c>
      <c r="F253" s="315" t="inlineStr">
        <is>
          <t>Monitor development, policy and infrastructure announcements.</t>
        </is>
      </c>
      <c r="G253" s="311" t="inlineStr">
        <is>
          <t>https://www.westminsterco.gov/m/NewsFlash</t>
        </is>
      </c>
      <c r="H253" s="314" t="inlineStr">
        <is>
          <t>Useful</t>
        </is>
      </c>
    </row>
    <row r="254" ht="26" customHeight="1" s="518">
      <c r="B254" s="314" t="inlineStr">
        <is>
          <t>Aurora / Adams County</t>
        </is>
      </c>
      <c r="C254" s="314" t="inlineStr">
        <is>
          <t>Meetings/News – Independent local news</t>
        </is>
      </c>
      <c r="D254" s="314" t="inlineStr">
        <is>
          <t>Sentinel Colorado</t>
        </is>
      </c>
      <c r="E254" s="315" t="inlineStr">
        <is>
          <t>Independent reporting on Aurora and the surrounding region.</t>
        </is>
      </c>
      <c r="F254" s="315" t="inlineStr">
        <is>
          <t>Use for context; verify hearings and legal status on official city/county pages.</t>
        </is>
      </c>
      <c r="G254" s="311" t="inlineStr">
        <is>
          <t>https://sentinelcolorado.com/</t>
        </is>
      </c>
      <c r="H254" s="314" t="inlineStr">
        <is>
          <t>Useful</t>
        </is>
      </c>
    </row>
    <row r="255" ht="26" customHeight="1" s="518">
      <c r="B255" s="314" t="inlineStr">
        <is>
          <t>Bennett / Strasburg / Watkins</t>
        </is>
      </c>
      <c r="C255" s="314" t="inlineStr">
        <is>
          <t>Meetings/News – Independent local news</t>
        </is>
      </c>
      <c r="D255" s="314" t="inlineStr">
        <is>
          <t>I-70 Scout &amp; Eastern Colorado News</t>
        </is>
      </c>
      <c r="E255" s="315" t="inlineStr">
        <is>
          <t>Local reporting along the eastern I-70 corridor.</t>
        </is>
      </c>
      <c r="F255" s="315" t="inlineStr">
        <is>
          <t>Use for local context and project reporting; verify with official notices.</t>
        </is>
      </c>
      <c r="G255" s="311" t="inlineStr">
        <is>
          <t>https://i-70scout.com/blog/</t>
        </is>
      </c>
      <c r="H255" s="314" t="inlineStr">
        <is>
          <t>Useful</t>
        </is>
      </c>
    </row>
    <row r="256" ht="26" customHeight="1" s="518">
      <c r="B256" s="314" t="inlineStr">
        <is>
          <t>Arvada</t>
        </is>
      </c>
      <c r="C256" s="314" t="inlineStr">
        <is>
          <t>Meetings/News – Independent local news</t>
        </is>
      </c>
      <c r="D256" s="314" t="inlineStr">
        <is>
          <t>Arvada Press</t>
        </is>
      </c>
      <c r="E256" s="315" t="inlineStr">
        <is>
          <t>Community news focused on Arvada.</t>
        </is>
      </c>
      <c r="F256" s="315" t="inlineStr">
        <is>
          <t>Use for context; verify land-use decisions in city records.</t>
        </is>
      </c>
      <c r="G256" s="311" t="inlineStr">
        <is>
          <t>https://arvadapress.presspatron.com/</t>
        </is>
      </c>
      <c r="H256" s="314" t="inlineStr">
        <is>
          <t>Useful</t>
        </is>
      </c>
    </row>
    <row r="257" ht="26" customHeight="1" s="518">
      <c r="B257" s="314" t="inlineStr">
        <is>
          <t>Brighton / Commerce City / Northglenn / Thornton / Westminster</t>
        </is>
      </c>
      <c r="C257" s="314" t="inlineStr">
        <is>
          <t>Meetings/News – Independent local news</t>
        </is>
      </c>
      <c r="D257" s="314" t="inlineStr">
        <is>
          <t>Colorado Community Media Local Guide</t>
        </is>
      </c>
      <c r="E257" s="315" t="inlineStr">
        <is>
          <t>Gateway to local community-news outlets and editions.</t>
        </is>
      </c>
      <c r="F257" s="315" t="inlineStr">
        <is>
          <t>Use for context and reporting; verify legal notices and approvals officially.</t>
        </is>
      </c>
      <c r="G257" s="311" t="inlineStr">
        <is>
          <t>https://local.coloradocommunitymedia.com/</t>
        </is>
      </c>
      <c r="H257" s="314" t="inlineStr">
        <is>
          <t>Useful</t>
        </is>
      </c>
    </row>
    <row r="258" ht="26" customHeight="1" s="518">
      <c r="B258" s="314" t="inlineStr">
        <is>
          <t>Westminster</t>
        </is>
      </c>
      <c r="C258" s="314" t="inlineStr">
        <is>
          <t>Meetings/News – Independent local news</t>
        </is>
      </c>
      <c r="D258" s="314" t="inlineStr">
        <is>
          <t>Westminster Window Colorado Trust</t>
        </is>
      </c>
      <c r="E258" s="315" t="inlineStr">
        <is>
          <t>Community and government-news newsletter focused on Westminster.</t>
        </is>
      </c>
      <c r="F258" s="315" t="inlineStr">
        <is>
          <t>Use as a secondary monitoring source.</t>
        </is>
      </c>
      <c r="G258" s="311" t="inlineStr">
        <is>
          <t>https://westminster-window-colorado-trust.beehiiv.com/</t>
        </is>
      </c>
      <c r="H258" s="314" t="inlineStr">
        <is>
          <t>Useful</t>
        </is>
      </c>
    </row>
    <row r="259" ht="26" customHeight="1" s="518">
      <c r="B259" s="314" t="inlineStr">
        <is>
          <t>Colorado Secretary of State</t>
        </is>
      </c>
      <c r="C259" s="314" t="inlineStr">
        <is>
          <t>Business Entities</t>
        </is>
      </c>
      <c r="D259" s="314" t="inlineStr">
        <is>
          <t>Search Business Records</t>
        </is>
      </c>
      <c r="E259" s="315" t="inlineStr">
        <is>
          <t>Search corporations, LLCs, trade names and filing documents.</t>
        </is>
      </c>
      <c r="F259" s="315" t="inlineStr">
        <is>
          <t>Identify owners, applicants, developers, lenders and registered agents.</t>
        </is>
      </c>
      <c r="G259" s="311" t="inlineStr">
        <is>
          <t>https://co.colorado.gov/search-business-records</t>
        </is>
      </c>
      <c r="H259" s="314" t="inlineStr">
        <is>
          <t>High</t>
        </is>
      </c>
    </row>
    <row r="260" ht="26" customHeight="1" s="518">
      <c r="B260" s="314" t="inlineStr">
        <is>
          <t>Colorado Secretary of State</t>
        </is>
      </c>
      <c r="C260" s="314" t="inlineStr">
        <is>
          <t>UCC / Liens</t>
        </is>
      </c>
      <c r="D260" s="314" t="inlineStr">
        <is>
          <t>UCC Records Search</t>
        </is>
      </c>
      <c r="E260" s="315" t="inlineStr">
        <is>
          <t>Search UCC financing statements and related secured-transaction records.</t>
        </is>
      </c>
      <c r="F260" s="315" t="inlineStr">
        <is>
          <t>Screen for UCC filings and certain statutory liens associated with a debtor.</t>
        </is>
      </c>
      <c r="G260" s="311" t="inlineStr">
        <is>
          <t>https://www.sos.state.co.us/ucc/pages/home.xhtml</t>
        </is>
      </c>
      <c r="H260" s="314" t="inlineStr">
        <is>
          <t>High</t>
        </is>
      </c>
    </row>
    <row r="261" ht="26" customHeight="1" s="518">
      <c r="B261" s="314" t="inlineStr">
        <is>
          <t>Colorado DOLA</t>
        </is>
      </c>
      <c r="C261" s="314" t="inlineStr">
        <is>
          <t>Special Districts</t>
        </is>
      </c>
      <c r="D261" s="314" t="inlineStr">
        <is>
          <t>Colorado Special Districts Map</t>
        </is>
      </c>
      <c r="E261" s="315" t="inlineStr">
        <is>
          <t>Map and information for special-district boundaries.</t>
        </is>
      </c>
      <c r="F261" s="315" t="inlineStr">
        <is>
          <t>Identify water, sanitation, fire, metro and other districts that may tax or serve a property.</t>
        </is>
      </c>
      <c r="G261" s="311" t="inlineStr">
        <is>
          <t>https://gis.dola.colorado.gov/CO_SpecialDistrict/</t>
        </is>
      </c>
      <c r="H261" s="314" t="inlineStr">
        <is>
          <t>Critical</t>
        </is>
      </c>
    </row>
    <row r="262" ht="26" customHeight="1" s="518">
      <c r="B262" s="314" t="inlineStr">
        <is>
          <t>Colorado DOLA</t>
        </is>
      </c>
      <c r="C262" s="314" t="inlineStr">
        <is>
          <t>Local Governments</t>
        </is>
      </c>
      <c r="D262" s="314" t="inlineStr">
        <is>
          <t>Local Government Information System</t>
        </is>
      </c>
      <c r="E262" s="315" t="inlineStr">
        <is>
          <t>Local-government contacts, budgets and election filings.</t>
        </is>
      </c>
      <c r="F262" s="315" t="inlineStr">
        <is>
          <t>Research special districts and other local-government entities.</t>
        </is>
      </c>
      <c r="G262" s="311" t="inlineStr">
        <is>
          <t>https://dola.colorado.gov/dlg_lgis_ui_pu/</t>
        </is>
      </c>
      <c r="H262" s="314" t="inlineStr">
        <is>
          <t>High</t>
        </is>
      </c>
    </row>
    <row r="263" ht="26" customHeight="1" s="518">
      <c r="B263" s="314" t="inlineStr">
        <is>
          <t>Colorado DOLA</t>
        </is>
      </c>
      <c r="C263" s="314" t="inlineStr">
        <is>
          <t>Taxing Entities</t>
        </is>
      </c>
      <c r="D263" s="314" t="inlineStr">
        <is>
          <t>Search Colorado Property Tax Entities</t>
        </is>
      </c>
      <c r="E263" s="315" t="inlineStr">
        <is>
          <t>Search entities associated with property taxation.</t>
        </is>
      </c>
      <c r="F263" s="315" t="inlineStr">
        <is>
          <t>Understand tax districts and locate entity information; verify mill levies with county offices.</t>
        </is>
      </c>
      <c r="G263" s="311" t="inlineStr">
        <is>
          <t>https://dola.colorado.gov/dlg_lgis_ui_pu/publicLGTaxEntities.jsf</t>
        </is>
      </c>
      <c r="H263" s="314" t="inlineStr">
        <is>
          <t>High</t>
        </is>
      </c>
    </row>
    <row r="264" ht="26" customHeight="1" s="518">
      <c r="B264" s="314" t="inlineStr">
        <is>
          <t>Colorado DOLA</t>
        </is>
      </c>
      <c r="C264" s="314" t="inlineStr">
        <is>
          <t>Municipal Boundaries</t>
        </is>
      </c>
      <c r="D264" s="314" t="inlineStr">
        <is>
          <t>Colorado Municipal Boundaries</t>
        </is>
      </c>
      <c r="E264" s="315" t="inlineStr">
        <is>
          <t>State municipal boundary map.</t>
        </is>
      </c>
      <c r="F264" s="315" t="inlineStr">
        <is>
          <t>Confirm whether a parcel is incorporated and identify the municipality.</t>
        </is>
      </c>
      <c r="G264" s="311" t="inlineStr">
        <is>
          <t>https://gis.dola.colorado.gov/CO_Muni/</t>
        </is>
      </c>
      <c r="H264" s="314" t="inlineStr">
        <is>
          <t>Critical</t>
        </is>
      </c>
    </row>
    <row r="265" ht="26" customHeight="1" s="518">
      <c r="B265" s="314" t="inlineStr">
        <is>
          <t>Colorado DOLA</t>
        </is>
      </c>
      <c r="C265" s="314" t="inlineStr">
        <is>
          <t>GIS Downloads</t>
        </is>
      </c>
      <c r="D265" s="314" t="inlineStr">
        <is>
          <t>GIS Data Sources</t>
        </is>
      </c>
      <c r="E265" s="315" t="inlineStr">
        <is>
          <t>State-maintained boundary and demographic GIS datasets.</t>
        </is>
      </c>
      <c r="F265" s="315" t="inlineStr">
        <is>
          <t>Download municipal, annexation and special-district data.</t>
        </is>
      </c>
      <c r="G265" s="311" t="inlineStr">
        <is>
          <t>https://demography.dola.colorado.gov/assets/html/gis_data.html</t>
        </is>
      </c>
      <c r="H265" s="314" t="inlineStr">
        <is>
          <t>Useful</t>
        </is>
      </c>
    </row>
    <row r="266" ht="13" customHeight="1" s="518">
      <c r="B266" s="314" t="inlineStr">
        <is>
          <t>Colorado State Demography Office</t>
        </is>
      </c>
      <c r="C266" s="314" t="inlineStr">
        <is>
          <t>Demographics</t>
        </is>
      </c>
      <c r="D266" s="314" t="inlineStr">
        <is>
          <t>Data Bundle Lookup</t>
        </is>
      </c>
      <c r="E266" s="315" t="inlineStr">
        <is>
          <t>Population, housing and demographic data bundles.</t>
        </is>
      </c>
      <c r="F266" s="315" t="inlineStr">
        <is>
          <t>Support market, planning and growth analysis.</t>
        </is>
      </c>
      <c r="G266" s="311" t="inlineStr">
        <is>
          <t>https://demography.dola.colorado.gov/assets/lookups/dashboard_lookup.html</t>
        </is>
      </c>
      <c r="H266" s="314" t="inlineStr">
        <is>
          <t>Useful</t>
        </is>
      </c>
    </row>
    <row r="267" ht="26" customHeight="1" s="518">
      <c r="B267" s="314" t="inlineStr">
        <is>
          <t>Colorado Geospatial Portal</t>
        </is>
      </c>
      <c r="C267" s="314" t="inlineStr">
        <is>
          <t>GIS / Open Data</t>
        </is>
      </c>
      <c r="D267" s="314" t="inlineStr">
        <is>
          <t>Colorado Geospatial Portal</t>
        </is>
      </c>
      <c r="E267" s="315" t="inlineStr">
        <is>
          <t>Statewide open GIS datasets and maps.</t>
        </is>
      </c>
      <c r="F267" s="315" t="inlineStr">
        <is>
          <t>Find state layers for environment, transportation, boundaries and natural resources.</t>
        </is>
      </c>
      <c r="G267" s="311" t="inlineStr">
        <is>
          <t>https://geodata.colorado.gov/</t>
        </is>
      </c>
      <c r="H267" s="314" t="inlineStr">
        <is>
          <t>High</t>
        </is>
      </c>
    </row>
    <row r="268" ht="13" customHeight="1" s="518">
      <c r="B268" s="314" t="inlineStr">
        <is>
          <t>Colorado OIT</t>
        </is>
      </c>
      <c r="C268" s="314" t="inlineStr">
        <is>
          <t>GIS Viewer</t>
        </is>
      </c>
      <c r="D268" s="314" t="inlineStr">
        <is>
          <t>Colorado State Map Viewer</t>
        </is>
      </c>
      <c r="E268" s="315" t="inlineStr">
        <is>
          <t>Statewide interactive map viewer.</t>
        </is>
      </c>
      <c r="F268" s="315" t="inlineStr">
        <is>
          <t>Screen state datasets without desktop GIS.</t>
        </is>
      </c>
      <c r="G268" s="311" t="inlineStr">
        <is>
          <t>https://gis.colorado.gov/viewer/?page=Home</t>
        </is>
      </c>
      <c r="H268" s="314" t="inlineStr">
        <is>
          <t>Useful</t>
        </is>
      </c>
    </row>
    <row r="269" ht="26" customHeight="1" s="518">
      <c r="B269" s="314" t="inlineStr">
        <is>
          <t>DRCOG</t>
        </is>
      </c>
      <c r="C269" s="314" t="inlineStr">
        <is>
          <t>Regional GIS / Planning</t>
        </is>
      </c>
      <c r="D269" s="314" t="inlineStr">
        <is>
          <t>Data, Maps &amp; Modeling</t>
        </is>
      </c>
      <c r="E269" s="315" t="inlineStr">
        <is>
          <t>Denver-region data, maps, forecasts and modeling resources.</t>
        </is>
      </c>
      <c r="F269" s="315" t="inlineStr">
        <is>
          <t>Research regional growth, transportation, parcels and planning context.</t>
        </is>
      </c>
      <c r="G269" s="311" t="inlineStr">
        <is>
          <t>https://drcog.org/data-maps-modeling</t>
        </is>
      </c>
      <c r="H269" s="314" t="inlineStr">
        <is>
          <t>High</t>
        </is>
      </c>
    </row>
    <row r="270" ht="26" customHeight="1" s="518">
      <c r="B270" s="314" t="inlineStr">
        <is>
          <t>Colorado Division of Water Resources</t>
        </is>
      </c>
      <c r="C270" s="314" t="inlineStr">
        <is>
          <t>Water</t>
        </is>
      </c>
      <c r="D270" s="314" t="inlineStr">
        <is>
          <t>CDSS / DWR Tools</t>
        </is>
      </c>
      <c r="E270" s="315" t="inlineStr">
        <is>
          <t>Water-rights, structures, hydrography and decision-support tools.</t>
        </is>
      </c>
      <c r="F270" s="315" t="inlineStr">
        <is>
          <t>Research water rights, ditches, structures and hydrologic data.</t>
        </is>
      </c>
      <c r="G270" s="311" t="inlineStr">
        <is>
          <t>https://dwr.state.co.us/Tools</t>
        </is>
      </c>
      <c r="H270" s="314" t="inlineStr">
        <is>
          <t>Critical</t>
        </is>
      </c>
    </row>
    <row r="271" ht="26" customHeight="1" s="518">
      <c r="B271" s="314" t="inlineStr">
        <is>
          <t>Colorado Division of Water Resources</t>
        </is>
      </c>
      <c r="C271" s="314" t="inlineStr">
        <is>
          <t>Wells</t>
        </is>
      </c>
      <c r="D271" s="314" t="inlineStr">
        <is>
          <t>Well Permits</t>
        </is>
      </c>
      <c r="E271" s="315" t="inlineStr">
        <is>
          <t>Well permit search and information.</t>
        </is>
      </c>
      <c r="F271" s="315" t="inlineStr">
        <is>
          <t>Check permitted wells and well records near a parcel.</t>
        </is>
      </c>
      <c r="G271" s="311" t="inlineStr">
        <is>
          <t>https://dwr.state.co.us/Tools/WellPermits</t>
        </is>
      </c>
      <c r="H271" s="314" t="inlineStr">
        <is>
          <t>Critical</t>
        </is>
      </c>
    </row>
    <row r="272" ht="26" customHeight="1" s="518">
      <c r="B272" s="314" t="inlineStr">
        <is>
          <t>Colorado Energy &amp; Carbon Management Commission</t>
        </is>
      </c>
      <c r="C272" s="314" t="inlineStr">
        <is>
          <t>Oil &amp; Gas</t>
        </is>
      </c>
      <c r="D272" s="314" t="inlineStr">
        <is>
          <t>ECMC Maps</t>
        </is>
      </c>
      <c r="E272" s="315" t="inlineStr">
        <is>
          <t>Oil and gas wells, facilities and regulatory map tools.</t>
        </is>
      </c>
      <c r="F272" s="315" t="inlineStr">
        <is>
          <t>Screen nearby oil/gas infrastructure, setbacks and regulatory records.</t>
        </is>
      </c>
      <c r="G272" s="311" t="inlineStr">
        <is>
          <t>https://ecmc.state.co.us/maps.html</t>
        </is>
      </c>
      <c r="H272" s="314" t="inlineStr">
        <is>
          <t>Critical</t>
        </is>
      </c>
    </row>
    <row r="273" ht="13" customHeight="1" s="518">
      <c r="B273" s="314" t="inlineStr">
        <is>
          <t>Colorado Energy &amp; Carbon Management Commission</t>
        </is>
      </c>
      <c r="C273" s="314" t="inlineStr">
        <is>
          <t>Oil &amp; Gas Data</t>
        </is>
      </c>
      <c r="D273" s="314" t="inlineStr">
        <is>
          <t>ECMC Data</t>
        </is>
      </c>
      <c r="E273" s="315" t="inlineStr">
        <is>
          <t>Downloadable oil and gas data and records.</t>
        </is>
      </c>
      <c r="F273" s="315" t="inlineStr">
        <is>
          <t>Perform detailed facility and well research.</t>
        </is>
      </c>
      <c r="G273" s="311" t="inlineStr">
        <is>
          <t>https://ecmc.state.co.us/data.html</t>
        </is>
      </c>
      <c r="H273" s="314" t="inlineStr">
        <is>
          <t>High</t>
        </is>
      </c>
    </row>
    <row r="274" ht="26" customHeight="1" s="518">
      <c r="B274" s="314" t="inlineStr">
        <is>
          <t>CDPHE</t>
        </is>
      </c>
      <c r="C274" s="314" t="inlineStr">
        <is>
          <t>Environmental</t>
        </is>
      </c>
      <c r="D274" s="314" t="inlineStr">
        <is>
          <t>Maps and GIS for Health and Environment</t>
        </is>
      </c>
      <c r="E274" s="315" t="inlineStr">
        <is>
          <t>Environmental, health, cleanup and facility mapping resources.</t>
        </is>
      </c>
      <c r="F274" s="315" t="inlineStr">
        <is>
          <t>Screen environmental and public-health conditions.</t>
        </is>
      </c>
      <c r="G274" s="311" t="inlineStr">
        <is>
          <t>https://cdphe.colorado.gov/maps-and-gis-for-health-and-environment</t>
        </is>
      </c>
      <c r="H274" s="314" t="inlineStr">
        <is>
          <t>Critical</t>
        </is>
      </c>
    </row>
    <row r="275" ht="26" customHeight="1" s="518">
      <c r="B275" s="314" t="inlineStr">
        <is>
          <t>CDPHE</t>
        </is>
      </c>
      <c r="C275" s="314" t="inlineStr">
        <is>
          <t>Contamination</t>
        </is>
      </c>
      <c r="D275" s="314" t="inlineStr">
        <is>
          <t>Environmental Maps and GIS Data</t>
        </is>
      </c>
      <c r="E275" s="315" t="inlineStr">
        <is>
          <t>Hazardous Materials and Waste Management map portal and records search.</t>
        </is>
      </c>
      <c r="F275" s="315" t="inlineStr">
        <is>
          <t>Locate regulated facilities, waste sites and associated records.</t>
        </is>
      </c>
      <c r="G275" s="311" t="inlineStr">
        <is>
          <t>https://cdphe.colorado.gov/hm/gis-data</t>
        </is>
      </c>
      <c r="H275" s="314" t="inlineStr">
        <is>
          <t>Critical</t>
        </is>
      </c>
    </row>
    <row r="276" ht="26" customHeight="1" s="518">
      <c r="B276" s="314" t="inlineStr">
        <is>
          <t>CDPHE</t>
        </is>
      </c>
      <c r="C276" s="314" t="inlineStr">
        <is>
          <t>Contamination</t>
        </is>
      </c>
      <c r="D276" s="314" t="inlineStr">
        <is>
          <t>How to Find Out if a Site Is Contaminated</t>
        </is>
      </c>
      <c r="E276" s="315" t="inlineStr">
        <is>
          <t>Guide to cleanup, covenant, tank and federal environmental databases.</t>
        </is>
      </c>
      <c r="F276" s="315" t="inlineStr">
        <is>
          <t>Build an environmental-screening search plan.</t>
        </is>
      </c>
      <c r="G276" s="311" t="inlineStr">
        <is>
          <t>https://cdphe.colorado.gov/hm/if-site-contaminated</t>
        </is>
      </c>
      <c r="H276" s="314" t="inlineStr">
        <is>
          <t>High</t>
        </is>
      </c>
    </row>
    <row r="277" ht="26" customHeight="1" s="518">
      <c r="B277" s="314" t="inlineStr">
        <is>
          <t>CDPHE</t>
        </is>
      </c>
      <c r="C277" s="314" t="inlineStr">
        <is>
          <t>Water Quality</t>
        </is>
      </c>
      <c r="D277" s="314" t="inlineStr">
        <is>
          <t>Clean Water GIS Maps</t>
        </is>
      </c>
      <c r="E277" s="315" t="inlineStr">
        <is>
          <t>Impaired waters, stream segments, TMDLs and watershed-plan maps.</t>
        </is>
      </c>
      <c r="F277" s="315" t="inlineStr">
        <is>
          <t>Screen nearby surface-water quality and regulatory context.</t>
        </is>
      </c>
      <c r="G277" s="311" t="inlineStr">
        <is>
          <t>https://cdphe.colorado.gov/clean-water-gis-maps</t>
        </is>
      </c>
      <c r="H277" s="314" t="inlineStr">
        <is>
          <t>High</t>
        </is>
      </c>
    </row>
    <row r="278" ht="26" customHeight="1" s="518">
      <c r="B278" s="314" t="inlineStr">
        <is>
          <t>CDPHE</t>
        </is>
      </c>
      <c r="C278" s="314" t="inlineStr">
        <is>
          <t>PFAS</t>
        </is>
      </c>
      <c r="D278" s="314" t="inlineStr">
        <is>
          <t>PFAS Mapping</t>
        </is>
      </c>
      <c r="E278" s="315" t="inlineStr">
        <is>
          <t>PFAS sampling and vulnerability mapping resources.</t>
        </is>
      </c>
      <c r="F278" s="315" t="inlineStr">
        <is>
          <t>Screen known sampling and modeled PFAS concerns.</t>
        </is>
      </c>
      <c r="G278" s="311" t="inlineStr">
        <is>
          <t>https://cdphe.colorado.gov/pfas/mapping</t>
        </is>
      </c>
      <c r="H278" s="314" t="inlineStr">
        <is>
          <t>Useful</t>
        </is>
      </c>
    </row>
    <row r="279" ht="26" customHeight="1" s="518">
      <c r="B279" s="314" t="inlineStr">
        <is>
          <t>FEMA</t>
        </is>
      </c>
      <c r="C279" s="314" t="inlineStr">
        <is>
          <t>Flood</t>
        </is>
      </c>
      <c r="D279" s="314" t="inlineStr">
        <is>
          <t>Flood Maps</t>
        </is>
      </c>
      <c r="E279" s="315" t="inlineStr">
        <is>
          <t>FEMA flood-hazard mapping overview and resources.</t>
        </is>
      </c>
      <c r="F279" s="315" t="inlineStr">
        <is>
          <t>Understand official flood-map products and updates.</t>
        </is>
      </c>
      <c r="G279" s="311" t="inlineStr">
        <is>
          <t>https://www.fema.gov/flood-maps</t>
        </is>
      </c>
      <c r="H279" s="314" t="inlineStr">
        <is>
          <t>Critical</t>
        </is>
      </c>
    </row>
    <row r="280" ht="26" customHeight="1" s="518">
      <c r="B280" s="314" t="inlineStr">
        <is>
          <t>FEMA</t>
        </is>
      </c>
      <c r="C280" s="314" t="inlineStr">
        <is>
          <t>Flood</t>
        </is>
      </c>
      <c r="D280" s="314" t="inlineStr">
        <is>
          <t>Flood Map Service Center</t>
        </is>
      </c>
      <c r="E280" s="315" t="inlineStr">
        <is>
          <t>Official address and map search for effective flood maps.</t>
        </is>
      </c>
      <c r="F280" s="315" t="inlineStr">
        <is>
          <t>Search flood zones, panels and Letters of Map Change.</t>
        </is>
      </c>
      <c r="G280" s="311" t="inlineStr">
        <is>
          <t>https://msc.fema.gov/portal/search</t>
        </is>
      </c>
      <c r="H280" s="314" t="inlineStr">
        <is>
          <t>Critical</t>
        </is>
      </c>
    </row>
    <row r="281" ht="26" customHeight="1" s="518">
      <c r="B281" s="314" t="inlineStr">
        <is>
          <t>FEMA</t>
        </is>
      </c>
      <c r="C281" s="314" t="inlineStr">
        <is>
          <t>Flood / GIS</t>
        </is>
      </c>
      <c r="D281" s="314" t="inlineStr">
        <is>
          <t>National Flood Hazard Layer</t>
        </is>
      </c>
      <c r="E281" s="315" t="inlineStr">
        <is>
          <t>GIS representation of current flood-hazard information.</t>
        </is>
      </c>
      <c r="F281" s="315" t="inlineStr">
        <is>
          <t>Overlay flood data in mapping workflows.</t>
        </is>
      </c>
      <c r="G281" s="311" t="inlineStr">
        <is>
          <t>https://www.fema.gov/flood-maps/national-flood-hazard-layer</t>
        </is>
      </c>
      <c r="H281" s="314" t="inlineStr">
        <is>
          <t>High</t>
        </is>
      </c>
    </row>
    <row r="282" ht="26" customHeight="1" s="518">
      <c r="B282" s="314" t="inlineStr">
        <is>
          <t>U.S. EPA</t>
        </is>
      </c>
      <c r="C282" s="314" t="inlineStr">
        <is>
          <t>Environmental</t>
        </is>
      </c>
      <c r="D282" s="314" t="inlineStr">
        <is>
          <t>Cleanups in My Community</t>
        </is>
      </c>
      <c r="E282" s="315" t="inlineStr">
        <is>
          <t>Map of federal and state cleanup sites and programs.</t>
        </is>
      </c>
      <c r="F282" s="315" t="inlineStr">
        <is>
          <t>Screen nearby cleanup and regulated sites.</t>
        </is>
      </c>
      <c r="G282" s="311" t="inlineStr">
        <is>
          <t>https://www.epa.gov/cleanups/cleanups-my-community</t>
        </is>
      </c>
      <c r="H282" s="314" t="inlineStr">
        <is>
          <t>Critical</t>
        </is>
      </c>
    </row>
    <row r="283" ht="26" customHeight="1" s="518">
      <c r="B283" s="314" t="inlineStr">
        <is>
          <t>U.S. EPA</t>
        </is>
      </c>
      <c r="C283" s="314" t="inlineStr">
        <is>
          <t>Environmental</t>
        </is>
      </c>
      <c r="D283" s="314" t="inlineStr">
        <is>
          <t>Direct Cleanup Map</t>
        </is>
      </c>
      <c r="E283" s="315" t="inlineStr">
        <is>
          <t>Interactive cleanup-site map.</t>
        </is>
      </c>
      <c r="F283" s="315" t="inlineStr">
        <is>
          <t>Search a specific address or area for cleanup records.</t>
        </is>
      </c>
      <c r="G283" s="311" t="inlineStr">
        <is>
          <t>https://map22.epa.gov/cimc/</t>
        </is>
      </c>
      <c r="H283" s="314" t="inlineStr">
        <is>
          <t>High</t>
        </is>
      </c>
    </row>
    <row r="284" ht="26" customHeight="1" s="518">
      <c r="B284" s="314" t="inlineStr">
        <is>
          <t>U.S. EPA</t>
        </is>
      </c>
      <c r="C284" s="314" t="inlineStr">
        <is>
          <t>Superfund</t>
        </is>
      </c>
      <c r="D284" s="314" t="inlineStr">
        <is>
          <t>Search Superfund Sites</t>
        </is>
      </c>
      <c r="E284" s="315" t="inlineStr">
        <is>
          <t>Superfund and National Priorities List search resources.</t>
        </is>
      </c>
      <c r="F284" s="315" t="inlineStr">
        <is>
          <t>Check nearby federal Superfund sites and site documents.</t>
        </is>
      </c>
      <c r="G284" s="311" t="inlineStr">
        <is>
          <t>https://www.epa.gov/superfund/search-superfund-sites-where-you-live</t>
        </is>
      </c>
      <c r="H284" s="314" t="inlineStr">
        <is>
          <t>High</t>
        </is>
      </c>
    </row>
    <row r="285" ht="26" customHeight="1" s="518">
      <c r="B285" s="314" t="inlineStr">
        <is>
          <t>USDA NRCS</t>
        </is>
      </c>
      <c r="C285" s="314" t="inlineStr">
        <is>
          <t>Soils</t>
        </is>
      </c>
      <c r="D285" s="314" t="inlineStr">
        <is>
          <t>Web Soil Survey</t>
        </is>
      </c>
      <c r="E285" s="315" t="inlineStr">
        <is>
          <t>Authoritative soil maps and interpretations.</t>
        </is>
      </c>
      <c r="F285" s="315" t="inlineStr">
        <is>
          <t>Evaluate soil type, drainage, engineering and agricultural characteristics.</t>
        </is>
      </c>
      <c r="G285" s="311" t="inlineStr">
        <is>
          <t>https://websoilsurvey.nrcs.usda.gov/</t>
        </is>
      </c>
      <c r="H285" s="314" t="inlineStr">
        <is>
          <t>Critical</t>
        </is>
      </c>
    </row>
    <row r="286" ht="26" customHeight="1" s="518">
      <c r="B286" s="314" t="inlineStr">
        <is>
          <t>U.S. Fish &amp; Wildlife Service</t>
        </is>
      </c>
      <c r="C286" s="314" t="inlineStr">
        <is>
          <t>Wetlands</t>
        </is>
      </c>
      <c r="D286" s="314" t="inlineStr">
        <is>
          <t>National Wetlands Inventory Mapper</t>
        </is>
      </c>
      <c r="E286" s="315" t="inlineStr">
        <is>
          <t>Mapped wetland and aquatic-resource information.</t>
        </is>
      </c>
      <c r="F286" s="315" t="inlineStr">
        <is>
          <t>Screen for potential wetlands; field verification may still be required.</t>
        </is>
      </c>
      <c r="G286" s="311" t="inlineStr">
        <is>
          <t>https://www.fws.gov/program/national-wetlands-inventory/wetlands-mapper</t>
        </is>
      </c>
      <c r="H286" s="314" t="inlineStr">
        <is>
          <t>High</t>
        </is>
      </c>
    </row>
    <row r="287" ht="26" customHeight="1" s="518">
      <c r="B287" s="314" t="inlineStr">
        <is>
          <t>CDOT</t>
        </is>
      </c>
      <c r="C287" s="314" t="inlineStr">
        <is>
          <t>Transportation</t>
        </is>
      </c>
      <c r="D287" s="314" t="inlineStr">
        <is>
          <t>Online Transportation Information System</t>
        </is>
      </c>
      <c r="E287" s="315" t="inlineStr">
        <is>
          <t>Traffic, highway attributes, planning and geographic data.</t>
        </is>
      </c>
      <c r="F287" s="315" t="inlineStr">
        <is>
          <t>Research state-highway context and transportation planning.</t>
        </is>
      </c>
      <c r="G287" s="311" t="inlineStr">
        <is>
          <t>https://dtdapps.codot.gov/otis</t>
        </is>
      </c>
      <c r="H287" s="314" t="inlineStr">
        <is>
          <t>Critical</t>
        </is>
      </c>
    </row>
    <row r="288" ht="26" customHeight="1" s="518">
      <c r="B288" s="314" t="inlineStr">
        <is>
          <t>CDOT</t>
        </is>
      </c>
      <c r="C288" s="314" t="inlineStr">
        <is>
          <t>Transportation</t>
        </is>
      </c>
      <c r="D288" s="314" t="inlineStr">
        <is>
          <t>Highway Data Explorer</t>
        </is>
      </c>
      <c r="E288" s="315" t="inlineStr">
        <is>
          <t>Map-based state highway data and attributes.</t>
        </is>
      </c>
      <c r="F288" s="315" t="inlineStr">
        <is>
          <t>Review highway classification, geometry and related data.</t>
        </is>
      </c>
      <c r="G288" s="311" t="inlineStr">
        <is>
          <t>https://dtdapps.codot.gov/otis/HighwayData</t>
        </is>
      </c>
      <c r="H288" s="314" t="inlineStr">
        <is>
          <t>High</t>
        </is>
      </c>
    </row>
    <row r="289" ht="13" customHeight="1" s="518">
      <c r="B289" s="314" t="inlineStr">
        <is>
          <t>CDOT</t>
        </is>
      </c>
      <c r="C289" s="314" t="inlineStr">
        <is>
          <t>Traffic</t>
        </is>
      </c>
      <c r="D289" s="314" t="inlineStr">
        <is>
          <t>Traffic Data Explorer</t>
        </is>
      </c>
      <c r="E289" s="315" t="inlineStr">
        <is>
          <t>Traffic stations, AADT and projected traffic data.</t>
        </is>
      </c>
      <c r="F289" s="315" t="inlineStr">
        <is>
          <t>Support access, development and market analysis.</t>
        </is>
      </c>
      <c r="G289" s="311" t="inlineStr">
        <is>
          <t>https://dtdapps.codot.gov/otis/TrafficData</t>
        </is>
      </c>
      <c r="H289" s="314" t="inlineStr">
        <is>
          <t>High</t>
        </is>
      </c>
    </row>
    <row r="290" ht="26" customHeight="1" s="518">
      <c r="B290" s="314" t="inlineStr">
        <is>
          <t>History Colorado</t>
        </is>
      </c>
      <c r="C290" s="314" t="inlineStr">
        <is>
          <t>Historic Properties</t>
        </is>
      </c>
      <c r="D290" s="314" t="inlineStr">
        <is>
          <t>Compass Information</t>
        </is>
      </c>
      <c r="E290" s="315" t="inlineStr">
        <is>
          <t>State cultural-resource inventory and research guidance.</t>
        </is>
      </c>
      <c r="F290" s="315" t="inlineStr">
        <is>
          <t>Screen historic resources and understand access to cultural-resource data.</t>
        </is>
      </c>
      <c r="G290" s="311" t="inlineStr">
        <is>
          <t>https://www.historycolorado.org/compass-information</t>
        </is>
      </c>
      <c r="H290" s="314" t="inlineStr">
        <is>
          <t>High</t>
        </is>
      </c>
    </row>
    <row r="291" ht="26" customHeight="1" s="518">
      <c r="B291" s="314" t="inlineStr">
        <is>
          <t>History Colorado</t>
        </is>
      </c>
      <c r="C291" s="314" t="inlineStr">
        <is>
          <t>Historic Properties</t>
        </is>
      </c>
      <c r="D291" s="314" t="inlineStr">
        <is>
          <t>National &amp; State Register Listed Properties</t>
        </is>
      </c>
      <c r="E291" s="315" t="inlineStr">
        <is>
          <t>Lists and records of registered historic properties.</t>
        </is>
      </c>
      <c r="F291" s="315" t="inlineStr">
        <is>
          <t>Check whether a property or nearby resource is listed.</t>
        </is>
      </c>
      <c r="G291" s="311" t="inlineStr">
        <is>
          <t>https://www.historycolorado.org/national-state-register-listed-properties</t>
        </is>
      </c>
      <c r="H291" s="314" t="inlineStr">
        <is>
          <t>High</t>
        </is>
      </c>
    </row>
    <row r="292" ht="26" customHeight="1" s="518">
      <c r="B292" s="314" t="inlineStr">
        <is>
          <t>Colorado Division of Real Estate</t>
        </is>
      </c>
      <c r="C292" s="314" t="inlineStr">
        <is>
          <t>HOA</t>
        </is>
      </c>
      <c r="D292" s="314" t="inlineStr">
        <is>
          <t>HOA Center</t>
        </is>
      </c>
      <c r="E292" s="315" t="inlineStr">
        <is>
          <t>Information about common-interest communities, CCIOA and HOA resources.</t>
        </is>
      </c>
      <c r="F292" s="315" t="inlineStr">
        <is>
          <t>Understand HOA registration and common-interest community issues.</t>
        </is>
      </c>
      <c r="G292" s="311" t="inlineStr">
        <is>
          <t>https://dre.colorado.gov/hoa-center</t>
        </is>
      </c>
      <c r="H292" s="314" t="inlineStr">
        <is>
          <t>High</t>
        </is>
      </c>
    </row>
    <row r="293" ht="26" customHeight="1" s="518">
      <c r="B293" s="314" t="inlineStr">
        <is>
          <t>Colorado Division of Real Estate</t>
        </is>
      </c>
      <c r="C293" s="314" t="inlineStr">
        <is>
          <t>HOA</t>
        </is>
      </c>
      <c r="D293" s="314" t="inlineStr">
        <is>
          <t>HOA Registration Services</t>
        </is>
      </c>
      <c r="E293" s="315" t="inlineStr">
        <is>
          <t>HOA registration lookup guidance and registration resources.</t>
        </is>
      </c>
      <c r="F293" s="315" t="inlineStr">
        <is>
          <t>Check an association's registration status and identify contacts.</t>
        </is>
      </c>
      <c r="G293" s="311" t="inlineStr">
        <is>
          <t>https://dre.colorado.gov/hoa-registration-services</t>
        </is>
      </c>
      <c r="H293" s="314" t="inlineStr">
        <is>
          <t>High</t>
        </is>
      </c>
    </row>
    <row r="294" ht="26" customHeight="1" s="518">
      <c r="B294" s="314" t="inlineStr">
        <is>
          <t>Colorado DORA</t>
        </is>
      </c>
      <c r="C294" s="314" t="inlineStr">
        <is>
          <t>Professional Licenses</t>
        </is>
      </c>
      <c r="D294" s="314" t="inlineStr">
        <is>
          <t>Verify a Professional or Business License</t>
        </is>
      </c>
      <c r="E294" s="315" t="inlineStr">
        <is>
          <t>Search licenses for brokers, engineers, architects and other regulated professionals.</t>
        </is>
      </c>
      <c r="F294" s="315" t="inlineStr">
        <is>
          <t>Verify people and firms involved in a transaction or project.</t>
        </is>
      </c>
      <c r="G294" s="311" t="inlineStr">
        <is>
          <t>https://co.colorado.gov/verify-status-professionals-license</t>
        </is>
      </c>
      <c r="H294" s="314" t="inlineStr">
        <is>
          <t>Useful</t>
        </is>
      </c>
    </row>
    <row r="295" ht="26" customHeight="1" s="518">
      <c r="B295" s="314" t="inlineStr">
        <is>
          <t>Colorado State Land Board</t>
        </is>
      </c>
      <c r="C295" s="314" t="inlineStr">
        <is>
          <t>State Trust Land</t>
        </is>
      </c>
      <c r="D295" s="314" t="inlineStr">
        <is>
          <t>State Land Board Online Services</t>
        </is>
      </c>
      <c r="E295" s="315" t="inlineStr">
        <is>
          <t>State trust land and lease-related online services.</t>
        </is>
      </c>
      <c r="F295" s="315" t="inlineStr">
        <is>
          <t>Screen potential state trust land interests and obtain state land information.</t>
        </is>
      </c>
      <c r="G295" s="311" t="inlineStr">
        <is>
          <t>https://secure.slb.colorado.gov/</t>
        </is>
      </c>
      <c r="H295" s="314" t="inlineStr">
        <is>
          <t>Useful</t>
        </is>
      </c>
    </row>
    <row r="296" ht="26" customHeight="1" s="518">
      <c r="B296" s="314" t="inlineStr">
        <is>
          <t>BLM</t>
        </is>
      </c>
      <c r="C296" s="314" t="inlineStr">
        <is>
          <t>Federal Land / GIS</t>
        </is>
      </c>
      <c r="D296" s="314" t="inlineStr">
        <is>
          <t>Colorado GIS Datasets</t>
        </is>
      </c>
      <c r="E296" s="315" t="inlineStr">
        <is>
          <t>Federal land and resource GIS datasets.</t>
        </is>
      </c>
      <c r="F296" s="315" t="inlineStr">
        <is>
          <t>Screen federal land status and download BLM layers.</t>
        </is>
      </c>
      <c r="G296" s="311" t="inlineStr">
        <is>
          <t>https://www.blm.gov/maps/frequently-requested/colorado/gis-datasets</t>
        </is>
      </c>
      <c r="H296" s="314" t="inlineStr">
        <is>
          <t>Useful</t>
        </is>
      </c>
    </row>
    <row r="299">
      <c r="B299" s="305" t="inlineStr">
        <is>
          <t>PROPERTY DUE-DILIGENCE CHECKLIST — one copy per property; set Status as you go</t>
        </is>
      </c>
      <c r="C299" s="308" t="n"/>
      <c r="D299" s="308" t="n"/>
      <c r="E299" s="308" t="n"/>
      <c r="F299" s="308" t="n"/>
      <c r="G299" s="308" t="n"/>
      <c r="H299" s="308" t="n"/>
      <c r="I299" s="308" t="n"/>
    </row>
    <row r="300">
      <c r="B300" s="306" t="inlineStr">
        <is>
          <t>Step</t>
        </is>
      </c>
      <c r="C300" s="306" t="inlineStr">
        <is>
          <t>Topic</t>
        </is>
      </c>
      <c r="D300" s="306" t="inlineStr">
        <is>
          <t>Question / Action</t>
        </is>
      </c>
      <c r="E300" s="306" t="inlineStr">
        <is>
          <t>Primary Resource</t>
        </is>
      </c>
      <c r="F300" s="306" t="inlineStr">
        <is>
          <t>Link</t>
        </is>
      </c>
      <c r="G300" s="306" t="inlineStr">
        <is>
          <t>Evidence to Save</t>
        </is>
      </c>
      <c r="H300" s="306" t="inlineStr">
        <is>
          <t>Red Flags / Follow-up</t>
        </is>
      </c>
      <c r="I300" s="306" t="inlineStr">
        <is>
          <t>Status</t>
        </is>
      </c>
      <c r="J300" s="306" t="inlineStr">
        <is>
          <t>Notes</t>
        </is>
      </c>
    </row>
    <row r="301" ht="91" customHeight="1" s="518">
      <c r="B301" s="314" t="n">
        <v>1</v>
      </c>
      <c r="C301" s="314" t="inlineStr">
        <is>
          <t>Parcel identity</t>
        </is>
      </c>
      <c r="D301" s="315" t="inlineStr">
        <is>
          <t>Normalize the street address and obtain the Adams County parcel/account number.</t>
        </is>
      </c>
      <c r="E301" s="315" t="inlineStr">
        <is>
          <t>Adams County Search Real Property</t>
        </is>
      </c>
      <c r="F301" s="311" t="inlineStr">
        <is>
          <t>Open</t>
        </is>
      </c>
      <c r="G301" s="315" t="inlineStr">
        <is>
          <t>Property summary, APN/account number and screenshot/PDF</t>
        </is>
      </c>
      <c r="H301" s="315" t="inlineStr">
        <is>
          <t>Address mismatch, multiple parcels, condominium unit confusion</t>
        </is>
      </c>
      <c r="I301" s="314" t="inlineStr">
        <is>
          <t>Not Started</t>
        </is>
      </c>
      <c r="J301" s="314" t="n"/>
    </row>
    <row r="302" ht="78" customHeight="1" s="518">
      <c r="B302" s="314" t="n">
        <v>2</v>
      </c>
      <c r="C302" s="314" t="inlineStr">
        <is>
          <t>Jurisdiction</t>
        </is>
      </c>
      <c r="D302" s="315" t="inlineStr">
        <is>
          <t>Confirm the parcel's county, municipal boundary and whether it is unincorporated.</t>
        </is>
      </c>
      <c r="E302" s="315" t="inlineStr">
        <is>
          <t>County Cities &amp; Towns + Colorado Municipal Boundaries</t>
        </is>
      </c>
      <c r="F302" s="311" t="inlineStr">
        <is>
          <t>Open</t>
        </is>
      </c>
      <c r="G302" s="315" t="inlineStr">
        <is>
          <t>Boundary map and jurisdiction note</t>
        </is>
      </c>
      <c r="H302" s="315" t="inlineStr">
        <is>
          <t>Mailing city differs from legal jurisdiction; recent annexation</t>
        </is>
      </c>
      <c r="I302" s="314" t="inlineStr">
        <is>
          <t>Not Started</t>
        </is>
      </c>
      <c r="J302" s="314" t="n"/>
    </row>
    <row r="303" ht="78" customHeight="1" s="518">
      <c r="B303" s="314" t="n">
        <v>3</v>
      </c>
      <c r="C303" s="314" t="inlineStr">
        <is>
          <t>Ownership</t>
        </is>
      </c>
      <c r="D303" s="315" t="inlineStr">
        <is>
          <t>Verify current owner name, mailing address, legal description and assessment record.</t>
        </is>
      </c>
      <c r="E303" s="315" t="inlineStr">
        <is>
          <t>Adams County Assessor Quick Search</t>
        </is>
      </c>
      <c r="F303" s="311" t="inlineStr">
        <is>
          <t>Open</t>
        </is>
      </c>
      <c r="G303" s="315" t="inlineStr">
        <is>
          <t>Assessor property detail</t>
        </is>
      </c>
      <c r="H303" s="315" t="inlineStr">
        <is>
          <t>Owner entity name differs from contract; stale mailing address</t>
        </is>
      </c>
      <c r="I303" s="314" t="inlineStr">
        <is>
          <t>Not Started</t>
        </is>
      </c>
      <c r="J303" s="314" t="n"/>
    </row>
    <row r="304" ht="91" customHeight="1" s="518">
      <c r="B304" s="314" t="n">
        <v>4</v>
      </c>
      <c r="C304" s="314" t="inlineStr">
        <is>
          <t>Legal description</t>
        </is>
      </c>
      <c r="D304" s="315" t="inlineStr">
        <is>
          <t>Compare the assessor legal description with the deed and survey/plat.</t>
        </is>
      </c>
      <c r="E304" s="315" t="inlineStr">
        <is>
          <t>Adams County Landmark Web</t>
        </is>
      </c>
      <c r="F304" s="311" t="inlineStr">
        <is>
          <t>Open</t>
        </is>
      </c>
      <c r="G304" s="315" t="inlineStr">
        <is>
          <t>Latest vesting deed and legal description</t>
        </is>
      </c>
      <c r="H304" s="315" t="inlineStr">
        <is>
          <t>Abbreviated assessor description, omitted tract, exception or easement</t>
        </is>
      </c>
      <c r="I304" s="314" t="inlineStr">
        <is>
          <t>Not Started</t>
        </is>
      </c>
      <c r="J304" s="314" t="n"/>
    </row>
    <row r="305" ht="104" customHeight="1" s="518">
      <c r="B305" s="314" t="n">
        <v>5</v>
      </c>
      <c r="C305" s="314" t="inlineStr">
        <is>
          <t>Deed chain</t>
        </is>
      </c>
      <c r="D305" s="315" t="inlineStr">
        <is>
          <t>Pull the current vesting deed and prior deeds needed to understand title history.</t>
        </is>
      </c>
      <c r="E305" s="315" t="inlineStr">
        <is>
          <t>Adams County Landmark Web</t>
        </is>
      </c>
      <c r="F305" s="311" t="inlineStr">
        <is>
          <t>Open</t>
        </is>
      </c>
      <c r="G305" s="315" t="inlineStr">
        <is>
          <t>Recorded deed images and document numbers</t>
        </is>
      </c>
      <c r="H305" s="315" t="inlineStr">
        <is>
          <t>Quitclaim transfers, estate/probate issues, entity changes, recording gaps</t>
        </is>
      </c>
      <c r="I305" s="314" t="inlineStr">
        <is>
          <t>Not Started</t>
        </is>
      </c>
      <c r="J305" s="314" t="n"/>
    </row>
    <row r="306" ht="104" customHeight="1" s="518">
      <c r="B306" s="314" t="n">
        <v>6</v>
      </c>
      <c r="C306" s="314" t="inlineStr">
        <is>
          <t>Recorded encumbrances</t>
        </is>
      </c>
      <c r="D306" s="315" t="inlineStr">
        <is>
          <t>Search for deeds of trust, releases, easements, covenants, liens, notices and agreements.</t>
        </is>
      </c>
      <c r="E306" s="315" t="inlineStr">
        <is>
          <t>Adams County Recorded Documents</t>
        </is>
      </c>
      <c r="F306" s="311" t="inlineStr">
        <is>
          <t>Open</t>
        </is>
      </c>
      <c r="G306" s="315" t="inlineStr">
        <is>
          <t>Index results and relevant document images</t>
        </is>
      </c>
      <c r="H306" s="315" t="inlineStr">
        <is>
          <t>Unreleased liens, access easements, restrictive covenants, notices of default</t>
        </is>
      </c>
      <c r="I306" s="314" t="inlineStr">
        <is>
          <t>Not Started</t>
        </is>
      </c>
      <c r="J306" s="314" t="n"/>
    </row>
    <row r="307" ht="104" customHeight="1" s="518">
      <c r="B307" s="314" t="n">
        <v>7</v>
      </c>
      <c r="C307" s="314" t="inlineStr">
        <is>
          <t>Title</t>
        </is>
      </c>
      <c r="D307" s="315" t="inlineStr">
        <is>
          <t>Order a title commitment and compare exceptions with independently found records.</t>
        </is>
      </c>
      <c r="E307" s="315" t="inlineStr">
        <is>
          <t>Licensed title company / attorney</t>
        </is>
      </c>
      <c r="F307" s="314" t="n"/>
      <c r="G307" s="315" t="inlineStr">
        <is>
          <t>Current title commitment and exception documents</t>
        </is>
      </c>
      <c r="H307" s="315" t="inlineStr">
        <is>
          <t>Unresolved requirements, gap risk, standard exceptions that need survey evidence</t>
        </is>
      </c>
      <c r="I307" s="314" t="inlineStr">
        <is>
          <t>Not Started</t>
        </is>
      </c>
      <c r="J307" s="314" t="n"/>
    </row>
    <row r="308" ht="91" customHeight="1" s="518">
      <c r="B308" s="314" t="n">
        <v>8</v>
      </c>
      <c r="C308" s="314" t="inlineStr">
        <is>
          <t>Taxes</t>
        </is>
      </c>
      <c r="D308" s="315" t="inlineStr">
        <is>
          <t>Verify current and prior property-tax status, delinquency and payment history.</t>
        </is>
      </c>
      <c r="E308" s="315" t="inlineStr">
        <is>
          <t>Adams County Tax Portal</t>
        </is>
      </c>
      <c r="F308" s="311" t="inlineStr">
        <is>
          <t>Open</t>
        </is>
      </c>
      <c r="G308" s="315" t="inlineStr">
        <is>
          <t>Tax statement and payment history</t>
        </is>
      </c>
      <c r="H308" s="315" t="inlineStr">
        <is>
          <t>Delinquent taxes, omitted taxes, special assessments</t>
        </is>
      </c>
      <c r="I308" s="314" t="inlineStr">
        <is>
          <t>Not Started</t>
        </is>
      </c>
      <c r="J308" s="314" t="n"/>
    </row>
    <row r="309" ht="91" customHeight="1" s="518">
      <c r="B309" s="314" t="n">
        <v>9</v>
      </c>
      <c r="C309" s="314" t="inlineStr">
        <is>
          <t>Tax liens / deed</t>
        </is>
      </c>
      <c r="D309" s="315" t="inlineStr">
        <is>
          <t>Check tax-lien sale and treasurer's deed information when delinquency appears.</t>
        </is>
      </c>
      <c r="E309" s="315" t="inlineStr">
        <is>
          <t>Adams County Tax Lien Sale</t>
        </is>
      </c>
      <c r="F309" s="311" t="inlineStr">
        <is>
          <t>Open</t>
        </is>
      </c>
      <c r="G309" s="315" t="inlineStr">
        <is>
          <t>Tax-lien research notes</t>
        </is>
      </c>
      <c r="H309" s="315" t="inlineStr">
        <is>
          <t>Outstanding certificates, redemption deadlines, treasurer's deed process</t>
        </is>
      </c>
      <c r="I309" s="314" t="inlineStr">
        <is>
          <t>Not Started</t>
        </is>
      </c>
      <c r="J309" s="314" t="n"/>
    </row>
    <row r="310" ht="104" customHeight="1" s="518">
      <c r="B310" s="314" t="n">
        <v>10</v>
      </c>
      <c r="C310" s="314" t="inlineStr">
        <is>
          <t>Foreclosure</t>
        </is>
      </c>
      <c r="D310" s="315" t="inlineStr">
        <is>
          <t>Search public trustee foreclosure records and reports.</t>
        </is>
      </c>
      <c r="E310" s="315" t="inlineStr">
        <is>
          <t>Adams County Foreclosure Search</t>
        </is>
      </c>
      <c r="F310" s="311" t="inlineStr">
        <is>
          <t>Open</t>
        </is>
      </c>
      <c r="G310" s="315" t="inlineStr">
        <is>
          <t>Foreclosure search results</t>
        </is>
      </c>
      <c r="H310" s="315" t="inlineStr">
        <is>
          <t>Active case, sale date, withdrawn/restarted case, borrower-name variants</t>
        </is>
      </c>
      <c r="I310" s="314" t="inlineStr">
        <is>
          <t>Not Started</t>
        </is>
      </c>
      <c r="J310" s="314" t="n"/>
    </row>
    <row r="311" ht="91" customHeight="1" s="518">
      <c r="B311" s="314" t="n">
        <v>11</v>
      </c>
      <c r="C311" s="314" t="inlineStr">
        <is>
          <t>Survey / plat</t>
        </is>
      </c>
      <c r="D311" s="315" t="inlineStr">
        <is>
          <t>Locate recorded plats and surveys; obtain a current survey if boundaries or improvements matter.</t>
        </is>
      </c>
      <c r="E311" s="315" t="inlineStr">
        <is>
          <t>Adams County Land Survey Plats</t>
        </is>
      </c>
      <c r="F311" s="311" t="inlineStr">
        <is>
          <t>Open</t>
        </is>
      </c>
      <c r="G311" s="315" t="inlineStr">
        <is>
          <t>Recorded plat/survey and current field survey when appropriate</t>
        </is>
      </c>
      <c r="H311" s="315" t="inlineStr">
        <is>
          <t>Encroachments, gaps/overlaps, fence conflicts, unrecorded access</t>
        </is>
      </c>
      <c r="I311" s="314" t="inlineStr">
        <is>
          <t>Not Started</t>
        </is>
      </c>
      <c r="J311" s="314" t="n"/>
    </row>
    <row r="312" ht="91" customHeight="1" s="518">
      <c r="B312" s="314" t="n">
        <v>12</v>
      </c>
      <c r="C312" s="314" t="inlineStr">
        <is>
          <t>Zoning district</t>
        </is>
      </c>
      <c r="D312" s="315" t="inlineStr">
        <is>
          <t>Confirm zoning with the correct city/town or Adams County for an unincorporated parcel.</t>
        </is>
      </c>
      <c r="E312" s="315" t="inlineStr">
        <is>
          <t>Quick Matrix / local zoning page</t>
        </is>
      </c>
      <c r="F312" s="314" t="n"/>
      <c r="G312" s="315" t="inlineStr">
        <is>
          <t>Zoning map screenshot and written zoning confirmation when material</t>
        </is>
      </c>
      <c r="H312" s="315" t="inlineStr">
        <is>
          <t>Split zoning, overlay district, pending rezoning, map/code conflict</t>
        </is>
      </c>
      <c r="I312" s="314" t="inlineStr">
        <is>
          <t>Not Started</t>
        </is>
      </c>
      <c r="J312" s="314" t="n"/>
    </row>
    <row r="313" ht="78" customHeight="1" s="518">
      <c r="B313" s="314" t="n">
        <v>13</v>
      </c>
      <c r="C313" s="314" t="inlineStr">
        <is>
          <t>Allowed use</t>
        </is>
      </c>
      <c r="D313" s="315" t="inlineStr">
        <is>
          <t>Read the current code for permitted, conditional, accessory and prohibited uses.</t>
        </is>
      </c>
      <c r="E313" s="315" t="inlineStr">
        <is>
          <t>Local land-use code</t>
        </is>
      </c>
      <c r="F313" s="314" t="n"/>
      <c r="G313" s="315" t="inlineStr">
        <is>
          <t>Code sections and planner confirmation</t>
        </is>
      </c>
      <c r="H313" s="315" t="inlineStr">
        <is>
          <t>Use requires hearing, spacing/separation rule, nonconforming status</t>
        </is>
      </c>
      <c r="I313" s="314" t="inlineStr">
        <is>
          <t>Not Started</t>
        </is>
      </c>
      <c r="J313" s="314" t="n"/>
    </row>
    <row r="314" ht="65" customHeight="1" s="518">
      <c r="B314" s="314" t="n">
        <v>14</v>
      </c>
      <c r="C314" s="314" t="inlineStr">
        <is>
          <t>Dimensional / design standards</t>
        </is>
      </c>
      <c r="D314" s="315" t="inlineStr">
        <is>
          <t>Check setbacks, height, lot coverage, parking, landscaping, design and sign rules.</t>
        </is>
      </c>
      <c r="E314" s="315" t="inlineStr">
        <is>
          <t>Local zoning/development code</t>
        </is>
      </c>
      <c r="F314" s="314" t="n"/>
      <c r="G314" s="315" t="inlineStr">
        <is>
          <t>Applicable standard excerpts</t>
        </is>
      </c>
      <c r="H314" s="315" t="inlineStr">
        <is>
          <t>Existing or proposed improvements do not comply</t>
        </is>
      </c>
      <c r="I314" s="314" t="inlineStr">
        <is>
          <t>Not Started</t>
        </is>
      </c>
      <c r="J314" s="314" t="n"/>
    </row>
    <row r="315" ht="78" customHeight="1" s="518">
      <c r="B315" s="314" t="n">
        <v>15</v>
      </c>
      <c r="C315" s="314" t="inlineStr">
        <is>
          <t>Overlays / constraints</t>
        </is>
      </c>
      <c r="D315" s="315" t="inlineStr">
        <is>
          <t>Check airport, flood, historic, oil/gas, design, corridor and other overlay districts.</t>
        </is>
      </c>
      <c r="E315" s="315" t="inlineStr">
        <is>
          <t>Local GIS + county/state tools</t>
        </is>
      </c>
      <c r="F315" s="314" t="n"/>
      <c r="G315" s="315" t="inlineStr">
        <is>
          <t>Overlay maps and applicable standards</t>
        </is>
      </c>
      <c r="H315" s="315" t="inlineStr">
        <is>
          <t>Overlay adds approval, disclosure or construction limits</t>
        </is>
      </c>
      <c r="I315" s="314" t="inlineStr">
        <is>
          <t>Not Started</t>
        </is>
      </c>
      <c r="J315" s="314" t="n"/>
    </row>
    <row r="316" ht="117" customHeight="1" s="518">
      <c r="B316" s="314" t="n">
        <v>16</v>
      </c>
      <c r="C316" s="314" t="inlineStr">
        <is>
          <t>Future land use</t>
        </is>
      </c>
      <c r="D316" s="315" t="inlineStr">
        <is>
          <t>Review the comprehensive plan, future land-use map and adopted area/corridor plans.</t>
        </is>
      </c>
      <c r="E316" s="315" t="inlineStr">
        <is>
          <t>Local comprehensive/long-range plan</t>
        </is>
      </c>
      <c r="F316" s="314" t="n"/>
      <c r="G316" s="315" t="inlineStr">
        <is>
          <t>Future land-use designation and policy notes</t>
        </is>
      </c>
      <c r="H316" s="315" t="inlineStr">
        <is>
          <t>Future designation conflicts with intended use; planned roadway or redevelopment area</t>
        </is>
      </c>
      <c r="I316" s="314" t="inlineStr">
        <is>
          <t>Not Started</t>
        </is>
      </c>
      <c r="J316" s="314" t="n"/>
    </row>
    <row r="317" ht="117" customHeight="1" s="518">
      <c r="B317" s="314" t="n">
        <v>17</v>
      </c>
      <c r="C317" s="314" t="inlineStr">
        <is>
          <t>Active development</t>
        </is>
      </c>
      <c r="D317" s="315" t="inlineStr">
        <is>
          <t>Search active development maps and project-status portals near the parcel.</t>
        </is>
      </c>
      <c r="E317" s="315" t="inlineStr">
        <is>
          <t>Local development projects page</t>
        </is>
      </c>
      <c r="F317" s="314" t="n"/>
      <c r="G317" s="315" t="inlineStr">
        <is>
          <t>Nearby project list/map</t>
        </is>
      </c>
      <c r="H317" s="315" t="inlineStr">
        <is>
          <t>Large pending project changes traffic, drainage, views, demand or compatibility</t>
        </is>
      </c>
      <c r="I317" s="314" t="inlineStr">
        <is>
          <t>Not Started</t>
        </is>
      </c>
      <c r="J317" s="314" t="n"/>
    </row>
    <row r="318" ht="91" customHeight="1" s="518">
      <c r="B318" s="314" t="n">
        <v>18</v>
      </c>
      <c r="C318" s="314" t="inlineStr">
        <is>
          <t>Hearings / cases</t>
        </is>
      </c>
      <c r="D318" s="315" t="inlineStr">
        <is>
          <t>Search current land-use cases, agendas and public notices by address, owner and project name.</t>
        </is>
      </c>
      <c r="E318" s="315" t="inlineStr">
        <is>
          <t>Meetings &amp; News sheet</t>
        </is>
      </c>
      <c r="F318" s="314" t="n"/>
      <c r="G318" s="315" t="inlineStr">
        <is>
          <t>Agendas, staff reports and hearing notices</t>
        </is>
      </c>
      <c r="H318" s="315" t="inlineStr">
        <is>
          <t>Pending rezoning, variance, annexation, subdivision or code amendment</t>
        </is>
      </c>
      <c r="I318" s="314" t="inlineStr">
        <is>
          <t>Not Started</t>
        </is>
      </c>
      <c r="J318" s="314" t="n"/>
    </row>
    <row r="319" ht="91" customHeight="1" s="518">
      <c r="B319" s="314" t="n">
        <v>19</v>
      </c>
      <c r="C319" s="314" t="inlineStr">
        <is>
          <t>Permit history</t>
        </is>
      </c>
      <c r="D319" s="315" t="inlineStr">
        <is>
          <t>Search building and development permits; request older records when online data is incomplete.</t>
        </is>
      </c>
      <c r="E319" s="315" t="inlineStr">
        <is>
          <t>Local permit portal / public records</t>
        </is>
      </c>
      <c r="F319" s="314" t="n"/>
      <c r="G319" s="315" t="inlineStr">
        <is>
          <t>Permit list, plans, certificates and inspection history</t>
        </is>
      </c>
      <c r="H319" s="315" t="inlineStr">
        <is>
          <t>Unpermitted work, open permit, failed inspection, missing certificate of occupancy</t>
        </is>
      </c>
      <c r="I319" s="314" t="inlineStr">
        <is>
          <t>Not Started</t>
        </is>
      </c>
      <c r="J319" s="314" t="n"/>
    </row>
    <row r="320" ht="104" customHeight="1" s="518">
      <c r="B320" s="314" t="n">
        <v>20</v>
      </c>
      <c r="C320" s="314" t="inlineStr">
        <is>
          <t>Code compliance</t>
        </is>
      </c>
      <c r="D320" s="315" t="inlineStr">
        <is>
          <t>Check for open code cases, violations and nuisance/unsafe-building records.</t>
        </is>
      </c>
      <c r="E320" s="315" t="inlineStr">
        <is>
          <t>Local code enforcement / records request</t>
        </is>
      </c>
      <c r="F320" s="314" t="n"/>
      <c r="G320" s="315" t="inlineStr">
        <is>
          <t>Code case history and clearance confirmation</t>
        </is>
      </c>
      <c r="H320" s="315" t="inlineStr">
        <is>
          <t>Open violation, repeat complaint, abatement lien or unsafe condition</t>
        </is>
      </c>
      <c r="I320" s="314" t="inlineStr">
        <is>
          <t>Not Started</t>
        </is>
      </c>
      <c r="J320" s="314" t="n"/>
    </row>
    <row r="321" ht="104" customHeight="1" s="518">
      <c r="B321" s="314" t="n">
        <v>21</v>
      </c>
      <c r="C321" s="314" t="inlineStr">
        <is>
          <t>Utilities / districts</t>
        </is>
      </c>
      <c r="D321" s="315" t="inlineStr">
        <is>
          <t>Identify water, sewer, fire, metro and other special districts; verify service and fees.</t>
        </is>
      </c>
      <c r="E321" s="315" t="inlineStr">
        <is>
          <t>Colorado Special Districts Map</t>
        </is>
      </c>
      <c r="F321" s="311" t="inlineStr">
        <is>
          <t>Open</t>
        </is>
      </c>
      <c r="G321" s="315" t="inlineStr">
        <is>
          <t>District list, service letters, fee schedules</t>
        </is>
      </c>
      <c r="H321" s="315" t="inlineStr">
        <is>
          <t>No committed service, high tap fees, multiple mill levies, private system</t>
        </is>
      </c>
      <c r="I321" s="314" t="inlineStr">
        <is>
          <t>Not Started</t>
        </is>
      </c>
      <c r="J321" s="314" t="n"/>
    </row>
    <row r="322" ht="91" customHeight="1" s="518">
      <c r="B322" s="314" t="n">
        <v>22</v>
      </c>
      <c r="C322" s="314" t="inlineStr">
        <is>
          <t>Water rights / wells</t>
        </is>
      </c>
      <c r="D322" s="315" t="inlineStr">
        <is>
          <t>Search wells, water rights, ditches and structures that may affect or serve the property.</t>
        </is>
      </c>
      <c r="E322" s="315" t="inlineStr">
        <is>
          <t>Colorado DWR Tools</t>
        </is>
      </c>
      <c r="F322" s="311" t="inlineStr">
        <is>
          <t>Open</t>
        </is>
      </c>
      <c r="G322" s="315" t="inlineStr">
        <is>
          <t>Well permit and water-right/structure records</t>
        </is>
      </c>
      <c r="H322" s="315" t="inlineStr">
        <is>
          <t>Unpermitted well, limited use, ditch easement, no transferable water</t>
        </is>
      </c>
      <c r="I322" s="314" t="inlineStr">
        <is>
          <t>Not Started</t>
        </is>
      </c>
      <c r="J322" s="314" t="n"/>
    </row>
    <row r="323" ht="130" customHeight="1" s="518">
      <c r="B323" s="314" t="n">
        <v>23</v>
      </c>
      <c r="C323" s="314" t="inlineStr">
        <is>
          <t>Flood / drainage</t>
        </is>
      </c>
      <c r="D323" s="315" t="inlineStr">
        <is>
          <t>Check FEMA maps, local floodplain layers, drainage studies and Letters of Map Change.</t>
        </is>
      </c>
      <c r="E323" s="315" t="inlineStr">
        <is>
          <t>FEMA Flood Map Service Center</t>
        </is>
      </c>
      <c r="F323" s="311" t="inlineStr">
        <is>
          <t>Open</t>
        </is>
      </c>
      <c r="G323" s="315" t="inlineStr">
        <is>
          <t>FIRM panel, flood zone, LOMC and local drainage information</t>
        </is>
      </c>
      <c r="H323" s="315" t="inlineStr">
        <is>
          <t>Special Flood Hazard Area, floodway, shallow flooding, required elevation/floodproofing</t>
        </is>
      </c>
      <c r="I323" s="314" t="inlineStr">
        <is>
          <t>Not Started</t>
        </is>
      </c>
      <c r="J323" s="314" t="n"/>
    </row>
    <row r="324" ht="78" customHeight="1" s="518">
      <c r="B324" s="314" t="n">
        <v>24</v>
      </c>
      <c r="C324" s="314" t="inlineStr">
        <is>
          <t>Soils / geotechnical</t>
        </is>
      </c>
      <c r="D324" s="315" t="inlineStr">
        <is>
          <t>Review Web Soil Survey and obtain geotechnical information appropriate to the project.</t>
        </is>
      </c>
      <c r="E324" s="315" t="inlineStr">
        <is>
          <t>USDA Web Soil Survey</t>
        </is>
      </c>
      <c r="F324" s="311" t="inlineStr">
        <is>
          <t>Open</t>
        </is>
      </c>
      <c r="G324" s="315" t="inlineStr">
        <is>
          <t>Soil report and geotechnical report when needed</t>
        </is>
      </c>
      <c r="H324" s="315" t="inlineStr">
        <is>
          <t>Expansive/collapsible soils, high water table, poor bearing or drainage</t>
        </is>
      </c>
      <c r="I324" s="314" t="inlineStr">
        <is>
          <t>Not Started</t>
        </is>
      </c>
      <c r="J324" s="314" t="n"/>
    </row>
    <row r="325" ht="91" customHeight="1" s="518">
      <c r="B325" s="314" t="n">
        <v>25</v>
      </c>
      <c r="C325" s="314" t="inlineStr">
        <is>
          <t>Wetlands / waters</t>
        </is>
      </c>
      <c r="D325" s="315" t="inlineStr">
        <is>
          <t>Screen wetlands and surface waters; determine whether delineation or permits are needed.</t>
        </is>
      </c>
      <c r="E325" s="315" t="inlineStr">
        <is>
          <t>National Wetlands Inventory</t>
        </is>
      </c>
      <c r="F325" s="311" t="inlineStr">
        <is>
          <t>Open</t>
        </is>
      </c>
      <c r="G325" s="315" t="inlineStr">
        <is>
          <t>Wetland map and consultant/agency determination if needed</t>
        </is>
      </c>
      <c r="H325" s="315" t="inlineStr">
        <is>
          <t>Mapped or field-indicated wetlands, jurisdictional waters, buffers</t>
        </is>
      </c>
      <c r="I325" s="314" t="inlineStr">
        <is>
          <t>Not Started</t>
        </is>
      </c>
      <c r="J325" s="314" t="n"/>
    </row>
    <row r="326" ht="104" customHeight="1" s="518">
      <c r="B326" s="314" t="n">
        <v>26</v>
      </c>
      <c r="C326" s="314" t="inlineStr">
        <is>
          <t>Environmental</t>
        </is>
      </c>
      <c r="D326" s="315" t="inlineStr">
        <is>
          <t>Search state and federal cleanup, waste, tank, covenant and Superfund databases.</t>
        </is>
      </c>
      <c r="E326" s="315" t="inlineStr">
        <is>
          <t>CDPHE Environmental Maps</t>
        </is>
      </c>
      <c r="F326" s="311" t="inlineStr">
        <is>
          <t>Open</t>
        </is>
      </c>
      <c r="G326" s="315" t="inlineStr">
        <is>
          <t>Database results and environmental reports</t>
        </is>
      </c>
      <c r="H326" s="315" t="inlineStr">
        <is>
          <t>Cleanup site, environmental covenant, leaking tank, landfill or hazardous facility</t>
        </is>
      </c>
      <c r="I326" s="314" t="inlineStr">
        <is>
          <t>Not Started</t>
        </is>
      </c>
      <c r="J326" s="314" t="n"/>
    </row>
    <row r="327" ht="104" customHeight="1" s="518">
      <c r="B327" s="314" t="n">
        <v>27</v>
      </c>
      <c r="C327" s="314" t="inlineStr">
        <is>
          <t>Oil and gas</t>
        </is>
      </c>
      <c r="D327" s="315" t="inlineStr">
        <is>
          <t>Check ECMC maps for wells, facilities, pipelines and regulatory records.</t>
        </is>
      </c>
      <c r="E327" s="315" t="inlineStr">
        <is>
          <t>ECMC Maps</t>
        </is>
      </c>
      <c r="F327" s="311" t="inlineStr">
        <is>
          <t>Open</t>
        </is>
      </c>
      <c r="G327" s="315" t="inlineStr">
        <is>
          <t>Facility map and relevant records</t>
        </is>
      </c>
      <c r="H327" s="315" t="inlineStr">
        <is>
          <t>Active/abandoned well, flowline, setback issue, remediation or access obligations</t>
        </is>
      </c>
      <c r="I327" s="314" t="inlineStr">
        <is>
          <t>Not Started</t>
        </is>
      </c>
      <c r="J327" s="314" t="n"/>
    </row>
    <row r="328" ht="117" customHeight="1" s="518">
      <c r="B328" s="314" t="n">
        <v>28</v>
      </c>
      <c r="C328" s="314" t="inlineStr">
        <is>
          <t>Access / roads / traffic</t>
        </is>
      </c>
      <c r="D328" s="315" t="inlineStr">
        <is>
          <t>Confirm legal and physical access, road jurisdiction, access permits and traffic conditions.</t>
        </is>
      </c>
      <c r="E328" s="315" t="inlineStr">
        <is>
          <t>Local public works + CDOT OTIS</t>
        </is>
      </c>
      <c r="F328" s="311" t="inlineStr">
        <is>
          <t>Open</t>
        </is>
      </c>
      <c r="G328" s="315" t="inlineStr">
        <is>
          <t>Access documents, road data and agency correspondence</t>
        </is>
      </c>
      <c r="H328" s="315" t="inlineStr">
        <is>
          <t>No legal access, private-road maintenance, access-control restriction, future widening</t>
        </is>
      </c>
      <c r="I328" s="314" t="inlineStr">
        <is>
          <t>Not Started</t>
        </is>
      </c>
      <c r="J328" s="314" t="n"/>
    </row>
    <row r="329" ht="78" customHeight="1" s="518">
      <c r="B329" s="314" t="n">
        <v>29</v>
      </c>
      <c r="C329" s="314" t="inlineStr">
        <is>
          <t>Historic / cultural</t>
        </is>
      </c>
      <c r="D329" s="315" t="inlineStr">
        <is>
          <t>Check local historic overlays and state listed-property/cultural-resource tools.</t>
        </is>
      </c>
      <c r="E329" s="315" t="inlineStr">
        <is>
          <t>History Colorado Listed Properties</t>
        </is>
      </c>
      <c r="F329" s="311" t="inlineStr">
        <is>
          <t>Open</t>
        </is>
      </c>
      <c r="G329" s="315" t="inlineStr">
        <is>
          <t>Historic-status records and review requirements</t>
        </is>
      </c>
      <c r="H329" s="315" t="inlineStr">
        <is>
          <t>Designation or eligible resource limits demolition/alteration</t>
        </is>
      </c>
      <c r="I329" s="314" t="inlineStr">
        <is>
          <t>Not Started</t>
        </is>
      </c>
      <c r="J329" s="314" t="n"/>
    </row>
    <row r="330" ht="91" customHeight="1" s="518">
      <c r="B330" s="314" t="n">
        <v>30</v>
      </c>
      <c r="C330" s="314" t="inlineStr">
        <is>
          <t>HOA / covenants</t>
        </is>
      </c>
      <c r="D330" s="315" t="inlineStr">
        <is>
          <t>Search recorded declarations and confirm HOA registration, governing documents, dues and violations.</t>
        </is>
      </c>
      <c r="E330" s="315" t="inlineStr">
        <is>
          <t>Colorado HOA Center + county recorder</t>
        </is>
      </c>
      <c r="F330" s="311" t="inlineStr">
        <is>
          <t>Open</t>
        </is>
      </c>
      <c r="G330" s="315" t="inlineStr">
        <is>
          <t>Declarations, bylaws, budgets, status letter and registration</t>
        </is>
      </c>
      <c r="H330" s="315" t="inlineStr">
        <is>
          <t>Unregistered association, litigation, special assessment, rental/use restrictions</t>
        </is>
      </c>
      <c r="I330" s="314" t="inlineStr">
        <is>
          <t>Not Started</t>
        </is>
      </c>
      <c r="J330" s="314" t="n"/>
    </row>
    <row r="331" ht="91" customHeight="1" s="518">
      <c r="B331" s="314" t="n">
        <v>31</v>
      </c>
      <c r="C331" s="314" t="inlineStr">
        <is>
          <t>Entities / UCC</t>
        </is>
      </c>
      <c r="D331" s="315" t="inlineStr">
        <is>
          <t>Research seller/owner/applicant entities and UCC records where relevant.</t>
        </is>
      </c>
      <c r="E331" s="315" t="inlineStr">
        <is>
          <t>Colorado business and UCC searches</t>
        </is>
      </c>
      <c r="F331" s="311" t="inlineStr">
        <is>
          <t>Open</t>
        </is>
      </c>
      <c r="G331" s="315" t="inlineStr">
        <is>
          <t>Entity filings, good-standing information and UCC results</t>
        </is>
      </c>
      <c r="H331" s="315" t="inlineStr">
        <is>
          <t>Dissolved entity, authority problem, secured filing, name mismatch</t>
        </is>
      </c>
      <c r="I331" s="314" t="inlineStr">
        <is>
          <t>Not Started</t>
        </is>
      </c>
      <c r="J331" s="314" t="n"/>
    </row>
    <row r="332" ht="91" customHeight="1" s="518">
      <c r="B332" s="314" t="n">
        <v>32</v>
      </c>
      <c r="C332" s="314" t="inlineStr">
        <is>
          <t>Final verification</t>
        </is>
      </c>
      <c r="D332" s="315" t="inlineStr">
        <is>
          <t>Confirm material conclusions with the responsible agency, title company, surveyor, engineer, planner and legal counsel.</t>
        </is>
      </c>
      <c r="E332" s="315" t="inlineStr">
        <is>
          <t>Responsible professionals and agencies</t>
        </is>
      </c>
      <c r="F332" s="314" t="n"/>
      <c r="G332" s="315" t="inlineStr">
        <is>
          <t>Written confirmations and final diligence memo</t>
        </is>
      </c>
      <c r="H332" s="315" t="inlineStr">
        <is>
          <t>Reliance only on GIS or informal web information; unresolved conflicts</t>
        </is>
      </c>
      <c r="I332" s="314" t="inlineStr">
        <is>
          <t>Not Started</t>
        </is>
      </c>
      <c r="J332" s="314" t="n"/>
    </row>
  </sheetData>
  <autoFilter ref="B4:H296"/>
  <dataValidations count="1">
    <dataValidation sqref="I301:I332" showDropDown="0" showInputMessage="0" showErrorMessage="0" allowBlank="1" type="list">
      <formula1>"Not Started,In Progress,Complete,N/A"</formula1>
    </dataValidation>
  </dataValidations>
  <hyperlinks>
    <hyperlink xmlns:r="http://schemas.openxmlformats.org/officeDocument/2006/relationships" ref="G5" r:id="rId1"/>
    <hyperlink xmlns:r="http://schemas.openxmlformats.org/officeDocument/2006/relationships" ref="G6" r:id="rId2"/>
    <hyperlink xmlns:r="http://schemas.openxmlformats.org/officeDocument/2006/relationships" ref="G7" r:id="rId3"/>
    <hyperlink xmlns:r="http://schemas.openxmlformats.org/officeDocument/2006/relationships" ref="G8" r:id="rId4"/>
    <hyperlink xmlns:r="http://schemas.openxmlformats.org/officeDocument/2006/relationships" ref="G9" r:id="rId5"/>
    <hyperlink xmlns:r="http://schemas.openxmlformats.org/officeDocument/2006/relationships" ref="G10" r:id="rId6"/>
    <hyperlink xmlns:r="http://schemas.openxmlformats.org/officeDocument/2006/relationships" ref="G11" r:id="rId7"/>
    <hyperlink xmlns:r="http://schemas.openxmlformats.org/officeDocument/2006/relationships" ref="G12" r:id="rId8"/>
    <hyperlink xmlns:r="http://schemas.openxmlformats.org/officeDocument/2006/relationships" ref="G13" r:id="rId9"/>
    <hyperlink xmlns:r="http://schemas.openxmlformats.org/officeDocument/2006/relationships" ref="G14" r:id="rId10"/>
    <hyperlink xmlns:r="http://schemas.openxmlformats.org/officeDocument/2006/relationships" ref="G15" r:id="rId11"/>
    <hyperlink xmlns:r="http://schemas.openxmlformats.org/officeDocument/2006/relationships" ref="G16" r:id="rId12"/>
    <hyperlink xmlns:r="http://schemas.openxmlformats.org/officeDocument/2006/relationships" ref="G17" r:id="rId13"/>
    <hyperlink xmlns:r="http://schemas.openxmlformats.org/officeDocument/2006/relationships" ref="G18" r:id="rId14"/>
    <hyperlink xmlns:r="http://schemas.openxmlformats.org/officeDocument/2006/relationships" ref="G19" r:id="rId15"/>
    <hyperlink xmlns:r="http://schemas.openxmlformats.org/officeDocument/2006/relationships" ref="G20" r:id="rId16"/>
    <hyperlink xmlns:r="http://schemas.openxmlformats.org/officeDocument/2006/relationships" ref="G21" r:id="rId17"/>
    <hyperlink xmlns:r="http://schemas.openxmlformats.org/officeDocument/2006/relationships" ref="G22" r:id="rId18"/>
    <hyperlink xmlns:r="http://schemas.openxmlformats.org/officeDocument/2006/relationships" ref="G23" r:id="rId19"/>
    <hyperlink xmlns:r="http://schemas.openxmlformats.org/officeDocument/2006/relationships" ref="G24" r:id="rId20"/>
    <hyperlink xmlns:r="http://schemas.openxmlformats.org/officeDocument/2006/relationships" ref="G25" r:id="rId21"/>
    <hyperlink xmlns:r="http://schemas.openxmlformats.org/officeDocument/2006/relationships" ref="G26" r:id="rId22"/>
    <hyperlink xmlns:r="http://schemas.openxmlformats.org/officeDocument/2006/relationships" ref="G27" r:id="rId23"/>
    <hyperlink xmlns:r="http://schemas.openxmlformats.org/officeDocument/2006/relationships" ref="G28" r:id="rId24"/>
    <hyperlink xmlns:r="http://schemas.openxmlformats.org/officeDocument/2006/relationships" ref="G29" r:id="rId25"/>
    <hyperlink xmlns:r="http://schemas.openxmlformats.org/officeDocument/2006/relationships" ref="G30" r:id="rId26"/>
    <hyperlink xmlns:r="http://schemas.openxmlformats.org/officeDocument/2006/relationships" ref="G31" r:id="rId27"/>
    <hyperlink xmlns:r="http://schemas.openxmlformats.org/officeDocument/2006/relationships" ref="G32" r:id="rId28"/>
    <hyperlink xmlns:r="http://schemas.openxmlformats.org/officeDocument/2006/relationships" ref="G33" r:id="rId29"/>
    <hyperlink xmlns:r="http://schemas.openxmlformats.org/officeDocument/2006/relationships" ref="G34" r:id="rId30"/>
    <hyperlink xmlns:r="http://schemas.openxmlformats.org/officeDocument/2006/relationships" ref="G35" r:id="rId31"/>
    <hyperlink xmlns:r="http://schemas.openxmlformats.org/officeDocument/2006/relationships" ref="G36" r:id="rId32"/>
    <hyperlink xmlns:r="http://schemas.openxmlformats.org/officeDocument/2006/relationships" ref="G37" r:id="rId33"/>
    <hyperlink xmlns:r="http://schemas.openxmlformats.org/officeDocument/2006/relationships" ref="G38" r:id="rId34"/>
    <hyperlink xmlns:r="http://schemas.openxmlformats.org/officeDocument/2006/relationships" ref="G39" r:id="rId35"/>
    <hyperlink xmlns:r="http://schemas.openxmlformats.org/officeDocument/2006/relationships" ref="G40" r:id="rId36"/>
    <hyperlink xmlns:r="http://schemas.openxmlformats.org/officeDocument/2006/relationships" ref="G41" r:id="rId37"/>
    <hyperlink xmlns:r="http://schemas.openxmlformats.org/officeDocument/2006/relationships" ref="G42" r:id="rId38"/>
    <hyperlink xmlns:r="http://schemas.openxmlformats.org/officeDocument/2006/relationships" ref="G43" r:id="rId39"/>
    <hyperlink xmlns:r="http://schemas.openxmlformats.org/officeDocument/2006/relationships" ref="G44" r:id="rId40"/>
    <hyperlink xmlns:r="http://schemas.openxmlformats.org/officeDocument/2006/relationships" ref="G45" r:id="rId41"/>
    <hyperlink xmlns:r="http://schemas.openxmlformats.org/officeDocument/2006/relationships" ref="G46" r:id="rId42"/>
    <hyperlink xmlns:r="http://schemas.openxmlformats.org/officeDocument/2006/relationships" ref="G47" r:id="rId43"/>
    <hyperlink xmlns:r="http://schemas.openxmlformats.org/officeDocument/2006/relationships" ref="G48" r:id="rId44"/>
    <hyperlink xmlns:r="http://schemas.openxmlformats.org/officeDocument/2006/relationships" ref="G49" r:id="rId45"/>
    <hyperlink xmlns:r="http://schemas.openxmlformats.org/officeDocument/2006/relationships" ref="G50" r:id="rId46"/>
    <hyperlink xmlns:r="http://schemas.openxmlformats.org/officeDocument/2006/relationships" ref="G51" r:id="rId47"/>
    <hyperlink xmlns:r="http://schemas.openxmlformats.org/officeDocument/2006/relationships" ref="G52" r:id="rId48"/>
    <hyperlink xmlns:r="http://schemas.openxmlformats.org/officeDocument/2006/relationships" ref="G53" r:id="rId49"/>
    <hyperlink xmlns:r="http://schemas.openxmlformats.org/officeDocument/2006/relationships" ref="G54" r:id="rId50"/>
    <hyperlink xmlns:r="http://schemas.openxmlformats.org/officeDocument/2006/relationships" ref="G55" r:id="rId51"/>
    <hyperlink xmlns:r="http://schemas.openxmlformats.org/officeDocument/2006/relationships" ref="G56" r:id="rId52"/>
    <hyperlink xmlns:r="http://schemas.openxmlformats.org/officeDocument/2006/relationships" ref="G57" r:id="rId53"/>
    <hyperlink xmlns:r="http://schemas.openxmlformats.org/officeDocument/2006/relationships" ref="G58" r:id="rId54"/>
    <hyperlink xmlns:r="http://schemas.openxmlformats.org/officeDocument/2006/relationships" ref="G59" r:id="rId55"/>
    <hyperlink xmlns:r="http://schemas.openxmlformats.org/officeDocument/2006/relationships" ref="G60" r:id="rId56"/>
    <hyperlink xmlns:r="http://schemas.openxmlformats.org/officeDocument/2006/relationships" ref="G61" r:id="rId57"/>
    <hyperlink xmlns:r="http://schemas.openxmlformats.org/officeDocument/2006/relationships" ref="G62" r:id="rId58"/>
    <hyperlink xmlns:r="http://schemas.openxmlformats.org/officeDocument/2006/relationships" ref="G63" r:id="rId59"/>
    <hyperlink xmlns:r="http://schemas.openxmlformats.org/officeDocument/2006/relationships" ref="G64" r:id="rId60"/>
    <hyperlink xmlns:r="http://schemas.openxmlformats.org/officeDocument/2006/relationships" ref="G65" r:id="rId61"/>
    <hyperlink xmlns:r="http://schemas.openxmlformats.org/officeDocument/2006/relationships" ref="G66" r:id="rId62"/>
    <hyperlink xmlns:r="http://schemas.openxmlformats.org/officeDocument/2006/relationships" ref="G67" r:id="rId63"/>
    <hyperlink xmlns:r="http://schemas.openxmlformats.org/officeDocument/2006/relationships" ref="G68" r:id="rId64"/>
    <hyperlink xmlns:r="http://schemas.openxmlformats.org/officeDocument/2006/relationships" ref="G69" r:id="rId65"/>
    <hyperlink xmlns:r="http://schemas.openxmlformats.org/officeDocument/2006/relationships" ref="G70" r:id="rId66"/>
    <hyperlink xmlns:r="http://schemas.openxmlformats.org/officeDocument/2006/relationships" ref="G71" r:id="rId67"/>
    <hyperlink xmlns:r="http://schemas.openxmlformats.org/officeDocument/2006/relationships" ref="G72" r:id="rId68"/>
    <hyperlink xmlns:r="http://schemas.openxmlformats.org/officeDocument/2006/relationships" ref="G73" r:id="rId69"/>
    <hyperlink xmlns:r="http://schemas.openxmlformats.org/officeDocument/2006/relationships" ref="G74" r:id="rId70"/>
    <hyperlink xmlns:r="http://schemas.openxmlformats.org/officeDocument/2006/relationships" ref="G75" r:id="rId71"/>
    <hyperlink xmlns:r="http://schemas.openxmlformats.org/officeDocument/2006/relationships" ref="G76" r:id="rId72"/>
    <hyperlink xmlns:r="http://schemas.openxmlformats.org/officeDocument/2006/relationships" ref="G77" r:id="rId73"/>
    <hyperlink xmlns:r="http://schemas.openxmlformats.org/officeDocument/2006/relationships" ref="G78" r:id="rId74"/>
    <hyperlink xmlns:r="http://schemas.openxmlformats.org/officeDocument/2006/relationships" ref="G79" r:id="rId75"/>
    <hyperlink xmlns:r="http://schemas.openxmlformats.org/officeDocument/2006/relationships" ref="G80" r:id="rId76"/>
    <hyperlink xmlns:r="http://schemas.openxmlformats.org/officeDocument/2006/relationships" ref="G81" r:id="rId77"/>
    <hyperlink xmlns:r="http://schemas.openxmlformats.org/officeDocument/2006/relationships" ref="G82" r:id="rId78"/>
    <hyperlink xmlns:r="http://schemas.openxmlformats.org/officeDocument/2006/relationships" ref="G83" r:id="rId79"/>
    <hyperlink xmlns:r="http://schemas.openxmlformats.org/officeDocument/2006/relationships" ref="G84" r:id="rId80"/>
    <hyperlink xmlns:r="http://schemas.openxmlformats.org/officeDocument/2006/relationships" ref="G85" r:id="rId81"/>
    <hyperlink xmlns:r="http://schemas.openxmlformats.org/officeDocument/2006/relationships" ref="G86" r:id="rId82"/>
    <hyperlink xmlns:r="http://schemas.openxmlformats.org/officeDocument/2006/relationships" ref="G87" r:id="rId83"/>
    <hyperlink xmlns:r="http://schemas.openxmlformats.org/officeDocument/2006/relationships" ref="G88" r:id="rId84"/>
    <hyperlink xmlns:r="http://schemas.openxmlformats.org/officeDocument/2006/relationships" ref="G89" r:id="rId85"/>
    <hyperlink xmlns:r="http://schemas.openxmlformats.org/officeDocument/2006/relationships" ref="G90" r:id="rId86"/>
    <hyperlink xmlns:r="http://schemas.openxmlformats.org/officeDocument/2006/relationships" ref="G91" r:id="rId87"/>
    <hyperlink xmlns:r="http://schemas.openxmlformats.org/officeDocument/2006/relationships" ref="G92" r:id="rId88"/>
    <hyperlink xmlns:r="http://schemas.openxmlformats.org/officeDocument/2006/relationships" ref="G93" r:id="rId89"/>
    <hyperlink xmlns:r="http://schemas.openxmlformats.org/officeDocument/2006/relationships" ref="G94" r:id="rId90"/>
    <hyperlink xmlns:r="http://schemas.openxmlformats.org/officeDocument/2006/relationships" ref="G95" r:id="rId91"/>
    <hyperlink xmlns:r="http://schemas.openxmlformats.org/officeDocument/2006/relationships" ref="G96" r:id="rId92"/>
    <hyperlink xmlns:r="http://schemas.openxmlformats.org/officeDocument/2006/relationships" ref="G97" r:id="rId93"/>
    <hyperlink xmlns:r="http://schemas.openxmlformats.org/officeDocument/2006/relationships" ref="G98" r:id="rId94"/>
    <hyperlink xmlns:r="http://schemas.openxmlformats.org/officeDocument/2006/relationships" ref="G99" r:id="rId95"/>
    <hyperlink xmlns:r="http://schemas.openxmlformats.org/officeDocument/2006/relationships" ref="G100" r:id="rId96"/>
    <hyperlink xmlns:r="http://schemas.openxmlformats.org/officeDocument/2006/relationships" ref="G101" r:id="rId97"/>
    <hyperlink xmlns:r="http://schemas.openxmlformats.org/officeDocument/2006/relationships" ref="G102" r:id="rId98"/>
    <hyperlink xmlns:r="http://schemas.openxmlformats.org/officeDocument/2006/relationships" ref="G103" r:id="rId99"/>
    <hyperlink xmlns:r="http://schemas.openxmlformats.org/officeDocument/2006/relationships" ref="G104" r:id="rId100"/>
    <hyperlink xmlns:r="http://schemas.openxmlformats.org/officeDocument/2006/relationships" ref="G105" r:id="rId101"/>
    <hyperlink xmlns:r="http://schemas.openxmlformats.org/officeDocument/2006/relationships" ref="G106" r:id="rId102"/>
    <hyperlink xmlns:r="http://schemas.openxmlformats.org/officeDocument/2006/relationships" ref="G107" r:id="rId103"/>
    <hyperlink xmlns:r="http://schemas.openxmlformats.org/officeDocument/2006/relationships" ref="G108" r:id="rId104"/>
    <hyperlink xmlns:r="http://schemas.openxmlformats.org/officeDocument/2006/relationships" ref="G109" r:id="rId105"/>
    <hyperlink xmlns:r="http://schemas.openxmlformats.org/officeDocument/2006/relationships" ref="G110" r:id="rId106"/>
    <hyperlink xmlns:r="http://schemas.openxmlformats.org/officeDocument/2006/relationships" ref="G111" r:id="rId107"/>
    <hyperlink xmlns:r="http://schemas.openxmlformats.org/officeDocument/2006/relationships" ref="G112" r:id="rId108"/>
    <hyperlink xmlns:r="http://schemas.openxmlformats.org/officeDocument/2006/relationships" ref="G113" r:id="rId109"/>
    <hyperlink xmlns:r="http://schemas.openxmlformats.org/officeDocument/2006/relationships" ref="G114" r:id="rId110"/>
    <hyperlink xmlns:r="http://schemas.openxmlformats.org/officeDocument/2006/relationships" ref="G115" r:id="rId111"/>
    <hyperlink xmlns:r="http://schemas.openxmlformats.org/officeDocument/2006/relationships" ref="G116" r:id="rId112"/>
    <hyperlink xmlns:r="http://schemas.openxmlformats.org/officeDocument/2006/relationships" ref="G117" r:id="rId113"/>
    <hyperlink xmlns:r="http://schemas.openxmlformats.org/officeDocument/2006/relationships" ref="G118" r:id="rId114"/>
    <hyperlink xmlns:r="http://schemas.openxmlformats.org/officeDocument/2006/relationships" ref="G119" r:id="rId115"/>
    <hyperlink xmlns:r="http://schemas.openxmlformats.org/officeDocument/2006/relationships" ref="G120" r:id="rId116"/>
    <hyperlink xmlns:r="http://schemas.openxmlformats.org/officeDocument/2006/relationships" ref="G121" r:id="rId117"/>
    <hyperlink xmlns:r="http://schemas.openxmlformats.org/officeDocument/2006/relationships" ref="G122" r:id="rId118"/>
    <hyperlink xmlns:r="http://schemas.openxmlformats.org/officeDocument/2006/relationships" ref="G123" r:id="rId119"/>
    <hyperlink xmlns:r="http://schemas.openxmlformats.org/officeDocument/2006/relationships" ref="G124" r:id="rId120"/>
    <hyperlink xmlns:r="http://schemas.openxmlformats.org/officeDocument/2006/relationships" ref="G125" r:id="rId121"/>
    <hyperlink xmlns:r="http://schemas.openxmlformats.org/officeDocument/2006/relationships" ref="G126" r:id="rId122"/>
    <hyperlink xmlns:r="http://schemas.openxmlformats.org/officeDocument/2006/relationships" ref="G127" r:id="rId123"/>
    <hyperlink xmlns:r="http://schemas.openxmlformats.org/officeDocument/2006/relationships" ref="G128" r:id="rId124"/>
    <hyperlink xmlns:r="http://schemas.openxmlformats.org/officeDocument/2006/relationships" ref="G129" r:id="rId125"/>
    <hyperlink xmlns:r="http://schemas.openxmlformats.org/officeDocument/2006/relationships" ref="G130" r:id="rId126"/>
    <hyperlink xmlns:r="http://schemas.openxmlformats.org/officeDocument/2006/relationships" ref="G131" r:id="rId127"/>
    <hyperlink xmlns:r="http://schemas.openxmlformats.org/officeDocument/2006/relationships" ref="G132" r:id="rId128"/>
    <hyperlink xmlns:r="http://schemas.openxmlformats.org/officeDocument/2006/relationships" ref="G133" r:id="rId129"/>
    <hyperlink xmlns:r="http://schemas.openxmlformats.org/officeDocument/2006/relationships" ref="G134" r:id="rId130"/>
    <hyperlink xmlns:r="http://schemas.openxmlformats.org/officeDocument/2006/relationships" ref="G135" r:id="rId131"/>
    <hyperlink xmlns:r="http://schemas.openxmlformats.org/officeDocument/2006/relationships" ref="G136" r:id="rId132"/>
    <hyperlink xmlns:r="http://schemas.openxmlformats.org/officeDocument/2006/relationships" ref="G137" r:id="rId133"/>
    <hyperlink xmlns:r="http://schemas.openxmlformats.org/officeDocument/2006/relationships" ref="G138" r:id="rId134"/>
    <hyperlink xmlns:r="http://schemas.openxmlformats.org/officeDocument/2006/relationships" ref="G139" r:id="rId135"/>
    <hyperlink xmlns:r="http://schemas.openxmlformats.org/officeDocument/2006/relationships" ref="G140" r:id="rId136"/>
    <hyperlink xmlns:r="http://schemas.openxmlformats.org/officeDocument/2006/relationships" ref="G141" r:id="rId137"/>
    <hyperlink xmlns:r="http://schemas.openxmlformats.org/officeDocument/2006/relationships" ref="G142" r:id="rId138"/>
    <hyperlink xmlns:r="http://schemas.openxmlformats.org/officeDocument/2006/relationships" ref="G143" r:id="rId139"/>
    <hyperlink xmlns:r="http://schemas.openxmlformats.org/officeDocument/2006/relationships" ref="G144" r:id="rId140"/>
    <hyperlink xmlns:r="http://schemas.openxmlformats.org/officeDocument/2006/relationships" ref="G145" r:id="rId141"/>
    <hyperlink xmlns:r="http://schemas.openxmlformats.org/officeDocument/2006/relationships" ref="G146" r:id="rId142"/>
    <hyperlink xmlns:r="http://schemas.openxmlformats.org/officeDocument/2006/relationships" ref="G147" r:id="rId143"/>
    <hyperlink xmlns:r="http://schemas.openxmlformats.org/officeDocument/2006/relationships" ref="G148" r:id="rId144"/>
    <hyperlink xmlns:r="http://schemas.openxmlformats.org/officeDocument/2006/relationships" ref="G149" r:id="rId145"/>
    <hyperlink xmlns:r="http://schemas.openxmlformats.org/officeDocument/2006/relationships" ref="G150" r:id="rId146"/>
    <hyperlink xmlns:r="http://schemas.openxmlformats.org/officeDocument/2006/relationships" ref="G151" r:id="rId147"/>
    <hyperlink xmlns:r="http://schemas.openxmlformats.org/officeDocument/2006/relationships" ref="G152" r:id="rId148"/>
    <hyperlink xmlns:r="http://schemas.openxmlformats.org/officeDocument/2006/relationships" ref="G153" r:id="rId149"/>
    <hyperlink xmlns:r="http://schemas.openxmlformats.org/officeDocument/2006/relationships" ref="G154" r:id="rId150"/>
    <hyperlink xmlns:r="http://schemas.openxmlformats.org/officeDocument/2006/relationships" ref="G155" r:id="rId151"/>
    <hyperlink xmlns:r="http://schemas.openxmlformats.org/officeDocument/2006/relationships" ref="G156" r:id="rId152"/>
    <hyperlink xmlns:r="http://schemas.openxmlformats.org/officeDocument/2006/relationships" ref="G157" r:id="rId153"/>
    <hyperlink xmlns:r="http://schemas.openxmlformats.org/officeDocument/2006/relationships" ref="G158" r:id="rId154"/>
    <hyperlink xmlns:r="http://schemas.openxmlformats.org/officeDocument/2006/relationships" ref="G159" r:id="rId155"/>
    <hyperlink xmlns:r="http://schemas.openxmlformats.org/officeDocument/2006/relationships" ref="G160" r:id="rId156"/>
    <hyperlink xmlns:r="http://schemas.openxmlformats.org/officeDocument/2006/relationships" ref="G161" r:id="rId157"/>
    <hyperlink xmlns:r="http://schemas.openxmlformats.org/officeDocument/2006/relationships" ref="G162" r:id="rId158"/>
    <hyperlink xmlns:r="http://schemas.openxmlformats.org/officeDocument/2006/relationships" ref="G163" r:id="rId159"/>
    <hyperlink xmlns:r="http://schemas.openxmlformats.org/officeDocument/2006/relationships" ref="G164" r:id="rId160"/>
    <hyperlink xmlns:r="http://schemas.openxmlformats.org/officeDocument/2006/relationships" ref="G165" r:id="rId161"/>
    <hyperlink xmlns:r="http://schemas.openxmlformats.org/officeDocument/2006/relationships" ref="G166" r:id="rId162"/>
    <hyperlink xmlns:r="http://schemas.openxmlformats.org/officeDocument/2006/relationships" ref="G167" r:id="rId163"/>
    <hyperlink xmlns:r="http://schemas.openxmlformats.org/officeDocument/2006/relationships" ref="G168" r:id="rId164"/>
    <hyperlink xmlns:r="http://schemas.openxmlformats.org/officeDocument/2006/relationships" ref="G169" r:id="rId165"/>
    <hyperlink xmlns:r="http://schemas.openxmlformats.org/officeDocument/2006/relationships" ref="G170" r:id="rId166"/>
    <hyperlink xmlns:r="http://schemas.openxmlformats.org/officeDocument/2006/relationships" ref="G171" r:id="rId167"/>
    <hyperlink xmlns:r="http://schemas.openxmlformats.org/officeDocument/2006/relationships" ref="G172" r:id="rId168"/>
    <hyperlink xmlns:r="http://schemas.openxmlformats.org/officeDocument/2006/relationships" ref="G173" r:id="rId169"/>
    <hyperlink xmlns:r="http://schemas.openxmlformats.org/officeDocument/2006/relationships" ref="G174" r:id="rId170"/>
    <hyperlink xmlns:r="http://schemas.openxmlformats.org/officeDocument/2006/relationships" ref="G175" r:id="rId171"/>
    <hyperlink xmlns:r="http://schemas.openxmlformats.org/officeDocument/2006/relationships" ref="G176" r:id="rId172"/>
    <hyperlink xmlns:r="http://schemas.openxmlformats.org/officeDocument/2006/relationships" ref="G177" r:id="rId173"/>
    <hyperlink xmlns:r="http://schemas.openxmlformats.org/officeDocument/2006/relationships" ref="G178" r:id="rId174"/>
    <hyperlink xmlns:r="http://schemas.openxmlformats.org/officeDocument/2006/relationships" ref="G179" r:id="rId175"/>
    <hyperlink xmlns:r="http://schemas.openxmlformats.org/officeDocument/2006/relationships" ref="G180" r:id="rId176"/>
    <hyperlink xmlns:r="http://schemas.openxmlformats.org/officeDocument/2006/relationships" ref="G181" r:id="rId177"/>
    <hyperlink xmlns:r="http://schemas.openxmlformats.org/officeDocument/2006/relationships" ref="G182" r:id="rId178"/>
    <hyperlink xmlns:r="http://schemas.openxmlformats.org/officeDocument/2006/relationships" ref="G183" r:id="rId179"/>
    <hyperlink xmlns:r="http://schemas.openxmlformats.org/officeDocument/2006/relationships" ref="G184" r:id="rId180"/>
    <hyperlink xmlns:r="http://schemas.openxmlformats.org/officeDocument/2006/relationships" ref="G185" r:id="rId181"/>
    <hyperlink xmlns:r="http://schemas.openxmlformats.org/officeDocument/2006/relationships" ref="G186" r:id="rId182"/>
    <hyperlink xmlns:r="http://schemas.openxmlformats.org/officeDocument/2006/relationships" ref="G187" r:id="rId183"/>
    <hyperlink xmlns:r="http://schemas.openxmlformats.org/officeDocument/2006/relationships" ref="G188" r:id="rId184"/>
    <hyperlink xmlns:r="http://schemas.openxmlformats.org/officeDocument/2006/relationships" ref="G189" r:id="rId185"/>
    <hyperlink xmlns:r="http://schemas.openxmlformats.org/officeDocument/2006/relationships" ref="G190" r:id="rId186"/>
    <hyperlink xmlns:r="http://schemas.openxmlformats.org/officeDocument/2006/relationships" ref="G191" r:id="rId187"/>
    <hyperlink xmlns:r="http://schemas.openxmlformats.org/officeDocument/2006/relationships" ref="G192" r:id="rId188"/>
    <hyperlink xmlns:r="http://schemas.openxmlformats.org/officeDocument/2006/relationships" ref="G193" r:id="rId189"/>
    <hyperlink xmlns:r="http://schemas.openxmlformats.org/officeDocument/2006/relationships" ref="G194" r:id="rId190"/>
    <hyperlink xmlns:r="http://schemas.openxmlformats.org/officeDocument/2006/relationships" ref="G195" r:id="rId191"/>
    <hyperlink xmlns:r="http://schemas.openxmlformats.org/officeDocument/2006/relationships" ref="G196" r:id="rId192"/>
    <hyperlink xmlns:r="http://schemas.openxmlformats.org/officeDocument/2006/relationships" ref="G197" r:id="rId193"/>
    <hyperlink xmlns:r="http://schemas.openxmlformats.org/officeDocument/2006/relationships" ref="G198" r:id="rId194"/>
    <hyperlink xmlns:r="http://schemas.openxmlformats.org/officeDocument/2006/relationships" ref="G199" r:id="rId195"/>
    <hyperlink xmlns:r="http://schemas.openxmlformats.org/officeDocument/2006/relationships" ref="G200" r:id="rId196"/>
    <hyperlink xmlns:r="http://schemas.openxmlformats.org/officeDocument/2006/relationships" ref="G201" r:id="rId197"/>
    <hyperlink xmlns:r="http://schemas.openxmlformats.org/officeDocument/2006/relationships" ref="G202" r:id="rId198"/>
    <hyperlink xmlns:r="http://schemas.openxmlformats.org/officeDocument/2006/relationships" ref="G203" r:id="rId199"/>
    <hyperlink xmlns:r="http://schemas.openxmlformats.org/officeDocument/2006/relationships" ref="G204" r:id="rId200"/>
    <hyperlink xmlns:r="http://schemas.openxmlformats.org/officeDocument/2006/relationships" ref="G205" r:id="rId201"/>
    <hyperlink xmlns:r="http://schemas.openxmlformats.org/officeDocument/2006/relationships" ref="G206" r:id="rId202"/>
    <hyperlink xmlns:r="http://schemas.openxmlformats.org/officeDocument/2006/relationships" ref="G207" r:id="rId203"/>
    <hyperlink xmlns:r="http://schemas.openxmlformats.org/officeDocument/2006/relationships" ref="G208" r:id="rId204"/>
    <hyperlink xmlns:r="http://schemas.openxmlformats.org/officeDocument/2006/relationships" ref="G209" r:id="rId205"/>
    <hyperlink xmlns:r="http://schemas.openxmlformats.org/officeDocument/2006/relationships" ref="G210" r:id="rId206"/>
    <hyperlink xmlns:r="http://schemas.openxmlformats.org/officeDocument/2006/relationships" ref="G211" r:id="rId207"/>
    <hyperlink xmlns:r="http://schemas.openxmlformats.org/officeDocument/2006/relationships" ref="G212" r:id="rId208"/>
    <hyperlink xmlns:r="http://schemas.openxmlformats.org/officeDocument/2006/relationships" ref="G213" r:id="rId209"/>
    <hyperlink xmlns:r="http://schemas.openxmlformats.org/officeDocument/2006/relationships" ref="G214" r:id="rId210"/>
    <hyperlink xmlns:r="http://schemas.openxmlformats.org/officeDocument/2006/relationships" ref="G215" r:id="rId211"/>
    <hyperlink xmlns:r="http://schemas.openxmlformats.org/officeDocument/2006/relationships" ref="G216" r:id="rId212"/>
    <hyperlink xmlns:r="http://schemas.openxmlformats.org/officeDocument/2006/relationships" ref="G217" r:id="rId213"/>
    <hyperlink xmlns:r="http://schemas.openxmlformats.org/officeDocument/2006/relationships" ref="G218" r:id="rId214"/>
    <hyperlink xmlns:r="http://schemas.openxmlformats.org/officeDocument/2006/relationships" ref="G219" r:id="rId215"/>
    <hyperlink xmlns:r="http://schemas.openxmlformats.org/officeDocument/2006/relationships" ref="G220" r:id="rId216"/>
    <hyperlink xmlns:r="http://schemas.openxmlformats.org/officeDocument/2006/relationships" ref="G221" r:id="rId217"/>
    <hyperlink xmlns:r="http://schemas.openxmlformats.org/officeDocument/2006/relationships" ref="G222" r:id="rId218"/>
    <hyperlink xmlns:r="http://schemas.openxmlformats.org/officeDocument/2006/relationships" ref="G223" r:id="rId219"/>
    <hyperlink xmlns:r="http://schemas.openxmlformats.org/officeDocument/2006/relationships" ref="G224" r:id="rId220"/>
    <hyperlink xmlns:r="http://schemas.openxmlformats.org/officeDocument/2006/relationships" ref="G225" r:id="rId221"/>
    <hyperlink xmlns:r="http://schemas.openxmlformats.org/officeDocument/2006/relationships" ref="G226" r:id="rId222"/>
    <hyperlink xmlns:r="http://schemas.openxmlformats.org/officeDocument/2006/relationships" ref="G227" r:id="rId223"/>
    <hyperlink xmlns:r="http://schemas.openxmlformats.org/officeDocument/2006/relationships" ref="G228" r:id="rId224"/>
    <hyperlink xmlns:r="http://schemas.openxmlformats.org/officeDocument/2006/relationships" ref="G229" r:id="rId225"/>
    <hyperlink xmlns:r="http://schemas.openxmlformats.org/officeDocument/2006/relationships" ref="G230" r:id="rId226"/>
    <hyperlink xmlns:r="http://schemas.openxmlformats.org/officeDocument/2006/relationships" ref="G231" r:id="rId227"/>
    <hyperlink xmlns:r="http://schemas.openxmlformats.org/officeDocument/2006/relationships" ref="G232" r:id="rId228"/>
    <hyperlink xmlns:r="http://schemas.openxmlformats.org/officeDocument/2006/relationships" ref="G233" r:id="rId229"/>
    <hyperlink xmlns:r="http://schemas.openxmlformats.org/officeDocument/2006/relationships" ref="G234" r:id="rId230"/>
    <hyperlink xmlns:r="http://schemas.openxmlformats.org/officeDocument/2006/relationships" ref="G235" r:id="rId231"/>
    <hyperlink xmlns:r="http://schemas.openxmlformats.org/officeDocument/2006/relationships" ref="G236" r:id="rId232"/>
    <hyperlink xmlns:r="http://schemas.openxmlformats.org/officeDocument/2006/relationships" ref="G237" r:id="rId233"/>
    <hyperlink xmlns:r="http://schemas.openxmlformats.org/officeDocument/2006/relationships" ref="G238" r:id="rId234"/>
    <hyperlink xmlns:r="http://schemas.openxmlformats.org/officeDocument/2006/relationships" ref="G239" r:id="rId235"/>
    <hyperlink xmlns:r="http://schemas.openxmlformats.org/officeDocument/2006/relationships" ref="G240" r:id="rId236"/>
    <hyperlink xmlns:r="http://schemas.openxmlformats.org/officeDocument/2006/relationships" ref="G241" r:id="rId237"/>
    <hyperlink xmlns:r="http://schemas.openxmlformats.org/officeDocument/2006/relationships" ref="G242" r:id="rId238"/>
    <hyperlink xmlns:r="http://schemas.openxmlformats.org/officeDocument/2006/relationships" ref="G243" r:id="rId239"/>
    <hyperlink xmlns:r="http://schemas.openxmlformats.org/officeDocument/2006/relationships" ref="G244" r:id="rId240"/>
    <hyperlink xmlns:r="http://schemas.openxmlformats.org/officeDocument/2006/relationships" ref="G245" r:id="rId241"/>
    <hyperlink xmlns:r="http://schemas.openxmlformats.org/officeDocument/2006/relationships" ref="G246" r:id="rId242"/>
    <hyperlink xmlns:r="http://schemas.openxmlformats.org/officeDocument/2006/relationships" ref="G247" r:id="rId243"/>
    <hyperlink xmlns:r="http://schemas.openxmlformats.org/officeDocument/2006/relationships" ref="G248" r:id="rId244"/>
    <hyperlink xmlns:r="http://schemas.openxmlformats.org/officeDocument/2006/relationships" ref="G249" r:id="rId245"/>
    <hyperlink xmlns:r="http://schemas.openxmlformats.org/officeDocument/2006/relationships" ref="G250" r:id="rId246"/>
    <hyperlink xmlns:r="http://schemas.openxmlformats.org/officeDocument/2006/relationships" ref="G251" r:id="rId247"/>
    <hyperlink xmlns:r="http://schemas.openxmlformats.org/officeDocument/2006/relationships" ref="G252" r:id="rId248"/>
    <hyperlink xmlns:r="http://schemas.openxmlformats.org/officeDocument/2006/relationships" ref="G253" r:id="rId249"/>
    <hyperlink xmlns:r="http://schemas.openxmlformats.org/officeDocument/2006/relationships" ref="G254" r:id="rId250"/>
    <hyperlink xmlns:r="http://schemas.openxmlformats.org/officeDocument/2006/relationships" ref="G255" r:id="rId251"/>
    <hyperlink xmlns:r="http://schemas.openxmlformats.org/officeDocument/2006/relationships" ref="G256" r:id="rId252"/>
    <hyperlink xmlns:r="http://schemas.openxmlformats.org/officeDocument/2006/relationships" ref="G257" r:id="rId253"/>
    <hyperlink xmlns:r="http://schemas.openxmlformats.org/officeDocument/2006/relationships" ref="G258" r:id="rId254"/>
    <hyperlink xmlns:r="http://schemas.openxmlformats.org/officeDocument/2006/relationships" ref="G259" r:id="rId255"/>
    <hyperlink xmlns:r="http://schemas.openxmlformats.org/officeDocument/2006/relationships" ref="G260" r:id="rId256"/>
    <hyperlink xmlns:r="http://schemas.openxmlformats.org/officeDocument/2006/relationships" ref="G261" r:id="rId257"/>
    <hyperlink xmlns:r="http://schemas.openxmlformats.org/officeDocument/2006/relationships" ref="G262" r:id="rId258"/>
    <hyperlink xmlns:r="http://schemas.openxmlformats.org/officeDocument/2006/relationships" ref="G263" r:id="rId259"/>
    <hyperlink xmlns:r="http://schemas.openxmlformats.org/officeDocument/2006/relationships" ref="G264" r:id="rId260"/>
    <hyperlink xmlns:r="http://schemas.openxmlformats.org/officeDocument/2006/relationships" ref="G265" r:id="rId261"/>
    <hyperlink xmlns:r="http://schemas.openxmlformats.org/officeDocument/2006/relationships" ref="G266" r:id="rId262"/>
    <hyperlink xmlns:r="http://schemas.openxmlformats.org/officeDocument/2006/relationships" ref="G267" r:id="rId263"/>
    <hyperlink xmlns:r="http://schemas.openxmlformats.org/officeDocument/2006/relationships" ref="G268" r:id="rId264"/>
    <hyperlink xmlns:r="http://schemas.openxmlformats.org/officeDocument/2006/relationships" ref="G269" r:id="rId265"/>
    <hyperlink xmlns:r="http://schemas.openxmlformats.org/officeDocument/2006/relationships" ref="G270" r:id="rId266"/>
    <hyperlink xmlns:r="http://schemas.openxmlformats.org/officeDocument/2006/relationships" ref="G271" r:id="rId267"/>
    <hyperlink xmlns:r="http://schemas.openxmlformats.org/officeDocument/2006/relationships" ref="G272" r:id="rId268"/>
    <hyperlink xmlns:r="http://schemas.openxmlformats.org/officeDocument/2006/relationships" ref="G273" r:id="rId269"/>
    <hyperlink xmlns:r="http://schemas.openxmlformats.org/officeDocument/2006/relationships" ref="G274" r:id="rId270"/>
    <hyperlink xmlns:r="http://schemas.openxmlformats.org/officeDocument/2006/relationships" ref="G275" r:id="rId271"/>
    <hyperlink xmlns:r="http://schemas.openxmlformats.org/officeDocument/2006/relationships" ref="G276" r:id="rId272"/>
    <hyperlink xmlns:r="http://schemas.openxmlformats.org/officeDocument/2006/relationships" ref="G277" r:id="rId273"/>
    <hyperlink xmlns:r="http://schemas.openxmlformats.org/officeDocument/2006/relationships" ref="G278" r:id="rId274"/>
    <hyperlink xmlns:r="http://schemas.openxmlformats.org/officeDocument/2006/relationships" ref="G279" r:id="rId275"/>
    <hyperlink xmlns:r="http://schemas.openxmlformats.org/officeDocument/2006/relationships" ref="G280" r:id="rId276"/>
    <hyperlink xmlns:r="http://schemas.openxmlformats.org/officeDocument/2006/relationships" ref="G281" r:id="rId277"/>
    <hyperlink xmlns:r="http://schemas.openxmlformats.org/officeDocument/2006/relationships" ref="G282" r:id="rId278"/>
    <hyperlink xmlns:r="http://schemas.openxmlformats.org/officeDocument/2006/relationships" ref="G283" r:id="rId279"/>
    <hyperlink xmlns:r="http://schemas.openxmlformats.org/officeDocument/2006/relationships" ref="G284" r:id="rId280"/>
    <hyperlink xmlns:r="http://schemas.openxmlformats.org/officeDocument/2006/relationships" ref="G285" r:id="rId281"/>
    <hyperlink xmlns:r="http://schemas.openxmlformats.org/officeDocument/2006/relationships" ref="G286" r:id="rId282"/>
    <hyperlink xmlns:r="http://schemas.openxmlformats.org/officeDocument/2006/relationships" ref="G287" r:id="rId283"/>
    <hyperlink xmlns:r="http://schemas.openxmlformats.org/officeDocument/2006/relationships" ref="G288" r:id="rId284"/>
    <hyperlink xmlns:r="http://schemas.openxmlformats.org/officeDocument/2006/relationships" ref="G289" r:id="rId285"/>
    <hyperlink xmlns:r="http://schemas.openxmlformats.org/officeDocument/2006/relationships" ref="G290" r:id="rId286"/>
    <hyperlink xmlns:r="http://schemas.openxmlformats.org/officeDocument/2006/relationships" ref="G291" r:id="rId287"/>
    <hyperlink xmlns:r="http://schemas.openxmlformats.org/officeDocument/2006/relationships" ref="G292" r:id="rId288"/>
    <hyperlink xmlns:r="http://schemas.openxmlformats.org/officeDocument/2006/relationships" ref="G293" r:id="rId289"/>
    <hyperlink xmlns:r="http://schemas.openxmlformats.org/officeDocument/2006/relationships" ref="G294" r:id="rId290"/>
    <hyperlink xmlns:r="http://schemas.openxmlformats.org/officeDocument/2006/relationships" ref="G295" r:id="rId291"/>
    <hyperlink xmlns:r="http://schemas.openxmlformats.org/officeDocument/2006/relationships" ref="G296" r:id="rId292"/>
    <hyperlink xmlns:r="http://schemas.openxmlformats.org/officeDocument/2006/relationships" ref="F301" r:id="rId293"/>
    <hyperlink xmlns:r="http://schemas.openxmlformats.org/officeDocument/2006/relationships" ref="F302" r:id="rId294"/>
    <hyperlink xmlns:r="http://schemas.openxmlformats.org/officeDocument/2006/relationships" ref="F303" r:id="rId295"/>
    <hyperlink xmlns:r="http://schemas.openxmlformats.org/officeDocument/2006/relationships" ref="F304" r:id="rId296"/>
    <hyperlink xmlns:r="http://schemas.openxmlformats.org/officeDocument/2006/relationships" ref="F305" r:id="rId297"/>
    <hyperlink xmlns:r="http://schemas.openxmlformats.org/officeDocument/2006/relationships" ref="F306" r:id="rId298"/>
    <hyperlink xmlns:r="http://schemas.openxmlformats.org/officeDocument/2006/relationships" ref="F308" r:id="rId299"/>
    <hyperlink xmlns:r="http://schemas.openxmlformats.org/officeDocument/2006/relationships" ref="F309" r:id="rId300"/>
    <hyperlink xmlns:r="http://schemas.openxmlformats.org/officeDocument/2006/relationships" ref="F310" r:id="rId301"/>
    <hyperlink xmlns:r="http://schemas.openxmlformats.org/officeDocument/2006/relationships" ref="F311" r:id="rId302"/>
    <hyperlink xmlns:r="http://schemas.openxmlformats.org/officeDocument/2006/relationships" ref="F321" r:id="rId303"/>
    <hyperlink xmlns:r="http://schemas.openxmlformats.org/officeDocument/2006/relationships" ref="F322" r:id="rId304"/>
    <hyperlink xmlns:r="http://schemas.openxmlformats.org/officeDocument/2006/relationships" ref="F323" r:id="rId305"/>
    <hyperlink xmlns:r="http://schemas.openxmlformats.org/officeDocument/2006/relationships" ref="F324" r:id="rId306"/>
    <hyperlink xmlns:r="http://schemas.openxmlformats.org/officeDocument/2006/relationships" ref="F325" r:id="rId307"/>
    <hyperlink xmlns:r="http://schemas.openxmlformats.org/officeDocument/2006/relationships" ref="F326" r:id="rId308"/>
    <hyperlink xmlns:r="http://schemas.openxmlformats.org/officeDocument/2006/relationships" ref="F327" r:id="rId309"/>
    <hyperlink xmlns:r="http://schemas.openxmlformats.org/officeDocument/2006/relationships" ref="F328" r:id="rId310"/>
    <hyperlink xmlns:r="http://schemas.openxmlformats.org/officeDocument/2006/relationships" ref="F329" r:id="rId311"/>
    <hyperlink xmlns:r="http://schemas.openxmlformats.org/officeDocument/2006/relationships" ref="F330" r:id="rId312"/>
    <hyperlink xmlns:r="http://schemas.openxmlformats.org/officeDocument/2006/relationships" ref="F331" r:id="rId313"/>
  </hyperlinks>
  <pageMargins left="0.75" right="0.75" top="1" bottom="1" header="0.5" footer="0.5"/>
</worksheet>
</file>

<file path=xl/worksheets/sheet20.xml><?xml version="1.0" encoding="utf-8"?>
<worksheet xmlns="http://schemas.openxmlformats.org/spreadsheetml/2006/main">
  <sheetPr>
    <tabColor rgb="FFD97706"/>
    <outlinePr summaryBelow="1" summaryRight="1"/>
    <pageSetUpPr/>
  </sheetPr>
  <dimension ref="A1:Q10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3" customWidth="1" style="518" min="9" max="9"/>
    <col width="9" customWidth="1" style="518" min="10" max="11"/>
    <col width="28" customWidth="1" style="518" min="12" max="12"/>
    <col width="32" customWidth="1" style="518" min="13" max="13"/>
    <col width="52" customWidth="1" style="518" min="14" max="14"/>
    <col width="12" customWidth="1" style="518" min="15" max="15"/>
    <col width="52" customWidth="1" style="518" min="16" max="16"/>
    <col width="30" customWidth="1" style="518" min="17" max="17"/>
  </cols>
  <sheetData>
    <row r="1" ht="24" customHeight="1" s="518">
      <c r="A1" s="726" t="inlineStr">
        <is>
          <t>COMMERCIAL PROPERTY EXPENSE DATABASE ? PROPERTY REGISTRY</t>
        </is>
      </c>
    </row>
    <row r="2" ht="16" customHeight="1" s="518">
      <c r="A2" s="727" t="inlineStr">
        <is>
          <t>Adams County Assessor | Add one row per property | Used to track all expense comp submissions</t>
        </is>
      </c>
    </row>
    <row r="3" ht="30" customHeight="1" s="518">
      <c r="A3" s="281" t="inlineStr">
        <is>
          <t>Prop ID</t>
        </is>
      </c>
      <c r="B3" s="232" t="inlineStr">
        <is>
          <t>Occ Code</t>
        </is>
      </c>
      <c r="C3" s="232" t="inlineStr">
        <is>
          <t>Account #</t>
        </is>
      </c>
      <c r="D3" s="282" t="inlineStr">
        <is>
          <t>Address</t>
        </is>
      </c>
      <c r="E3" s="281" t="inlineStr">
        <is>
          <t>City</t>
        </is>
      </c>
      <c r="F3" s="281" t="inlineStr">
        <is>
          <t>State</t>
        </is>
      </c>
      <c r="G3" s="281" t="inlineStr">
        <is>
          <t>Property Type</t>
        </is>
      </c>
      <c r="H3" s="282" t="inlineStr">
        <is>
          <t>Subtype</t>
        </is>
      </c>
      <c r="I3" s="281" t="inlineStr">
        <is>
          <t>Year Built</t>
        </is>
      </c>
      <c r="J3" s="281" t="inlineStr">
        <is>
          <t>Bldg SF</t>
        </is>
      </c>
      <c r="K3" s="281" t="inlineStr">
        <is>
          <t>Land SF</t>
        </is>
      </c>
      <c r="L3" s="281" t="inlineStr">
        <is>
          <t>Parcel / Schedule #</t>
        </is>
      </c>
      <c r="M3" s="281" t="inlineStr">
        <is>
          <t>Owner</t>
        </is>
      </c>
      <c r="N3" s="282" t="inlineStr">
        <is>
          <t>Data Source</t>
        </is>
      </c>
      <c r="O3" s="281" t="inlineStr">
        <is>
          <t>Date Added</t>
        </is>
      </c>
      <c r="P3" s="282" t="inlineStr">
        <is>
          <t>Notes</t>
        </is>
      </c>
      <c r="Q3" s="193" t="inlineStr">
        <is>
          <t>Occ Description (auto)</t>
        </is>
      </c>
    </row>
    <row r="4" ht="42" customHeight="1" s="518">
      <c r="A4" s="149" t="inlineStr">
        <is>
          <t>P001</t>
        </is>
      </c>
      <c r="B4" s="150" t="n">
        <v>407</v>
      </c>
      <c r="C4" s="151" t="inlineStr">
        <is>
          <t>R0157664</t>
        </is>
      </c>
      <c r="D4" s="149" t="inlineStr">
        <is>
          <t>6045 E. 76th Avenue</t>
        </is>
      </c>
      <c r="E4" s="149" t="inlineStr">
        <is>
          <t>Commerce City</t>
        </is>
      </c>
      <c r="F4" s="149" t="inlineStr">
        <is>
          <t>CO</t>
        </is>
      </c>
      <c r="G4" s="149" t="inlineStr">
        <is>
          <t>Light Industrial</t>
        </is>
      </c>
      <c r="H4" s="149" t="inlineStr">
        <is>
          <t>Distribution Warehouse</t>
        </is>
      </c>
      <c r="I4" s="152" t="n">
        <v>1988</v>
      </c>
      <c r="J4" s="152" t="n">
        <v>21000</v>
      </c>
      <c r="K4" s="152" t="n">
        <v>66700</v>
      </c>
      <c r="L4" s="149" t="inlineStr">
        <is>
          <t>R0157664 / 0172132216014</t>
        </is>
      </c>
      <c r="M4" s="149" t="inlineStr">
        <is>
          <t>4711 West Tennessee Avenue LLC</t>
        </is>
      </c>
      <c r="N4" s="149" t="inlineStr">
        <is>
          <t>Owner P&amp;L + RH Jacobson Analysis</t>
        </is>
      </c>
      <c r="O4" s="149" t="inlineStr">
        <is>
          <t>2026-06-01</t>
        </is>
      </c>
      <c r="P4" s="149" t="inlineStr">
        <is>
          <t>28.5% vacancy; inferior access through 2 adjoining parcels; appeal tax year 2025-26</t>
        </is>
      </c>
      <c r="Q4" s="233">
        <f>IF(B4="","",IFERROR(INDEX(OCC_TABLE_DESC,MATCH(B4,OCC_TABLE_CODE,0)),"Unrecognized code"))</f>
        <v/>
      </c>
    </row>
    <row r="5" ht="40" customHeight="1" s="518">
      <c r="A5" s="149" t="inlineStr">
        <is>
          <t>P002</t>
        </is>
      </c>
      <c r="B5" s="150" t="n">
        <v>344</v>
      </c>
      <c r="C5" s="151" t="inlineStr">
        <is>
          <t>Unknown</t>
        </is>
      </c>
      <c r="D5" s="149" t="inlineStr">
        <is>
          <t>13659 E. 104th Ave</t>
        </is>
      </c>
      <c r="E5" s="149" t="inlineStr">
        <is>
          <t>Adams County</t>
        </is>
      </c>
      <c r="F5" s="149" t="inlineStr">
        <is>
          <t>CO</t>
        </is>
      </c>
      <c r="G5" s="149" t="inlineStr">
        <is>
          <t>Office/Commercial</t>
        </is>
      </c>
      <c r="H5" s="149" t="inlineStr">
        <is>
          <t>Multi-tenant</t>
        </is>
      </c>
      <c r="I5" s="149" t="n"/>
      <c r="J5" s="149" t="n"/>
      <c r="K5" s="149" t="n"/>
      <c r="L5" s="149" t="inlineStr">
        <is>
          <t>Unknown</t>
        </is>
      </c>
      <c r="M5" s="149" t="inlineStr">
        <is>
          <t>PMC-managed HOA structure</t>
        </is>
      </c>
      <c r="N5" s="149" t="inlineStr">
        <is>
          <t>Owner Operating Statements (BAA CASES root)</t>
        </is>
      </c>
      <c r="O5" s="149" t="inlineStr">
        <is>
          <t>2026-06-01</t>
        </is>
      </c>
      <c r="P5" s="149" t="inlineStr">
        <is>
          <t>SF unknown; 2023-2024 actuals from operating statement submitted in BAA appeal</t>
        </is>
      </c>
      <c r="Q5" s="233">
        <f>IF(B5="","",IFERROR(INDEX(OCC_TABLE_DESC,MATCH(B5,OCC_TABLE_CODE,0)),"Unrecognized code"))</f>
        <v/>
      </c>
    </row>
    <row r="6" ht="40" customHeight="1" s="518">
      <c r="A6" s="149" t="inlineStr">
        <is>
          <t>P003</t>
        </is>
      </c>
      <c r="B6" s="150" t="n">
        <v>344</v>
      </c>
      <c r="C6" s="151" t="inlineStr">
        <is>
          <t>R0024063</t>
        </is>
      </c>
      <c r="D6" s="149" t="inlineStr">
        <is>
          <t>Park Centre - Wells Fargo Bldg (12000 N Pecos area)</t>
        </is>
      </c>
      <c r="E6" s="149" t="inlineStr">
        <is>
          <t>Westminster</t>
        </is>
      </c>
      <c r="F6" s="149" t="inlineStr">
        <is>
          <t>CO</t>
        </is>
      </c>
      <c r="G6" s="149" t="inlineStr">
        <is>
          <t>Office</t>
        </is>
      </c>
      <c r="H6" s="149" t="inlineStr">
        <is>
          <t>Class B Multi-tenant</t>
        </is>
      </c>
      <c r="I6" s="149" t="n"/>
      <c r="J6" s="152" t="n">
        <v>49479</v>
      </c>
      <c r="K6" s="149" t="n"/>
      <c r="L6" s="149" t="inlineStr">
        <is>
          <t>R0024063</t>
        </is>
      </c>
      <c r="M6" s="149" t="inlineStr">
        <is>
          <t>Westfield Managed</t>
        </is>
      </c>
      <c r="N6" s="149" t="inlineStr">
        <is>
          <t>FINANCIALS.pdf + PROFORMA REVISED.xlsx</t>
        </is>
      </c>
      <c r="O6" s="149" t="inlineStr">
        <is>
          <t>2026-06-01</t>
        </is>
      </c>
      <c r="P6" s="149" t="inlineStr">
        <is>
          <t>49,479 SF leasable; complex multi-tenant office; Westfield managed; BAA appeal case</t>
        </is>
      </c>
      <c r="Q6" s="233">
        <f>IF(B6="","",IFERROR(INDEX(OCC_TABLE_DESC,MATCH(B6,OCC_TABLE_CODE,0)),"Unrecognized code"))</f>
        <v/>
      </c>
    </row>
    <row r="7" ht="40" customHeight="1" s="518">
      <c r="A7" s="149" t="inlineStr">
        <is>
          <t>P004</t>
        </is>
      </c>
      <c r="B7" s="150" t="n">
        <v>412</v>
      </c>
      <c r="C7" s="151" t="inlineStr">
        <is>
          <t>R0050221</t>
        </is>
      </c>
      <c r="D7" s="149" t="inlineStr">
        <is>
          <t>8860 Federal Blvd</t>
        </is>
      </c>
      <c r="E7" s="149" t="inlineStr">
        <is>
          <t>Adams County</t>
        </is>
      </c>
      <c r="F7" s="149" t="inlineStr">
        <is>
          <t>CO</t>
        </is>
      </c>
      <c r="G7" s="149" t="inlineStr">
        <is>
          <t>Retail</t>
        </is>
      </c>
      <c r="H7" s="149" t="inlineStr">
        <is>
          <t>Strip/Multi-tenant</t>
        </is>
      </c>
      <c r="I7" s="149" t="n"/>
      <c r="J7" s="152" t="n">
        <v>65850</v>
      </c>
      <c r="K7" s="149" t="n"/>
      <c r="L7" s="149" t="inlineStr">
        <is>
          <t>R0050221</t>
        </is>
      </c>
      <c r="M7" s="149" t="inlineStr">
        <is>
          <t>Enger Family Partnership LLLP</t>
        </is>
      </c>
      <c r="N7" s="149" t="inlineStr">
        <is>
          <t>ACTUALS.pdf (BAA CASES)</t>
        </is>
      </c>
      <c r="O7" s="149" t="inlineStr">
        <is>
          <t>2026-06-01</t>
        </is>
      </c>
      <c r="P7" s="149" t="inlineStr">
        <is>
          <t>65,850 SF retail strip; triple-net structure with CAM recoveries; 2023-2024 actuals</t>
        </is>
      </c>
      <c r="Q7" s="233">
        <f>IF(B7="","",IFERROR(INDEX(OCC_TABLE_DESC,MATCH(B7,OCC_TABLE_CODE,0)),"Unrecognized code"))</f>
        <v/>
      </c>
    </row>
    <row r="8" ht="40" customHeight="1" s="518">
      <c r="A8" s="149" t="inlineStr">
        <is>
          <t>P005</t>
        </is>
      </c>
      <c r="B8" s="150" t="n">
        <v>344</v>
      </c>
      <c r="C8" s="151" t="inlineStr">
        <is>
          <t>R0050977</t>
        </is>
      </c>
      <c r="D8" s="149" t="inlineStr">
        <is>
          <t>9351 Grant St (Horizon Terrace)</t>
        </is>
      </c>
      <c r="E8" s="149" t="inlineStr">
        <is>
          <t>Thornton</t>
        </is>
      </c>
      <c r="F8" s="149" t="inlineStr">
        <is>
          <t>CO</t>
        </is>
      </c>
      <c r="G8" s="149" t="inlineStr">
        <is>
          <t>Office</t>
        </is>
      </c>
      <c r="H8" s="149" t="inlineStr">
        <is>
          <t>Class B Multi-story Multi-tenant</t>
        </is>
      </c>
      <c r="I8" s="149" t="n"/>
      <c r="J8" s="152" t="n">
        <v>91646</v>
      </c>
      <c r="K8" s="149" t="n"/>
      <c r="L8" s="149" t="inlineStr">
        <is>
          <t>R0050977</t>
        </is>
      </c>
      <c r="M8" s="149" t="inlineStr">
        <is>
          <t>Horizon Terrace</t>
        </is>
      </c>
      <c r="N8" s="149" t="inlineStr">
        <is>
          <t>Income Statements 2023 &amp; 2024 PDFs</t>
        </is>
      </c>
      <c r="O8" s="149" t="inlineStr">
        <is>
          <t>2026-06-01</t>
        </is>
      </c>
      <c r="P8" s="149" t="inlineStr">
        <is>
          <t>91,646 SF; full-service multi-tenant office with janitorial, security, elevator; Westfield managed</t>
        </is>
      </c>
      <c r="Q8" s="233">
        <f>IF(B8="","",IFERROR(INDEX(OCC_TABLE_DESC,MATCH(B8,OCC_TABLE_CODE,0)),"Unrecognized code"))</f>
        <v/>
      </c>
    </row>
    <row r="9" ht="40" customHeight="1" s="518">
      <c r="A9" s="149" t="inlineStr">
        <is>
          <t>P006</t>
        </is>
      </c>
      <c r="B9" s="150" t="n">
        <v>210</v>
      </c>
      <c r="C9" s="151" t="inlineStr">
        <is>
          <t>R0062937</t>
        </is>
      </c>
      <c r="D9" s="149" t="inlineStr">
        <is>
          <t>8670 Wolff Ct (Sheridan Park 8)</t>
        </is>
      </c>
      <c r="E9" s="149" t="inlineStr">
        <is>
          <t>Westminster</t>
        </is>
      </c>
      <c r="F9" s="149" t="inlineStr">
        <is>
          <t>CO</t>
        </is>
      </c>
      <c r="G9" s="149" t="inlineStr">
        <is>
          <t>Office/Flex</t>
        </is>
      </c>
      <c r="H9" s="149" t="inlineStr">
        <is>
          <t>Multi-tenant</t>
        </is>
      </c>
      <c r="I9" s="149" t="n"/>
      <c r="J9" s="152" t="n">
        <v>37078</v>
      </c>
      <c r="K9" s="149" t="n"/>
      <c r="L9" s="149" t="inlineStr">
        <is>
          <t>R0062937</t>
        </is>
      </c>
      <c r="M9" s="149" t="inlineStr">
        <is>
          <t>Unknown</t>
        </is>
      </c>
      <c r="N9" s="149" t="inlineStr">
        <is>
          <t>Operating Expense History DYCO.pdf</t>
        </is>
      </c>
      <c r="O9" s="149" t="inlineStr">
        <is>
          <t>2026-06-01</t>
        </is>
      </c>
      <c r="P9" s="149" t="inlineStr">
        <is>
          <t>~37,078 SF (derived from PSF); CAM reimbursable expense structure; 2020-2024 expense history</t>
        </is>
      </c>
      <c r="Q9" s="233">
        <f>IF(B9="","",IFERROR(INDEX(OCC_TABLE_DESC,MATCH(B9,OCC_TABLE_CODE,0)),"Unrecognized code"))</f>
        <v/>
      </c>
    </row>
    <row r="10" ht="40" customHeight="1" s="518">
      <c r="A10" s="149" t="inlineStr">
        <is>
          <t>P007</t>
        </is>
      </c>
      <c r="B10" s="150" t="n">
        <v>341</v>
      </c>
      <c r="C10" s="151" t="inlineStr">
        <is>
          <t>R0062944</t>
        </is>
      </c>
      <c r="D10" s="149" t="inlineStr">
        <is>
          <t>8787 (medical office complex)</t>
        </is>
      </c>
      <c r="E10" s="149" t="inlineStr">
        <is>
          <t>Adams County</t>
        </is>
      </c>
      <c r="F10" s="149" t="inlineStr">
        <is>
          <t>CO</t>
        </is>
      </c>
      <c r="G10" s="149" t="inlineStr">
        <is>
          <t>Medical Office</t>
        </is>
      </c>
      <c r="H10" s="149" t="inlineStr">
        <is>
          <t>Multi-tenant</t>
        </is>
      </c>
      <c r="I10" s="149" t="n"/>
      <c r="J10" s="152" t="n">
        <v>19430</v>
      </c>
      <c r="K10" s="149" t="n"/>
      <c r="L10" s="149" t="inlineStr">
        <is>
          <t>R0062944</t>
        </is>
      </c>
      <c r="M10" s="149" t="inlineStr">
        <is>
          <t>MENDI-CO II LLC</t>
        </is>
      </c>
      <c r="N10" s="149" t="inlineStr">
        <is>
          <t>2023 OPS.xlsx + 2024 OPS.xlsx</t>
        </is>
      </c>
      <c r="O10" s="149" t="inlineStr">
        <is>
          <t>2026-06-01</t>
        </is>
      </c>
      <c r="P10" s="149" t="inlineStr">
        <is>
          <t>~19,430 SF (derived); tenants: Denver Springs, Access VP, Colorado Net, Westminster Eye; 2023-2024 actuals</t>
        </is>
      </c>
      <c r="Q10" s="233">
        <f>IF(B10="","",IFERROR(INDEX(OCC_TABLE_DESC,MATCH(B10,OCC_TABLE_CODE,0)),"Unrecognized code"))</f>
        <v/>
      </c>
    </row>
    <row r="11" ht="40" customHeight="1" s="518">
      <c r="A11" s="149" t="inlineStr">
        <is>
          <t>P008</t>
        </is>
      </c>
      <c r="B11" s="150" t="n">
        <v>210</v>
      </c>
      <c r="C11" s="151" t="inlineStr">
        <is>
          <t>R0070622</t>
        </is>
      </c>
      <c r="D11" s="149" t="inlineStr">
        <is>
          <t>460-550 E. 76th Ave (WPC Corporate)</t>
        </is>
      </c>
      <c r="E11" s="149" t="inlineStr">
        <is>
          <t>Adams County</t>
        </is>
      </c>
      <c r="F11" s="149" t="inlineStr">
        <is>
          <t>CO</t>
        </is>
      </c>
      <c r="G11" s="149" t="inlineStr">
        <is>
          <t>Industrial</t>
        </is>
      </c>
      <c r="H11" s="149" t="inlineStr">
        <is>
          <t>Distribution/Flex Multi-tenant</t>
        </is>
      </c>
      <c r="I11" s="149" t="n"/>
      <c r="J11" s="152" t="n">
        <v>330935</v>
      </c>
      <c r="K11" s="149" t="n"/>
      <c r="L11" s="149" t="inlineStr">
        <is>
          <t>R0070622</t>
        </is>
      </c>
      <c r="M11" s="149" t="inlineStr">
        <is>
          <t>WPC Corporate LLC</t>
        </is>
      </c>
      <c r="N11" s="149" t="inlineStr">
        <is>
          <t>ACTUALS.pdf (BAA CASES)</t>
        </is>
      </c>
      <c r="O11" s="149" t="inlineStr">
        <is>
          <t>2026-06-01</t>
        </is>
      </c>
      <c r="P11" s="149" t="inlineStr">
        <is>
          <t>330,935 SF industrial; 2024 actuals only; large multi-tenant distribution complex</t>
        </is>
      </c>
      <c r="Q11" s="233">
        <f>IF(B11="","",IFERROR(INDEX(OCC_TABLE_DESC,MATCH(B11,OCC_TABLE_CODE,0)),"Unrecognized code"))</f>
        <v/>
      </c>
    </row>
    <row r="12" ht="40" customHeight="1" s="518">
      <c r="A12" s="149" t="inlineStr">
        <is>
          <t>P009</t>
        </is>
      </c>
      <c r="B12" s="150" t="n">
        <v>407</v>
      </c>
      <c r="C12" s="151" t="inlineStr">
        <is>
          <t>R0075212</t>
        </is>
      </c>
      <c r="D12" s="149" t="inlineStr">
        <is>
          <t>10500 Havana Court</t>
        </is>
      </c>
      <c r="E12" s="149" t="inlineStr">
        <is>
          <t>Adams County</t>
        </is>
      </c>
      <c r="F12" s="149" t="inlineStr">
        <is>
          <t>CO</t>
        </is>
      </c>
      <c r="G12" s="149" t="inlineStr">
        <is>
          <t>Industrial</t>
        </is>
      </c>
      <c r="H12" s="149" t="inlineStr">
        <is>
          <t>NNN Single-tenant</t>
        </is>
      </c>
      <c r="I12" s="149" t="n"/>
      <c r="J12" s="149" t="n"/>
      <c r="K12" s="149" t="n"/>
      <c r="L12" s="149" t="inlineStr">
        <is>
          <t>R0075212</t>
        </is>
      </c>
      <c r="M12" s="149" t="inlineStr">
        <is>
          <t>Jellison Street LLP</t>
        </is>
      </c>
      <c r="N12" s="149" t="inlineStr">
        <is>
          <t>PLEA USING ACTUALS AND TAX LOAD.pdf</t>
        </is>
      </c>
      <c r="O12" s="149" t="inlineStr">
        <is>
          <t>2026-06-01</t>
        </is>
      </c>
      <c r="P12" s="149" t="inlineStr">
        <is>
          <t>SF unknown; NNN lease structure; P&amp;L includes depreciation/mortgage (excluded from NOI calc); 2023-2024</t>
        </is>
      </c>
      <c r="Q12" s="233">
        <f>IF(B12="","",IFERROR(INDEX(OCC_TABLE_DESC,MATCH(B12,OCC_TABLE_CODE,0)),"Unrecognized code"))</f>
        <v/>
      </c>
    </row>
    <row r="13" ht="40" customHeight="1" s="518">
      <c r="A13" s="149" t="inlineStr">
        <is>
          <t>P010</t>
        </is>
      </c>
      <c r="B13" s="150" t="n">
        <v>210</v>
      </c>
      <c r="C13" s="151" t="inlineStr">
        <is>
          <t>R0098225</t>
        </is>
      </c>
      <c r="D13" s="149" t="inlineStr">
        <is>
          <t>Broadway Business Center (7040B Broadway)</t>
        </is>
      </c>
      <c r="E13" s="149" t="inlineStr">
        <is>
          <t>Denver</t>
        </is>
      </c>
      <c r="F13" s="149" t="inlineStr">
        <is>
          <t>CO</t>
        </is>
      </c>
      <c r="G13" s="149" t="inlineStr">
        <is>
          <t>Flex/Industrial</t>
        </is>
      </c>
      <c r="H13" s="149" t="inlineStr">
        <is>
          <t>Multi-tenant CAM</t>
        </is>
      </c>
      <c r="I13" s="149" t="n"/>
      <c r="J13" s="152" t="n">
        <v>105000</v>
      </c>
      <c r="K13" s="149" t="n"/>
      <c r="L13" s="149" t="inlineStr">
        <is>
          <t>R0098225</t>
        </is>
      </c>
      <c r="M13" s="149" t="inlineStr">
        <is>
          <t>Broadway Business Center</t>
        </is>
      </c>
      <c r="N13" s="149" t="inlineStr">
        <is>
          <t>2023 OPS.xlsx + 2024 OPS.xlsx</t>
        </is>
      </c>
      <c r="O13" s="149" t="inlineStr">
        <is>
          <t>2026-06-01</t>
        </is>
      </c>
      <c r="P13" s="149" t="inlineStr">
        <is>
          <t>~105,000 SF estimated; CAM-recoverable structure; 2024 RE Tax inflated by $111,314 prior-yr catchup; 2023-2024 actuals</t>
        </is>
      </c>
      <c r="Q13" s="233">
        <f>IF(B13="","",IFERROR(INDEX(OCC_TABLE_DESC,MATCH(B13,OCC_TABLE_CODE,0)),"Unrecognized code"))</f>
        <v/>
      </c>
    </row>
    <row r="14" ht="40" customHeight="1" s="518">
      <c r="A14" s="149" t="inlineStr">
        <is>
          <t>P011</t>
        </is>
      </c>
      <c r="B14" s="150" t="n">
        <v>210</v>
      </c>
      <c r="C14" s="151" t="inlineStr">
        <is>
          <t>R0103767</t>
        </is>
      </c>
      <c r="D14" s="149" t="inlineStr">
        <is>
          <t>5650 Washington St (Washington Business Park)</t>
        </is>
      </c>
      <c r="E14" s="149" t="inlineStr">
        <is>
          <t>Adams County</t>
        </is>
      </c>
      <c r="F14" s="149" t="inlineStr">
        <is>
          <t>CO</t>
        </is>
      </c>
      <c r="G14" s="149" t="inlineStr">
        <is>
          <t>Industrial/Flex</t>
        </is>
      </c>
      <c r="H14" s="149" t="inlineStr">
        <is>
          <t>Multi-tenant</t>
        </is>
      </c>
      <c r="I14" s="149" t="n"/>
      <c r="J14" s="149" t="n"/>
      <c r="K14" s="149" t="n"/>
      <c r="L14" s="149" t="inlineStr">
        <is>
          <t>R0103767</t>
        </is>
      </c>
      <c r="M14" s="149" t="inlineStr">
        <is>
          <t>Unknown</t>
        </is>
      </c>
      <c r="N14" s="149" t="inlineStr">
        <is>
          <t>Operating Statement (sans rent roll).pdf</t>
        </is>
      </c>
      <c r="O14" s="149" t="inlineStr">
        <is>
          <t>2026-06-01</t>
        </is>
      </c>
      <c r="P14" s="149" t="inlineStr">
        <is>
          <t>SF unknown; 2022-2024 actuals; management fee $54,025 in 2022 not shown in later years</t>
        </is>
      </c>
      <c r="Q14" s="233">
        <f>IF(B14="","",IFERROR(INDEX(OCC_TABLE_DESC,MATCH(B14,OCC_TABLE_CODE,0)),"Unrecognized code"))</f>
        <v/>
      </c>
    </row>
    <row r="15" ht="40" customHeight="1" s="518">
      <c r="A15" s="149" t="inlineStr">
        <is>
          <t>P012</t>
        </is>
      </c>
      <c r="B15" s="150" t="n">
        <v>344</v>
      </c>
      <c r="C15" s="151" t="inlineStr">
        <is>
          <t>R0124385</t>
        </is>
      </c>
      <c r="D15" s="149" t="inlineStr">
        <is>
          <t>Unknown (Tax District 555)</t>
        </is>
      </c>
      <c r="E15" s="149" t="inlineStr">
        <is>
          <t>Adams County</t>
        </is>
      </c>
      <c r="F15" s="149" t="inlineStr">
        <is>
          <t>CO</t>
        </is>
      </c>
      <c r="G15" s="149" t="inlineStr">
        <is>
          <t>Office</t>
        </is>
      </c>
      <c r="H15" s="149" t="inlineStr">
        <is>
          <t>Multi-tenant</t>
        </is>
      </c>
      <c r="I15" s="149" t="n"/>
      <c r="J15" s="152" t="n">
        <v>20170</v>
      </c>
      <c r="K15" s="149" t="n"/>
      <c r="L15" s="149" t="inlineStr">
        <is>
          <t>R0124385</t>
        </is>
      </c>
      <c r="M15" s="149" t="inlineStr">
        <is>
          <t>Unknown</t>
        </is>
      </c>
      <c r="N15" s="149" t="inlineStr">
        <is>
          <t>PROFORMA BASIS FOR OFFER.xlsx (actuals section)</t>
        </is>
      </c>
      <c r="O15" s="149" t="inlineStr">
        <is>
          <t>2026-06-01</t>
        </is>
      </c>
      <c r="P15" s="149" t="inlineStr">
        <is>
          <t>20,170 SF; 2023-2024 actuals extracted from proforma submission; limited line-item detail</t>
        </is>
      </c>
      <c r="Q15" s="233">
        <f>IF(B15="","",IFERROR(INDEX(OCC_TABLE_DESC,MATCH(B15,OCC_TABLE_CODE,0)),"Unrecognized code"))</f>
        <v/>
      </c>
    </row>
    <row r="16" ht="40" customHeight="1" s="518">
      <c r="A16" s="149" t="inlineStr">
        <is>
          <t>P013</t>
        </is>
      </c>
      <c r="B16" s="150" t="n">
        <v>353</v>
      </c>
      <c r="C16" s="151" t="inlineStr">
        <is>
          <t>R0169176</t>
        </is>
      </c>
      <c r="D16" s="149" t="inlineStr">
        <is>
          <t>Unknown (new construction, opened Oct 2023)</t>
        </is>
      </c>
      <c r="E16" s="149" t="inlineStr">
        <is>
          <t>Adams County</t>
        </is>
      </c>
      <c r="F16" s="149" t="inlineStr">
        <is>
          <t>CO</t>
        </is>
      </c>
      <c r="G16" s="149" t="inlineStr">
        <is>
          <t>Retail/Office</t>
        </is>
      </c>
      <c r="H16" s="149" t="inlineStr">
        <is>
          <t>Multi-tenant</t>
        </is>
      </c>
      <c r="I16" s="152" t="n">
        <v>2023</v>
      </c>
      <c r="J16" s="149" t="n"/>
      <c r="K16" s="149" t="n"/>
      <c r="L16" s="149" t="inlineStr">
        <is>
          <t>R0169176</t>
        </is>
      </c>
      <c r="M16" s="149" t="inlineStr">
        <is>
          <t>Unknown</t>
        </is>
      </c>
      <c r="N16" s="149" t="inlineStr">
        <is>
          <t>Income Statement 2023.xlsx + 2024.xlsx</t>
        </is>
      </c>
      <c r="O16" s="149" t="inlineStr">
        <is>
          <t>2026-06-01</t>
        </is>
      </c>
      <c r="P16" s="149" t="inlineStr">
        <is>
          <t>SF unknown; 2023 partial year (opened Oct 2023); 2024 full year; large RE tax load typical of new construction</t>
        </is>
      </c>
      <c r="Q16" s="233">
        <f>IF(B16="","",IFERROR(INDEX(OCC_TABLE_DESC,MATCH(B16,OCC_TABLE_CODE,0)),"Unrecognized code"))</f>
        <v/>
      </c>
    </row>
    <row r="17" ht="40" customHeight="1" s="518">
      <c r="A17" s="149" t="inlineStr">
        <is>
          <t>P014</t>
        </is>
      </c>
      <c r="B17" s="150" t="n">
        <v>407</v>
      </c>
      <c r="C17" s="151" t="inlineStr">
        <is>
          <t>R0198530</t>
        </is>
      </c>
      <c r="D17" s="149" t="inlineStr">
        <is>
          <t>Amazon DEN7 Distribution Center</t>
        </is>
      </c>
      <c r="E17" s="149" t="inlineStr">
        <is>
          <t>Aurora</t>
        </is>
      </c>
      <c r="F17" s="149" t="inlineStr">
        <is>
          <t>CO</t>
        </is>
      </c>
      <c r="G17" s="149" t="inlineStr">
        <is>
          <t>Industrial/Distribution</t>
        </is>
      </c>
      <c r="H17" s="149" t="inlineStr">
        <is>
          <t>Single-tenant NNN</t>
        </is>
      </c>
      <c r="I17" s="149" t="n"/>
      <c r="J17" s="152" t="n">
        <v>555840</v>
      </c>
      <c r="K17" s="149" t="n"/>
      <c r="L17" s="149" t="inlineStr">
        <is>
          <t>R0198530</t>
        </is>
      </c>
      <c r="M17" s="149" t="inlineStr">
        <is>
          <t>Amazon (tenant)</t>
        </is>
      </c>
      <c r="N17" s="149" t="inlineStr">
        <is>
          <t>CAM Reconciliation 2023 &amp; 2024 OPS.pdf</t>
        </is>
      </c>
      <c r="O17" s="149" t="inlineStr">
        <is>
          <t>2026-06-01</t>
        </is>
      </c>
      <c r="P17" s="149" t="inlineStr">
        <is>
          <t>555,840 SF Amazon fulfillment center; NNN ? expenses = LL CAM billed to tenant; RE Tax dominant expense; 2023-2024</t>
        </is>
      </c>
      <c r="Q17" s="233">
        <f>IF(B17="","",IFERROR(INDEX(OCC_TABLE_DESC,MATCH(B17,OCC_TABLE_CODE,0)),"Unrecognized code"))</f>
        <v/>
      </c>
    </row>
    <row r="18" ht="15" customHeight="1" s="518">
      <c r="A18" s="283" t="inlineStr">
        <is>
          <t>P015</t>
        </is>
      </c>
      <c r="B18" s="150" t="n">
        <v>407</v>
      </c>
      <c r="C18" s="151" t="inlineStr">
        <is>
          <t>R0180894</t>
        </is>
      </c>
      <c r="D18" s="284" t="inlineStr">
        <is>
          <t>1910 N Gun Club Rd</t>
        </is>
      </c>
      <c r="E18" s="283" t="inlineStr">
        <is>
          <t>Aurora</t>
        </is>
      </c>
      <c r="F18" s="283" t="inlineStr">
        <is>
          <t>CO</t>
        </is>
      </c>
      <c r="G18" s="283" t="inlineStr">
        <is>
          <t>Industrial</t>
        </is>
      </c>
      <c r="H18" s="284" t="inlineStr">
        <is>
          <t>Distribution Warehouse Multi-Tenant NNN</t>
        </is>
      </c>
      <c r="I18" s="283" t="n">
        <v>2019</v>
      </c>
      <c r="J18" s="283" t="n">
        <v>163386</v>
      </c>
      <c r="K18" s="283" t="n"/>
      <c r="L18" s="283" t="inlineStr">
        <is>
          <t>R0180894</t>
        </is>
      </c>
      <c r="M18" s="283" t="n"/>
      <c r="N18" s="284" t="inlineStr">
        <is>
          <t>MHE 2025 BAA – Owner submitted P&amp;L</t>
        </is>
      </c>
      <c r="O18" s="283" t="inlineStr">
        <is>
          <t>2026-06-01</t>
        </is>
      </c>
      <c r="P18" s="284" t="inlineStr">
        <is>
          <t>Actual accrual income; 2023–2024</t>
        </is>
      </c>
      <c r="Q18" s="233">
        <f>IF(B18="","",IFERROR(INDEX(OCC_TABLE_DESC,MATCH(B18,OCC_TABLE_CODE,0)),"Unrecognized code"))</f>
        <v/>
      </c>
    </row>
    <row r="19" ht="15" customHeight="1" s="518">
      <c r="A19" s="153" t="inlineStr">
        <is>
          <t>P016</t>
        </is>
      </c>
      <c r="B19" s="150" t="n">
        <v>584</v>
      </c>
      <c r="C19" s="151" t="inlineStr">
        <is>
          <t>R0212546/R0212547</t>
        </is>
      </c>
      <c r="D19" s="268" t="inlineStr">
        <is>
          <t>2780 N Tower Rd</t>
        </is>
      </c>
      <c r="E19" s="153" t="inlineStr">
        <is>
          <t>Aurora</t>
        </is>
      </c>
      <c r="F19" s="153" t="inlineStr">
        <is>
          <t>CO</t>
        </is>
      </c>
      <c r="G19" s="153" t="inlineStr">
        <is>
          <t>Industrial</t>
        </is>
      </c>
      <c r="H19" s="268" t="inlineStr">
        <is>
          <t>Mega Warehouse NNN</t>
        </is>
      </c>
      <c r="I19" s="153" t="n">
        <v>1983</v>
      </c>
      <c r="J19" s="153" t="n">
        <v>384953</v>
      </c>
      <c r="K19" s="153" t="n"/>
      <c r="L19" s="153" t="inlineStr">
        <is>
          <t>R0212546/R0212547</t>
        </is>
      </c>
      <c r="M19" s="153" t="n"/>
      <c r="N19" s="268" t="inlineStr">
        <is>
          <t>MHE 2025 BAA – County proforma</t>
        </is>
      </c>
      <c r="O19" s="153" t="inlineStr">
        <is>
          <t>2026-06-01</t>
        </is>
      </c>
      <c r="P19" s="268" t="inlineStr">
        <is>
          <t>County proforma; 2024 only</t>
        </is>
      </c>
      <c r="Q19" s="233">
        <f>IF(B19="","",IFERROR(INDEX(OCC_TABLE_DESC,MATCH(B19,OCC_TABLE_CODE,0)),"Unrecognized code"))</f>
        <v/>
      </c>
    </row>
    <row r="20" ht="15" customHeight="1" s="518">
      <c r="A20" s="283" t="inlineStr">
        <is>
          <t>P017</t>
        </is>
      </c>
      <c r="B20" s="150" t="n">
        <v>210</v>
      </c>
      <c r="C20" s="151" t="inlineStr">
        <is>
          <t>R0098098</t>
        </is>
      </c>
      <c r="D20" s="284" t="inlineStr">
        <is>
          <t>1445 E 68th Ave</t>
        </is>
      </c>
      <c r="E20" s="283" t="inlineStr">
        <is>
          <t>Denver</t>
        </is>
      </c>
      <c r="F20" s="283" t="inlineStr">
        <is>
          <t>CO</t>
        </is>
      </c>
      <c r="G20" s="283" t="inlineStr">
        <is>
          <t>Industrial</t>
        </is>
      </c>
      <c r="H20" s="284" t="inlineStr">
        <is>
          <t>Industrial Office Mix</t>
        </is>
      </c>
      <c r="I20" s="283" t="n">
        <v>1972</v>
      </c>
      <c r="J20" s="283" t="n">
        <v>63348</v>
      </c>
      <c r="K20" s="283" t="n"/>
      <c r="L20" s="283" t="inlineStr">
        <is>
          <t>R0098098</t>
        </is>
      </c>
      <c r="M20" s="283" t="n"/>
      <c r="N20" s="284" t="inlineStr">
        <is>
          <t>MHE 2025 BAA – County proforma</t>
        </is>
      </c>
      <c r="O20" s="283" t="inlineStr">
        <is>
          <t>2026-06-01</t>
        </is>
      </c>
      <c r="P20" s="284" t="inlineStr">
        <is>
          <t>YOC 1972/2006/2023; county proforma 2024</t>
        </is>
      </c>
      <c r="Q20" s="233">
        <f>IF(B20="","",IFERROR(INDEX(OCC_TABLE_DESC,MATCH(B20,OCC_TABLE_CODE,0)),"Unrecognized code"))</f>
        <v/>
      </c>
    </row>
    <row r="21" ht="15" customHeight="1" s="518">
      <c r="A21" s="153" t="inlineStr">
        <is>
          <t>P018</t>
        </is>
      </c>
      <c r="B21" s="150" t="n">
        <v>406</v>
      </c>
      <c r="C21" s="151" t="inlineStr">
        <is>
          <t>R0103783</t>
        </is>
      </c>
      <c r="D21" s="268" t="inlineStr">
        <is>
          <t>2031 E 58th Ave</t>
        </is>
      </c>
      <c r="E21" s="153" t="inlineStr">
        <is>
          <t>Denver</t>
        </is>
      </c>
      <c r="F21" s="153" t="inlineStr">
        <is>
          <t>CO</t>
        </is>
      </c>
      <c r="G21" s="153" t="inlineStr">
        <is>
          <t>Industrial</t>
        </is>
      </c>
      <c r="H21" s="268" t="inlineStr">
        <is>
          <t>Storage Warehouse / Mod Office NNN</t>
        </is>
      </c>
      <c r="I21" s="153" t="n">
        <v>2004</v>
      </c>
      <c r="J21" s="153" t="n">
        <v>18720</v>
      </c>
      <c r="K21" s="153" t="n"/>
      <c r="L21" s="153" t="inlineStr">
        <is>
          <t>R0103783</t>
        </is>
      </c>
      <c r="M21" s="153" t="n"/>
      <c r="N21" s="268" t="inlineStr">
        <is>
          <t>MHE 2025 BAA – NNN billed charges</t>
        </is>
      </c>
      <c r="O21" s="153" t="inlineStr">
        <is>
          <t>2026-06-01</t>
        </is>
      </c>
      <c r="P21" s="268" t="inlineStr">
        <is>
          <t>NNN actual billed charges 2019–2024</t>
        </is>
      </c>
      <c r="Q21" s="233">
        <f>IF(B21="","",IFERROR(INDEX(OCC_TABLE_DESC,MATCH(B21,OCC_TABLE_CODE,0)),"Unrecognized code"))</f>
        <v/>
      </c>
    </row>
    <row r="22" ht="15" customHeight="1" s="518">
      <c r="A22" s="283" t="inlineStr">
        <is>
          <t>P019</t>
        </is>
      </c>
      <c r="B22" s="150" t="n">
        <v>407</v>
      </c>
      <c r="C22" s="151" t="inlineStr">
        <is>
          <t>R0210402/R0210403</t>
        </is>
      </c>
      <c r="D22" s="284" t="inlineStr">
        <is>
          <t>17190 E 85th Ave</t>
        </is>
      </c>
      <c r="E22" s="283" t="inlineStr">
        <is>
          <t>Commerce City</t>
        </is>
      </c>
      <c r="F22" s="283" t="inlineStr">
        <is>
          <t>CO</t>
        </is>
      </c>
      <c r="G22" s="283" t="inlineStr">
        <is>
          <t>Industrial</t>
        </is>
      </c>
      <c r="H22" s="284" t="inlineStr">
        <is>
          <t>Industrial Warehouse NNN</t>
        </is>
      </c>
      <c r="I22" s="283" t="n">
        <v>2021</v>
      </c>
      <c r="J22" s="283" t="n">
        <v>329940</v>
      </c>
      <c r="K22" s="283" t="n"/>
      <c r="L22" s="283" t="inlineStr">
        <is>
          <t>R0210402/R0210403</t>
        </is>
      </c>
      <c r="M22" s="283" t="n"/>
      <c r="N22" s="284" t="inlineStr">
        <is>
          <t>MHE 2025 BAA – Petitioner proforma</t>
        </is>
      </c>
      <c r="O22" s="283" t="inlineStr">
        <is>
          <t>2026-06-01</t>
        </is>
      </c>
      <c r="P22" s="284" t="inlineStr">
        <is>
          <t>Petitioner proforma 2024/25</t>
        </is>
      </c>
      <c r="Q22" s="233">
        <f>IF(B22="","",IFERROR(INDEX(OCC_TABLE_DESC,MATCH(B22,OCC_TABLE_CODE,0)),"Unrecognized code"))</f>
        <v/>
      </c>
    </row>
    <row r="23" ht="15" customHeight="1" s="518">
      <c r="A23" s="153" t="inlineStr">
        <is>
          <t>P020</t>
        </is>
      </c>
      <c r="B23" s="150" t="n">
        <v>584</v>
      </c>
      <c r="C23" s="151" t="inlineStr">
        <is>
          <t>R0209679</t>
        </is>
      </c>
      <c r="D23" s="268" t="inlineStr">
        <is>
          <t>17501 E 84th Ave</t>
        </is>
      </c>
      <c r="E23" s="153" t="inlineStr">
        <is>
          <t>Commerce City</t>
        </is>
      </c>
      <c r="F23" s="153" t="inlineStr">
        <is>
          <t>CO</t>
        </is>
      </c>
      <c r="G23" s="153" t="inlineStr">
        <is>
          <t>Industrial</t>
        </is>
      </c>
      <c r="H23" s="268" t="inlineStr">
        <is>
          <t>Mega Warehouse / Distribution Center NNN (Lowe's)</t>
        </is>
      </c>
      <c r="I23" s="153" t="n">
        <v>2021</v>
      </c>
      <c r="J23" s="153" t="n">
        <v>999780</v>
      </c>
      <c r="K23" s="153" t="n"/>
      <c r="L23" s="153" t="inlineStr">
        <is>
          <t>R0209679</t>
        </is>
      </c>
      <c r="M23" s="153" t="n"/>
      <c r="N23" s="268" t="inlineStr">
        <is>
          <t>MHE 2025 BAA – Owner submitted P&amp;L</t>
        </is>
      </c>
      <c r="O23" s="153" t="inlineStr">
        <is>
          <t>2026-06-01</t>
        </is>
      </c>
      <c r="P23" s="268" t="inlineStr">
        <is>
          <t>Actual accrual; 2023 NOI inflated by ~$2.8M prior-yr tax adj</t>
        </is>
      </c>
      <c r="Q23" s="233">
        <f>IF(B23="","",IFERROR(INDEX(OCC_TABLE_DESC,MATCH(B23,OCC_TABLE_CODE,0)),"Unrecognized code"))</f>
        <v/>
      </c>
    </row>
    <row r="24" ht="15" customHeight="1" s="518">
      <c r="A24" s="283" t="inlineStr">
        <is>
          <t>P021</t>
        </is>
      </c>
      <c r="B24" s="150" t="n">
        <v>210</v>
      </c>
      <c r="C24" s="151" t="inlineStr">
        <is>
          <t>R0091931</t>
        </is>
      </c>
      <c r="D24" s="284" t="inlineStr">
        <is>
          <t>6300 E. 58th Ave</t>
        </is>
      </c>
      <c r="E24" s="283" t="inlineStr">
        <is>
          <t>Commerce City</t>
        </is>
      </c>
      <c r="F24" s="283" t="inlineStr">
        <is>
          <t>CO</t>
        </is>
      </c>
      <c r="G24" s="283" t="inlineStr">
        <is>
          <t>Industrial</t>
        </is>
      </c>
      <c r="H24" s="284" t="inlineStr">
        <is>
          <t>Multi-Tenant Industrial/Flex</t>
        </is>
      </c>
      <c r="I24" s="283" t="n">
        <v>1999</v>
      </c>
      <c r="J24" s="283" t="n">
        <v>90000</v>
      </c>
      <c r="K24" s="283" t="n"/>
      <c r="L24" s="283" t="inlineStr">
        <is>
          <t>R0091931</t>
        </is>
      </c>
      <c r="M24" s="283" t="n"/>
      <c r="N24" s="284" t="inlineStr">
        <is>
          <t>MHE 2025 BOE – Owner actual P&amp;L</t>
        </is>
      </c>
      <c r="O24" s="283" t="inlineStr">
        <is>
          <t>2026-06-02</t>
        </is>
      </c>
      <c r="P24" s="284" t="inlineStr">
        <is>
          <t>Actual accrual 2023+2024; YOC 1999–2001</t>
        </is>
      </c>
      <c r="Q24" s="233">
        <f>IF(B24="","",IFERROR(INDEX(OCC_TABLE_DESC,MATCH(B24,OCC_TABLE_CODE,0)),"Unrecognized code"))</f>
        <v/>
      </c>
    </row>
    <row r="25" ht="30" customHeight="1" s="518">
      <c r="A25" s="153" t="inlineStr">
        <is>
          <t>P022</t>
        </is>
      </c>
      <c r="B25" s="150" t="n">
        <v>210</v>
      </c>
      <c r="C25" s="151" t="inlineStr">
        <is>
          <t>R0111559</t>
        </is>
      </c>
      <c r="D25" s="268" t="inlineStr">
        <is>
          <t>3590 N. Himalaya Rd (Bldg 6)</t>
        </is>
      </c>
      <c r="E25" s="153" t="inlineStr">
        <is>
          <t>Aurora</t>
        </is>
      </c>
      <c r="F25" s="153" t="inlineStr">
        <is>
          <t>CO</t>
        </is>
      </c>
      <c r="G25" s="153" t="inlineStr">
        <is>
          <t>Industrial</t>
        </is>
      </c>
      <c r="H25" s="268" t="inlineStr">
        <is>
          <t>Multi-Tenant Industrial/Flex NNN</t>
        </is>
      </c>
      <c r="I25" s="153" t="n"/>
      <c r="J25" s="153" t="n"/>
      <c r="K25" s="153" t="n"/>
      <c r="L25" s="153" t="inlineStr">
        <is>
          <t>R0111559</t>
        </is>
      </c>
      <c r="M25" s="153" t="n"/>
      <c r="N25" s="268" t="inlineStr">
        <is>
          <t>MHE 2025 BOE – Sterling actual P&amp;L</t>
        </is>
      </c>
      <c r="O25" s="153" t="inlineStr">
        <is>
          <t>2026-06-02</t>
        </is>
      </c>
      <c r="P25" s="268" t="inlineStr">
        <is>
          <t>2023 transitional (vacancy); 2024 new tenant in place; SF not confirmed</t>
        </is>
      </c>
      <c r="Q25" s="233">
        <f>IF(B25="","",IFERROR(INDEX(OCC_TABLE_DESC,MATCH(B25,OCC_TABLE_CODE,0)),"Unrecognized code"))</f>
        <v/>
      </c>
    </row>
    <row r="26" ht="30" customHeight="1" s="518">
      <c r="A26" s="283" t="inlineStr">
        <is>
          <t>P023</t>
        </is>
      </c>
      <c r="B26" s="150" t="n">
        <v>407</v>
      </c>
      <c r="C26" s="151" t="inlineStr">
        <is>
          <t>R0191098</t>
        </is>
      </c>
      <c r="D26" s="284" t="inlineStr">
        <is>
          <t>19754 E. 35th Dr (Bldg 4)</t>
        </is>
      </c>
      <c r="E26" s="283" t="inlineStr">
        <is>
          <t>Aurora</t>
        </is>
      </c>
      <c r="F26" s="283" t="inlineStr">
        <is>
          <t>CO</t>
        </is>
      </c>
      <c r="G26" s="283" t="inlineStr">
        <is>
          <t>Industrial</t>
        </is>
      </c>
      <c r="H26" s="284" t="inlineStr">
        <is>
          <t>Single-Tenant Industrial NNN</t>
        </is>
      </c>
      <c r="I26" s="283" t="n"/>
      <c r="J26" s="283" t="n">
        <v>155033</v>
      </c>
      <c r="K26" s="283" t="n"/>
      <c r="L26" s="283" t="inlineStr">
        <is>
          <t>R0191098</t>
        </is>
      </c>
      <c r="M26" s="283" t="n"/>
      <c r="N26" s="284" t="inlineStr">
        <is>
          <t>MHE 2025 BOE – Sterling actual P&amp;L</t>
        </is>
      </c>
      <c r="O26" s="283" t="inlineStr">
        <is>
          <t>2026-06-02</t>
        </is>
      </c>
      <c r="P26" s="284" t="inlineStr">
        <is>
          <t>Single-tenant NNN (Quality Custom Distribution); lease thru 12/31/2029</t>
        </is>
      </c>
      <c r="Q26" s="233">
        <f>IF(B26="","",IFERROR(INDEX(OCC_TABLE_DESC,MATCH(B26,OCC_TABLE_CODE,0)),"Unrecognized code"))</f>
        <v/>
      </c>
    </row>
    <row r="27" ht="15" customHeight="1" s="518">
      <c r="A27" s="153" t="inlineStr">
        <is>
          <t>P024</t>
        </is>
      </c>
      <c r="B27" s="150" t="n">
        <v>407</v>
      </c>
      <c r="C27" s="151" t="inlineStr">
        <is>
          <t>R0111560</t>
        </is>
      </c>
      <c r="D27" s="268" t="inlineStr">
        <is>
          <t>20320 E. 36th Dr (Bldg 7)</t>
        </is>
      </c>
      <c r="E27" s="153" t="inlineStr">
        <is>
          <t>Aurora</t>
        </is>
      </c>
      <c r="F27" s="153" t="inlineStr">
        <is>
          <t>CO</t>
        </is>
      </c>
      <c r="G27" s="153" t="inlineStr">
        <is>
          <t>Industrial</t>
        </is>
      </c>
      <c r="H27" s="268" t="inlineStr">
        <is>
          <t>Single-Tenant Industrial NNN</t>
        </is>
      </c>
      <c r="I27" s="153" t="n"/>
      <c r="J27" s="153" t="n">
        <v>200000</v>
      </c>
      <c r="K27" s="153" t="n"/>
      <c r="L27" s="153" t="inlineStr">
        <is>
          <t>R0111560</t>
        </is>
      </c>
      <c r="M27" s="153" t="n"/>
      <c r="N27" s="268" t="inlineStr">
        <is>
          <t>MHE 2025 BOE – Sterling actual P&amp;L</t>
        </is>
      </c>
      <c r="O27" s="153" t="inlineStr">
        <is>
          <t>2026-06-02</t>
        </is>
      </c>
      <c r="P27" s="268" t="inlineStr">
        <is>
          <t>FedEx NNN; lease expired 4/30/2024 – 2023 only usable</t>
        </is>
      </c>
      <c r="Q27" s="233">
        <f>IF(B27="","",IFERROR(INDEX(OCC_TABLE_DESC,MATCH(B27,OCC_TABLE_CODE,0)),"Unrecognized code"))</f>
        <v/>
      </c>
    </row>
    <row r="28" ht="15" customHeight="1" s="518">
      <c r="A28" s="283" t="inlineStr">
        <is>
          <t>P025</t>
        </is>
      </c>
      <c r="B28" s="150" t="n">
        <v>210</v>
      </c>
      <c r="C28" s="151" t="inlineStr">
        <is>
          <t>R0191099</t>
        </is>
      </c>
      <c r="D28" s="284" t="inlineStr">
        <is>
          <t>3559 N. Himalaya Rd (Bldg 5)</t>
        </is>
      </c>
      <c r="E28" s="283" t="inlineStr">
        <is>
          <t>Aurora</t>
        </is>
      </c>
      <c r="F28" s="283" t="inlineStr">
        <is>
          <t>CO</t>
        </is>
      </c>
      <c r="G28" s="283" t="inlineStr">
        <is>
          <t>Industrial</t>
        </is>
      </c>
      <c r="H28" s="284" t="inlineStr">
        <is>
          <t>Multi-Tenant Industrial NNN</t>
        </is>
      </c>
      <c r="I28" s="283" t="n"/>
      <c r="J28" s="283" t="n">
        <v>159047</v>
      </c>
      <c r="K28" s="283" t="n"/>
      <c r="L28" s="283" t="inlineStr">
        <is>
          <t>R0191099</t>
        </is>
      </c>
      <c r="M28" s="283" t="n"/>
      <c r="N28" s="284" t="inlineStr">
        <is>
          <t>MHE 2025 BOE – Sterling actual P&amp;L</t>
        </is>
      </c>
      <c r="O28" s="283" t="inlineStr">
        <is>
          <t>2026-06-02</t>
        </is>
      </c>
      <c r="P28" s="284" t="inlineStr">
        <is>
          <t>Multi-tenant NNN; 3 tenants; 2023+2024</t>
        </is>
      </c>
      <c r="Q28" s="233">
        <f>IF(B28="","",IFERROR(INDEX(OCC_TABLE_DESC,MATCH(B28,OCC_TABLE_CODE,0)),"Unrecognized code"))</f>
        <v/>
      </c>
    </row>
    <row r="29" ht="15" customHeight="1" s="518">
      <c r="A29" s="153" t="inlineStr">
        <is>
          <t>P026</t>
        </is>
      </c>
      <c r="B29" s="150" t="n">
        <v>406</v>
      </c>
      <c r="C29" s="151" t="inlineStr">
        <is>
          <t>R0092667</t>
        </is>
      </c>
      <c r="D29" s="268" t="inlineStr">
        <is>
          <t>4901 Locust St</t>
        </is>
      </c>
      <c r="E29" s="153" t="inlineStr">
        <is>
          <t>Commerce City</t>
        </is>
      </c>
      <c r="F29" s="153" t="inlineStr">
        <is>
          <t>CO</t>
        </is>
      </c>
      <c r="G29" s="153" t="inlineStr">
        <is>
          <t>Industrial</t>
        </is>
      </c>
      <c r="H29" s="268" t="inlineStr">
        <is>
          <t>Industrial Warehouse</t>
        </is>
      </c>
      <c r="I29" s="153" t="n"/>
      <c r="J29" s="153" t="n">
        <v>29512</v>
      </c>
      <c r="K29" s="153" t="n"/>
      <c r="L29" s="153" t="inlineStr">
        <is>
          <t>R0092667</t>
        </is>
      </c>
      <c r="M29" s="153" t="n"/>
      <c r="N29" s="268" t="inlineStr">
        <is>
          <t>MHE 2025 BOE – Newmark appraisal proforma</t>
        </is>
      </c>
      <c r="O29" s="153" t="inlineStr">
        <is>
          <t>2026-06-02</t>
        </is>
      </c>
      <c r="P29" s="268" t="inlineStr">
        <is>
          <t>Stabilized proforma; Newmark V&amp;A appraisal 6/30/2024</t>
        </is>
      </c>
      <c r="Q29" s="233">
        <f>IF(B29="","",IFERROR(INDEX(OCC_TABLE_DESC,MATCH(B29,OCC_TABLE_CODE,0)),"Unrecognized code"))</f>
        <v/>
      </c>
    </row>
    <row r="30" ht="15" customHeight="1" s="518">
      <c r="A30" s="283" t="inlineStr">
        <is>
          <t>P027</t>
        </is>
      </c>
      <c r="B30" s="150" t="n">
        <v>407</v>
      </c>
      <c r="C30" s="151" t="inlineStr">
        <is>
          <t>R0132030</t>
        </is>
      </c>
      <c r="D30" s="284" t="inlineStr">
        <is>
          <t>Majestic Commercenter (R0132030)</t>
        </is>
      </c>
      <c r="E30" s="283" t="inlineStr">
        <is>
          <t>Commerce City</t>
        </is>
      </c>
      <c r="F30" s="283" t="inlineStr">
        <is>
          <t>CO</t>
        </is>
      </c>
      <c r="G30" s="283" t="inlineStr">
        <is>
          <t>Industrial</t>
        </is>
      </c>
      <c r="H30" s="284" t="inlineStr">
        <is>
          <t>Warehouse NNN</t>
        </is>
      </c>
      <c r="I30" s="283" t="n">
        <v>2001</v>
      </c>
      <c r="J30" s="283" t="n">
        <v>200094</v>
      </c>
      <c r="K30" s="283" t="n"/>
      <c r="L30" s="283" t="inlineStr">
        <is>
          <t>R0132030</t>
        </is>
      </c>
      <c r="M30" s="283" t="n"/>
      <c r="N30" s="284" t="inlineStr">
        <is>
          <t>AXG – Whse Expenses PSF.xlsx</t>
        </is>
      </c>
      <c r="O30" s="283" t="inlineStr">
        <is>
          <t>2026-06-02</t>
        </is>
      </c>
      <c r="P30" s="284" t="inlineStr">
        <is>
          <t>NNN landlord expenses only; 2021–2022</t>
        </is>
      </c>
      <c r="Q30" s="233">
        <f>IF(B30="","",IFERROR(INDEX(OCC_TABLE_DESC,MATCH(B30,OCC_TABLE_CODE,0)),"Unrecognized code"))</f>
        <v/>
      </c>
    </row>
    <row r="31" ht="15" customHeight="1" s="518">
      <c r="A31" s="153" t="inlineStr">
        <is>
          <t>P028</t>
        </is>
      </c>
      <c r="B31" s="150" t="n">
        <v>407</v>
      </c>
      <c r="C31" s="151" t="inlineStr">
        <is>
          <t>R0084040</t>
        </is>
      </c>
      <c r="D31" s="268" t="inlineStr">
        <is>
          <t>Majestic Commercenter (R0084040)</t>
        </is>
      </c>
      <c r="E31" s="153" t="inlineStr">
        <is>
          <t>Commerce City</t>
        </is>
      </c>
      <c r="F31" s="153" t="inlineStr">
        <is>
          <t>CO</t>
        </is>
      </c>
      <c r="G31" s="153" t="inlineStr">
        <is>
          <t>Industrial</t>
        </is>
      </c>
      <c r="H31" s="268" t="inlineStr">
        <is>
          <t>Warehouse NNN</t>
        </is>
      </c>
      <c r="I31" s="153" t="n">
        <v>1997</v>
      </c>
      <c r="J31" s="153" t="n">
        <v>177736</v>
      </c>
      <c r="K31" s="153" t="n"/>
      <c r="L31" s="153" t="inlineStr">
        <is>
          <t>R0084040</t>
        </is>
      </c>
      <c r="M31" s="153" t="n"/>
      <c r="N31" s="268" t="inlineStr">
        <is>
          <t>AXG – Whse Expenses PSF.xlsx</t>
        </is>
      </c>
      <c r="O31" s="153" t="inlineStr">
        <is>
          <t>2026-06-02</t>
        </is>
      </c>
      <c r="P31" s="268" t="inlineStr">
        <is>
          <t>NNN landlord expenses only; 2021–2022</t>
        </is>
      </c>
      <c r="Q31" s="233">
        <f>IF(B31="","",IFERROR(INDEX(OCC_TABLE_DESC,MATCH(B31,OCC_TABLE_CODE,0)),"Unrecognized code"))</f>
        <v/>
      </c>
    </row>
    <row r="32" ht="15" customHeight="1" s="518">
      <c r="A32" s="283" t="inlineStr">
        <is>
          <t>P029</t>
        </is>
      </c>
      <c r="B32" s="150" t="n">
        <v>407</v>
      </c>
      <c r="C32" s="151" t="inlineStr">
        <is>
          <t>R0084041</t>
        </is>
      </c>
      <c r="D32" s="284" t="inlineStr">
        <is>
          <t>Majestic Commercenter (R0084041)</t>
        </is>
      </c>
      <c r="E32" s="283" t="inlineStr">
        <is>
          <t>Commerce City</t>
        </is>
      </c>
      <c r="F32" s="283" t="inlineStr">
        <is>
          <t>CO</t>
        </is>
      </c>
      <c r="G32" s="283" t="inlineStr">
        <is>
          <t>Industrial</t>
        </is>
      </c>
      <c r="H32" s="284" t="inlineStr">
        <is>
          <t>Warehouse NNN</t>
        </is>
      </c>
      <c r="I32" s="283" t="n">
        <v>1997</v>
      </c>
      <c r="J32" s="283" t="n">
        <v>200371</v>
      </c>
      <c r="K32" s="283" t="n"/>
      <c r="L32" s="283" t="inlineStr">
        <is>
          <t>R0084041</t>
        </is>
      </c>
      <c r="M32" s="283" t="n"/>
      <c r="N32" s="284" t="inlineStr">
        <is>
          <t>AXG – Whse Expenses PSF.xlsx</t>
        </is>
      </c>
      <c r="O32" s="283" t="inlineStr">
        <is>
          <t>2026-06-02</t>
        </is>
      </c>
      <c r="P32" s="284" t="inlineStr">
        <is>
          <t>NNN landlord expenses only; 2021–2022</t>
        </is>
      </c>
      <c r="Q32" s="233">
        <f>IF(B32="","",IFERROR(INDEX(OCC_TABLE_DESC,MATCH(B32,OCC_TABLE_CODE,0)),"Unrecognized code"))</f>
        <v/>
      </c>
    </row>
    <row r="33" ht="15" customHeight="1" s="518">
      <c r="A33" s="153" t="inlineStr">
        <is>
          <t>P030</t>
        </is>
      </c>
      <c r="B33" s="150" t="n">
        <v>584</v>
      </c>
      <c r="C33" s="151" t="inlineStr">
        <is>
          <t>R0217015</t>
        </is>
      </c>
      <c r="D33" s="268" t="inlineStr">
        <is>
          <t>Majestic Commercenter (R0217015)</t>
        </is>
      </c>
      <c r="E33" s="153" t="inlineStr">
        <is>
          <t>Commerce City</t>
        </is>
      </c>
      <c r="F33" s="153" t="inlineStr">
        <is>
          <t>CO</t>
        </is>
      </c>
      <c r="G33" s="153" t="inlineStr">
        <is>
          <t>Industrial</t>
        </is>
      </c>
      <c r="H33" s="268" t="inlineStr">
        <is>
          <t>Mega Warehouse NNN</t>
        </is>
      </c>
      <c r="I33" s="153" t="n">
        <v>2021</v>
      </c>
      <c r="J33" s="153" t="n">
        <v>548510</v>
      </c>
      <c r="K33" s="153" t="n"/>
      <c r="L33" s="153" t="inlineStr">
        <is>
          <t>R0217015</t>
        </is>
      </c>
      <c r="M33" s="153" t="n"/>
      <c r="N33" s="268" t="inlineStr">
        <is>
          <t>AXG – Whse Expenses PSF.xlsx</t>
        </is>
      </c>
      <c r="O33" s="153" t="inlineStr">
        <is>
          <t>2026-06-02</t>
        </is>
      </c>
      <c r="P33" s="268" t="inlineStr">
        <is>
          <t>NNN landlord expenses only; 2022 only</t>
        </is>
      </c>
      <c r="Q33" s="233">
        <f>IF(B33="","",IFERROR(INDEX(OCC_TABLE_DESC,MATCH(B33,OCC_TABLE_CODE,0)),"Unrecognized code"))</f>
        <v/>
      </c>
    </row>
    <row r="34" ht="15" customHeight="1" s="518">
      <c r="A34" s="283" t="inlineStr">
        <is>
          <t>P031</t>
        </is>
      </c>
      <c r="B34" s="150" t="n">
        <v>407</v>
      </c>
      <c r="C34" s="151" t="inlineStr">
        <is>
          <t>R0111562</t>
        </is>
      </c>
      <c r="D34" s="284" t="inlineStr">
        <is>
          <t>Majestic Commercenter (R0111562)</t>
        </is>
      </c>
      <c r="E34" s="283" t="inlineStr">
        <is>
          <t>Commerce City</t>
        </is>
      </c>
      <c r="F34" s="283" t="inlineStr">
        <is>
          <t>CO</t>
        </is>
      </c>
      <c r="G34" s="283" t="inlineStr">
        <is>
          <t>Industrial</t>
        </is>
      </c>
      <c r="H34" s="284" t="inlineStr">
        <is>
          <t>Warehouse NNN</t>
        </is>
      </c>
      <c r="I34" s="283" t="n">
        <v>2000</v>
      </c>
      <c r="J34" s="283" t="n">
        <v>149175</v>
      </c>
      <c r="K34" s="283" t="n"/>
      <c r="L34" s="283" t="inlineStr">
        <is>
          <t>R0111562</t>
        </is>
      </c>
      <c r="M34" s="283" t="n"/>
      <c r="N34" s="284" t="inlineStr">
        <is>
          <t>AXG – Whse Expenses PSF.xlsx</t>
        </is>
      </c>
      <c r="O34" s="283" t="inlineStr">
        <is>
          <t>2026-06-02</t>
        </is>
      </c>
      <c r="P34" s="284" t="inlineStr">
        <is>
          <t>NNN landlord expenses only; 2019–2020</t>
        </is>
      </c>
      <c r="Q34" s="233">
        <f>IF(B34="","",IFERROR(INDEX(OCC_TABLE_DESC,MATCH(B34,OCC_TABLE_CODE,0)),"Unrecognized code"))</f>
        <v/>
      </c>
    </row>
    <row r="35" ht="15" customHeight="1" s="518">
      <c r="A35" s="153" t="inlineStr">
        <is>
          <t>P032</t>
        </is>
      </c>
      <c r="B35" s="150" t="n">
        <v>407</v>
      </c>
      <c r="C35" s="151" t="inlineStr">
        <is>
          <t>R0118875</t>
        </is>
      </c>
      <c r="D35" s="268" t="inlineStr">
        <is>
          <t>Majestic Commercenter (R0118875)</t>
        </is>
      </c>
      <c r="E35" s="153" t="inlineStr">
        <is>
          <t>Commerce City</t>
        </is>
      </c>
      <c r="F35" s="153" t="inlineStr">
        <is>
          <t>CO</t>
        </is>
      </c>
      <c r="G35" s="153" t="inlineStr">
        <is>
          <t>Industrial</t>
        </is>
      </c>
      <c r="H35" s="268" t="inlineStr">
        <is>
          <t>Warehouse NNN</t>
        </is>
      </c>
      <c r="I35" s="153" t="n">
        <v>1999</v>
      </c>
      <c r="J35" s="153" t="n">
        <v>279640</v>
      </c>
      <c r="K35" s="153" t="n"/>
      <c r="L35" s="153" t="inlineStr">
        <is>
          <t>R0118875</t>
        </is>
      </c>
      <c r="M35" s="153" t="n"/>
      <c r="N35" s="268" t="inlineStr">
        <is>
          <t>AXG – Whse Expenses PSF.xlsx</t>
        </is>
      </c>
      <c r="O35" s="153" t="inlineStr">
        <is>
          <t>2026-06-02</t>
        </is>
      </c>
      <c r="P35" s="268" t="inlineStr">
        <is>
          <t>NNN landlord expenses only; 2021–2022</t>
        </is>
      </c>
      <c r="Q35" s="233">
        <f>IF(B35="","",IFERROR(INDEX(OCC_TABLE_DESC,MATCH(B35,OCC_TABLE_CODE,0)),"Unrecognized code"))</f>
        <v/>
      </c>
    </row>
    <row r="36" ht="15" customHeight="1" s="518">
      <c r="A36" s="283" t="inlineStr">
        <is>
          <t>P033</t>
        </is>
      </c>
      <c r="B36" s="150" t="n">
        <v>407</v>
      </c>
      <c r="C36" s="151" t="inlineStr">
        <is>
          <t>R0132031</t>
        </is>
      </c>
      <c r="D36" s="284" t="inlineStr">
        <is>
          <t>Majestic Commercenter (R0132031)</t>
        </is>
      </c>
      <c r="E36" s="283" t="inlineStr">
        <is>
          <t>Commerce City</t>
        </is>
      </c>
      <c r="F36" s="283" t="inlineStr">
        <is>
          <t>CO</t>
        </is>
      </c>
      <c r="G36" s="283" t="inlineStr">
        <is>
          <t>Industrial</t>
        </is>
      </c>
      <c r="H36" s="284" t="inlineStr">
        <is>
          <t>Warehouse NNN</t>
        </is>
      </c>
      <c r="I36" s="283" t="n">
        <v>2002</v>
      </c>
      <c r="J36" s="283" t="n">
        <v>280098</v>
      </c>
      <c r="K36" s="283" t="n"/>
      <c r="L36" s="283" t="inlineStr">
        <is>
          <t>R0132031</t>
        </is>
      </c>
      <c r="M36" s="283" t="n"/>
      <c r="N36" s="284" t="inlineStr">
        <is>
          <t>AXG – Whse Expenses PSF.xlsx</t>
        </is>
      </c>
      <c r="O36" s="283" t="inlineStr">
        <is>
          <t>2026-06-02</t>
        </is>
      </c>
      <c r="P36" s="284" t="inlineStr">
        <is>
          <t>NNN landlord expenses only; 2021–2022</t>
        </is>
      </c>
      <c r="Q36" s="233">
        <f>IF(B36="","",IFERROR(INDEX(OCC_TABLE_DESC,MATCH(B36,OCC_TABLE_CODE,0)),"Unrecognized code"))</f>
        <v/>
      </c>
    </row>
    <row r="37" ht="15" customHeight="1" s="518">
      <c r="A37" s="153" t="inlineStr">
        <is>
          <t>P034</t>
        </is>
      </c>
      <c r="B37" s="150" t="n">
        <v>407</v>
      </c>
      <c r="C37" s="151" t="inlineStr">
        <is>
          <t>R0172865</t>
        </is>
      </c>
      <c r="D37" s="268" t="inlineStr">
        <is>
          <t>Majestic Commercenter (R0172865)</t>
        </is>
      </c>
      <c r="E37" s="153" t="inlineStr">
        <is>
          <t>Commerce City</t>
        </is>
      </c>
      <c r="F37" s="153" t="inlineStr">
        <is>
          <t>CO</t>
        </is>
      </c>
      <c r="G37" s="153" t="inlineStr">
        <is>
          <t>Industrial</t>
        </is>
      </c>
      <c r="H37" s="268" t="inlineStr">
        <is>
          <t>Warehouse NNN</t>
        </is>
      </c>
      <c r="I37" s="153" t="n">
        <v>2008</v>
      </c>
      <c r="J37" s="153" t="n">
        <v>215461</v>
      </c>
      <c r="K37" s="153" t="n"/>
      <c r="L37" s="153" t="inlineStr">
        <is>
          <t>R0172865</t>
        </is>
      </c>
      <c r="M37" s="153" t="n"/>
      <c r="N37" s="268" t="inlineStr">
        <is>
          <t>AXG – Whse Expenses PSF.xlsx</t>
        </is>
      </c>
      <c r="O37" s="153" t="inlineStr">
        <is>
          <t>2026-06-02</t>
        </is>
      </c>
      <c r="P37" s="268" t="inlineStr">
        <is>
          <t>NNN landlord expenses only; 2021–2022</t>
        </is>
      </c>
      <c r="Q37" s="233">
        <f>IF(B37="","",IFERROR(INDEX(OCC_TABLE_DESC,MATCH(B37,OCC_TABLE_CODE,0)),"Unrecognized code"))</f>
        <v/>
      </c>
    </row>
    <row r="38" ht="15" customHeight="1" s="518">
      <c r="A38" s="283" t="inlineStr">
        <is>
          <t>P035</t>
        </is>
      </c>
      <c r="B38" s="150" t="n">
        <v>407</v>
      </c>
      <c r="C38" s="151" t="inlineStr">
        <is>
          <t>R0172867</t>
        </is>
      </c>
      <c r="D38" s="284" t="inlineStr">
        <is>
          <t>Majestic Commercenter (R0172867)</t>
        </is>
      </c>
      <c r="E38" s="283" t="inlineStr">
        <is>
          <t>Commerce City</t>
        </is>
      </c>
      <c r="F38" s="283" t="inlineStr">
        <is>
          <t>CO</t>
        </is>
      </c>
      <c r="G38" s="283" t="inlineStr">
        <is>
          <t>Industrial</t>
        </is>
      </c>
      <c r="H38" s="284" t="inlineStr">
        <is>
          <t>Warehouse NNN</t>
        </is>
      </c>
      <c r="I38" s="283" t="n">
        <v>2007</v>
      </c>
      <c r="J38" s="283" t="n">
        <v>215560</v>
      </c>
      <c r="K38" s="283" t="n"/>
      <c r="L38" s="283" t="inlineStr">
        <is>
          <t>R0172867</t>
        </is>
      </c>
      <c r="M38" s="283" t="n"/>
      <c r="N38" s="284" t="inlineStr">
        <is>
          <t>AXG – Whse Expenses PSF.xlsx</t>
        </is>
      </c>
      <c r="O38" s="283" t="inlineStr">
        <is>
          <t>2026-06-02</t>
        </is>
      </c>
      <c r="P38" s="284" t="inlineStr">
        <is>
          <t>NNN landlord expenses only; 2021–2022</t>
        </is>
      </c>
      <c r="Q38" s="233">
        <f>IF(B38="","",IFERROR(INDEX(OCC_TABLE_DESC,MATCH(B38,OCC_TABLE_CODE,0)),"Unrecognized code"))</f>
        <v/>
      </c>
    </row>
    <row r="39" ht="15" customHeight="1" s="518">
      <c r="A39" s="153" t="inlineStr">
        <is>
          <t>P036</t>
        </is>
      </c>
      <c r="B39" s="150" t="n">
        <v>407</v>
      </c>
      <c r="C39" s="151" t="inlineStr">
        <is>
          <t>R0172868</t>
        </is>
      </c>
      <c r="D39" s="268" t="inlineStr">
        <is>
          <t>Majestic Commercenter (R0172868)</t>
        </is>
      </c>
      <c r="E39" s="153" t="inlineStr">
        <is>
          <t>Commerce City</t>
        </is>
      </c>
      <c r="F39" s="153" t="inlineStr">
        <is>
          <t>CO</t>
        </is>
      </c>
      <c r="G39" s="153" t="inlineStr">
        <is>
          <t>Industrial</t>
        </is>
      </c>
      <c r="H39" s="268" t="inlineStr">
        <is>
          <t>Warehouse NNN</t>
        </is>
      </c>
      <c r="I39" s="153" t="n">
        <v>2007</v>
      </c>
      <c r="J39" s="153" t="n">
        <v>202091</v>
      </c>
      <c r="K39" s="153" t="n"/>
      <c r="L39" s="153" t="inlineStr">
        <is>
          <t>R0172868</t>
        </is>
      </c>
      <c r="M39" s="153" t="n"/>
      <c r="N39" s="268" t="inlineStr">
        <is>
          <t>AXG – Whse Expenses PSF.xlsx</t>
        </is>
      </c>
      <c r="O39" s="153" t="inlineStr">
        <is>
          <t>2026-06-02</t>
        </is>
      </c>
      <c r="P39" s="268" t="inlineStr">
        <is>
          <t>NNN landlord expenses only; 2021–2022</t>
        </is>
      </c>
      <c r="Q39" s="233">
        <f>IF(B39="","",IFERROR(INDEX(OCC_TABLE_DESC,MATCH(B39,OCC_TABLE_CODE,0)),"Unrecognized code"))</f>
        <v/>
      </c>
    </row>
    <row r="40" ht="15" customHeight="1" s="518">
      <c r="A40" s="283" t="inlineStr">
        <is>
          <t>P037</t>
        </is>
      </c>
      <c r="B40" s="150" t="n">
        <v>407</v>
      </c>
      <c r="C40" s="151" t="inlineStr">
        <is>
          <t>R0145680</t>
        </is>
      </c>
      <c r="D40" s="284" t="inlineStr">
        <is>
          <t>Majestic Commercenter (R0145680)</t>
        </is>
      </c>
      <c r="E40" s="283" t="inlineStr">
        <is>
          <t>Commerce City</t>
        </is>
      </c>
      <c r="F40" s="283" t="inlineStr">
        <is>
          <t>CO</t>
        </is>
      </c>
      <c r="G40" s="283" t="inlineStr">
        <is>
          <t>Industrial</t>
        </is>
      </c>
      <c r="H40" s="284" t="inlineStr">
        <is>
          <t>Warehouse NNN</t>
        </is>
      </c>
      <c r="I40" s="283" t="n">
        <v>2001</v>
      </c>
      <c r="J40" s="283" t="n">
        <v>150027</v>
      </c>
      <c r="K40" s="283" t="n"/>
      <c r="L40" s="283" t="inlineStr">
        <is>
          <t>R0145680</t>
        </is>
      </c>
      <c r="M40" s="283" t="n"/>
      <c r="N40" s="284" t="inlineStr">
        <is>
          <t>AXG – Whse Expenses PSF.xlsx</t>
        </is>
      </c>
      <c r="O40" s="283" t="inlineStr">
        <is>
          <t>2026-06-02</t>
        </is>
      </c>
      <c r="P40" s="284" t="inlineStr">
        <is>
          <t>NNN landlord expenses only; 2021–2022</t>
        </is>
      </c>
      <c r="Q40" s="233">
        <f>IF(B40="","",IFERROR(INDEX(OCC_TABLE_DESC,MATCH(B40,OCC_TABLE_CODE,0)),"Unrecognized code"))</f>
        <v/>
      </c>
    </row>
    <row r="41" ht="15" customHeight="1" s="518">
      <c r="A41" s="153" t="inlineStr">
        <is>
          <t>P038</t>
        </is>
      </c>
      <c r="B41" s="150" t="n">
        <v>584</v>
      </c>
      <c r="C41" s="151" t="inlineStr">
        <is>
          <t>R0181787</t>
        </is>
      </c>
      <c r="D41" s="268" t="inlineStr">
        <is>
          <t>Majestic Commercenter (R0181787)</t>
        </is>
      </c>
      <c r="E41" s="153" t="inlineStr">
        <is>
          <t>Commerce City</t>
        </is>
      </c>
      <c r="F41" s="153" t="inlineStr">
        <is>
          <t>CO</t>
        </is>
      </c>
      <c r="G41" s="153" t="inlineStr">
        <is>
          <t>Industrial</t>
        </is>
      </c>
      <c r="H41" s="268" t="inlineStr">
        <is>
          <t>Mega Warehouse NNN</t>
        </is>
      </c>
      <c r="I41" s="153" t="n">
        <v>2013</v>
      </c>
      <c r="J41" s="153" t="n">
        <v>500358</v>
      </c>
      <c r="K41" s="153" t="n"/>
      <c r="L41" s="153" t="inlineStr">
        <is>
          <t>R0181787</t>
        </is>
      </c>
      <c r="M41" s="153" t="n"/>
      <c r="N41" s="268" t="inlineStr">
        <is>
          <t>AXG – Whse Expenses PSF.xlsx</t>
        </is>
      </c>
      <c r="O41" s="153" t="inlineStr">
        <is>
          <t>2026-06-02</t>
        </is>
      </c>
      <c r="P41" s="268" t="inlineStr">
        <is>
          <t>NNN landlord expenses only; 2021–2022</t>
        </is>
      </c>
      <c r="Q41" s="233">
        <f>IF(B41="","",IFERROR(INDEX(OCC_TABLE_DESC,MATCH(B41,OCC_TABLE_CODE,0)),"Unrecognized code"))</f>
        <v/>
      </c>
    </row>
    <row r="42" ht="15" customHeight="1" s="518">
      <c r="A42" s="283" t="inlineStr">
        <is>
          <t>P039</t>
        </is>
      </c>
      <c r="B42" s="150" t="n">
        <v>584</v>
      </c>
      <c r="C42" s="151" t="inlineStr">
        <is>
          <t>R0191101</t>
        </is>
      </c>
      <c r="D42" s="284" t="inlineStr">
        <is>
          <t>Majestic Commercenter (R0191101)</t>
        </is>
      </c>
      <c r="E42" s="283" t="inlineStr">
        <is>
          <t>Commerce City</t>
        </is>
      </c>
      <c r="F42" s="283" t="inlineStr">
        <is>
          <t>CO</t>
        </is>
      </c>
      <c r="G42" s="283" t="inlineStr">
        <is>
          <t>Industrial</t>
        </is>
      </c>
      <c r="H42" s="284" t="inlineStr">
        <is>
          <t>Mega Warehouse NNN</t>
        </is>
      </c>
      <c r="I42" s="283" t="n">
        <v>2017</v>
      </c>
      <c r="J42" s="283" t="n">
        <v>522120</v>
      </c>
      <c r="K42" s="283" t="n"/>
      <c r="L42" s="283" t="inlineStr">
        <is>
          <t>R0191101</t>
        </is>
      </c>
      <c r="M42" s="283" t="n"/>
      <c r="N42" s="284" t="inlineStr">
        <is>
          <t>AXG – Whse Expenses PSF.xlsx</t>
        </is>
      </c>
      <c r="O42" s="283" t="inlineStr">
        <is>
          <t>2026-06-02</t>
        </is>
      </c>
      <c r="P42" s="284" t="inlineStr">
        <is>
          <t>NNN landlord expenses only; 2021–2022</t>
        </is>
      </c>
      <c r="Q42" s="233">
        <f>IF(B42="","",IFERROR(INDEX(OCC_TABLE_DESC,MATCH(B42,OCC_TABLE_CODE,0)),"Unrecognized code"))</f>
        <v/>
      </c>
    </row>
    <row r="43" ht="15" customHeight="1" s="518">
      <c r="A43" s="153" t="inlineStr">
        <is>
          <t>P040</t>
        </is>
      </c>
      <c r="B43" s="150" t="n">
        <v>407</v>
      </c>
      <c r="C43" s="151" t="inlineStr">
        <is>
          <t>R0202874</t>
        </is>
      </c>
      <c r="D43" s="268" t="inlineStr">
        <is>
          <t>900 E 128th Ave</t>
        </is>
      </c>
      <c r="E43" s="153" t="inlineStr">
        <is>
          <t>Henderson</t>
        </is>
      </c>
      <c r="F43" s="153" t="inlineStr">
        <is>
          <t>CO</t>
        </is>
      </c>
      <c r="G43" s="153" t="inlineStr">
        <is>
          <t>Industrial</t>
        </is>
      </c>
      <c r="H43" s="268" t="inlineStr">
        <is>
          <t>Last-Mile Distribution NNN</t>
        </is>
      </c>
      <c r="I43" s="153" t="n"/>
      <c r="J43" s="153" t="n"/>
      <c r="K43" s="153" t="n"/>
      <c r="L43" s="153" t="inlineStr">
        <is>
          <t>R0202874</t>
        </is>
      </c>
      <c r="M43" s="153" t="inlineStr">
        <is>
          <t>Amazon</t>
        </is>
      </c>
      <c r="N43" s="268" t="inlineStr">
        <is>
          <t>AXG – Owner Income Statement 2021–2022</t>
        </is>
      </c>
      <c r="O43" s="153" t="inlineStr">
        <is>
          <t>2026-06-02</t>
        </is>
      </c>
      <c r="P43" s="268" t="inlineStr">
        <is>
          <t>Amazon AMZL Last Mile Site 51812; SF not extracted</t>
        </is>
      </c>
      <c r="Q43" s="233">
        <f>IF(B43="","",IFERROR(INDEX(OCC_TABLE_DESC,MATCH(B43,OCC_TABLE_CODE,0)),"Unrecognized code"))</f>
        <v/>
      </c>
    </row>
    <row r="44" ht="15" customHeight="1" s="518">
      <c r="A44" s="283" t="inlineStr">
        <is>
          <t>P041</t>
        </is>
      </c>
      <c r="B44" s="150" t="n">
        <v>386</v>
      </c>
      <c r="C44" s="151" t="inlineStr">
        <is>
          <t>R0189384</t>
        </is>
      </c>
      <c r="D44" s="284" t="inlineStr">
        <is>
          <t>1101 Colorado Blvd</t>
        </is>
      </c>
      <c r="E44" s="283" t="inlineStr">
        <is>
          <t>Thornton</t>
        </is>
      </c>
      <c r="F44" s="283" t="inlineStr">
        <is>
          <t>CO</t>
        </is>
      </c>
      <c r="G44" s="283" t="inlineStr">
        <is>
          <t>Self-Storage</t>
        </is>
      </c>
      <c r="H44" s="284" t="inlineStr">
        <is>
          <t>Climate-Controlled</t>
        </is>
      </c>
      <c r="I44" s="283" t="n"/>
      <c r="J44" s="283" t="n">
        <v>65766</v>
      </c>
      <c r="K44" s="283" t="n"/>
      <c r="L44" s="283" t="inlineStr">
        <is>
          <t>R0189384</t>
        </is>
      </c>
      <c r="M44" s="283" t="n"/>
      <c r="N44" s="284" t="inlineStr">
        <is>
          <t>AXG – Carlson SS Portfolio P&amp;L</t>
        </is>
      </c>
      <c r="O44" s="283" t="inlineStr">
        <is>
          <t>2026-06-02</t>
        </is>
      </c>
      <c r="P44" s="284" t="inlineStr">
        <is>
          <t>Actual FY2021–2023; 101.5% occ Q4 2023</t>
        </is>
      </c>
      <c r="Q44" s="233">
        <f>IF(B44="","",IFERROR(INDEX(OCC_TABLE_DESC,MATCH(B44,OCC_TABLE_CODE,0)),"Unrecognized code"))</f>
        <v/>
      </c>
    </row>
    <row r="45" ht="15" customHeight="1" s="518">
      <c r="A45" s="153" t="inlineStr">
        <is>
          <t>P042</t>
        </is>
      </c>
      <c r="B45" s="150" t="n">
        <v>386</v>
      </c>
      <c r="C45" s="151" t="inlineStr">
        <is>
          <t>R0126235</t>
        </is>
      </c>
      <c r="D45" s="268" t="inlineStr">
        <is>
          <t>15024 Laroy Drive</t>
        </is>
      </c>
      <c r="E45" s="153" t="inlineStr">
        <is>
          <t>Northglenn</t>
        </is>
      </c>
      <c r="F45" s="153" t="inlineStr">
        <is>
          <t>CO</t>
        </is>
      </c>
      <c r="G45" s="153" t="inlineStr">
        <is>
          <t>Self-Storage</t>
        </is>
      </c>
      <c r="H45" s="268" t="inlineStr">
        <is>
          <t>Climate-Controlled</t>
        </is>
      </c>
      <c r="I45" s="153" t="n"/>
      <c r="J45" s="153" t="n">
        <v>79950</v>
      </c>
      <c r="K45" s="153" t="n"/>
      <c r="L45" s="153" t="inlineStr">
        <is>
          <t>R0126235</t>
        </is>
      </c>
      <c r="M45" s="153" t="n"/>
      <c r="N45" s="268" t="inlineStr">
        <is>
          <t>AXG – Carlson SS Portfolio P&amp;L</t>
        </is>
      </c>
      <c r="O45" s="153" t="inlineStr">
        <is>
          <t>2026-06-02</t>
        </is>
      </c>
      <c r="P45" s="268" t="inlineStr">
        <is>
          <t>Actual FY2021–2023; 91.4% occ Dec 2023</t>
        </is>
      </c>
      <c r="Q45" s="233">
        <f>IF(B45="","",IFERROR(INDEX(OCC_TABLE_DESC,MATCH(B45,OCC_TABLE_CODE,0)),"Unrecognized code"))</f>
        <v/>
      </c>
    </row>
    <row r="46" ht="15" customHeight="1" s="518">
      <c r="A46" s="283" t="inlineStr">
        <is>
          <t>P043</t>
        </is>
      </c>
      <c r="B46" s="150" t="n">
        <v>386</v>
      </c>
      <c r="C46" s="151" t="inlineStr">
        <is>
          <t>R0126234</t>
        </is>
      </c>
      <c r="D46" s="284" t="inlineStr">
        <is>
          <t>715 W 112th Ave</t>
        </is>
      </c>
      <c r="E46" s="283" t="inlineStr">
        <is>
          <t>Northglenn</t>
        </is>
      </c>
      <c r="F46" s="283" t="inlineStr">
        <is>
          <t>CO</t>
        </is>
      </c>
      <c r="G46" s="283" t="inlineStr">
        <is>
          <t>Self-Storage</t>
        </is>
      </c>
      <c r="H46" s="284" t="inlineStr">
        <is>
          <t>Drive-Up/Drop-Off</t>
        </is>
      </c>
      <c r="I46" s="283" t="n"/>
      <c r="J46" s="283" t="n">
        <v>83756</v>
      </c>
      <c r="K46" s="283" t="n"/>
      <c r="L46" s="283" t="inlineStr">
        <is>
          <t>R0126234</t>
        </is>
      </c>
      <c r="M46" s="283" t="n"/>
      <c r="N46" s="284" t="inlineStr">
        <is>
          <t>AXG – Carlson SS Portfolio P&amp;L</t>
        </is>
      </c>
      <c r="O46" s="283" t="inlineStr">
        <is>
          <t>2026-06-02</t>
        </is>
      </c>
      <c r="P46" s="284" t="inlineStr">
        <is>
          <t>Actual FY2021–2023</t>
        </is>
      </c>
      <c r="Q46" s="233">
        <f>IF(B46="","",IFERROR(INDEX(OCC_TABLE_DESC,MATCH(B46,OCC_TABLE_CODE,0)),"Unrecognized code"))</f>
        <v/>
      </c>
    </row>
    <row r="47" ht="15" customHeight="1" s="518">
      <c r="A47" s="153" t="inlineStr">
        <is>
          <t>P044</t>
        </is>
      </c>
      <c r="B47" s="150" t="n">
        <v>386</v>
      </c>
      <c r="C47" s="151" t="inlineStr">
        <is>
          <t>R0027089/R0178319</t>
        </is>
      </c>
      <c r="D47" s="268" t="inlineStr">
        <is>
          <t>2290 E 120th Ave</t>
        </is>
      </c>
      <c r="E47" s="153" t="inlineStr">
        <is>
          <t>Thornton</t>
        </is>
      </c>
      <c r="F47" s="153" t="inlineStr">
        <is>
          <t>CO</t>
        </is>
      </c>
      <c r="G47" s="153" t="inlineStr">
        <is>
          <t>Self-Storage</t>
        </is>
      </c>
      <c r="H47" s="268" t="inlineStr">
        <is>
          <t>Drive-Up/Drop-Off</t>
        </is>
      </c>
      <c r="I47" s="153" t="n"/>
      <c r="J47" s="153" t="n">
        <v>71909</v>
      </c>
      <c r="K47" s="153" t="n"/>
      <c r="L47" s="153" t="inlineStr">
        <is>
          <t>R0027089/R0178319</t>
        </is>
      </c>
      <c r="M47" s="153" t="n"/>
      <c r="N47" s="268" t="inlineStr">
        <is>
          <t>AXG – Carlson SS Portfolio P&amp;L</t>
        </is>
      </c>
      <c r="O47" s="153" t="inlineStr">
        <is>
          <t>2026-06-02</t>
        </is>
      </c>
      <c r="P47" s="268" t="inlineStr">
        <is>
          <t>Combined parcel FY2021–2023; 88.2% occ Dec 2023</t>
        </is>
      </c>
      <c r="Q47" s="233">
        <f>IF(B47="","",IFERROR(INDEX(OCC_TABLE_DESC,MATCH(B47,OCC_TABLE_CODE,0)),"Unrecognized code"))</f>
        <v/>
      </c>
    </row>
    <row r="48" ht="15" customHeight="1" s="518">
      <c r="A48" s="283" t="inlineStr">
        <is>
          <t>P045</t>
        </is>
      </c>
      <c r="B48" s="150" t="n">
        <v>386</v>
      </c>
      <c r="C48" s="151" t="inlineStr">
        <is>
          <t>R0043569</t>
        </is>
      </c>
      <c r="D48" s="284" t="inlineStr">
        <is>
          <t>40131 Quivas St (104th &amp; Quivas)</t>
        </is>
      </c>
      <c r="E48" s="283" t="inlineStr">
        <is>
          <t>Thornton</t>
        </is>
      </c>
      <c r="F48" s="283" t="inlineStr">
        <is>
          <t>CO</t>
        </is>
      </c>
      <c r="G48" s="283" t="inlineStr">
        <is>
          <t>Self-Storage</t>
        </is>
      </c>
      <c r="H48" s="284" t="inlineStr">
        <is>
          <t>Drive-Up/Drop-Off</t>
        </is>
      </c>
      <c r="I48" s="283" t="n"/>
      <c r="J48" s="283" t="n">
        <v>41900</v>
      </c>
      <c r="K48" s="283" t="n"/>
      <c r="L48" s="283" t="inlineStr">
        <is>
          <t>R0043569</t>
        </is>
      </c>
      <c r="M48" s="283" t="n"/>
      <c r="N48" s="284" t="inlineStr">
        <is>
          <t>AXG – SS Expense Matrix + FY2024 P&amp;L</t>
        </is>
      </c>
      <c r="O48" s="283" t="inlineStr">
        <is>
          <t>2026-06-02</t>
        </is>
      </c>
      <c r="P48" s="284" t="inlineStr">
        <is>
          <t>Actual FY2024 monthly P&amp;L + expense matrix</t>
        </is>
      </c>
      <c r="Q48" s="233">
        <f>IF(B48="","",IFERROR(INDEX(OCC_TABLE_DESC,MATCH(B48,OCC_TABLE_CODE,0)),"Unrecognized code"))</f>
        <v/>
      </c>
    </row>
    <row r="49" ht="15" customHeight="1" s="518">
      <c r="A49" s="153" t="inlineStr">
        <is>
          <t>P046</t>
        </is>
      </c>
      <c r="B49" s="150" t="n">
        <v>386</v>
      </c>
      <c r="C49" s="151" t="inlineStr">
        <is>
          <t>R0193009</t>
        </is>
      </c>
      <c r="D49" s="268" t="inlineStr">
        <is>
          <t>Address unknown – see R0193009</t>
        </is>
      </c>
      <c r="E49" s="153" t="inlineStr">
        <is>
          <t>Adams County</t>
        </is>
      </c>
      <c r="F49" s="153" t="inlineStr">
        <is>
          <t>CO</t>
        </is>
      </c>
      <c r="G49" s="153" t="inlineStr">
        <is>
          <t>Self-Storage</t>
        </is>
      </c>
      <c r="H49" s="268" t="inlineStr">
        <is>
          <t>Climate-Controlled</t>
        </is>
      </c>
      <c r="I49" s="153" t="n"/>
      <c r="J49" s="153" t="n">
        <v>94736</v>
      </c>
      <c r="K49" s="153" t="n"/>
      <c r="L49" s="153" t="inlineStr">
        <is>
          <t>R0193009</t>
        </is>
      </c>
      <c r="M49" s="153" t="n"/>
      <c r="N49" s="268" t="inlineStr">
        <is>
          <t>AXG – SS Expense Matrix</t>
        </is>
      </c>
      <c r="O49" s="153" t="inlineStr">
        <is>
          <t>2026-06-02</t>
        </is>
      </c>
      <c r="P49" s="268" t="inlineStr">
        <is>
          <t>Expense matrix data; EGI $1,582,087</t>
        </is>
      </c>
      <c r="Q49" s="233">
        <f>IF(B49="","",IFERROR(INDEX(OCC_TABLE_DESC,MATCH(B49,OCC_TABLE_CODE,0)),"Unrecognized code"))</f>
        <v/>
      </c>
    </row>
    <row r="50" ht="15" customHeight="1" s="518">
      <c r="A50" s="283" t="inlineStr">
        <is>
          <t>P047</t>
        </is>
      </c>
      <c r="B50" s="150" t="n">
        <v>386</v>
      </c>
      <c r="C50" s="151" t="inlineStr">
        <is>
          <t>R0099616</t>
        </is>
      </c>
      <c r="D50" s="284" t="inlineStr">
        <is>
          <t>Address unknown – see R0099616</t>
        </is>
      </c>
      <c r="E50" s="283" t="inlineStr">
        <is>
          <t>Adams County</t>
        </is>
      </c>
      <c r="F50" s="283" t="inlineStr">
        <is>
          <t>CO</t>
        </is>
      </c>
      <c r="G50" s="283" t="inlineStr">
        <is>
          <t>Self-Storage</t>
        </is>
      </c>
      <c r="H50" s="284" t="inlineStr">
        <is>
          <t>Drive-Up/Drop-Off</t>
        </is>
      </c>
      <c r="I50" s="283" t="n"/>
      <c r="J50" s="283" t="n">
        <v>73500</v>
      </c>
      <c r="K50" s="283" t="n"/>
      <c r="L50" s="283" t="inlineStr">
        <is>
          <t>R0099616</t>
        </is>
      </c>
      <c r="M50" s="283" t="n"/>
      <c r="N50" s="284" t="inlineStr">
        <is>
          <t>AXG – SS Expense Matrix</t>
        </is>
      </c>
      <c r="O50" s="283" t="inlineStr">
        <is>
          <t>2026-06-02</t>
        </is>
      </c>
      <c r="P50" s="284" t="inlineStr">
        <is>
          <t>Expense matrix data; EGI $834,358</t>
        </is>
      </c>
      <c r="Q50" s="233">
        <f>IF(B50="","",IFERROR(INDEX(OCC_TABLE_DESC,MATCH(B50,OCC_TABLE_CODE,0)),"Unrecognized code"))</f>
        <v/>
      </c>
    </row>
    <row r="51" ht="15" customHeight="1" s="518">
      <c r="A51" s="153" t="inlineStr">
        <is>
          <t>P048</t>
        </is>
      </c>
      <c r="B51" s="150" t="n">
        <v>386</v>
      </c>
      <c r="C51" s="151" t="inlineStr">
        <is>
          <t>R0098019</t>
        </is>
      </c>
      <c r="D51" s="268" t="inlineStr">
        <is>
          <t>Address unknown – see R0098019</t>
        </is>
      </c>
      <c r="E51" s="153" t="inlineStr">
        <is>
          <t>Adams County</t>
        </is>
      </c>
      <c r="F51" s="153" t="inlineStr">
        <is>
          <t>CO</t>
        </is>
      </c>
      <c r="G51" s="153" t="inlineStr">
        <is>
          <t>Self-Storage</t>
        </is>
      </c>
      <c r="H51" s="268" t="inlineStr">
        <is>
          <t>Drive-Up/Drop-Off</t>
        </is>
      </c>
      <c r="I51" s="153" t="n"/>
      <c r="J51" s="153" t="n">
        <v>44975</v>
      </c>
      <c r="K51" s="153" t="n"/>
      <c r="L51" s="153" t="inlineStr">
        <is>
          <t>R0098019</t>
        </is>
      </c>
      <c r="M51" s="153" t="n"/>
      <c r="N51" s="268" t="inlineStr">
        <is>
          <t>AXG – SS Expense Matrix</t>
        </is>
      </c>
      <c r="O51" s="153" t="inlineStr">
        <is>
          <t>2026-06-02</t>
        </is>
      </c>
      <c r="P51" s="268" t="inlineStr">
        <is>
          <t>Expense matrix data; EGI $588,827</t>
        </is>
      </c>
      <c r="Q51" s="233">
        <f>IF(B51="","",IFERROR(INDEX(OCC_TABLE_DESC,MATCH(B51,OCC_TABLE_CODE,0)),"Unrecognized code"))</f>
        <v/>
      </c>
    </row>
    <row r="52" ht="15" customHeight="1" s="518">
      <c r="A52" s="283" t="inlineStr">
        <is>
          <t>P049</t>
        </is>
      </c>
      <c r="B52" s="150" t="n">
        <v>386</v>
      </c>
      <c r="C52" s="151" t="inlineStr">
        <is>
          <t>R0102989</t>
        </is>
      </c>
      <c r="D52" s="284" t="inlineStr">
        <is>
          <t>Fitzsimons area – see R0102989</t>
        </is>
      </c>
      <c r="E52" s="283" t="inlineStr">
        <is>
          <t>Aurora</t>
        </is>
      </c>
      <c r="F52" s="283" t="inlineStr">
        <is>
          <t>CO</t>
        </is>
      </c>
      <c r="G52" s="283" t="inlineStr">
        <is>
          <t>Self-Storage</t>
        </is>
      </c>
      <c r="H52" s="284" t="inlineStr">
        <is>
          <t>Climate-Controlled</t>
        </is>
      </c>
      <c r="I52" s="283" t="n"/>
      <c r="J52" s="283" t="n">
        <v>94797</v>
      </c>
      <c r="K52" s="283" t="n"/>
      <c r="L52" s="283" t="inlineStr">
        <is>
          <t>R0102989</t>
        </is>
      </c>
      <c r="M52" s="283" t="n"/>
      <c r="N52" s="284" t="inlineStr">
        <is>
          <t>AXG – SS Expense Matrix</t>
        </is>
      </c>
      <c r="O52" s="283" t="inlineStr">
        <is>
          <t>2026-06-02</t>
        </is>
      </c>
      <c r="P52" s="284" t="inlineStr">
        <is>
          <t>Expense matrix data; EGI $1,184,503</t>
        </is>
      </c>
      <c r="Q52" s="233">
        <f>IF(B52="","",IFERROR(INDEX(OCC_TABLE_DESC,MATCH(B52,OCC_TABLE_CODE,0)),"Unrecognized code"))</f>
        <v/>
      </c>
    </row>
    <row r="53" ht="15" customHeight="1" s="518">
      <c r="A53" s="153" t="inlineStr">
        <is>
          <t>P050</t>
        </is>
      </c>
      <c r="B53" s="150" t="n">
        <v>386</v>
      </c>
      <c r="C53" s="151" t="inlineStr">
        <is>
          <t>R0085523</t>
        </is>
      </c>
      <c r="D53" s="268" t="inlineStr">
        <is>
          <t>Address unknown – see R0085523</t>
        </is>
      </c>
      <c r="E53" s="153" t="inlineStr">
        <is>
          <t>Adams County</t>
        </is>
      </c>
      <c r="F53" s="153" t="inlineStr">
        <is>
          <t>CO</t>
        </is>
      </c>
      <c r="G53" s="153" t="inlineStr">
        <is>
          <t>Self-Storage</t>
        </is>
      </c>
      <c r="H53" s="268" t="inlineStr">
        <is>
          <t>Drive-Up/Drop-Off</t>
        </is>
      </c>
      <c r="I53" s="153" t="n"/>
      <c r="J53" s="153" t="n">
        <v>39525</v>
      </c>
      <c r="K53" s="153" t="n"/>
      <c r="L53" s="153" t="inlineStr">
        <is>
          <t>R0085523</t>
        </is>
      </c>
      <c r="M53" s="153" t="n"/>
      <c r="N53" s="268" t="inlineStr">
        <is>
          <t>AXG – SS Expense Matrix</t>
        </is>
      </c>
      <c r="O53" s="153" t="inlineStr">
        <is>
          <t>2026-06-02</t>
        </is>
      </c>
      <c r="P53" s="268" t="inlineStr">
        <is>
          <t>Expense matrix data; EGI $541,974</t>
        </is>
      </c>
      <c r="Q53" s="233">
        <f>IF(B53="","",IFERROR(INDEX(OCC_TABLE_DESC,MATCH(B53,OCC_TABLE_CODE,0)),"Unrecognized code"))</f>
        <v/>
      </c>
    </row>
    <row r="54" ht="15" customHeight="1" s="518">
      <c r="A54" s="283" t="inlineStr">
        <is>
          <t>P051</t>
        </is>
      </c>
      <c r="B54" s="150" t="n">
        <v>386</v>
      </c>
      <c r="C54" s="151" t="inlineStr">
        <is>
          <t>R0174860</t>
        </is>
      </c>
      <c r="D54" s="284" t="inlineStr">
        <is>
          <t>Address unknown – see R0174860</t>
        </is>
      </c>
      <c r="E54" s="283" t="inlineStr">
        <is>
          <t>Adams County</t>
        </is>
      </c>
      <c r="F54" s="283" t="inlineStr">
        <is>
          <t>CO</t>
        </is>
      </c>
      <c r="G54" s="283" t="inlineStr">
        <is>
          <t>Self-Storage</t>
        </is>
      </c>
      <c r="H54" s="284" t="inlineStr">
        <is>
          <t>Drive-Up/Drop-Off (containers)</t>
        </is>
      </c>
      <c r="I54" s="283" t="n"/>
      <c r="J54" s="283" t="n">
        <v>45980</v>
      </c>
      <c r="K54" s="283" t="n"/>
      <c r="L54" s="283" t="inlineStr">
        <is>
          <t>R0174860</t>
        </is>
      </c>
      <c r="M54" s="283" t="n"/>
      <c r="N54" s="284" t="inlineStr">
        <is>
          <t>AXG – SS Expense Matrix</t>
        </is>
      </c>
      <c r="O54" s="283" t="inlineStr">
        <is>
          <t>2026-06-02</t>
        </is>
      </c>
      <c r="P54" s="284" t="inlineStr">
        <is>
          <t>Expense matrix data; EGI $646,496</t>
        </is>
      </c>
      <c r="Q54" s="233">
        <f>IF(B54="","",IFERROR(INDEX(OCC_TABLE_DESC,MATCH(B54,OCC_TABLE_CODE,0)),"Unrecognized code"))</f>
        <v/>
      </c>
    </row>
    <row r="55" ht="15" customHeight="1" s="518">
      <c r="A55" s="153" t="inlineStr">
        <is>
          <t>P052</t>
        </is>
      </c>
      <c r="B55" s="150" t="n">
        <v>386</v>
      </c>
      <c r="C55" s="151" t="inlineStr">
        <is>
          <t>R0161412</t>
        </is>
      </c>
      <c r="D55" s="268" t="inlineStr">
        <is>
          <t>Address unknown – see R0161412</t>
        </is>
      </c>
      <c r="E55" s="153" t="inlineStr">
        <is>
          <t>Adams County</t>
        </is>
      </c>
      <c r="F55" s="153" t="inlineStr">
        <is>
          <t>CO</t>
        </is>
      </c>
      <c r="G55" s="153" t="inlineStr">
        <is>
          <t>Self-Storage</t>
        </is>
      </c>
      <c r="H55" s="268" t="inlineStr">
        <is>
          <t>Drive-Up/Drop-Off</t>
        </is>
      </c>
      <c r="I55" s="153" t="n"/>
      <c r="J55" s="153" t="n">
        <v>88043</v>
      </c>
      <c r="K55" s="153" t="n"/>
      <c r="L55" s="153" t="inlineStr">
        <is>
          <t>R0161412</t>
        </is>
      </c>
      <c r="M55" s="153" t="n"/>
      <c r="N55" s="268" t="inlineStr">
        <is>
          <t>AXG – SS Expense Matrix</t>
        </is>
      </c>
      <c r="O55" s="153" t="inlineStr">
        <is>
          <t>2026-06-02</t>
        </is>
      </c>
      <c r="P55" s="268" t="inlineStr">
        <is>
          <t>Expense matrix data; EGI $1,206,603</t>
        </is>
      </c>
      <c r="Q55" s="233">
        <f>IF(B55="","",IFERROR(INDEX(OCC_TABLE_DESC,MATCH(B55,OCC_TABLE_CODE,0)),"Unrecognized code"))</f>
        <v/>
      </c>
    </row>
    <row r="56" ht="15" customHeight="1" s="518">
      <c r="A56" s="283" t="inlineStr">
        <is>
          <t>P053</t>
        </is>
      </c>
      <c r="B56" s="150" t="n">
        <v>386</v>
      </c>
      <c r="C56" s="151" t="inlineStr">
        <is>
          <t>R0169115</t>
        </is>
      </c>
      <c r="D56" s="284" t="inlineStr">
        <is>
          <t>Address unknown – see R0169115</t>
        </is>
      </c>
      <c r="E56" s="283" t="inlineStr">
        <is>
          <t>Adams County</t>
        </is>
      </c>
      <c r="F56" s="283" t="inlineStr">
        <is>
          <t>CO</t>
        </is>
      </c>
      <c r="G56" s="283" t="inlineStr">
        <is>
          <t>Self-Storage</t>
        </is>
      </c>
      <c r="H56" s="284" t="inlineStr">
        <is>
          <t>Drive-Up/Drop-Off</t>
        </is>
      </c>
      <c r="I56" s="283" t="n"/>
      <c r="J56" s="283" t="n">
        <v>41764</v>
      </c>
      <c r="K56" s="283" t="n"/>
      <c r="L56" s="283" t="inlineStr">
        <is>
          <t>R0169115</t>
        </is>
      </c>
      <c r="M56" s="283" t="n"/>
      <c r="N56" s="284" t="inlineStr">
        <is>
          <t>AXG – SS Expense Matrix</t>
        </is>
      </c>
      <c r="O56" s="283" t="inlineStr">
        <is>
          <t>2026-06-02</t>
        </is>
      </c>
      <c r="P56" s="284" t="inlineStr">
        <is>
          <t>Expense matrix data; EGI $787,364</t>
        </is>
      </c>
      <c r="Q56" s="233">
        <f>IF(B56="","",IFERROR(INDEX(OCC_TABLE_DESC,MATCH(B56,OCC_TABLE_CODE,0)),"Unrecognized code"))</f>
        <v/>
      </c>
    </row>
    <row r="57" ht="30" customHeight="1" s="518">
      <c r="A57" s="283" t="inlineStr">
        <is>
          <t>P054</t>
        </is>
      </c>
      <c r="B57" s="150" t="n">
        <v>210</v>
      </c>
      <c r="C57" s="151" t="inlineStr">
        <is>
          <t>R0180551</t>
        </is>
      </c>
      <c r="D57" s="284" t="inlineStr">
        <is>
          <t>1953 N Gun Club Rd</t>
        </is>
      </c>
      <c r="E57" s="283" t="inlineStr">
        <is>
          <t>Aurora</t>
        </is>
      </c>
      <c r="F57" s="283" t="inlineStr">
        <is>
          <t>CO</t>
        </is>
      </c>
      <c r="G57" s="283" t="inlineStr">
        <is>
          <t>Industrial</t>
        </is>
      </c>
      <c r="H57" s="284" t="inlineStr">
        <is>
          <t>Multi-Tenant Industrial/Office NNN</t>
        </is>
      </c>
      <c r="I57" s="283" t="n"/>
      <c r="J57" s="283" t="n"/>
      <c r="K57" s="283" t="n"/>
      <c r="L57" s="283" t="inlineStr">
        <is>
          <t>R0180551</t>
        </is>
      </c>
      <c r="M57" s="283" t="inlineStr">
        <is>
          <t>Cherry Owner III LLC / AIP KKR</t>
        </is>
      </c>
      <c r="N57" s="284" t="inlineStr">
        <is>
          <t>08_2025 Review – owner actual P&amp;L</t>
        </is>
      </c>
      <c r="O57" s="283" t="inlineStr">
        <is>
          <t>2026-06-02</t>
        </is>
      </c>
      <c r="P57" s="284" t="inlineStr">
        <is>
          <t>Actual 2023+2024; base rent + full recovery; adj for prior-yr tax</t>
        </is>
      </c>
      <c r="Q57" s="233">
        <f>IF(B57="","",IFERROR(INDEX(OCC_TABLE_DESC,MATCH(B57,OCC_TABLE_CODE,0)),"Unrecognized code"))</f>
        <v/>
      </c>
    </row>
    <row r="58" ht="30" customHeight="1" s="518">
      <c r="A58" s="153" t="inlineStr">
        <is>
          <t>P055</t>
        </is>
      </c>
      <c r="B58" s="150" t="n">
        <v>407</v>
      </c>
      <c r="C58" s="151" t="inlineStr">
        <is>
          <t>R0211072/R0211073/R0211074</t>
        </is>
      </c>
      <c r="D58" s="268" t="inlineStr">
        <is>
          <t>Park 76 Distribution Center</t>
        </is>
      </c>
      <c r="E58" s="153" t="inlineStr">
        <is>
          <t>Aurora</t>
        </is>
      </c>
      <c r="F58" s="153" t="inlineStr">
        <is>
          <t>CO</t>
        </is>
      </c>
      <c r="G58" s="153" t="inlineStr">
        <is>
          <t>Industrial</t>
        </is>
      </c>
      <c r="H58" s="268" t="inlineStr">
        <is>
          <t>Industrial Warehouse (3-bldg campus) NNN</t>
        </is>
      </c>
      <c r="I58" s="153" t="n"/>
      <c r="J58" s="153" t="n"/>
      <c r="K58" s="153" t="n"/>
      <c r="L58" s="153" t="inlineStr">
        <is>
          <t>R0211072/R0211073/R0211074</t>
        </is>
      </c>
      <c r="M58" s="153" t="inlineStr">
        <is>
          <t>Park 76 Owner LLC / Alpha Industrial</t>
        </is>
      </c>
      <c r="N58" s="268" t="inlineStr">
        <is>
          <t>08_2025 Review – owner actual P&amp;L</t>
        </is>
      </c>
      <c r="O58" s="153" t="inlineStr">
        <is>
          <t>2026-06-02</t>
        </is>
      </c>
      <c r="P58" s="268" t="inlineStr">
        <is>
          <t>3-building campus; actual 2023+2024; lease-up completed ~2023</t>
        </is>
      </c>
      <c r="Q58" s="233">
        <f>IF(B58="","",IFERROR(INDEX(OCC_TABLE_DESC,MATCH(B58,OCC_TABLE_CODE,0)),"Unrecognized code"))</f>
        <v/>
      </c>
    </row>
    <row r="59" ht="30" customHeight="1" s="518">
      <c r="A59" s="283" t="inlineStr">
        <is>
          <t>P056</t>
        </is>
      </c>
      <c r="B59" s="150" t="n">
        <v>407</v>
      </c>
      <c r="C59" s="151" t="inlineStr">
        <is>
          <t>R0210485</t>
        </is>
      </c>
      <c r="D59" s="284" t="inlineStr">
        <is>
          <t>1101 E 126th Ave (Bldg A)</t>
        </is>
      </c>
      <c r="E59" s="283" t="inlineStr">
        <is>
          <t>Thornton</t>
        </is>
      </c>
      <c r="F59" s="283" t="inlineStr">
        <is>
          <t>CO</t>
        </is>
      </c>
      <c r="G59" s="283" t="inlineStr">
        <is>
          <t>Industrial</t>
        </is>
      </c>
      <c r="H59" s="284" t="inlineStr">
        <is>
          <t>Industrial Warehouse NNN</t>
        </is>
      </c>
      <c r="I59" s="283" t="n">
        <v>2022</v>
      </c>
      <c r="J59" s="283" t="n"/>
      <c r="K59" s="283" t="n"/>
      <c r="L59" s="283" t="inlineStr">
        <is>
          <t>R0210485</t>
        </is>
      </c>
      <c r="M59" s="283" t="inlineStr">
        <is>
          <t>Thornton Owner LLC / Alpha Industrial</t>
        </is>
      </c>
      <c r="N59" s="284" t="inlineStr">
        <is>
          <t>08_2025 Review – owner actual P&amp;L</t>
        </is>
      </c>
      <c r="O59" s="283" t="inlineStr">
        <is>
          <t>2026-06-02</t>
        </is>
      </c>
      <c r="P59" s="284" t="inlineStr">
        <is>
          <t>New (YOC ~2022); 2023 lease-up; 2024 near-stabilized; 2024 only added</t>
        </is>
      </c>
      <c r="Q59" s="233">
        <f>IF(B59="","",IFERROR(INDEX(OCC_TABLE_DESC,MATCH(B59,OCC_TABLE_CODE,0)),"Unrecognized code"))</f>
        <v/>
      </c>
    </row>
    <row r="60" ht="30" customHeight="1" s="518">
      <c r="A60" s="153" t="inlineStr">
        <is>
          <t>P057</t>
        </is>
      </c>
      <c r="B60" s="150" t="n">
        <v>407</v>
      </c>
      <c r="C60" s="151" t="inlineStr">
        <is>
          <t>R0210486</t>
        </is>
      </c>
      <c r="D60" s="268" t="inlineStr">
        <is>
          <t>12625 Lafayette St (Bldg B)</t>
        </is>
      </c>
      <c r="E60" s="153" t="inlineStr">
        <is>
          <t>Thornton</t>
        </is>
      </c>
      <c r="F60" s="153" t="inlineStr">
        <is>
          <t>CO</t>
        </is>
      </c>
      <c r="G60" s="153" t="inlineStr">
        <is>
          <t>Industrial</t>
        </is>
      </c>
      <c r="H60" s="268" t="inlineStr">
        <is>
          <t>Industrial Warehouse NNN</t>
        </is>
      </c>
      <c r="I60" s="153" t="n">
        <v>2022</v>
      </c>
      <c r="J60" s="153" t="n"/>
      <c r="K60" s="153" t="n"/>
      <c r="L60" s="153" t="inlineStr">
        <is>
          <t>R0210486</t>
        </is>
      </c>
      <c r="M60" s="153" t="inlineStr">
        <is>
          <t>Thornton Owner LLC / Alpha Industrial</t>
        </is>
      </c>
      <c r="N60" s="268" t="inlineStr">
        <is>
          <t>08_2025 Review – owner actual P&amp;L</t>
        </is>
      </c>
      <c r="O60" s="153" t="inlineStr">
        <is>
          <t>2026-06-02</t>
        </is>
      </c>
      <c r="P60" s="268" t="inlineStr">
        <is>
          <t>New (YOC ~2022); 2023 lease-up; 2024 near-stabilized; 2024 only added</t>
        </is>
      </c>
      <c r="Q60" s="233">
        <f>IF(B60="","",IFERROR(INDEX(OCC_TABLE_DESC,MATCH(B60,OCC_TABLE_CODE,0)),"Unrecognized code"))</f>
        <v/>
      </c>
    </row>
    <row r="61" ht="15" customHeight="1" s="518">
      <c r="A61" s="283" t="inlineStr">
        <is>
          <t>P058</t>
        </is>
      </c>
      <c r="B61" s="150" t="n">
        <v>407</v>
      </c>
      <c r="C61" s="151" t="inlineStr">
        <is>
          <t>R0091934</t>
        </is>
      </c>
      <c r="D61" s="284" t="inlineStr">
        <is>
          <t>350 Park Industrial (5759)</t>
        </is>
      </c>
      <c r="E61" s="283" t="inlineStr">
        <is>
          <t>Aurora</t>
        </is>
      </c>
      <c r="F61" s="283" t="inlineStr">
        <is>
          <t>CO</t>
        </is>
      </c>
      <c r="G61" s="283" t="inlineStr">
        <is>
          <t>Industrial</t>
        </is>
      </c>
      <c r="H61" s="284" t="inlineStr">
        <is>
          <t>Multi-Tenant Industrial 407</t>
        </is>
      </c>
      <c r="I61" s="283" t="n">
        <v>1995</v>
      </c>
      <c r="J61" s="283" t="n">
        <v>32600</v>
      </c>
      <c r="K61" s="283" t="n"/>
      <c r="L61" s="283" t="inlineStr">
        <is>
          <t>R0091934</t>
        </is>
      </c>
      <c r="M61" s="283" t="n"/>
      <c r="N61" s="284" t="inlineStr">
        <is>
          <t>08_2025 Review – owner actual P&amp;L</t>
        </is>
      </c>
      <c r="O61" s="283" t="inlineStr">
        <is>
          <t>2026-06-02</t>
        </is>
      </c>
      <c r="P61" s="284" t="inlineStr">
        <is>
          <t>Actual accrual 2023+2024; multi-tenant; 3 tenants</t>
        </is>
      </c>
      <c r="Q61" s="233">
        <f>IF(B61="","",IFERROR(INDEX(OCC_TABLE_DESC,MATCH(B61,OCC_TABLE_CODE,0)),"Unrecognized code"))</f>
        <v/>
      </c>
    </row>
    <row r="62" ht="15" customHeight="1" s="518">
      <c r="A62" s="153" t="inlineStr">
        <is>
          <t>P059</t>
        </is>
      </c>
      <c r="B62" s="150" t="n">
        <v>407</v>
      </c>
      <c r="C62" s="151" t="inlineStr">
        <is>
          <t>R0093111</t>
        </is>
      </c>
      <c r="D62" s="268" t="inlineStr">
        <is>
          <t>Industrial Property (yden0702)</t>
        </is>
      </c>
      <c r="E62" s="153" t="inlineStr">
        <is>
          <t>Aurora</t>
        </is>
      </c>
      <c r="F62" s="153" t="inlineStr">
        <is>
          <t>CO</t>
        </is>
      </c>
      <c r="G62" s="153" t="inlineStr">
        <is>
          <t>Industrial</t>
        </is>
      </c>
      <c r="H62" s="268" t="inlineStr">
        <is>
          <t>Multi-Tenant Industrial 407</t>
        </is>
      </c>
      <c r="I62" s="153" t="n"/>
      <c r="J62" s="153" t="n"/>
      <c r="K62" s="153" t="n"/>
      <c r="L62" s="153" t="inlineStr">
        <is>
          <t>R0093111</t>
        </is>
      </c>
      <c r="M62" s="153" t="n"/>
      <c r="N62" s="268" t="inlineStr">
        <is>
          <t>08_2025 Review – owner actual P&amp;L</t>
        </is>
      </c>
      <c r="O62" s="153" t="inlineStr">
        <is>
          <t>2026-06-02</t>
        </is>
      </c>
      <c r="P62" s="268" t="inlineStr">
        <is>
          <t>Actual 2023+2024; SF not confirmed; multi-tenant 3 tenants</t>
        </is>
      </c>
      <c r="Q62" s="233">
        <f>IF(B62="","",IFERROR(INDEX(OCC_TABLE_DESC,MATCH(B62,OCC_TABLE_CODE,0)),"Unrecognized code"))</f>
        <v/>
      </c>
    </row>
    <row r="63" ht="15" customHeight="1" s="518">
      <c r="A63" s="283" t="inlineStr">
        <is>
          <t>P060</t>
        </is>
      </c>
      <c r="B63" s="150" t="n">
        <v>407</v>
      </c>
      <c r="C63" s="151" t="inlineStr">
        <is>
          <t>R0100104</t>
        </is>
      </c>
      <c r="D63" s="284" t="inlineStr">
        <is>
          <t>312 Kew West</t>
        </is>
      </c>
      <c r="E63" s="283" t="inlineStr">
        <is>
          <t>Aurora</t>
        </is>
      </c>
      <c r="F63" s="283" t="inlineStr">
        <is>
          <t>CO</t>
        </is>
      </c>
      <c r="G63" s="283" t="inlineStr">
        <is>
          <t>Industrial</t>
        </is>
      </c>
      <c r="H63" s="284" t="inlineStr">
        <is>
          <t>Multi-Tenant Industrial 407</t>
        </is>
      </c>
      <c r="I63" s="283" t="n"/>
      <c r="J63" s="283" t="n"/>
      <c r="K63" s="283" t="n"/>
      <c r="L63" s="283" t="inlineStr">
        <is>
          <t>R0100104</t>
        </is>
      </c>
      <c r="M63" s="283" t="n"/>
      <c r="N63" s="284" t="inlineStr">
        <is>
          <t>08_2025 Review – owner actual P&amp;L</t>
        </is>
      </c>
      <c r="O63" s="283" t="inlineStr">
        <is>
          <t>2026-06-02</t>
        </is>
      </c>
      <c r="P63" s="284" t="inlineStr">
        <is>
          <t>Actual 2023+2024; SF not confirmed</t>
        </is>
      </c>
      <c r="Q63" s="233">
        <f>IF(B63="","",IFERROR(INDEX(OCC_TABLE_DESC,MATCH(B63,OCC_TABLE_CODE,0)),"Unrecognized code"))</f>
        <v/>
      </c>
    </row>
    <row r="64" ht="15" customHeight="1" s="518">
      <c r="A64" s="153" t="inlineStr">
        <is>
          <t>P061</t>
        </is>
      </c>
      <c r="B64" s="150" t="n">
        <v>584</v>
      </c>
      <c r="C64" s="151" t="inlineStr">
        <is>
          <t>R0083935</t>
        </is>
      </c>
      <c r="D64" s="268" t="inlineStr">
        <is>
          <t>20101 E 36th Ave (RK Industries)</t>
        </is>
      </c>
      <c r="E64" s="153" t="inlineStr">
        <is>
          <t>Aurora</t>
        </is>
      </c>
      <c r="F64" s="153" t="inlineStr">
        <is>
          <t>CO</t>
        </is>
      </c>
      <c r="G64" s="153" t="inlineStr">
        <is>
          <t>Industrial</t>
        </is>
      </c>
      <c r="H64" s="268" t="inlineStr">
        <is>
          <t>Mega Warehouse NNN</t>
        </is>
      </c>
      <c r="I64" s="153" t="n"/>
      <c r="J64" s="153" t="n">
        <v>278538</v>
      </c>
      <c r="K64" s="153" t="n"/>
      <c r="L64" s="153" t="inlineStr">
        <is>
          <t>R0083935</t>
        </is>
      </c>
      <c r="M64" s="153" t="inlineStr">
        <is>
          <t>RK Industries</t>
        </is>
      </c>
      <c r="N64" s="268" t="inlineStr">
        <is>
          <t>08_2025 Review – CBRE income statement</t>
        </is>
      </c>
      <c r="O64" s="153" t="inlineStr">
        <is>
          <t>2026-06-02</t>
        </is>
      </c>
      <c r="P64" s="268" t="inlineStr">
        <is>
          <t>Single-tenant NNN; 2024 partial data; rent $4.47/SF NNN</t>
        </is>
      </c>
      <c r="Q64" s="233">
        <f>IF(B64="","",IFERROR(INDEX(OCC_TABLE_DESC,MATCH(B64,OCC_TABLE_CODE,0)),"Unrecognized code"))</f>
        <v/>
      </c>
    </row>
    <row r="65" ht="15" customHeight="1" s="518">
      <c r="A65" s="283" t="inlineStr">
        <is>
          <t>P062</t>
        </is>
      </c>
      <c r="B65" s="150" t="n">
        <v>407</v>
      </c>
      <c r="C65" s="151" t="inlineStr">
        <is>
          <t>R0200721</t>
        </is>
      </c>
      <c r="D65" s="284" t="inlineStr">
        <is>
          <t>3420 N Lisbon St</t>
        </is>
      </c>
      <c r="E65" s="283" t="inlineStr">
        <is>
          <t>Aurora</t>
        </is>
      </c>
      <c r="F65" s="283" t="inlineStr">
        <is>
          <t>CO</t>
        </is>
      </c>
      <c r="G65" s="283" t="inlineStr">
        <is>
          <t>Industrial</t>
        </is>
      </c>
      <c r="H65" s="284" t="inlineStr">
        <is>
          <t>Single-Tenant Industrial NNN</t>
        </is>
      </c>
      <c r="I65" s="283" t="n">
        <v>2019</v>
      </c>
      <c r="J65" s="283" t="n">
        <v>36212</v>
      </c>
      <c r="K65" s="283" t="n"/>
      <c r="L65" s="283" t="inlineStr">
        <is>
          <t>R0200721</t>
        </is>
      </c>
      <c r="M65" s="283" t="inlineStr">
        <is>
          <t>Cameron Ashley Bldg Products</t>
        </is>
      </c>
      <c r="N65" s="284" t="inlineStr">
        <is>
          <t>08_2025 Review – rent roll</t>
        </is>
      </c>
      <c r="O65" s="283" t="inlineStr">
        <is>
          <t>2026-06-02</t>
        </is>
      </c>
      <c r="P65" s="284" t="inlineStr">
        <is>
          <t>NNN lease thru 12/31/2028; rent only; tenant pays all opex</t>
        </is>
      </c>
      <c r="Q65" s="233">
        <f>IF(B65="","",IFERROR(INDEX(OCC_TABLE_DESC,MATCH(B65,OCC_TABLE_CODE,0)),"Unrecognized code"))</f>
        <v/>
      </c>
    </row>
    <row r="66" ht="15" customHeight="1" s="518">
      <c r="A66" s="153" t="inlineStr">
        <is>
          <t>P063</t>
        </is>
      </c>
      <c r="B66" s="150" t="n">
        <v>344</v>
      </c>
      <c r="C66" s="151" t="inlineStr">
        <is>
          <t>R0040581</t>
        </is>
      </c>
      <c r="D66" s="268" t="inlineStr">
        <is>
          <t>2090 E 104th Ave</t>
        </is>
      </c>
      <c r="E66" s="153" t="inlineStr">
        <is>
          <t>Thornton</t>
        </is>
      </c>
      <c r="F66" s="153" t="inlineStr">
        <is>
          <t>CO</t>
        </is>
      </c>
      <c r="G66" s="153" t="inlineStr">
        <is>
          <t>Office</t>
        </is>
      </c>
      <c r="H66" s="268" t="inlineStr">
        <is>
          <t>Multi-Tenant Office</t>
        </is>
      </c>
      <c r="I66" s="153" t="n"/>
      <c r="J66" s="153" t="n">
        <v>19764</v>
      </c>
      <c r="K66" s="153" t="n"/>
      <c r="L66" s="153" t="inlineStr">
        <is>
          <t>R0040581</t>
        </is>
      </c>
      <c r="M66" s="153" t="n"/>
      <c r="N66" s="268" t="inlineStr">
        <is>
          <t>08_2025 Review – owner P&amp;L</t>
        </is>
      </c>
      <c r="O66" s="153" t="inlineStr">
        <is>
          <t>2026-06-02</t>
        </is>
      </c>
      <c r="P66" s="268" t="inlineStr">
        <is>
          <t>Actual 2023+2024; 11 suites</t>
        </is>
      </c>
      <c r="Q66" s="233">
        <f>IF(B66="","",IFERROR(INDEX(OCC_TABLE_DESC,MATCH(B66,OCC_TABLE_CODE,0)),"Unrecognized code"))</f>
        <v/>
      </c>
    </row>
    <row r="67" ht="15" customHeight="1" s="518">
      <c r="A67" s="283" t="inlineStr">
        <is>
          <t>P064</t>
        </is>
      </c>
      <c r="B67" s="150" t="n">
        <v>344</v>
      </c>
      <c r="C67" s="151" t="inlineStr">
        <is>
          <t>R0050977</t>
        </is>
      </c>
      <c r="D67" s="284" t="inlineStr">
        <is>
          <t>9351 Grant St</t>
        </is>
      </c>
      <c r="E67" s="283" t="inlineStr">
        <is>
          <t>Thornton</t>
        </is>
      </c>
      <c r="F67" s="283" t="inlineStr">
        <is>
          <t>CO</t>
        </is>
      </c>
      <c r="G67" s="283" t="inlineStr">
        <is>
          <t>Office</t>
        </is>
      </c>
      <c r="H67" s="284" t="inlineStr">
        <is>
          <t>Multi-Tenant Office</t>
        </is>
      </c>
      <c r="I67" s="283" t="n"/>
      <c r="J67" s="283" t="n"/>
      <c r="K67" s="283" t="n"/>
      <c r="L67" s="283" t="inlineStr">
        <is>
          <t>R0050977</t>
        </is>
      </c>
      <c r="M67" s="283" t="inlineStr">
        <is>
          <t>Crown Real Estate Group</t>
        </is>
      </c>
      <c r="N67" s="284" t="inlineStr">
        <is>
          <t>08_2025 Review – owner P&amp;L</t>
        </is>
      </c>
      <c r="O67" s="283" t="inlineStr">
        <is>
          <t>2026-06-02</t>
        </is>
      </c>
      <c r="P67" s="284" t="inlineStr">
        <is>
          <t>Actual 2023; SF not stated; large property</t>
        </is>
      </c>
      <c r="Q67" s="233">
        <f>IF(B67="","",IFERROR(INDEX(OCC_TABLE_DESC,MATCH(B67,OCC_TABLE_CODE,0)),"Unrecognized code"))</f>
        <v/>
      </c>
    </row>
    <row r="68" ht="15" customHeight="1" s="518">
      <c r="A68" s="153" t="inlineStr">
        <is>
          <t>P065</t>
        </is>
      </c>
      <c r="B68" s="150" t="n">
        <v>344</v>
      </c>
      <c r="C68" s="151" t="inlineStr">
        <is>
          <t>R0069041</t>
        </is>
      </c>
      <c r="D68" s="268" t="inlineStr">
        <is>
          <t>7475 Dakin St (Turnpike Tower)</t>
        </is>
      </c>
      <c r="E68" s="153" t="inlineStr">
        <is>
          <t>Denver</t>
        </is>
      </c>
      <c r="F68" s="153" t="inlineStr">
        <is>
          <t>CO</t>
        </is>
      </c>
      <c r="G68" s="153" t="inlineStr">
        <is>
          <t>Office</t>
        </is>
      </c>
      <c r="H68" s="268" t="inlineStr">
        <is>
          <t>Multi-Tenant Office</t>
        </is>
      </c>
      <c r="I68" s="153" t="n"/>
      <c r="J68" s="153" t="n">
        <v>114843</v>
      </c>
      <c r="K68" s="153" t="n"/>
      <c r="L68" s="153" t="inlineStr">
        <is>
          <t>R0069041</t>
        </is>
      </c>
      <c r="M68" s="153" t="n"/>
      <c r="N68" s="268" t="inlineStr">
        <is>
          <t>08_2025 Review – owner P&amp;L</t>
        </is>
      </c>
      <c r="O68" s="153" t="inlineStr">
        <is>
          <t>2026-06-02</t>
        </is>
      </c>
      <c r="P68" s="268" t="inlineStr">
        <is>
          <t>Actual 2023+2024; 87.7% occ; NNN/Modified leases</t>
        </is>
      </c>
      <c r="Q68" s="233">
        <f>IF(B68="","",IFERROR(INDEX(OCC_TABLE_DESC,MATCH(B68,OCC_TABLE_CODE,0)),"Unrecognized code"))</f>
        <v/>
      </c>
    </row>
    <row r="69" ht="15" customHeight="1" s="518">
      <c r="A69" s="283" t="inlineStr">
        <is>
          <t>P066</t>
        </is>
      </c>
      <c r="B69" s="150" t="n">
        <v>344</v>
      </c>
      <c r="C69" s="151" t="inlineStr">
        <is>
          <t>R0079409</t>
        </is>
      </c>
      <c r="D69" s="284" t="inlineStr">
        <is>
          <t>6401 E 72nd Ave</t>
        </is>
      </c>
      <c r="E69" s="283" t="inlineStr">
        <is>
          <t>Commerce City</t>
        </is>
      </c>
      <c r="F69" s="283" t="inlineStr">
        <is>
          <t>CO</t>
        </is>
      </c>
      <c r="G69" s="283" t="inlineStr">
        <is>
          <t>Office</t>
        </is>
      </c>
      <c r="H69" s="284" t="inlineStr">
        <is>
          <t>Multi-Tenant Office</t>
        </is>
      </c>
      <c r="I69" s="283" t="n"/>
      <c r="J69" s="283" t="n">
        <v>8218</v>
      </c>
      <c r="K69" s="283" t="n"/>
      <c r="L69" s="283" t="inlineStr">
        <is>
          <t>R0079409</t>
        </is>
      </c>
      <c r="M69" s="283" t="n"/>
      <c r="N69" s="284" t="inlineStr">
        <is>
          <t>08_2025 Review – owner P&amp;L</t>
        </is>
      </c>
      <c r="O69" s="283" t="inlineStr">
        <is>
          <t>2026-06-02</t>
        </is>
      </c>
      <c r="P69" s="284" t="inlineStr">
        <is>
          <t>Actual 2023; 9 tenants; small multi-tenant office</t>
        </is>
      </c>
      <c r="Q69" s="233">
        <f>IF(B69="","",IFERROR(INDEX(OCC_TABLE_DESC,MATCH(B69,OCC_TABLE_CODE,0)),"Unrecognized code"))</f>
        <v/>
      </c>
    </row>
    <row r="70" ht="15" customHeight="1" s="518">
      <c r="A70" s="153" t="inlineStr">
        <is>
          <t>P067</t>
        </is>
      </c>
      <c r="B70" s="150" t="n">
        <v>344</v>
      </c>
      <c r="C70" s="151" t="inlineStr">
        <is>
          <t>R0189338</t>
        </is>
      </c>
      <c r="D70" s="268" t="inlineStr">
        <is>
          <t>203 Telluride St</t>
        </is>
      </c>
      <c r="E70" s="153" t="inlineStr">
        <is>
          <t>Aurora</t>
        </is>
      </c>
      <c r="F70" s="153" t="inlineStr">
        <is>
          <t>CO</t>
        </is>
      </c>
      <c r="G70" s="153" t="inlineStr">
        <is>
          <t>Office</t>
        </is>
      </c>
      <c r="H70" s="268" t="inlineStr">
        <is>
          <t>Multi-Tenant Office</t>
        </is>
      </c>
      <c r="I70" s="153" t="n"/>
      <c r="J70" s="153" t="n"/>
      <c r="K70" s="153" t="n"/>
      <c r="L70" s="153" t="inlineStr">
        <is>
          <t>R0189338</t>
        </is>
      </c>
      <c r="M70" s="153" t="n"/>
      <c r="N70" s="268" t="inlineStr">
        <is>
          <t>08_2025 Review – owner P&amp;L</t>
        </is>
      </c>
      <c r="O70" s="153" t="inlineStr">
        <is>
          <t>2026-06-02</t>
        </is>
      </c>
      <c r="P70" s="268" t="inlineStr">
        <is>
          <t>Actual 2023+2024; SF not stated</t>
        </is>
      </c>
      <c r="Q70" s="233">
        <f>IF(B70="","",IFERROR(INDEX(OCC_TABLE_DESC,MATCH(B70,OCC_TABLE_CODE,0)),"Unrecognized code"))</f>
        <v/>
      </c>
    </row>
    <row r="71" ht="15" customHeight="1" s="518">
      <c r="A71" s="283" t="inlineStr">
        <is>
          <t>P068</t>
        </is>
      </c>
      <c r="B71" s="150" t="n">
        <v>344</v>
      </c>
      <c r="C71" s="151" t="inlineStr">
        <is>
          <t>R0193830</t>
        </is>
      </c>
      <c r="D71" s="284" t="inlineStr">
        <is>
          <t>Justice Center Office Plaza</t>
        </is>
      </c>
      <c r="E71" s="283" t="inlineStr">
        <is>
          <t>Denver</t>
        </is>
      </c>
      <c r="F71" s="283" t="inlineStr">
        <is>
          <t>CO</t>
        </is>
      </c>
      <c r="G71" s="283" t="inlineStr">
        <is>
          <t>Office</t>
        </is>
      </c>
      <c r="H71" s="284" t="inlineStr">
        <is>
          <t>Multi-Tenant Office NNN</t>
        </is>
      </c>
      <c r="I71" s="283" t="n"/>
      <c r="J71" s="283" t="n">
        <v>41979</v>
      </c>
      <c r="K71" s="283" t="n"/>
      <c r="L71" s="283" t="inlineStr">
        <is>
          <t>R0193830</t>
        </is>
      </c>
      <c r="M71" s="283" t="n"/>
      <c r="N71" s="284" t="inlineStr">
        <is>
          <t>08_2025 Review – owner P&amp;L</t>
        </is>
      </c>
      <c r="O71" s="283" t="inlineStr">
        <is>
          <t>2026-06-02</t>
        </is>
      </c>
      <c r="P71" s="284" t="inlineStr">
        <is>
          <t>Actual 2023+2024; govt tenants; 100% occ; NNN leases</t>
        </is>
      </c>
      <c r="Q71" s="233">
        <f>IF(B71="","",IFERROR(INDEX(OCC_TABLE_DESC,MATCH(B71,OCC_TABLE_CODE,0)),"Unrecognized code"))</f>
        <v/>
      </c>
    </row>
    <row r="72" ht="30" customHeight="1" s="518">
      <c r="A72" s="153" t="inlineStr">
        <is>
          <t>P069</t>
        </is>
      </c>
      <c r="B72" s="150" t="n">
        <v>210</v>
      </c>
      <c r="C72" s="151" t="inlineStr">
        <is>
          <t>R0098223</t>
        </is>
      </c>
      <c r="D72" s="268" t="inlineStr">
        <is>
          <t>Washington Commerce Center</t>
        </is>
      </c>
      <c r="E72" s="153" t="inlineStr">
        <is>
          <t>Commerce City</t>
        </is>
      </c>
      <c r="F72" s="153" t="inlineStr">
        <is>
          <t>CO</t>
        </is>
      </c>
      <c r="G72" s="153" t="inlineStr">
        <is>
          <t>Office/Industrial</t>
        </is>
      </c>
      <c r="H72" s="268" t="inlineStr">
        <is>
          <t>Multi-Tenant Office/Industrial</t>
        </is>
      </c>
      <c r="I72" s="153" t="n"/>
      <c r="J72" s="153" t="n">
        <v>278538</v>
      </c>
      <c r="K72" s="153" t="n"/>
      <c r="L72" s="153" t="inlineStr">
        <is>
          <t>R0098223</t>
        </is>
      </c>
      <c r="M72" s="153" t="n"/>
      <c r="N72" s="268" t="inlineStr">
        <is>
          <t>08_2025 Review – owner P&amp;L</t>
        </is>
      </c>
      <c r="O72" s="153" t="inlineStr">
        <is>
          <t>2026-06-02</t>
        </is>
      </c>
      <c r="P72" s="268" t="inlineStr">
        <is>
          <t>Actual 2023+2024; SF est; opex very low – likely tenant-pay NNN</t>
        </is>
      </c>
      <c r="Q72" s="233">
        <f>IF(B72="","",IFERROR(INDEX(OCC_TABLE_DESC,MATCH(B72,OCC_TABLE_CODE,0)),"Unrecognized code"))</f>
        <v/>
      </c>
    </row>
    <row r="73" ht="15" customHeight="1" s="518">
      <c r="A73" s="283" t="inlineStr">
        <is>
          <t>P070</t>
        </is>
      </c>
      <c r="B73" s="150" t="n">
        <v>210</v>
      </c>
      <c r="C73" s="151" t="inlineStr">
        <is>
          <t>R0084242</t>
        </is>
      </c>
      <c r="D73" s="284" t="inlineStr">
        <is>
          <t>Upland Dist Ctr I (Bldg 1 bt46274)</t>
        </is>
      </c>
      <c r="E73" s="283" t="inlineStr">
        <is>
          <t>Aurora</t>
        </is>
      </c>
      <c r="F73" s="283" t="inlineStr">
        <is>
          <t>CO</t>
        </is>
      </c>
      <c r="G73" s="283" t="inlineStr">
        <is>
          <t>Industrial</t>
        </is>
      </c>
      <c r="H73" s="284" t="inlineStr">
        <is>
          <t>Multi-Tenant Industrial NNN</t>
        </is>
      </c>
      <c r="I73" s="283" t="n"/>
      <c r="J73" s="283" t="n"/>
      <c r="K73" s="283" t="n"/>
      <c r="L73" s="283" t="inlineStr">
        <is>
          <t>R0084242</t>
        </is>
      </c>
      <c r="M73" s="283" t="inlineStr">
        <is>
          <t>Link Logistics</t>
        </is>
      </c>
      <c r="N73" s="284" t="inlineStr">
        <is>
          <t>08_2025 Review – Link Logistics actual P&amp;L</t>
        </is>
      </c>
      <c r="O73" s="283" t="inlineStr">
        <is>
          <t>2026-06-02</t>
        </is>
      </c>
      <c r="P73" s="284" t="inlineStr">
        <is>
          <t>Actual accrual 2023+2024; NNN reimbursable structure</t>
        </is>
      </c>
      <c r="Q73" s="233">
        <f>IF(B73="","",IFERROR(INDEX(OCC_TABLE_DESC,MATCH(B73,OCC_TABLE_CODE,0)),"Unrecognized code"))</f>
        <v/>
      </c>
    </row>
    <row r="74" ht="15" customHeight="1" s="518">
      <c r="A74" s="153" t="inlineStr">
        <is>
          <t>P071</t>
        </is>
      </c>
      <c r="B74" s="150" t="n">
        <v>210</v>
      </c>
      <c r="C74" s="151" t="inlineStr">
        <is>
          <t>R0084243</t>
        </is>
      </c>
      <c r="D74" s="268" t="inlineStr">
        <is>
          <t>Upland Dist Ctr I (Bldg 2 bt46275)</t>
        </is>
      </c>
      <c r="E74" s="153" t="inlineStr">
        <is>
          <t>Aurora</t>
        </is>
      </c>
      <c r="F74" s="153" t="inlineStr">
        <is>
          <t>CO</t>
        </is>
      </c>
      <c r="G74" s="153" t="inlineStr">
        <is>
          <t>Industrial</t>
        </is>
      </c>
      <c r="H74" s="268" t="inlineStr">
        <is>
          <t>Multi-Tenant Industrial NNN</t>
        </is>
      </c>
      <c r="I74" s="153" t="n"/>
      <c r="J74" s="153" t="n"/>
      <c r="K74" s="153" t="n"/>
      <c r="L74" s="153" t="inlineStr">
        <is>
          <t>R0084243</t>
        </is>
      </c>
      <c r="M74" s="153" t="inlineStr">
        <is>
          <t>Link Logistics</t>
        </is>
      </c>
      <c r="N74" s="268" t="inlineStr">
        <is>
          <t>08_2025 Review – Link Logistics actual P&amp;L</t>
        </is>
      </c>
      <c r="O74" s="153" t="inlineStr">
        <is>
          <t>2026-06-02</t>
        </is>
      </c>
      <c r="P74" s="268" t="inlineStr">
        <is>
          <t>Actual accrual 2023+2024</t>
        </is>
      </c>
      <c r="Q74" s="233">
        <f>IF(B74="","",IFERROR(INDEX(OCC_TABLE_DESC,MATCH(B74,OCC_TABLE_CODE,0)),"Unrecognized code"))</f>
        <v/>
      </c>
    </row>
    <row r="75" ht="15" customHeight="1" s="518">
      <c r="A75" s="283" t="inlineStr">
        <is>
          <t>P072</t>
        </is>
      </c>
      <c r="B75" s="150" t="n">
        <v>210</v>
      </c>
      <c r="C75" s="151" t="inlineStr">
        <is>
          <t>R0084244</t>
        </is>
      </c>
      <c r="D75" s="284" t="inlineStr">
        <is>
          <t>Upland Dist Ctr I (Bldg 3 bt46276)</t>
        </is>
      </c>
      <c r="E75" s="283" t="inlineStr">
        <is>
          <t>Aurora</t>
        </is>
      </c>
      <c r="F75" s="283" t="inlineStr">
        <is>
          <t>CO</t>
        </is>
      </c>
      <c r="G75" s="283" t="inlineStr">
        <is>
          <t>Industrial</t>
        </is>
      </c>
      <c r="H75" s="284" t="inlineStr">
        <is>
          <t>Multi-Tenant Industrial NNN</t>
        </is>
      </c>
      <c r="I75" s="283" t="n"/>
      <c r="J75" s="283" t="n"/>
      <c r="K75" s="283" t="n"/>
      <c r="L75" s="283" t="inlineStr">
        <is>
          <t>R0084244</t>
        </is>
      </c>
      <c r="M75" s="283" t="inlineStr">
        <is>
          <t>Link Logistics</t>
        </is>
      </c>
      <c r="N75" s="284" t="inlineStr">
        <is>
          <t>08_2025 Review – Link Logistics actual P&amp;L</t>
        </is>
      </c>
      <c r="O75" s="283" t="inlineStr">
        <is>
          <t>2026-06-02</t>
        </is>
      </c>
      <c r="P75" s="284" t="inlineStr">
        <is>
          <t>2023 only; large warehouse; notable vacancy/free rent period</t>
        </is>
      </c>
      <c r="Q75" s="233">
        <f>IF(B75="","",IFERROR(INDEX(OCC_TABLE_DESC,MATCH(B75,OCC_TABLE_CODE,0)),"Unrecognized code"))</f>
        <v/>
      </c>
    </row>
    <row r="76" ht="15" customHeight="1" s="518">
      <c r="A76" s="153" t="inlineStr">
        <is>
          <t>P073</t>
        </is>
      </c>
      <c r="B76" s="150" t="n">
        <v>210</v>
      </c>
      <c r="C76" s="151" t="inlineStr">
        <is>
          <t>R0084247</t>
        </is>
      </c>
      <c r="D76" s="268" t="inlineStr">
        <is>
          <t>13802 E 33rd Place</t>
        </is>
      </c>
      <c r="E76" s="153" t="inlineStr">
        <is>
          <t>Aurora</t>
        </is>
      </c>
      <c r="F76" s="153" t="inlineStr">
        <is>
          <t>CO</t>
        </is>
      </c>
      <c r="G76" s="153" t="inlineStr">
        <is>
          <t>Industrial</t>
        </is>
      </c>
      <c r="H76" s="268" t="inlineStr">
        <is>
          <t>Multi-Tenant Industrial NNN</t>
        </is>
      </c>
      <c r="I76" s="153" t="n"/>
      <c r="J76" s="153" t="n"/>
      <c r="K76" s="153" t="n"/>
      <c r="L76" s="153" t="inlineStr">
        <is>
          <t>R0084247</t>
        </is>
      </c>
      <c r="M76" s="153" t="inlineStr">
        <is>
          <t>Link Logistics</t>
        </is>
      </c>
      <c r="N76" s="268" t="inlineStr">
        <is>
          <t>08_2025 Review – Link Logistics actual P&amp;L</t>
        </is>
      </c>
      <c r="O76" s="153" t="inlineStr">
        <is>
          <t>2026-06-02</t>
        </is>
      </c>
      <c r="P76" s="268" t="inlineStr">
        <is>
          <t>Actual accrual 2023+2024</t>
        </is>
      </c>
      <c r="Q76" s="233">
        <f>IF(B76="","",IFERROR(INDEX(OCC_TABLE_DESC,MATCH(B76,OCC_TABLE_CODE,0)),"Unrecognized code"))</f>
        <v/>
      </c>
    </row>
    <row r="77" ht="15" customHeight="1" s="518">
      <c r="A77" s="283" t="inlineStr">
        <is>
          <t>P074</t>
        </is>
      </c>
      <c r="B77" s="150" t="n">
        <v>210</v>
      </c>
      <c r="C77" s="151" t="inlineStr">
        <is>
          <t>R0084248</t>
        </is>
      </c>
      <c r="D77" s="284" t="inlineStr">
        <is>
          <t>14002 E 33rd Place</t>
        </is>
      </c>
      <c r="E77" s="283" t="inlineStr">
        <is>
          <t>Aurora</t>
        </is>
      </c>
      <c r="F77" s="283" t="inlineStr">
        <is>
          <t>CO</t>
        </is>
      </c>
      <c r="G77" s="283" t="inlineStr">
        <is>
          <t>Industrial</t>
        </is>
      </c>
      <c r="H77" s="284" t="inlineStr">
        <is>
          <t>Multi-Tenant Industrial NNN</t>
        </is>
      </c>
      <c r="I77" s="283" t="n"/>
      <c r="J77" s="283" t="n"/>
      <c r="K77" s="283" t="n"/>
      <c r="L77" s="283" t="inlineStr">
        <is>
          <t>R0084248</t>
        </is>
      </c>
      <c r="M77" s="283" t="inlineStr">
        <is>
          <t>Link Logistics</t>
        </is>
      </c>
      <c r="N77" s="284" t="inlineStr">
        <is>
          <t>08_2025 Review – Link Logistics actual P&amp;L</t>
        </is>
      </c>
      <c r="O77" s="283" t="inlineStr">
        <is>
          <t>2026-06-02</t>
        </is>
      </c>
      <c r="P77" s="284" t="inlineStr">
        <is>
          <t>Actual accrual 2023+2024; 2023 RE tax net of $53k refund</t>
        </is>
      </c>
      <c r="Q77" s="233">
        <f>IF(B77="","",IFERROR(INDEX(OCC_TABLE_DESC,MATCH(B77,OCC_TABLE_CODE,0)),"Unrecognized code"))</f>
        <v/>
      </c>
    </row>
    <row r="78" ht="30" customHeight="1" s="518">
      <c r="A78" s="153" t="inlineStr">
        <is>
          <t>P075</t>
        </is>
      </c>
      <c r="B78" s="150" t="n">
        <v>210</v>
      </c>
      <c r="C78" s="151" t="inlineStr">
        <is>
          <t>R0084250</t>
        </is>
      </c>
      <c r="D78" s="268" t="inlineStr">
        <is>
          <t>3250 Abilene Street</t>
        </is>
      </c>
      <c r="E78" s="153" t="inlineStr">
        <is>
          <t>Aurora</t>
        </is>
      </c>
      <c r="F78" s="153" t="inlineStr">
        <is>
          <t>CO</t>
        </is>
      </c>
      <c r="G78" s="153" t="inlineStr">
        <is>
          <t>Industrial</t>
        </is>
      </c>
      <c r="H78" s="268" t="inlineStr">
        <is>
          <t>Multi-Tenant Industrial NNN</t>
        </is>
      </c>
      <c r="I78" s="153" t="n"/>
      <c r="J78" s="153" t="n"/>
      <c r="K78" s="153" t="n"/>
      <c r="L78" s="153" t="inlineStr">
        <is>
          <t>R0084250</t>
        </is>
      </c>
      <c r="M78" s="153" t="inlineStr">
        <is>
          <t>Link Logistics</t>
        </is>
      </c>
      <c r="N78" s="268" t="inlineStr">
        <is>
          <t>08_2025 Review – Link Logistics actual P&amp;L</t>
        </is>
      </c>
      <c r="O78" s="153" t="inlineStr">
        <is>
          <t>2026-06-02</t>
        </is>
      </c>
      <c r="P78" s="268" t="inlineStr">
        <is>
          <t>2024 tenant turnover; base rent dropped $787k→$407k; 2023 more stable</t>
        </is>
      </c>
      <c r="Q78" s="233">
        <f>IF(B78="","",IFERROR(INDEX(OCC_TABLE_DESC,MATCH(B78,OCC_TABLE_CODE,0)),"Unrecognized code"))</f>
        <v/>
      </c>
    </row>
    <row r="79" ht="15" customHeight="1" s="518">
      <c r="A79" s="283" t="inlineStr">
        <is>
          <t>P076</t>
        </is>
      </c>
      <c r="B79" s="150" t="n">
        <v>210</v>
      </c>
      <c r="C79" s="151" t="inlineStr">
        <is>
          <t>R0084253</t>
        </is>
      </c>
      <c r="D79" s="284" t="inlineStr">
        <is>
          <t>14509 E 33rd Place (bt46265)</t>
        </is>
      </c>
      <c r="E79" s="283" t="inlineStr">
        <is>
          <t>Aurora</t>
        </is>
      </c>
      <c r="F79" s="283" t="inlineStr">
        <is>
          <t>CO</t>
        </is>
      </c>
      <c r="G79" s="283" t="inlineStr">
        <is>
          <t>Industrial</t>
        </is>
      </c>
      <c r="H79" s="284" t="inlineStr">
        <is>
          <t>Multi-Tenant Industrial NNN</t>
        </is>
      </c>
      <c r="I79" s="283" t="n"/>
      <c r="J79" s="283" t="n"/>
      <c r="K79" s="283" t="n"/>
      <c r="L79" s="283" t="inlineStr">
        <is>
          <t>R0084253</t>
        </is>
      </c>
      <c r="M79" s="283" t="inlineStr">
        <is>
          <t>Link Logistics</t>
        </is>
      </c>
      <c r="N79" s="284" t="inlineStr">
        <is>
          <t>08_2025 Review – Link Logistics actual P&amp;L</t>
        </is>
      </c>
      <c r="O79" s="283" t="inlineStr">
        <is>
          <t>2026-06-02</t>
        </is>
      </c>
      <c r="P79" s="284" t="inlineStr">
        <is>
          <t>Actual 2023+2024; 3-bldg campus R0084253</t>
        </is>
      </c>
      <c r="Q79" s="233">
        <f>IF(B79="","",IFERROR(INDEX(OCC_TABLE_DESC,MATCH(B79,OCC_TABLE_CODE,0)),"Unrecognized code"))</f>
        <v/>
      </c>
    </row>
    <row r="80" ht="30" customHeight="1" s="518">
      <c r="A80" s="153" t="inlineStr">
        <is>
          <t>P077</t>
        </is>
      </c>
      <c r="B80" s="150" t="n">
        <v>210</v>
      </c>
      <c r="C80" s="151" t="inlineStr">
        <is>
          <t>R0084253</t>
        </is>
      </c>
      <c r="D80" s="268" t="inlineStr">
        <is>
          <t>14704 E 33rd Place (bt46266)</t>
        </is>
      </c>
      <c r="E80" s="153" t="inlineStr">
        <is>
          <t>Aurora</t>
        </is>
      </c>
      <c r="F80" s="153" t="inlineStr">
        <is>
          <t>CO</t>
        </is>
      </c>
      <c r="G80" s="153" t="inlineStr">
        <is>
          <t>Industrial</t>
        </is>
      </c>
      <c r="H80" s="268" t="inlineStr">
        <is>
          <t>Multi-Tenant Industrial NNN</t>
        </is>
      </c>
      <c r="I80" s="153" t="n"/>
      <c r="J80" s="153" t="n"/>
      <c r="K80" s="153" t="n"/>
      <c r="L80" s="153" t="inlineStr">
        <is>
          <t>R0084253</t>
        </is>
      </c>
      <c r="M80" s="153" t="inlineStr">
        <is>
          <t>Link Logistics</t>
        </is>
      </c>
      <c r="N80" s="268" t="inlineStr">
        <is>
          <t>08_2025 Review – Link Logistics actual P&amp;L</t>
        </is>
      </c>
      <c r="O80" s="153" t="inlineStr">
        <is>
          <t>2026-06-02</t>
        </is>
      </c>
      <c r="P80" s="268" t="inlineStr">
        <is>
          <t>Actual 2024; partial vacancy (electric/gas vacancy costs); same parcel R0084253</t>
        </is>
      </c>
      <c r="Q80" s="233">
        <f>IF(B80="","",IFERROR(INDEX(OCC_TABLE_DESC,MATCH(B80,OCC_TABLE_CODE,0)),"Unrecognized code"))</f>
        <v/>
      </c>
    </row>
    <row r="81" ht="15" customHeight="1" s="518">
      <c r="A81" s="283" t="inlineStr">
        <is>
          <t>P078</t>
        </is>
      </c>
      <c r="B81" s="150" t="n">
        <v>210</v>
      </c>
      <c r="C81" s="151" t="inlineStr">
        <is>
          <t>R0084253</t>
        </is>
      </c>
      <c r="D81" s="284" t="inlineStr">
        <is>
          <t>14705 E 33rd Place (bt46267)</t>
        </is>
      </c>
      <c r="E81" s="283" t="inlineStr">
        <is>
          <t>Aurora</t>
        </is>
      </c>
      <c r="F81" s="283" t="inlineStr">
        <is>
          <t>CO</t>
        </is>
      </c>
      <c r="G81" s="283" t="inlineStr">
        <is>
          <t>Industrial</t>
        </is>
      </c>
      <c r="H81" s="284" t="inlineStr">
        <is>
          <t>Multi-Tenant Industrial NNN</t>
        </is>
      </c>
      <c r="I81" s="283" t="n"/>
      <c r="J81" s="283" t="n"/>
      <c r="K81" s="283" t="n"/>
      <c r="L81" s="283" t="inlineStr">
        <is>
          <t>R0084253</t>
        </is>
      </c>
      <c r="M81" s="283" t="inlineStr">
        <is>
          <t>Link Logistics</t>
        </is>
      </c>
      <c r="N81" s="284" t="inlineStr">
        <is>
          <t>08_2025 Review – Link Logistics actual P&amp;L</t>
        </is>
      </c>
      <c r="O81" s="283" t="inlineStr">
        <is>
          <t>2026-06-02</t>
        </is>
      </c>
      <c r="P81" s="284" t="inlineStr">
        <is>
          <t>Actual 2024; partial lease-up/free rent; same parcel R0084253</t>
        </is>
      </c>
      <c r="Q81" s="233">
        <f>IF(B81="","",IFERROR(INDEX(OCC_TABLE_DESC,MATCH(B81,OCC_TABLE_CODE,0)),"Unrecognized code"))</f>
        <v/>
      </c>
    </row>
    <row r="82" ht="30" customHeight="1" s="518">
      <c r="A82" s="153" t="inlineStr">
        <is>
          <t>P079</t>
        </is>
      </c>
      <c r="B82" s="150" t="n">
        <v>584</v>
      </c>
      <c r="C82" s="151" t="inlineStr">
        <is>
          <t>R0086214</t>
        </is>
      </c>
      <c r="D82" s="268" t="inlineStr">
        <is>
          <t>Aurora Warehouse (Polar br40666)</t>
        </is>
      </c>
      <c r="E82" s="153" t="inlineStr">
        <is>
          <t>Aurora</t>
        </is>
      </c>
      <c r="F82" s="153" t="inlineStr">
        <is>
          <t>CO</t>
        </is>
      </c>
      <c r="G82" s="153" t="inlineStr">
        <is>
          <t>Industrial</t>
        </is>
      </c>
      <c r="H82" s="268" t="inlineStr">
        <is>
          <t>Mega Warehouse NNN</t>
        </is>
      </c>
      <c r="I82" s="153" t="n"/>
      <c r="J82" s="153" t="n"/>
      <c r="K82" s="153" t="n"/>
      <c r="L82" s="153" t="inlineStr">
        <is>
          <t>R0086214</t>
        </is>
      </c>
      <c r="M82" s="153" t="inlineStr">
        <is>
          <t>Link Logistics</t>
        </is>
      </c>
      <c r="N82" s="268" t="inlineStr">
        <is>
          <t>08_2025 Review – Link Logistics actual P&amp;L</t>
        </is>
      </c>
      <c r="O82" s="153" t="inlineStr">
        <is>
          <t>2026-06-02</t>
        </is>
      </c>
      <c r="P82" s="268" t="inlineStr">
        <is>
          <t>Actual 2023+2024; very large — RE tax $2.2-2.4M; revenue $6.5-7M</t>
        </is>
      </c>
      <c r="Q82" s="233">
        <f>IF(B82="","",IFERROR(INDEX(OCC_TABLE_DESC,MATCH(B82,OCC_TABLE_CODE,0)),"Unrecognized code"))</f>
        <v/>
      </c>
    </row>
    <row r="83" ht="30" customHeight="1" s="518">
      <c r="A83" s="283" t="inlineStr">
        <is>
          <t>P080</t>
        </is>
      </c>
      <c r="B83" s="150" t="n">
        <v>407</v>
      </c>
      <c r="C83" s="151" t="inlineStr">
        <is>
          <t>R0194277</t>
        </is>
      </c>
      <c r="D83" s="284" t="inlineStr">
        <is>
          <t>8251 Quintero St</t>
        </is>
      </c>
      <c r="E83" s="283" t="inlineStr">
        <is>
          <t>Commerce City</t>
        </is>
      </c>
      <c r="F83" s="283" t="inlineStr">
        <is>
          <t>CO</t>
        </is>
      </c>
      <c r="G83" s="283" t="inlineStr">
        <is>
          <t>Industrial</t>
        </is>
      </c>
      <c r="H83" s="284" t="inlineStr">
        <is>
          <t>Industrial Warehouse NNN</t>
        </is>
      </c>
      <c r="I83" s="283" t="n"/>
      <c r="J83" s="283" t="n"/>
      <c r="K83" s="283" t="n"/>
      <c r="L83" s="283" t="inlineStr">
        <is>
          <t>R0194277</t>
        </is>
      </c>
      <c r="M83" s="283" t="inlineStr">
        <is>
          <t>Becknell Industrial</t>
        </is>
      </c>
      <c r="N83" s="284" t="inlineStr">
        <is>
          <t>08_2025 Review – Becknell Industrial actual P&amp;L</t>
        </is>
      </c>
      <c r="O83" s="283" t="inlineStr">
        <is>
          <t>2026-06-02</t>
        </is>
      </c>
      <c r="P83" s="284" t="inlineStr">
        <is>
          <t>Actual accrual 2023+2024; large RE taxes ~$2M; snow $151-188k</t>
        </is>
      </c>
      <c r="Q83" s="233">
        <f>IF(B83="","",IFERROR(INDEX(OCC_TABLE_DESC,MATCH(B83,OCC_TABLE_CODE,0)),"Unrecognized code"))</f>
        <v/>
      </c>
    </row>
    <row r="84" ht="30" customHeight="1" s="518">
      <c r="A84" s="153" t="inlineStr">
        <is>
          <t>P081</t>
        </is>
      </c>
      <c r="B84" s="150" t="n">
        <v>407</v>
      </c>
      <c r="C84" s="151" t="inlineStr">
        <is>
          <t>R0198176</t>
        </is>
      </c>
      <c r="D84" s="268" t="inlineStr">
        <is>
          <t>21800 E 19th Ave</t>
        </is>
      </c>
      <c r="E84" s="153" t="inlineStr">
        <is>
          <t>Aurora</t>
        </is>
      </c>
      <c r="F84" s="153" t="inlineStr">
        <is>
          <t>CO</t>
        </is>
      </c>
      <c r="G84" s="153" t="inlineStr">
        <is>
          <t>Industrial</t>
        </is>
      </c>
      <c r="H84" s="268" t="inlineStr">
        <is>
          <t>Industrial Warehouse NNN</t>
        </is>
      </c>
      <c r="I84" s="153" t="n"/>
      <c r="J84" s="153" t="n"/>
      <c r="K84" s="153" t="n"/>
      <c r="L84" s="153" t="inlineStr">
        <is>
          <t>R0198176</t>
        </is>
      </c>
      <c r="M84" s="153" t="inlineStr">
        <is>
          <t>Becknell Industrial</t>
        </is>
      </c>
      <c r="N84" s="268" t="inlineStr">
        <is>
          <t>08_2025 Review – Becknell Industrial actual P&amp;L</t>
        </is>
      </c>
      <c r="O84" s="153" t="inlineStr">
        <is>
          <t>2026-06-02</t>
        </is>
      </c>
      <c r="P84" s="268" t="inlineStr">
        <is>
          <t>Actual accrual 2023+2024; absolute NNN – tenant pays RE taxes directly</t>
        </is>
      </c>
      <c r="Q84" s="233">
        <f>IF(B84="","",IFERROR(INDEX(OCC_TABLE_DESC,MATCH(B84,OCC_TABLE_CODE,0)),"Unrecognized code"))</f>
        <v/>
      </c>
    </row>
    <row r="85" ht="30" customHeight="1" s="518">
      <c r="A85" s="283" t="inlineStr">
        <is>
          <t>P082</t>
        </is>
      </c>
      <c r="B85" s="150" t="n">
        <v>407</v>
      </c>
      <c r="C85" s="151" t="inlineStr">
        <is>
          <t>R0201311</t>
        </is>
      </c>
      <c r="D85" s="284" t="inlineStr">
        <is>
          <t>Ascent Commerce Center Bldg I</t>
        </is>
      </c>
      <c r="E85" s="283" t="inlineStr">
        <is>
          <t>Aurora</t>
        </is>
      </c>
      <c r="F85" s="283" t="inlineStr">
        <is>
          <t>CO</t>
        </is>
      </c>
      <c r="G85" s="283" t="inlineStr">
        <is>
          <t>Industrial</t>
        </is>
      </c>
      <c r="H85" s="284" t="inlineStr">
        <is>
          <t>Industrial Warehouse NNN</t>
        </is>
      </c>
      <c r="I85" s="283" t="n"/>
      <c r="J85" s="283" t="n"/>
      <c r="K85" s="283" t="n"/>
      <c r="L85" s="283" t="inlineStr">
        <is>
          <t>R0201311</t>
        </is>
      </c>
      <c r="M85" s="283" t="inlineStr">
        <is>
          <t>Ambrose Property Group</t>
        </is>
      </c>
      <c r="N85" s="284" t="inlineStr">
        <is>
          <t>08_2025 Review – Ambrose Property Group actual P&amp;L</t>
        </is>
      </c>
      <c r="O85" s="283" t="inlineStr">
        <is>
          <t>2026-06-02</t>
        </is>
      </c>
      <c r="P85" s="284" t="inlineStr">
        <is>
          <t>Q4 2024 only (Oct–Dec); partial-year/lease-up; 3-bldg campus</t>
        </is>
      </c>
      <c r="Q85" s="233">
        <f>IF(B85="","",IFERROR(INDEX(OCC_TABLE_DESC,MATCH(B85,OCC_TABLE_CODE,0)),"Unrecognized code"))</f>
        <v/>
      </c>
    </row>
    <row r="86" ht="30" customHeight="1" s="518">
      <c r="A86" s="153" t="inlineStr">
        <is>
          <t>P083</t>
        </is>
      </c>
      <c r="B86" s="150" t="n">
        <v>407</v>
      </c>
      <c r="C86" s="151" t="inlineStr">
        <is>
          <t>R0201311</t>
        </is>
      </c>
      <c r="D86" s="268" t="inlineStr">
        <is>
          <t>Ascent Commerce Center Bldg II</t>
        </is>
      </c>
      <c r="E86" s="153" t="inlineStr">
        <is>
          <t>Aurora</t>
        </is>
      </c>
      <c r="F86" s="153" t="inlineStr">
        <is>
          <t>CO</t>
        </is>
      </c>
      <c r="G86" s="153" t="inlineStr">
        <is>
          <t>Industrial</t>
        </is>
      </c>
      <c r="H86" s="268" t="inlineStr">
        <is>
          <t>Industrial Warehouse NNN</t>
        </is>
      </c>
      <c r="I86" s="153" t="n"/>
      <c r="J86" s="153" t="n"/>
      <c r="K86" s="153" t="n"/>
      <c r="L86" s="153" t="inlineStr">
        <is>
          <t>R0201311</t>
        </is>
      </c>
      <c r="M86" s="153" t="inlineStr">
        <is>
          <t>Ambrose Property Group</t>
        </is>
      </c>
      <c r="N86" s="268" t="inlineStr">
        <is>
          <t>08_2025 Review – Ambrose Property Group actual P&amp;L</t>
        </is>
      </c>
      <c r="O86" s="153" t="inlineStr">
        <is>
          <t>2026-06-02</t>
        </is>
      </c>
      <c r="P86" s="268" t="inlineStr">
        <is>
          <t>Q4 2024 only (Oct–Dec); partial-year/lease-up; same campus R0201311</t>
        </is>
      </c>
      <c r="Q86" s="233">
        <f>IF(B86="","",IFERROR(INDEX(OCC_TABLE_DESC,MATCH(B86,OCC_TABLE_CODE,0)),"Unrecognized code"))</f>
        <v/>
      </c>
    </row>
    <row r="87" ht="30" customHeight="1" s="518">
      <c r="A87" s="283" t="inlineStr">
        <is>
          <t>P084</t>
        </is>
      </c>
      <c r="B87" s="150" t="n">
        <v>407</v>
      </c>
      <c r="C87" s="151" t="inlineStr">
        <is>
          <t>R0201311</t>
        </is>
      </c>
      <c r="D87" s="284" t="inlineStr">
        <is>
          <t>Ascent Commerce Center Bldg III</t>
        </is>
      </c>
      <c r="E87" s="283" t="inlineStr">
        <is>
          <t>Aurora</t>
        </is>
      </c>
      <c r="F87" s="283" t="inlineStr">
        <is>
          <t>CO</t>
        </is>
      </c>
      <c r="G87" s="283" t="inlineStr">
        <is>
          <t>Industrial</t>
        </is>
      </c>
      <c r="H87" s="284" t="inlineStr">
        <is>
          <t>Industrial Warehouse NNN</t>
        </is>
      </c>
      <c r="I87" s="283" t="n"/>
      <c r="J87" s="283" t="n"/>
      <c r="K87" s="283" t="n"/>
      <c r="L87" s="283" t="inlineStr">
        <is>
          <t>R0201311</t>
        </is>
      </c>
      <c r="M87" s="283" t="inlineStr">
        <is>
          <t>Ambrose Property Group</t>
        </is>
      </c>
      <c r="N87" s="284" t="inlineStr">
        <is>
          <t>08_2025 Review – Ambrose Property Group actual P&amp;L</t>
        </is>
      </c>
      <c r="O87" s="283" t="inlineStr">
        <is>
          <t>2026-06-02</t>
        </is>
      </c>
      <c r="P87" s="284" t="inlineStr">
        <is>
          <t>Q4 2024 only (Oct–Dec); lease-up/negative NOI; same campus R0201311</t>
        </is>
      </c>
      <c r="Q87" s="233">
        <f>IF(B87="","",IFERROR(INDEX(OCC_TABLE_DESC,MATCH(B87,OCC_TABLE_CODE,0)),"Unrecognized code"))</f>
        <v/>
      </c>
    </row>
    <row r="88" ht="15" customHeight="1" s="518">
      <c r="A88" s="283" t="inlineStr">
        <is>
          <t>P085</t>
        </is>
      </c>
      <c r="B88" s="150" t="n">
        <v>210</v>
      </c>
      <c r="C88" s="151" t="inlineStr">
        <is>
          <t>R0093018</t>
        </is>
      </c>
      <c r="D88" s="284" t="inlineStr">
        <is>
          <t>3350 Peoria St</t>
        </is>
      </c>
      <c r="E88" s="283" t="inlineStr">
        <is>
          <t>Denver</t>
        </is>
      </c>
      <c r="F88" s="283" t="inlineStr">
        <is>
          <t>CO</t>
        </is>
      </c>
      <c r="G88" s="283" t="inlineStr">
        <is>
          <t>Industrial</t>
        </is>
      </c>
      <c r="H88" s="284" t="inlineStr">
        <is>
          <t>Office/Industrial Flex</t>
        </is>
      </c>
      <c r="I88" s="283" t="n"/>
      <c r="J88" s="283" t="n">
        <v>33057</v>
      </c>
      <c r="K88" s="283" t="n"/>
      <c r="L88" s="283" t="inlineStr">
        <is>
          <t>R0093018</t>
        </is>
      </c>
      <c r="M88" s="283" t="n"/>
      <c r="N88" s="284" t="inlineStr">
        <is>
          <t>Lease, Rent or Op Income info – owner P&amp;L 2024</t>
        </is>
      </c>
      <c r="O88" s="283" t="inlineStr">
        <is>
          <t>2026-06-03</t>
        </is>
      </c>
      <c r="P88" s="284" t="inlineStr">
        <is>
          <t>Office/Industrial flex; owner-submitted 2024 P&amp;L</t>
        </is>
      </c>
      <c r="Q88" s="233">
        <f>IF(B88="","",IFERROR(INDEX(OCC_TABLE_DESC,MATCH(B88,OCC_TABLE_CODE,0)),"Unrecognized code"))</f>
        <v/>
      </c>
    </row>
    <row r="89" ht="15" customHeight="1" s="518">
      <c r="A89" s="153" t="inlineStr">
        <is>
          <t>P086</t>
        </is>
      </c>
      <c r="B89" s="150" t="n">
        <v>406</v>
      </c>
      <c r="C89" s="151" t="inlineStr">
        <is>
          <t>R0210684</t>
        </is>
      </c>
      <c r="D89" s="268" t="inlineStr">
        <is>
          <t>14200 E Moncrieff Place</t>
        </is>
      </c>
      <c r="E89" s="153" t="inlineStr">
        <is>
          <t>Aurora</t>
        </is>
      </c>
      <c r="F89" s="153" t="inlineStr">
        <is>
          <t>CO</t>
        </is>
      </c>
      <c r="G89" s="153" t="inlineStr">
        <is>
          <t>Industrial</t>
        </is>
      </c>
      <c r="H89" s="268" t="inlineStr">
        <is>
          <t>Industrial Warehouse</t>
        </is>
      </c>
      <c r="I89" s="153" t="n">
        <v>1980</v>
      </c>
      <c r="J89" s="153" t="n">
        <v>233808</v>
      </c>
      <c r="K89" s="153" t="n"/>
      <c r="L89" s="153" t="inlineStr">
        <is>
          <t>R0210684</t>
        </is>
      </c>
      <c r="M89" s="153" t="n"/>
      <c r="N89" s="268" t="inlineStr">
        <is>
          <t>Lease, Rent or Op Income info – owner P&amp;L 2023+2024</t>
        </is>
      </c>
      <c r="O89" s="153" t="inlineStr">
        <is>
          <t>2026-06-03</t>
        </is>
      </c>
      <c r="P89" s="268" t="inlineStr">
        <is>
          <t>Large industrial; 1980 YOC; 233,808 SF</t>
        </is>
      </c>
      <c r="Q89" s="233">
        <f>IF(B89="","",IFERROR(INDEX(OCC_TABLE_DESC,MATCH(B89,OCC_TABLE_CODE,0)),"Unrecognized code"))</f>
        <v/>
      </c>
    </row>
    <row r="90" ht="15" customHeight="1" s="518">
      <c r="A90" s="283" t="inlineStr">
        <is>
          <t>P087</t>
        </is>
      </c>
      <c r="B90" s="150" t="n">
        <v>407</v>
      </c>
      <c r="C90" s="151" t="inlineStr">
        <is>
          <t>R0102985</t>
        </is>
      </c>
      <c r="D90" s="284" t="inlineStr">
        <is>
          <t>5861 Tennyson St</t>
        </is>
      </c>
      <c r="E90" s="283" t="inlineStr">
        <is>
          <t>Arvada</t>
        </is>
      </c>
      <c r="F90" s="283" t="inlineStr">
        <is>
          <t>CO</t>
        </is>
      </c>
      <c r="G90" s="283" t="inlineStr">
        <is>
          <t>Industrial</t>
        </is>
      </c>
      <c r="H90" s="284" t="inlineStr">
        <is>
          <t>Industrial NNN</t>
        </is>
      </c>
      <c r="I90" s="283" t="n">
        <v>2000</v>
      </c>
      <c r="J90" s="283" t="n">
        <v>80640</v>
      </c>
      <c r="K90" s="283" t="n"/>
      <c r="L90" s="283" t="inlineStr">
        <is>
          <t>R0102985</t>
        </is>
      </c>
      <c r="M90" s="283" t="n"/>
      <c r="N90" s="284" t="inlineStr">
        <is>
          <t>Lease, Rent or Op Income info – owner P&amp;L 2023+2024</t>
        </is>
      </c>
      <c r="O90" s="283" t="inlineStr">
        <is>
          <t>2026-06-03</t>
        </is>
      </c>
      <c r="P90" s="284" t="inlineStr">
        <is>
          <t>NNN; landlord expenses only (tenant pays RE tax); 2000 YOC</t>
        </is>
      </c>
      <c r="Q90" s="233">
        <f>IF(B90="","",IFERROR(INDEX(OCC_TABLE_DESC,MATCH(B90,OCC_TABLE_CODE,0)),"Unrecognized code"))</f>
        <v/>
      </c>
    </row>
    <row r="91" ht="15" customHeight="1" s="518">
      <c r="A91" s="153" t="inlineStr">
        <is>
          <t>P088</t>
        </is>
      </c>
      <c r="B91" s="150" t="n">
        <v>210</v>
      </c>
      <c r="C91" s="151" t="inlineStr">
        <is>
          <t>R0090973</t>
        </is>
      </c>
      <c r="D91" s="268" t="inlineStr">
        <is>
          <t>3975 E 56th Ave</t>
        </is>
      </c>
      <c r="E91" s="153" t="inlineStr">
        <is>
          <t>Commerce City</t>
        </is>
      </c>
      <c r="F91" s="153" t="inlineStr">
        <is>
          <t>CO</t>
        </is>
      </c>
      <c r="G91" s="153" t="inlineStr">
        <is>
          <t>Industrial</t>
        </is>
      </c>
      <c r="H91" s="268" t="inlineStr">
        <is>
          <t>Multi-Tenant Industrial</t>
        </is>
      </c>
      <c r="I91" s="153" t="n"/>
      <c r="J91" s="153" t="n">
        <v>42299</v>
      </c>
      <c r="K91" s="153" t="n"/>
      <c r="L91" s="153" t="inlineStr">
        <is>
          <t>R0090973</t>
        </is>
      </c>
      <c r="M91" s="153" t="n"/>
      <c r="N91" s="268" t="inlineStr">
        <is>
          <t>Lease, Rent or Op Income info – owner P&amp;L 2024</t>
        </is>
      </c>
      <c r="O91" s="153" t="inlineStr">
        <is>
          <t>2026-06-03</t>
        </is>
      </c>
      <c r="P91" s="268" t="inlineStr">
        <is>
          <t>Sand Creek Business Park; 2024 only</t>
        </is>
      </c>
      <c r="Q91" s="233">
        <f>IF(B91="","",IFERROR(INDEX(OCC_TABLE_DESC,MATCH(B91,OCC_TABLE_CODE,0)),"Unrecognized code"))</f>
        <v/>
      </c>
    </row>
    <row r="92" ht="30" customHeight="1" s="518">
      <c r="A92" s="283" t="inlineStr">
        <is>
          <t>P089</t>
        </is>
      </c>
      <c r="B92" s="150" t="n">
        <v>407</v>
      </c>
      <c r="C92" s="151" t="inlineStr">
        <is>
          <t>R0180951</t>
        </is>
      </c>
      <c r="D92" s="284" t="inlineStr">
        <is>
          <t>(Address TBD – R0180951)</t>
        </is>
      </c>
      <c r="E92" s="283" t="inlineStr">
        <is>
          <t>Adams County</t>
        </is>
      </c>
      <c r="F92" s="283" t="inlineStr">
        <is>
          <t>CO</t>
        </is>
      </c>
      <c r="G92" s="283" t="inlineStr">
        <is>
          <t>Industrial</t>
        </is>
      </c>
      <c r="H92" s="284" t="inlineStr">
        <is>
          <t>Industrial NNN</t>
        </is>
      </c>
      <c r="I92" s="283" t="n">
        <v>2016</v>
      </c>
      <c r="J92" s="283" t="n">
        <v>122106</v>
      </c>
      <c r="K92" s="283" t="n"/>
      <c r="L92" s="283" t="inlineStr">
        <is>
          <t>R0180951</t>
        </is>
      </c>
      <c r="M92" s="283" t="n"/>
      <c r="N92" s="284" t="inlineStr">
        <is>
          <t>WH Expenses 2026-Working File – NNN landlord expenses 2023+2024</t>
        </is>
      </c>
      <c r="O92" s="283" t="inlineStr">
        <is>
          <t>2026-06-03</t>
        </is>
      </c>
      <c r="P92" s="284" t="inlineStr">
        <is>
          <t>NNN; landlord RE Tax, Ins, Utils, CAM only; 2023+2024</t>
        </is>
      </c>
      <c r="Q92" s="233">
        <f>IF(B92="","",IFERROR(INDEX(OCC_TABLE_DESC,MATCH(B92,OCC_TABLE_CODE,0)),"Unrecognized code"))</f>
        <v/>
      </c>
    </row>
    <row r="93" ht="30" customHeight="1" s="518">
      <c r="A93" s="153" t="inlineStr">
        <is>
          <t>P090</t>
        </is>
      </c>
      <c r="B93" s="150" t="n">
        <v>407</v>
      </c>
      <c r="C93" s="151" t="inlineStr">
        <is>
          <t>R0110351</t>
        </is>
      </c>
      <c r="D93" s="268" t="inlineStr">
        <is>
          <t>(Address TBD – R0110351)</t>
        </is>
      </c>
      <c r="E93" s="153" t="inlineStr">
        <is>
          <t>Adams County</t>
        </is>
      </c>
      <c r="F93" s="153" t="inlineStr">
        <is>
          <t>CO</t>
        </is>
      </c>
      <c r="G93" s="153" t="inlineStr">
        <is>
          <t>Industrial</t>
        </is>
      </c>
      <c r="H93" s="268" t="inlineStr">
        <is>
          <t>Industrial NNN</t>
        </is>
      </c>
      <c r="I93" s="153" t="n">
        <v>2000</v>
      </c>
      <c r="J93" s="153" t="n">
        <v>85200</v>
      </c>
      <c r="K93" s="153" t="n"/>
      <c r="L93" s="153" t="inlineStr">
        <is>
          <t>R0110351</t>
        </is>
      </c>
      <c r="M93" s="153" t="n"/>
      <c r="N93" s="268" t="inlineStr">
        <is>
          <t>WH Expenses 2026-Working File – NNN landlord expenses 2023+2024</t>
        </is>
      </c>
      <c r="O93" s="153" t="inlineStr">
        <is>
          <t>2026-06-03</t>
        </is>
      </c>
      <c r="P93" s="268" t="inlineStr">
        <is>
          <t>NNN; landlord RE Tax, Ins, CAM only; 2023+2024</t>
        </is>
      </c>
      <c r="Q93" s="233">
        <f>IF(B93="","",IFERROR(INDEX(OCC_TABLE_DESC,MATCH(B93,OCC_TABLE_CODE,0)),"Unrecognized code"))</f>
        <v/>
      </c>
    </row>
    <row r="94" ht="30" customHeight="1" s="518">
      <c r="A94" s="283" t="inlineStr">
        <is>
          <t>P091</t>
        </is>
      </c>
      <c r="B94" s="150" t="n">
        <v>584</v>
      </c>
      <c r="C94" s="151" t="inlineStr">
        <is>
          <t>R0198530</t>
        </is>
      </c>
      <c r="D94" s="284" t="inlineStr">
        <is>
          <t>(Address TBD – R0198530)</t>
        </is>
      </c>
      <c r="E94" s="283" t="inlineStr">
        <is>
          <t>Adams County</t>
        </is>
      </c>
      <c r="F94" s="283" t="inlineStr">
        <is>
          <t>CO</t>
        </is>
      </c>
      <c r="G94" s="283" t="inlineStr">
        <is>
          <t>Industrial</t>
        </is>
      </c>
      <c r="H94" s="284" t="inlineStr">
        <is>
          <t>Industrial Mega-Warehouse NNN</t>
        </is>
      </c>
      <c r="I94" s="283" t="n">
        <v>2019</v>
      </c>
      <c r="J94" s="283" t="n">
        <v>555867</v>
      </c>
      <c r="K94" s="283" t="n"/>
      <c r="L94" s="283" t="inlineStr">
        <is>
          <t>R0198530</t>
        </is>
      </c>
      <c r="M94" s="283" t="n"/>
      <c r="N94" s="284" t="inlineStr">
        <is>
          <t>WH Expenses 2026-Working File – NNN landlord expenses 2024</t>
        </is>
      </c>
      <c r="O94" s="283" t="inlineStr">
        <is>
          <t>2026-06-03</t>
        </is>
      </c>
      <c r="P94" s="284" t="inlineStr">
        <is>
          <t>Mega-warehouse; NNN; landlord RE Tax, Ins, Mgmt only; 2024</t>
        </is>
      </c>
      <c r="Q94" s="233">
        <f>IF(B94="","",IFERROR(INDEX(OCC_TABLE_DESC,MATCH(B94,OCC_TABLE_CODE,0)),"Unrecognized code"))</f>
        <v/>
      </c>
    </row>
    <row r="95" ht="30" customHeight="1" s="518">
      <c r="A95" s="153" t="inlineStr">
        <is>
          <t>P092</t>
        </is>
      </c>
      <c r="B95" s="150" t="n">
        <v>447</v>
      </c>
      <c r="C95" s="151" t="inlineStr">
        <is>
          <t>R0180834</t>
        </is>
      </c>
      <c r="D95" s="268" t="inlineStr">
        <is>
          <t>(Address TBD – R0180834)</t>
        </is>
      </c>
      <c r="E95" s="153" t="inlineStr">
        <is>
          <t>Adams County</t>
        </is>
      </c>
      <c r="F95" s="153" t="inlineStr">
        <is>
          <t>CO</t>
        </is>
      </c>
      <c r="G95" s="153" t="inlineStr">
        <is>
          <t>Industrial</t>
        </is>
      </c>
      <c r="H95" s="268" t="inlineStr">
        <is>
          <t>Cold Storage/Mega-Warehouse NNN</t>
        </is>
      </c>
      <c r="I95" s="153" t="n">
        <v>2012</v>
      </c>
      <c r="J95" s="153" t="n">
        <v>550031</v>
      </c>
      <c r="K95" s="153" t="n"/>
      <c r="L95" s="153" t="inlineStr">
        <is>
          <t>R0180834</t>
        </is>
      </c>
      <c r="M95" s="153" t="n"/>
      <c r="N95" s="268" t="inlineStr">
        <is>
          <t>WH Expenses 2026-Working File – NNN landlord expenses 2024</t>
        </is>
      </c>
      <c r="O95" s="153" t="inlineStr">
        <is>
          <t>2026-06-03</t>
        </is>
      </c>
      <c r="P95" s="268" t="inlineStr">
        <is>
          <t>Cold storage/mega-WH; NNN; 2012 YOC; landlord RE Tax, Ins, Mgmt only</t>
        </is>
      </c>
      <c r="Q95" s="233">
        <f>IF(B95="","",IFERROR(INDEX(OCC_TABLE_DESC,MATCH(B95,OCC_TABLE_CODE,0)),"Unrecognized code"))</f>
        <v/>
      </c>
    </row>
    <row r="96" ht="30" customHeight="1" s="518">
      <c r="A96" s="283" t="inlineStr">
        <is>
          <t>P093</t>
        </is>
      </c>
      <c r="B96" s="150" t="n">
        <v>407</v>
      </c>
      <c r="C96" s="151" t="inlineStr">
        <is>
          <t>R0114792</t>
        </is>
      </c>
      <c r="D96" s="284" t="inlineStr">
        <is>
          <t>(Address TBD – R0114792)</t>
        </is>
      </c>
      <c r="E96" s="283" t="inlineStr">
        <is>
          <t>Adams County</t>
        </is>
      </c>
      <c r="F96" s="283" t="inlineStr">
        <is>
          <t>CO</t>
        </is>
      </c>
      <c r="G96" s="283" t="inlineStr">
        <is>
          <t>Industrial</t>
        </is>
      </c>
      <c r="H96" s="284" t="inlineStr">
        <is>
          <t>Industrial NNN</t>
        </is>
      </c>
      <c r="I96" s="283" t="n">
        <v>1998</v>
      </c>
      <c r="J96" s="283" t="n">
        <v>64501</v>
      </c>
      <c r="K96" s="283" t="n"/>
      <c r="L96" s="283" t="inlineStr">
        <is>
          <t>R0114792</t>
        </is>
      </c>
      <c r="M96" s="283" t="n"/>
      <c r="N96" s="284" t="inlineStr">
        <is>
          <t>WH Expenses 2026-Working File – NNN landlord expenses 2023+2024</t>
        </is>
      </c>
      <c r="O96" s="283" t="inlineStr">
        <is>
          <t>2026-06-03</t>
        </is>
      </c>
      <c r="P96" s="284" t="inlineStr">
        <is>
          <t>NNN; landlord RE Tax, Ins, Mgmt only; 1998 YOC</t>
        </is>
      </c>
      <c r="Q96" s="233">
        <f>IF(B96="","",IFERROR(INDEX(OCC_TABLE_DESC,MATCH(B96,OCC_TABLE_CODE,0)),"Unrecognized code"))</f>
        <v/>
      </c>
    </row>
    <row r="97" ht="30" customHeight="1" s="518">
      <c r="A97" s="283" t="inlineStr">
        <is>
          <t>P094</t>
        </is>
      </c>
      <c r="B97" s="150" t="n">
        <v>407</v>
      </c>
      <c r="C97" s="151" t="inlineStr">
        <is>
          <t>R0104122</t>
        </is>
      </c>
      <c r="D97" s="284" t="inlineStr">
        <is>
          <t>550 W 53rd Pl</t>
        </is>
      </c>
      <c r="E97" s="283" t="inlineStr">
        <is>
          <t>Denver</t>
        </is>
      </c>
      <c r="F97" s="283" t="inlineStr">
        <is>
          <t>CO</t>
        </is>
      </c>
      <c r="G97" s="283" t="inlineStr">
        <is>
          <t>Industrial</t>
        </is>
      </c>
      <c r="H97" s="284" t="inlineStr">
        <is>
          <t>Distribution Warehouse</t>
        </is>
      </c>
      <c r="I97" s="283" t="n">
        <v>1971</v>
      </c>
      <c r="J97" s="283" t="n">
        <v>127900</v>
      </c>
      <c r="K97" s="283" t="n"/>
      <c r="L97" s="283" t="inlineStr">
        <is>
          <t>R0104122</t>
        </is>
      </c>
      <c r="M97" s="283" t="n"/>
      <c r="N97" s="284" t="inlineStr">
        <is>
          <t>Brad-CBOE 2024 – appraiser income approach pro forma</t>
        </is>
      </c>
      <c r="O97" s="283" t="inlineStr">
        <is>
          <t>2026-06-03</t>
        </is>
      </c>
      <c r="P97" s="284" t="inlineStr">
        <is>
          <t>YOC 1971 (remod 1999/eff 1985); 127,900 SF; 2024 CBOE abatement income approach</t>
        </is>
      </c>
      <c r="Q97" s="233">
        <f>IF(B97="","",IFERROR(INDEX(OCC_TABLE_DESC,MATCH(B97,OCC_TABLE_CODE,0)),"Unrecognized code"))</f>
        <v/>
      </c>
    </row>
    <row r="98" ht="15" customHeight="1" s="518">
      <c r="A98" s="153" t="inlineStr">
        <is>
          <t>P095</t>
        </is>
      </c>
      <c r="B98" s="150" t="n">
        <v>386</v>
      </c>
      <c r="C98" s="151" t="inlineStr">
        <is>
          <t>R0086010</t>
        </is>
      </c>
      <c r="D98" s="268" t="inlineStr">
        <is>
          <t>15413 E 18th Ave</t>
        </is>
      </c>
      <c r="E98" s="153" t="inlineStr">
        <is>
          <t>Aurora</t>
        </is>
      </c>
      <c r="F98" s="153" t="inlineStr">
        <is>
          <t>CO</t>
        </is>
      </c>
      <c r="G98" s="153" t="inlineStr">
        <is>
          <t>Self-Storage</t>
        </is>
      </c>
      <c r="H98" s="268" t="inlineStr">
        <is>
          <t>Self-Storage</t>
        </is>
      </c>
      <c r="I98" s="153" t="n">
        <v>1984</v>
      </c>
      <c r="J98" s="153" t="n">
        <v>63989</v>
      </c>
      <c r="K98" s="153" t="n"/>
      <c r="L98" s="153" t="inlineStr">
        <is>
          <t>R0086010</t>
        </is>
      </c>
      <c r="M98" s="153" t="n"/>
      <c r="N98" s="268" t="inlineStr">
        <is>
          <t>AXG CBOE 2024 – appraiser income approach pro forma</t>
        </is>
      </c>
      <c r="O98" s="153" t="inlineStr">
        <is>
          <t>2026-06-03</t>
        </is>
      </c>
      <c r="P98" s="268" t="inlineStr">
        <is>
          <t>8 buildings; NRA 57,754 SF; GBA 63,989 SF; 1984 YOC</t>
        </is>
      </c>
      <c r="Q98" s="233">
        <f>IF(B98="","",IFERROR(INDEX(OCC_TABLE_DESC,MATCH(B98,OCC_TABLE_CODE,0)),"Unrecognized code"))</f>
        <v/>
      </c>
    </row>
    <row r="99" ht="30" customHeight="1" s="518">
      <c r="A99" s="283" t="inlineStr">
        <is>
          <t>P096</t>
        </is>
      </c>
      <c r="B99" s="150" t="n">
        <v>407</v>
      </c>
      <c r="C99" s="151" t="inlineStr">
        <is>
          <t>R0083917</t>
        </is>
      </c>
      <c r="D99" s="284" t="inlineStr">
        <is>
          <t>14701 E 38th Ave</t>
        </is>
      </c>
      <c r="E99" s="283" t="inlineStr">
        <is>
          <t>Aurora</t>
        </is>
      </c>
      <c r="F99" s="283" t="inlineStr">
        <is>
          <t>CO</t>
        </is>
      </c>
      <c r="G99" s="283" t="inlineStr">
        <is>
          <t>Industrial</t>
        </is>
      </c>
      <c r="H99" s="284" t="inlineStr">
        <is>
          <t>Industrial Owner-User</t>
        </is>
      </c>
      <c r="I99" s="283" t="n"/>
      <c r="J99" s="283" t="n">
        <v>117280</v>
      </c>
      <c r="K99" s="283" t="n"/>
      <c r="L99" s="283" t="inlineStr">
        <is>
          <t>R0083917</t>
        </is>
      </c>
      <c r="M99" s="283" t="n"/>
      <c r="N99" s="284" t="inlineStr">
        <is>
          <t>MT.xlsx I&amp;E Survey 2024</t>
        </is>
      </c>
      <c r="O99" s="283" t="inlineStr">
        <is>
          <t>2026-06-03</t>
        </is>
      </c>
      <c r="P99" s="284" t="inlineStr">
        <is>
          <t>Owner-user; expenses may include non-RE items (flag); 117,280 SF</t>
        </is>
      </c>
      <c r="Q99" s="233">
        <f>IF(B99="","",IFERROR(INDEX(OCC_TABLE_DESC,MATCH(B99,OCC_TABLE_CODE,0)),"Unrecognized code"))</f>
        <v/>
      </c>
    </row>
    <row r="100" ht="15" customHeight="1" s="518">
      <c r="A100" s="153" t="inlineStr">
        <is>
          <t>P097</t>
        </is>
      </c>
      <c r="B100" s="150" t="n">
        <v>210</v>
      </c>
      <c r="C100" s="151" t="inlineStr">
        <is>
          <t>R0137586</t>
        </is>
      </c>
      <c r="D100" s="268" t="inlineStr">
        <is>
          <t>7273-7285 E 96th Ave</t>
        </is>
      </c>
      <c r="E100" s="153" t="inlineStr">
        <is>
          <t>Commerce City</t>
        </is>
      </c>
      <c r="F100" s="153" t="inlineStr">
        <is>
          <t>CO</t>
        </is>
      </c>
      <c r="G100" s="153" t="inlineStr">
        <is>
          <t>Industrial</t>
        </is>
      </c>
      <c r="H100" s="268" t="inlineStr">
        <is>
          <t>Multi-Tenant Industrial</t>
        </is>
      </c>
      <c r="I100" s="153" t="n"/>
      <c r="J100" s="153" t="n">
        <v>57200</v>
      </c>
      <c r="K100" s="153" t="n"/>
      <c r="L100" s="153" t="inlineStr">
        <is>
          <t>R0137586</t>
        </is>
      </c>
      <c r="M100" s="153" t="n"/>
      <c r="N100" s="268" t="inlineStr">
        <is>
          <t>MT.xlsx I&amp;E Survey 2023</t>
        </is>
      </c>
      <c r="O100" s="153" t="inlineStr">
        <is>
          <t>2026-06-03</t>
        </is>
      </c>
      <c r="P100" s="268" t="inlineStr">
        <is>
          <t>Modified lease; 57,200 SF; 2023 survey data</t>
        </is>
      </c>
      <c r="Q100" s="233">
        <f>IF(B100="","",IFERROR(INDEX(OCC_TABLE_DESC,MATCH(B100,OCC_TABLE_CODE,0)),"Unrecognized code"))</f>
        <v/>
      </c>
    </row>
    <row r="101" ht="30" customHeight="1" s="518">
      <c r="A101" s="283" t="inlineStr">
        <is>
          <t>P098</t>
        </is>
      </c>
      <c r="B101" s="150" t="n">
        <v>210</v>
      </c>
      <c r="C101" s="151" t="inlineStr">
        <is>
          <t>R0187010</t>
        </is>
      </c>
      <c r="D101" s="284" t="inlineStr">
        <is>
          <t>8020 Steele St</t>
        </is>
      </c>
      <c r="E101" s="283" t="inlineStr">
        <is>
          <t>Denver</t>
        </is>
      </c>
      <c r="F101" s="283" t="inlineStr">
        <is>
          <t>CO</t>
        </is>
      </c>
      <c r="G101" s="283" t="inlineStr">
        <is>
          <t>Industrial</t>
        </is>
      </c>
      <c r="H101" s="284" t="inlineStr">
        <is>
          <t>Industrial Modified Gross</t>
        </is>
      </c>
      <c r="I101" s="283" t="n"/>
      <c r="J101" s="283" t="n">
        <v>70000</v>
      </c>
      <c r="K101" s="283" t="n"/>
      <c r="L101" s="283" t="inlineStr">
        <is>
          <t>R0187010</t>
        </is>
      </c>
      <c r="M101" s="283" t="n"/>
      <c r="N101" s="284" t="inlineStr">
        <is>
          <t>MT.xlsx I&amp;E Survey 2024</t>
        </is>
      </c>
      <c r="O101" s="283" t="inlineStr">
        <is>
          <t>2026-06-03</t>
        </is>
      </c>
      <c r="P101" s="284" t="inlineStr">
        <is>
          <t>Modified gross; owner pays ins/R&amp;M/mgmt; tenant pays utils/trash; 70,000 SF</t>
        </is>
      </c>
      <c r="Q101" s="233">
        <f>IF(B101="","",IFERROR(INDEX(OCC_TABLE_DESC,MATCH(B101,OCC_TABLE_CODE,0)),"Unrecognized code"))</f>
        <v/>
      </c>
    </row>
    <row r="102" ht="30" customHeight="1" s="518">
      <c r="A102" s="153" t="inlineStr">
        <is>
          <t>P099</t>
        </is>
      </c>
      <c r="B102" s="150" t="n">
        <v>210</v>
      </c>
      <c r="C102" s="151" t="inlineStr">
        <is>
          <t>R0111914</t>
        </is>
      </c>
      <c r="D102" s="268" t="inlineStr">
        <is>
          <t>1963 Jasper St</t>
        </is>
      </c>
      <c r="E102" s="153" t="inlineStr">
        <is>
          <t>Aurora</t>
        </is>
      </c>
      <c r="F102" s="153" t="inlineStr">
        <is>
          <t>CO</t>
        </is>
      </c>
      <c r="G102" s="153" t="inlineStr">
        <is>
          <t>Industrial</t>
        </is>
      </c>
      <c r="H102" s="268" t="inlineStr">
        <is>
          <t>Multi-Tenant Industrial Gross</t>
        </is>
      </c>
      <c r="I102" s="153" t="n"/>
      <c r="J102" s="153" t="n">
        <v>33574</v>
      </c>
      <c r="K102" s="153" t="n"/>
      <c r="L102" s="153" t="inlineStr">
        <is>
          <t>R0111914</t>
        </is>
      </c>
      <c r="M102" s="153" t="n"/>
      <c r="N102" s="268" t="inlineStr">
        <is>
          <t>MT.xlsx I&amp;E Survey 2024</t>
        </is>
      </c>
      <c r="O102" s="153" t="inlineStr">
        <is>
          <t>2026-06-03</t>
        </is>
      </c>
      <c r="P102" s="268" t="inlineStr">
        <is>
          <t>Gross lease; owner pays all expenses except gas/elec; 33,574 SF</t>
        </is>
      </c>
      <c r="Q102" s="233">
        <f>IF(B102="","",IFERROR(INDEX(OCC_TABLE_DESC,MATCH(B102,OCC_TABLE_CODE,0)),"Unrecognized code"))</f>
        <v/>
      </c>
    </row>
    <row r="103" ht="15" customHeight="1" s="518">
      <c r="A103" s="283" t="inlineStr">
        <is>
          <t>P100</t>
        </is>
      </c>
      <c r="B103" s="150" t="n">
        <v>1332</v>
      </c>
      <c r="C103" s="151" t="inlineStr">
        <is>
          <t>R0111965</t>
        </is>
      </c>
      <c r="D103" s="284" t="inlineStr">
        <is>
          <t>12101 Grant St</t>
        </is>
      </c>
      <c r="E103" s="283" t="inlineStr">
        <is>
          <t>Thornton</t>
        </is>
      </c>
      <c r="F103" s="283" t="inlineStr">
        <is>
          <t>CO</t>
        </is>
      </c>
      <c r="G103" s="283" t="inlineStr">
        <is>
          <t>Hospitality</t>
        </is>
      </c>
      <c r="H103" s="284" t="inlineStr">
        <is>
          <t>Hotel Limited Service</t>
        </is>
      </c>
      <c r="I103" s="283" t="n">
        <v>1998</v>
      </c>
      <c r="J103" s="283" t="n"/>
      <c r="K103" s="283" t="n"/>
      <c r="L103" s="283" t="inlineStr">
        <is>
          <t>R0111965</t>
        </is>
      </c>
      <c r="M103" s="283" t="n"/>
      <c r="N103" s="284" t="inlineStr">
        <is>
          <t>AXG CBOE 2024 – appraiser Rushmore income approach</t>
        </is>
      </c>
      <c r="O103" s="283" t="inlineStr">
        <is>
          <t>2026-06-03</t>
        </is>
      </c>
      <c r="P103" s="284" t="inlineStr">
        <is>
          <t>100 rooms; 1998 YOC; 2024 CBOE; ADR $115/occ 70%</t>
        </is>
      </c>
      <c r="Q103" s="233">
        <f>IF(B103="","",IFERROR(INDEX(OCC_TABLE_DESC,MATCH(B103,OCC_TABLE_CODE,0)),"Unrecognized code"))</f>
        <v/>
      </c>
    </row>
    <row r="104" ht="15" customHeight="1" s="518">
      <c r="A104" s="153" t="inlineStr">
        <is>
          <t>P101</t>
        </is>
      </c>
      <c r="B104" s="150" t="n">
        <v>332</v>
      </c>
      <c r="C104" s="151" t="inlineStr">
        <is>
          <t>R0202410</t>
        </is>
      </c>
      <c r="D104" s="268" t="inlineStr">
        <is>
          <t>2556 Oswego St</t>
        </is>
      </c>
      <c r="E104" s="153" t="inlineStr">
        <is>
          <t>Aurora</t>
        </is>
      </c>
      <c r="F104" s="153" t="inlineStr">
        <is>
          <t>CO</t>
        </is>
      </c>
      <c r="G104" s="153" t="inlineStr">
        <is>
          <t>Hospitality</t>
        </is>
      </c>
      <c r="H104" s="268" t="inlineStr">
        <is>
          <t>Hotel Full Service</t>
        </is>
      </c>
      <c r="I104" s="153" t="n">
        <v>2023</v>
      </c>
      <c r="J104" s="153" t="n"/>
      <c r="K104" s="153" t="n"/>
      <c r="L104" s="153" t="inlineStr">
        <is>
          <t>R0202410</t>
        </is>
      </c>
      <c r="M104" s="153" t="n"/>
      <c r="N104" s="268" t="inlineStr">
        <is>
          <t>AXG CBOE 2024 – appraiser Rushmore income approach</t>
        </is>
      </c>
      <c r="O104" s="153" t="inlineStr">
        <is>
          <t>2026-06-03</t>
        </is>
      </c>
      <c r="P104" s="268" t="inlineStr">
        <is>
          <t>227 rooms; built 2023; 2024 CBOE; ADR $140/occ 70%</t>
        </is>
      </c>
      <c r="Q104" s="233">
        <f>IF(B104="","",IFERROR(INDEX(OCC_TABLE_DESC,MATCH(B104,OCC_TABLE_CODE,0)),"Unrecognized code"))</f>
        <v/>
      </c>
    </row>
    <row r="105" ht="30" customHeight="1" s="518">
      <c r="A105" s="283" t="inlineStr">
        <is>
          <t>P102</t>
        </is>
      </c>
      <c r="B105" s="150" t="n">
        <v>332</v>
      </c>
      <c r="C105" s="151" t="inlineStr">
        <is>
          <t>R0024498</t>
        </is>
      </c>
      <c r="D105" s="284" t="inlineStr">
        <is>
          <t>83 E 120th Ave</t>
        </is>
      </c>
      <c r="E105" s="283" t="inlineStr">
        <is>
          <t>Thornton</t>
        </is>
      </c>
      <c r="F105" s="283" t="inlineStr">
        <is>
          <t>CO</t>
        </is>
      </c>
      <c r="G105" s="283" t="inlineStr">
        <is>
          <t>Hospitality</t>
        </is>
      </c>
      <c r="H105" s="284" t="inlineStr">
        <is>
          <t>Hotel Full Service</t>
        </is>
      </c>
      <c r="I105" s="283" t="n">
        <v>1984</v>
      </c>
      <c r="J105" s="283" t="n">
        <v>114796</v>
      </c>
      <c r="K105" s="283" t="n"/>
      <c r="L105" s="283" t="inlineStr">
        <is>
          <t>R0024498</t>
        </is>
      </c>
      <c r="M105" s="283" t="n"/>
      <c r="N105" s="284" t="inlineStr">
        <is>
          <t>AXG CBOE 2024 – appraiser Rushmore income approach</t>
        </is>
      </c>
      <c r="O105" s="283" t="inlineStr">
        <is>
          <t>2026-06-03</t>
        </is>
      </c>
      <c r="P105" s="284" t="inlineStr">
        <is>
          <t>137 rooms; 114,796 SF GBA; 2 bldgs; 1984 YOC; ADR $142/occ 70%</t>
        </is>
      </c>
      <c r="Q105" s="233">
        <f>IF(B105="","",IFERROR(INDEX(OCC_TABLE_DESC,MATCH(B105,OCC_TABLE_CODE,0)),"Unrecognized code"))</f>
        <v/>
      </c>
    </row>
    <row r="106" ht="15" customHeight="1" s="518">
      <c r="A106" s="153" t="inlineStr">
        <is>
          <t>P103</t>
        </is>
      </c>
      <c r="B106" s="150" t="n">
        <v>407</v>
      </c>
      <c r="C106" s="151" t="inlineStr">
        <is>
          <t>R0075212</t>
        </is>
      </c>
      <c r="D106" s="268" t="inlineStr">
        <is>
          <t>10500 Havana Ct</t>
        </is>
      </c>
      <c r="E106" s="153" t="inlineStr">
        <is>
          <t>Commerce City</t>
        </is>
      </c>
      <c r="F106" s="153" t="inlineStr">
        <is>
          <t>CO</t>
        </is>
      </c>
      <c r="G106" s="153" t="inlineStr">
        <is>
          <t>Industrial</t>
        </is>
      </c>
      <c r="H106" s="268" t="inlineStr">
        <is>
          <t>Industrial NNN</t>
        </is>
      </c>
      <c r="I106" s="153" t="n"/>
      <c r="J106" s="153" t="n">
        <v>30000</v>
      </c>
      <c r="K106" s="153" t="n"/>
      <c r="L106" s="153" t="inlineStr">
        <is>
          <t>R0075212</t>
        </is>
      </c>
      <c r="M106" s="153" t="n"/>
      <c r="N106" s="268" t="inlineStr">
        <is>
          <t>MT.xlsx I&amp;E Survey 2024</t>
        </is>
      </c>
      <c r="O106" s="153" t="inlineStr">
        <is>
          <t>2026-06-03</t>
        </is>
      </c>
      <c r="P106" s="268" t="inlineStr">
        <is>
          <t>NNN; full expense survey; 30,000 SF</t>
        </is>
      </c>
      <c r="Q106" s="233">
        <f>IF(B106="","",IFERROR(INDEX(OCC_TABLE_DESC,MATCH(B106,OCC_TABLE_CODE,0)),"Unrecognized code"))</f>
        <v/>
      </c>
    </row>
    <row r="107" ht="26" customHeight="1" s="518">
      <c r="A107" t="inlineStr">
        <is>
          <t>P104</t>
        </is>
      </c>
      <c r="B107" s="150" t="n">
        <v>210</v>
      </c>
      <c r="C107" t="inlineStr">
        <is>
          <t>R0226379</t>
        </is>
      </c>
      <c r="D107" s="575" t="inlineStr">
        <is>
          <t>26100 E 68th Ave</t>
        </is>
      </c>
      <c r="E107" t="inlineStr">
        <is>
          <t>Aurora</t>
        </is>
      </c>
      <c r="F107" t="inlineStr">
        <is>
          <t>CO</t>
        </is>
      </c>
      <c r="G107" t="inlineStr">
        <is>
          <t>Industrial</t>
        </is>
      </c>
      <c r="H107" s="575" t="inlineStr">
        <is>
          <t>Industrial Multi-Tenant</t>
        </is>
      </c>
      <c r="J107" t="n">
        <v>187720</v>
      </c>
      <c r="L107" t="inlineStr">
        <is>
          <t>R0226379</t>
        </is>
      </c>
      <c r="M107" t="inlineStr">
        <is>
          <t>Green Industrial Development Group (.ptg)</t>
        </is>
      </c>
      <c r="N107" s="575" t="inlineStr">
        <is>
          <t>Owner Income Statement 2023 &amp; 2024</t>
        </is>
      </c>
      <c r="O107" t="inlineStr">
        <is>
          <t>2026-06-03</t>
        </is>
      </c>
      <c r="P107" s="575" t="inlineStr">
        <is>
          <t>Building 1; Filing 3 Block 1 Lot 1; CAM reimb + TBB structure; SF unknown; 2023-2024 actuals</t>
        </is>
      </c>
      <c r="Q107" s="233">
        <f>IF(B107="","",IFERROR(INDEX(OCC_TABLE_DESC,MATCH(B107,OCC_TABLE_CODE,0)),"Unrecognized code"))</f>
        <v/>
      </c>
    </row>
  </sheetData>
  <mergeCells count="2">
    <mergeCell ref="A2:N2"/>
    <mergeCell ref="A1:N1"/>
  </mergeCells>
  <dataValidations count="4">
    <dataValidation sqref="B4:B107" showDropDown="0" showInputMessage="0" showErrorMessage="1" allowBlank="1" error="Pick a valid OCC code from the Occ Codes tab." type="list">
      <formula1>OCC_TABLE_CODE</formula1>
    </dataValidation>
    <dataValidation sqref="E4:E107" showDropDown="0" showInputMessage="0" showErrorMessage="0" allowBlank="1" type="list">
      <formula1>"Adams County,Arvada,Aurora,Commerce City,Denver,Henderson,Northglenn,Thornton,Westminster"</formula1>
    </dataValidation>
    <dataValidation sqref="F4:F107" showDropDown="0" showInputMessage="0" showErrorMessage="0" allowBlank="1" type="list">
      <formula1>"CO,Other"</formula1>
    </dataValidation>
    <dataValidation sqref="G4:G10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1.xml><?xml version="1.0" encoding="utf-8"?>
<worksheet xmlns="http://schemas.openxmlformats.org/spreadsheetml/2006/main">
  <sheetPr>
    <tabColor rgb="FFD97706"/>
    <outlinePr summaryBelow="1" summaryRight="1"/>
    <pageSetUpPr/>
  </sheetPr>
  <dimension ref="A1:AR19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2" customWidth="1" style="518" min="9" max="9"/>
    <col width="9" customWidth="1" style="518" min="10" max="10"/>
    <col width="6" customWidth="1" style="518" min="11" max="11"/>
    <col width="21" customWidth="1" style="518" min="12" max="12"/>
    <col width="13" customWidth="1" style="518" min="13" max="14"/>
    <col width="11" customWidth="1" style="518" min="15" max="15"/>
    <col width="13" customWidth="1" style="518" min="16" max="17"/>
    <col width="16" customWidth="1" style="518" min="18" max="18"/>
    <col width="13" customWidth="1" style="518" min="19" max="19"/>
    <col width="22" customWidth="1" style="518" min="20" max="20"/>
    <col width="11" customWidth="1" style="518" min="21" max="21"/>
    <col width="19" customWidth="1" style="518" min="22" max="22"/>
    <col width="21" customWidth="1" style="518" min="23" max="23"/>
    <col width="25" customWidth="1" style="518" min="24" max="24"/>
    <col width="13" customWidth="1" style="518" min="25" max="25"/>
    <col width="11" customWidth="1" style="518" min="26" max="26"/>
    <col width="13" customWidth="1" style="518" min="27" max="28"/>
    <col width="21" customWidth="1" style="518" min="29" max="29"/>
    <col width="15" customWidth="1" style="518" min="30" max="30"/>
    <col width="13" customWidth="1" style="518" min="31" max="31"/>
    <col width="17" customWidth="1" style="518" min="32" max="32"/>
    <col width="20" customWidth="1" style="518" min="33" max="33"/>
    <col width="25" customWidth="1" style="518" min="34" max="34"/>
    <col width="19" customWidth="1" style="518" min="35" max="35"/>
    <col width="25" customWidth="1" style="518" min="36" max="36"/>
    <col width="13" customWidth="1" style="518" min="37" max="37"/>
    <col width="16" customWidth="1" style="518" min="38" max="38"/>
    <col width="52" customWidth="1" style="518" min="39" max="39"/>
    <col hidden="1" width="13" customWidth="1" style="518" min="40" max="41"/>
    <col width="30" customWidth="1" style="518" min="44" max="44"/>
  </cols>
  <sheetData>
    <row r="1" ht="24" customHeight="1" s="518">
      <c r="A1" s="728" t="inlineStr">
        <is>
          <t>COMMERCIAL PROPERTY EXPENSE DATABASE ? ANNUAL DETAIL</t>
        </is>
      </c>
    </row>
    <row r="2" ht="16" customHeight="1" s="518">
      <c r="A2" s="727" t="inlineStr">
        <is>
          <t>One row per property per year | All dollar figures from owner P&amp;L unless noted | $/SF = $ / Building SF</t>
        </is>
      </c>
    </row>
    <row r="3" ht="42" customHeight="1" s="518">
      <c r="A3" s="281" t="inlineStr">
        <is>
          <t>Prop ID</t>
        </is>
      </c>
      <c r="B3" s="232" t="inlineStr">
        <is>
          <t>Occ Code</t>
        </is>
      </c>
      <c r="C3" s="234" t="inlineStr">
        <is>
          <t>Account #</t>
        </is>
      </c>
      <c r="D3" s="282" t="inlineStr">
        <is>
          <t>Address</t>
        </is>
      </c>
      <c r="E3" s="281" t="inlineStr">
        <is>
          <t>City</t>
        </is>
      </c>
      <c r="F3" s="281" t="inlineStr">
        <is>
          <t>State</t>
        </is>
      </c>
      <c r="G3" s="281" t="inlineStr">
        <is>
          <t>Prop Type</t>
        </is>
      </c>
      <c r="H3" s="282" t="inlineStr">
        <is>
          <t>Subtype</t>
        </is>
      </c>
      <c r="I3" s="281" t="inlineStr">
        <is>
          <t>Year Built</t>
        </is>
      </c>
      <c r="J3" s="281" t="inlineStr">
        <is>
          <t>Bldg SF</t>
        </is>
      </c>
      <c r="K3" s="281" t="inlineStr">
        <is>
          <t>Year</t>
        </is>
      </c>
      <c r="L3" s="281" t="inlineStr">
        <is>
          <t>Gross Rental Income</t>
        </is>
      </c>
      <c r="M3" s="281" t="inlineStr">
        <is>
          <t>Other Income</t>
        </is>
      </c>
      <c r="N3" s="281" t="inlineStr">
        <is>
          <t>EGI</t>
        </is>
      </c>
      <c r="O3" s="281" t="inlineStr">
        <is>
          <t>Insurance</t>
        </is>
      </c>
      <c r="P3" s="281" t="inlineStr">
        <is>
          <t>Mgmt/Admin</t>
        </is>
      </c>
      <c r="Q3" s="281" t="inlineStr">
        <is>
          <t>Plumbing R&amp;M</t>
        </is>
      </c>
      <c r="R3" s="281" t="inlineStr">
        <is>
          <t>Electrical R&amp;M</t>
        </is>
      </c>
      <c r="S3" s="281" t="inlineStr">
        <is>
          <t>Exterior R&amp;M</t>
        </is>
      </c>
      <c r="T3" s="281" t="inlineStr">
        <is>
          <t>Fire/Life Safety R&amp;M</t>
        </is>
      </c>
      <c r="U3" s="281" t="inlineStr">
        <is>
          <t>HVAC R&amp;M</t>
        </is>
      </c>
      <c r="V3" s="281" t="inlineStr">
        <is>
          <t>Interior Unit R&amp;M</t>
        </is>
      </c>
      <c r="W3" s="281" t="inlineStr">
        <is>
          <t>Interior Common R&amp;M</t>
        </is>
      </c>
      <c r="X3" s="281" t="inlineStr">
        <is>
          <t>General Maint &amp; Repairs</t>
        </is>
      </c>
      <c r="Y3" s="281" t="inlineStr">
        <is>
          <t>Total R&amp;M</t>
        </is>
      </c>
      <c r="Z3" s="281" t="inlineStr">
        <is>
          <t>Trash</t>
        </is>
      </c>
      <c r="AA3" s="281" t="inlineStr">
        <is>
          <t>Landscape</t>
        </is>
      </c>
      <c r="AB3" s="281" t="inlineStr">
        <is>
          <t>Snow Removal</t>
        </is>
      </c>
      <c r="AC3" s="281" t="inlineStr">
        <is>
          <t>Total Contract Svcs</t>
        </is>
      </c>
      <c r="AD3" s="281" t="inlineStr">
        <is>
          <t>Water &amp; Sewer</t>
        </is>
      </c>
      <c r="AE3" s="281" t="inlineStr">
        <is>
          <t>Electric</t>
        </is>
      </c>
      <c r="AF3" s="281" t="inlineStr">
        <is>
          <t>Total Utilities</t>
        </is>
      </c>
      <c r="AG3" s="281" t="inlineStr">
        <is>
          <t>Other/Admin (Misc)</t>
        </is>
      </c>
      <c r="AH3" s="281" t="inlineStr">
        <is>
          <t>Total OPX excl RE Taxes</t>
        </is>
      </c>
      <c r="AI3" s="281" t="inlineStr">
        <is>
          <t>Real Estate Taxes</t>
        </is>
      </c>
      <c r="AJ3" s="281" t="inlineStr">
        <is>
          <t>Total OPX incl RE Taxes</t>
        </is>
      </c>
      <c r="AK3" s="281" t="inlineStr">
        <is>
          <t>NOI</t>
        </is>
      </c>
      <c r="AL3" s="281" t="inlineStr">
        <is>
          <t>CapEx (non-op)</t>
        </is>
      </c>
      <c r="AM3" s="282" t="inlineStr">
        <is>
          <t>Notes</t>
        </is>
      </c>
      <c r="AN3" s="225" t="inlineStr">
        <is>
          <t>Score (internal)</t>
        </is>
      </c>
      <c r="AO3" t="inlineStr">
        <is>
          <t>TieBreak (internal)</t>
        </is>
      </c>
      <c r="AR3" s="193" t="inlineStr">
        <is>
          <t>Occ Description (auto)</t>
        </is>
      </c>
    </row>
    <row r="4" ht="18" customHeight="1" s="518">
      <c r="A4" s="154" t="inlineStr">
        <is>
          <t>P001</t>
        </is>
      </c>
      <c r="B4" s="150" t="n">
        <v>407</v>
      </c>
      <c r="C4" s="155" t="inlineStr">
        <is>
          <t>R0157664</t>
        </is>
      </c>
      <c r="D4" s="149" t="inlineStr">
        <is>
          <t>6045 E. 76th Avenue</t>
        </is>
      </c>
      <c r="E4" s="154" t="inlineStr">
        <is>
          <t>Commerce City</t>
        </is>
      </c>
      <c r="F4" s="154" t="inlineStr">
        <is>
          <t>CO</t>
        </is>
      </c>
      <c r="G4" s="154" t="inlineStr">
        <is>
          <t>Light Industrial</t>
        </is>
      </c>
      <c r="H4" s="149" t="inlineStr">
        <is>
          <t>Distribution Warehouse</t>
        </is>
      </c>
      <c r="I4" s="156" t="n">
        <v>1988</v>
      </c>
      <c r="J4" s="156" t="n">
        <v>21000</v>
      </c>
      <c r="K4" s="156" t="n">
        <v>2021</v>
      </c>
      <c r="L4" s="157" t="n">
        <v>282764.52</v>
      </c>
      <c r="M4" s="157" t="n">
        <v>6372</v>
      </c>
      <c r="N4" s="235" t="n">
        <v>289136.52</v>
      </c>
      <c r="O4" s="157" t="n">
        <v>4893</v>
      </c>
      <c r="P4" s="157" t="n">
        <v>0</v>
      </c>
      <c r="Q4" s="157" t="n">
        <v>1144</v>
      </c>
      <c r="R4" s="157" t="n">
        <v>0</v>
      </c>
      <c r="S4" s="157" t="n">
        <v>198.75</v>
      </c>
      <c r="T4" s="157" t="n">
        <v>0</v>
      </c>
      <c r="U4" s="157" t="n">
        <v>280</v>
      </c>
      <c r="V4" s="157" t="n">
        <v>846</v>
      </c>
      <c r="W4" s="157" t="n">
        <v>2923</v>
      </c>
      <c r="X4" s="235" t="n">
        <v>0</v>
      </c>
      <c r="Y4" s="157" t="n">
        <v>5391.75</v>
      </c>
      <c r="Z4" s="157" t="n">
        <v>6710.19</v>
      </c>
      <c r="AA4" s="157" t="n">
        <v>3875</v>
      </c>
      <c r="AB4" s="157" t="n">
        <v>870</v>
      </c>
      <c r="AC4" s="235" t="n">
        <v>11455.19</v>
      </c>
      <c r="AD4" s="157" t="n">
        <v>3344.39</v>
      </c>
      <c r="AE4" s="157" t="n">
        <v>648.33</v>
      </c>
      <c r="AF4" s="235" t="n">
        <v>3992.72</v>
      </c>
      <c r="AG4" s="157" t="n">
        <v>762.49</v>
      </c>
      <c r="AH4" s="236" t="n">
        <v>26515.14999999999</v>
      </c>
      <c r="AI4" s="236" t="n">
        <v>48263.72</v>
      </c>
      <c r="AJ4" s="237" t="n">
        <v>74778.87</v>
      </c>
      <c r="AK4" s="235" t="n">
        <v>214357.65</v>
      </c>
      <c r="AL4" s="157" t="n">
        <v>2642.04</v>
      </c>
      <c r="AM4" s="149" t="inlineStr">
        <is>
          <t>2021: other income = damages $2,392 + misc $3,863 + interest $117</t>
        </is>
      </c>
      <c r="AN4">
        <f>IF(AND($B4=Subj_OccCode,Subj_BldgSF&gt;0,ABS($J4-Subj_BldgSF)&lt;=Subj_BldgSF*Subj_SizeTol),ABS($J4-Subj_BldgSF),NA())</f>
        <v/>
      </c>
      <c r="AO4">
        <f>IF(ISNA(AN4),NA(),AN4+ROW()/10000000)</f>
        <v/>
      </c>
      <c r="AR4" s="233">
        <f>IF(B4="","",IFERROR(INDEX(OCC_TABLE_DESC,MATCH(B4,OCC_TABLE_CODE,0)),"Unrecognized code"))</f>
        <v/>
      </c>
    </row>
    <row r="5" ht="18" customHeight="1" s="518">
      <c r="A5" s="154" t="inlineStr">
        <is>
          <t>P001</t>
        </is>
      </c>
      <c r="B5" s="150" t="n">
        <v>407</v>
      </c>
      <c r="C5" s="155" t="inlineStr">
        <is>
          <t>R0157664</t>
        </is>
      </c>
      <c r="D5" s="149" t="inlineStr">
        <is>
          <t>6045 E. 76th Avenue</t>
        </is>
      </c>
      <c r="E5" s="154" t="inlineStr">
        <is>
          <t>Commerce City</t>
        </is>
      </c>
      <c r="F5" s="154" t="inlineStr">
        <is>
          <t>CO</t>
        </is>
      </c>
      <c r="G5" s="154" t="inlineStr">
        <is>
          <t>Light Industrial</t>
        </is>
      </c>
      <c r="H5" s="149" t="inlineStr">
        <is>
          <t>Distribution Warehouse</t>
        </is>
      </c>
      <c r="I5" s="156" t="n">
        <v>1988</v>
      </c>
      <c r="J5" s="156" t="n">
        <v>21000</v>
      </c>
      <c r="K5" s="156" t="n">
        <v>2022</v>
      </c>
      <c r="L5" s="157" t="n">
        <v>255992.67</v>
      </c>
      <c r="M5" s="157" t="n">
        <v>3000</v>
      </c>
      <c r="N5" s="235" t="n">
        <v>258992.67</v>
      </c>
      <c r="O5" s="157" t="n">
        <v>5276</v>
      </c>
      <c r="P5" s="157" t="n">
        <v>0</v>
      </c>
      <c r="Q5" s="157" t="n">
        <v>4115</v>
      </c>
      <c r="R5" s="157" t="n">
        <v>611</v>
      </c>
      <c r="S5" s="157" t="n">
        <v>2333.33</v>
      </c>
      <c r="T5" s="157" t="n">
        <v>0</v>
      </c>
      <c r="U5" s="157" t="n">
        <v>0</v>
      </c>
      <c r="V5" s="157" t="n">
        <v>0</v>
      </c>
      <c r="W5" s="157" t="n">
        <v>780</v>
      </c>
      <c r="X5" s="235" t="n">
        <v>0</v>
      </c>
      <c r="Y5" s="157" t="n">
        <v>7839.33</v>
      </c>
      <c r="Z5" s="157" t="n">
        <v>8303.969999999999</v>
      </c>
      <c r="AA5" s="157" t="n">
        <v>4280</v>
      </c>
      <c r="AB5" s="157" t="n">
        <v>0</v>
      </c>
      <c r="AC5" s="235" t="n">
        <v>12583.97</v>
      </c>
      <c r="AD5" s="157" t="n">
        <v>3043.11</v>
      </c>
      <c r="AE5" s="157" t="n">
        <v>887.54</v>
      </c>
      <c r="AF5" s="235" t="n">
        <v>3930.65</v>
      </c>
      <c r="AG5" s="157" t="n">
        <v>658.98</v>
      </c>
      <c r="AH5" s="236" t="n">
        <v>30288.93000000001</v>
      </c>
      <c r="AI5" s="236" t="n">
        <v>66104.78</v>
      </c>
      <c r="AJ5" s="237" t="n">
        <v>96393.71000000001</v>
      </c>
      <c r="AK5" s="235" t="n">
        <v>162598.96</v>
      </c>
      <c r="AL5" s="157" t="n">
        <v>5791.72</v>
      </c>
      <c r="AM5" s="149" t="inlineStr">
        <is>
          <t>2022: other income = damages $500 + misc $2,500; CapEx unit interior</t>
        </is>
      </c>
      <c r="AN5">
        <f>IF(AND($B5=Subj_OccCode,Subj_BldgSF&gt;0,ABS($J5-Subj_BldgSF)&lt;=Subj_BldgSF*Subj_SizeTol),ABS($J5-Subj_BldgSF),NA())</f>
        <v/>
      </c>
      <c r="AO5">
        <f>IF(ISNA(AN5),NA(),AN5+ROW()/10000000)</f>
        <v/>
      </c>
      <c r="AR5" s="233">
        <f>IF(B5="","",IFERROR(INDEX(OCC_TABLE_DESC,MATCH(B5,OCC_TABLE_CODE,0)),"Unrecognized code"))</f>
        <v/>
      </c>
    </row>
    <row r="6" ht="18" customHeight="1" s="518">
      <c r="A6" s="154" t="inlineStr">
        <is>
          <t>P001</t>
        </is>
      </c>
      <c r="B6" s="150" t="n">
        <v>407</v>
      </c>
      <c r="C6" s="155" t="inlineStr">
        <is>
          <t>R0157664</t>
        </is>
      </c>
      <c r="D6" s="149" t="inlineStr">
        <is>
          <t>6045 E. 76th Avenue</t>
        </is>
      </c>
      <c r="E6" s="154" t="inlineStr">
        <is>
          <t>Commerce City</t>
        </is>
      </c>
      <c r="F6" s="154" t="inlineStr">
        <is>
          <t>CO</t>
        </is>
      </c>
      <c r="G6" s="154" t="inlineStr">
        <is>
          <t>Light Industrial</t>
        </is>
      </c>
      <c r="H6" s="149" t="inlineStr">
        <is>
          <t>Distribution Warehouse</t>
        </is>
      </c>
      <c r="I6" s="156" t="n">
        <v>1988</v>
      </c>
      <c r="J6" s="156" t="n">
        <v>21000</v>
      </c>
      <c r="K6" s="156" t="n">
        <v>2023</v>
      </c>
      <c r="L6" s="157" t="n">
        <v>256200</v>
      </c>
      <c r="M6" s="157" t="n">
        <v>0</v>
      </c>
      <c r="N6" s="235" t="n">
        <v>256200</v>
      </c>
      <c r="O6" s="157" t="n">
        <v>5867.85</v>
      </c>
      <c r="P6" s="157" t="n">
        <v>800</v>
      </c>
      <c r="Q6" s="157" t="n">
        <v>1094.49</v>
      </c>
      <c r="R6" s="157" t="n">
        <v>990</v>
      </c>
      <c r="S6" s="157" t="n">
        <v>0</v>
      </c>
      <c r="T6" s="157" t="n">
        <v>3870.75</v>
      </c>
      <c r="U6" s="157" t="n">
        <v>480</v>
      </c>
      <c r="V6" s="157" t="n">
        <v>618</v>
      </c>
      <c r="W6" s="157" t="n">
        <v>0</v>
      </c>
      <c r="X6" s="235" t="n">
        <v>480</v>
      </c>
      <c r="Y6" s="157" t="n">
        <v>7533.24</v>
      </c>
      <c r="Z6" s="157" t="n">
        <v>9561.9</v>
      </c>
      <c r="AA6" s="157" t="n">
        <v>2200</v>
      </c>
      <c r="AB6" s="157" t="n">
        <v>2800</v>
      </c>
      <c r="AC6" s="235" t="n">
        <v>14561.9</v>
      </c>
      <c r="AD6" s="157" t="n">
        <v>7111.97</v>
      </c>
      <c r="AE6" s="157" t="n">
        <v>760.15</v>
      </c>
      <c r="AF6" s="235" t="n">
        <v>7872.12</v>
      </c>
      <c r="AG6" s="157" t="n">
        <v>597.59</v>
      </c>
      <c r="AH6" s="236" t="n">
        <v>31952.69999999999</v>
      </c>
      <c r="AI6" s="236" t="n">
        <v>59985.48</v>
      </c>
      <c r="AJ6" s="237" t="n">
        <v>91938.17999999999</v>
      </c>
      <c r="AK6" s="235" t="n">
        <v>164261.82</v>
      </c>
      <c r="AL6" s="157" t="n">
        <v>0</v>
      </c>
      <c r="AM6" s="154" t="n"/>
      <c r="AN6">
        <f>IF(AND($B6=Subj_OccCode,Subj_BldgSF&gt;0,ABS($J6-Subj_BldgSF)&lt;=Subj_BldgSF*Subj_SizeTol),ABS($J6-Subj_BldgSF),NA())</f>
        <v/>
      </c>
      <c r="AO6">
        <f>IF(ISNA(AN6),NA(),AN6+ROW()/10000000)</f>
        <v/>
      </c>
      <c r="AR6" s="233">
        <f>IF(B6="","",IFERROR(INDEX(OCC_TABLE_DESC,MATCH(B6,OCC_TABLE_CODE,0)),"Unrecognized code"))</f>
        <v/>
      </c>
    </row>
    <row r="7" ht="18" customHeight="1" s="518">
      <c r="A7" s="154" t="inlineStr">
        <is>
          <t>P001</t>
        </is>
      </c>
      <c r="B7" s="150" t="n">
        <v>407</v>
      </c>
      <c r="C7" s="155" t="inlineStr">
        <is>
          <t>R0157664</t>
        </is>
      </c>
      <c r="D7" s="149" t="inlineStr">
        <is>
          <t>6045 E. 76th Avenue</t>
        </is>
      </c>
      <c r="E7" s="154" t="inlineStr">
        <is>
          <t>Commerce City</t>
        </is>
      </c>
      <c r="F7" s="154" t="inlineStr">
        <is>
          <t>CO</t>
        </is>
      </c>
      <c r="G7" s="154" t="inlineStr">
        <is>
          <t>Light Industrial</t>
        </is>
      </c>
      <c r="H7" s="149" t="inlineStr">
        <is>
          <t>Distribution Warehouse</t>
        </is>
      </c>
      <c r="I7" s="156" t="n">
        <v>1988</v>
      </c>
      <c r="J7" s="156" t="n">
        <v>21000</v>
      </c>
      <c r="K7" s="156" t="n">
        <v>2024</v>
      </c>
      <c r="L7" s="157" t="n">
        <v>229531</v>
      </c>
      <c r="M7" s="157" t="n">
        <v>0</v>
      </c>
      <c r="N7" s="235" t="n">
        <v>229531</v>
      </c>
      <c r="O7" s="157" t="n">
        <v>1834.57</v>
      </c>
      <c r="P7" s="157" t="n">
        <v>1570</v>
      </c>
      <c r="Q7" s="157" t="n">
        <v>0</v>
      </c>
      <c r="R7" s="157" t="n">
        <v>0</v>
      </c>
      <c r="S7" s="157" t="n">
        <v>8000</v>
      </c>
      <c r="T7" s="157" t="n">
        <v>8299.799999999999</v>
      </c>
      <c r="U7" s="157" t="n">
        <v>0</v>
      </c>
      <c r="V7" s="157" t="n">
        <v>175</v>
      </c>
      <c r="W7" s="157" t="n">
        <v>0</v>
      </c>
      <c r="X7" s="235" t="n">
        <v>819.88</v>
      </c>
      <c r="Y7" s="157" t="n">
        <v>17294.68</v>
      </c>
      <c r="Z7" s="157" t="n">
        <v>8500.75</v>
      </c>
      <c r="AA7" s="157" t="n">
        <v>3350</v>
      </c>
      <c r="AB7" s="157" t="n">
        <v>1050</v>
      </c>
      <c r="AC7" s="235" t="n">
        <v>12900.75</v>
      </c>
      <c r="AD7" s="157" t="n">
        <v>3438.85</v>
      </c>
      <c r="AE7" s="157" t="n">
        <v>712.77</v>
      </c>
      <c r="AF7" s="235" t="n">
        <v>4151.62</v>
      </c>
      <c r="AG7" s="157" t="n">
        <v>600.11</v>
      </c>
      <c r="AH7" s="236" t="n">
        <v>38151.7</v>
      </c>
      <c r="AI7" s="236" t="n">
        <v>69401.60000000001</v>
      </c>
      <c r="AJ7" s="237" t="n">
        <v>107553.3</v>
      </c>
      <c r="AK7" s="235" t="n">
        <v>121977.7</v>
      </c>
      <c r="AL7" s="157" t="n">
        <v>0</v>
      </c>
      <c r="AM7" s="154" t="n"/>
      <c r="AN7">
        <f>IF(AND($B7=Subj_OccCode,Subj_BldgSF&gt;0,ABS($J7-Subj_BldgSF)&lt;=Subj_BldgSF*Subj_SizeTol),ABS($J7-Subj_BldgSF),NA())</f>
        <v/>
      </c>
      <c r="AO7">
        <f>IF(ISNA(AN7),NA(),AN7+ROW()/10000000)</f>
        <v/>
      </c>
      <c r="AR7" s="233">
        <f>IF(B7="","",IFERROR(INDEX(OCC_TABLE_DESC,MATCH(B7,OCC_TABLE_CODE,0)),"Unrecognized code"))</f>
        <v/>
      </c>
    </row>
    <row r="8" ht="18" customHeight="1" s="518">
      <c r="A8" s="154" t="inlineStr">
        <is>
          <t>P002</t>
        </is>
      </c>
      <c r="B8" s="150" t="n">
        <v>344</v>
      </c>
      <c r="C8" s="155" t="inlineStr">
        <is>
          <t>Unknown</t>
        </is>
      </c>
      <c r="D8" s="149" t="inlineStr">
        <is>
          <t>13659 E. 104th Ave</t>
        </is>
      </c>
      <c r="E8" s="154" t="inlineStr">
        <is>
          <t>Adams County</t>
        </is>
      </c>
      <c r="F8" s="154" t="inlineStr">
        <is>
          <t>CO</t>
        </is>
      </c>
      <c r="G8" s="154" t="inlineStr">
        <is>
          <t>Office/Commercial</t>
        </is>
      </c>
      <c r="H8" s="149" t="inlineStr">
        <is>
          <t>Multi-tenant</t>
        </is>
      </c>
      <c r="I8" s="156" t="n"/>
      <c r="J8" s="156" t="n"/>
      <c r="K8" s="156" t="n">
        <v>2023</v>
      </c>
      <c r="L8" s="154" t="n"/>
      <c r="M8" s="154" t="n"/>
      <c r="N8" s="158" t="n">
        <v>258808</v>
      </c>
      <c r="O8" s="157" t="n">
        <v>3292</v>
      </c>
      <c r="P8" s="157" t="n">
        <v>18539</v>
      </c>
      <c r="Q8" s="154" t="n"/>
      <c r="R8" s="154" t="n"/>
      <c r="S8" s="154" t="n"/>
      <c r="T8" s="154" t="n"/>
      <c r="U8" s="154" t="n"/>
      <c r="V8" s="154" t="n"/>
      <c r="W8" s="154" t="n"/>
      <c r="X8" s="157" t="n">
        <v>24750</v>
      </c>
      <c r="Y8" s="235" t="n">
        <v>24750</v>
      </c>
      <c r="Z8" s="154" t="n"/>
      <c r="AA8" s="157" t="n">
        <v>13331</v>
      </c>
      <c r="AB8" s="154" t="n"/>
      <c r="AC8" s="235" t="n">
        <v>13331</v>
      </c>
      <c r="AD8" s="154" t="n"/>
      <c r="AE8" s="154" t="n"/>
      <c r="AF8" s="235" t="n">
        <v>3990</v>
      </c>
      <c r="AG8" s="157" t="n">
        <v>11264</v>
      </c>
      <c r="AH8" s="236" t="n">
        <v>75327</v>
      </c>
      <c r="AI8" s="236" t="n">
        <v>51707</v>
      </c>
      <c r="AJ8" s="236" t="n">
        <v>127034</v>
      </c>
      <c r="AK8" s="236" t="n">
        <v>131774</v>
      </c>
      <c r="AL8" s="154" t="n"/>
      <c r="AM8" s="149" t="inlineStr">
        <is>
          <t>Insurance: $3,292; Mgmt fee $13,242 + asset mgmt $5,297; Professional svcs $11,264; actuals from BAA operating statement</t>
        </is>
      </c>
      <c r="AN8">
        <f>IF(AND($B8=Subj_OccCode,Subj_BldgSF&gt;0,ABS($J8-Subj_BldgSF)&lt;=Subj_BldgSF*Subj_SizeTol),ABS($J8-Subj_BldgSF),NA())</f>
        <v/>
      </c>
      <c r="AO8">
        <f>IF(ISNA(AN8),NA(),AN8+ROW()/10000000)</f>
        <v/>
      </c>
      <c r="AR8" s="233">
        <f>IF(B8="","",IFERROR(INDEX(OCC_TABLE_DESC,MATCH(B8,OCC_TABLE_CODE,0)),"Unrecognized code"))</f>
        <v/>
      </c>
    </row>
    <row r="9" ht="18" customHeight="1" s="518">
      <c r="A9" s="154" t="inlineStr">
        <is>
          <t>P002</t>
        </is>
      </c>
      <c r="B9" s="150" t="n">
        <v>344</v>
      </c>
      <c r="C9" s="155" t="inlineStr">
        <is>
          <t>Unknown</t>
        </is>
      </c>
      <c r="D9" s="149" t="inlineStr">
        <is>
          <t>13659 E. 104th Ave</t>
        </is>
      </c>
      <c r="E9" s="154" t="inlineStr">
        <is>
          <t>Adams County</t>
        </is>
      </c>
      <c r="F9" s="154" t="inlineStr">
        <is>
          <t>CO</t>
        </is>
      </c>
      <c r="G9" s="154" t="inlineStr">
        <is>
          <t>Office/Commercial</t>
        </is>
      </c>
      <c r="H9" s="149" t="inlineStr">
        <is>
          <t>Multi-tenant</t>
        </is>
      </c>
      <c r="I9" s="156" t="n"/>
      <c r="J9" s="156" t="n"/>
      <c r="K9" s="156" t="n">
        <v>2024</v>
      </c>
      <c r="L9" s="154" t="n"/>
      <c r="M9" s="154" t="n"/>
      <c r="N9" s="158" t="n">
        <v>264959</v>
      </c>
      <c r="O9" s="157" t="n">
        <v>7442</v>
      </c>
      <c r="P9" s="157" t="n">
        <v>18228</v>
      </c>
      <c r="Q9" s="154" t="n"/>
      <c r="R9" s="154" t="n"/>
      <c r="S9" s="154" t="n"/>
      <c r="T9" s="154" t="n"/>
      <c r="U9" s="154" t="n"/>
      <c r="V9" s="154" t="n"/>
      <c r="W9" s="154" t="n"/>
      <c r="X9" s="157" t="n">
        <v>37394</v>
      </c>
      <c r="Y9" s="235" t="n">
        <v>37394</v>
      </c>
      <c r="Z9" s="154" t="n"/>
      <c r="AA9" s="157" t="n">
        <v>11888</v>
      </c>
      <c r="AB9" s="154" t="n"/>
      <c r="AC9" s="235" t="n">
        <v>11888</v>
      </c>
      <c r="AD9" s="154" t="n"/>
      <c r="AE9" s="154" t="n"/>
      <c r="AF9" s="235" t="n">
        <v>5290</v>
      </c>
      <c r="AG9" s="157" t="n">
        <v>13341</v>
      </c>
      <c r="AH9" s="236" t="n">
        <v>93583</v>
      </c>
      <c r="AI9" s="236" t="n">
        <v>44649</v>
      </c>
      <c r="AJ9" s="236" t="n">
        <v>138232</v>
      </c>
      <c r="AK9" s="236" t="n">
        <v>126727</v>
      </c>
      <c r="AL9" s="154" t="n"/>
      <c r="AM9" s="149" t="inlineStr">
        <is>
          <t>Insurance $7,442; Mgmt fee $13,020 + asset mgmt $5,208; Prof svcs $13,341; Utilities: gas/elec $1,091 + water/sewer $4,199</t>
        </is>
      </c>
      <c r="AN9">
        <f>IF(AND($B9=Subj_OccCode,Subj_BldgSF&gt;0,ABS($J9-Subj_BldgSF)&lt;=Subj_BldgSF*Subj_SizeTol),ABS($J9-Subj_BldgSF),NA())</f>
        <v/>
      </c>
      <c r="AO9">
        <f>IF(ISNA(AN9),NA(),AN9+ROW()/10000000)</f>
        <v/>
      </c>
      <c r="AR9" s="233">
        <f>IF(B9="","",IFERROR(INDEX(OCC_TABLE_DESC,MATCH(B9,OCC_TABLE_CODE,0)),"Unrecognized code"))</f>
        <v/>
      </c>
    </row>
    <row r="10" ht="18" customHeight="1" s="518">
      <c r="A10" s="154" t="inlineStr">
        <is>
          <t>P003</t>
        </is>
      </c>
      <c r="B10" s="150" t="n">
        <v>344</v>
      </c>
      <c r="C10" s="155" t="inlineStr">
        <is>
          <t>R0024063</t>
        </is>
      </c>
      <c r="D10" s="149" t="inlineStr">
        <is>
          <t>Park Centre - Wells Fargo Bldg</t>
        </is>
      </c>
      <c r="E10" s="154" t="inlineStr">
        <is>
          <t>Westminster</t>
        </is>
      </c>
      <c r="F10" s="154" t="inlineStr">
        <is>
          <t>CO</t>
        </is>
      </c>
      <c r="G10" s="154" t="inlineStr">
        <is>
          <t>Office</t>
        </is>
      </c>
      <c r="H10" s="149" t="inlineStr">
        <is>
          <t>Class B Multi-tenant</t>
        </is>
      </c>
      <c r="I10" s="156" t="n"/>
      <c r="J10" s="156" t="n">
        <v>49479</v>
      </c>
      <c r="K10" s="156" t="n">
        <v>2023</v>
      </c>
      <c r="L10" s="157" t="n">
        <v>1017928</v>
      </c>
      <c r="M10" s="157" t="n">
        <v>93575</v>
      </c>
      <c r="N10" s="158" t="n">
        <v>1111503</v>
      </c>
      <c r="O10" s="154" t="n"/>
      <c r="P10" s="154" t="n"/>
      <c r="Q10" s="154" t="n"/>
      <c r="R10" s="154" t="n"/>
      <c r="S10" s="154" t="n"/>
      <c r="T10" s="154" t="n"/>
      <c r="U10" s="154" t="n"/>
      <c r="V10" s="154" t="n"/>
      <c r="W10" s="154" t="n"/>
      <c r="X10" s="154" t="n"/>
      <c r="Y10" s="238" t="n"/>
      <c r="Z10" s="154" t="n"/>
      <c r="AA10" s="154" t="n"/>
      <c r="AB10" s="154" t="n"/>
      <c r="AC10" s="238" t="n"/>
      <c r="AD10" s="154" t="n"/>
      <c r="AE10" s="154" t="n"/>
      <c r="AF10" s="238" t="n"/>
      <c r="AG10" s="154" t="n"/>
      <c r="AH10" s="236" t="n">
        <v>453480</v>
      </c>
      <c r="AI10" s="236" t="n">
        <v>184874</v>
      </c>
      <c r="AJ10" s="236" t="n">
        <v>638354</v>
      </c>
      <c r="AK10" s="236" t="n">
        <v>473149</v>
      </c>
      <c r="AL10" s="154" t="n"/>
      <c r="AM10" s="149" t="inlineStr">
        <is>
          <t>Westfield managed; recoveries $49,658 + other $43,917 = $93,575; OpEx BT per PROFORMA REVISED.xlsx</t>
        </is>
      </c>
      <c r="AN10">
        <f>IF(AND($B10=Subj_OccCode,Subj_BldgSF&gt;0,ABS($J10-Subj_BldgSF)&lt;=Subj_BldgSF*Subj_SizeTol),ABS($J10-Subj_BldgSF),NA())</f>
        <v/>
      </c>
      <c r="AO10">
        <f>IF(ISNA(AN10),NA(),AN10+ROW()/10000000)</f>
        <v/>
      </c>
      <c r="AR10" s="233">
        <f>IF(B10="","",IFERROR(INDEX(OCC_TABLE_DESC,MATCH(B10,OCC_TABLE_CODE,0)),"Unrecognized code"))</f>
        <v/>
      </c>
    </row>
    <row r="11" ht="18" customHeight="1" s="518">
      <c r="A11" s="154" t="inlineStr">
        <is>
          <t>P003</t>
        </is>
      </c>
      <c r="B11" s="150" t="n">
        <v>344</v>
      </c>
      <c r="C11" s="155" t="inlineStr">
        <is>
          <t>R0024063</t>
        </is>
      </c>
      <c r="D11" s="149" t="inlineStr">
        <is>
          <t>Park Centre - Wells Fargo Bldg</t>
        </is>
      </c>
      <c r="E11" s="154" t="inlineStr">
        <is>
          <t>Westminster</t>
        </is>
      </c>
      <c r="F11" s="154" t="inlineStr">
        <is>
          <t>CO</t>
        </is>
      </c>
      <c r="G11" s="154" t="inlineStr">
        <is>
          <t>Office</t>
        </is>
      </c>
      <c r="H11" s="149" t="inlineStr">
        <is>
          <t>Class B Multi-tenant</t>
        </is>
      </c>
      <c r="I11" s="156" t="n"/>
      <c r="J11" s="156" t="n">
        <v>49479</v>
      </c>
      <c r="K11" s="156" t="n">
        <v>2024</v>
      </c>
      <c r="L11" s="157" t="n">
        <v>944040</v>
      </c>
      <c r="M11" s="157" t="n">
        <v>77962</v>
      </c>
      <c r="N11" s="158" t="n">
        <v>1022002</v>
      </c>
      <c r="O11" s="154" t="n"/>
      <c r="P11" s="154" t="n"/>
      <c r="Q11" s="154" t="n"/>
      <c r="R11" s="154" t="n"/>
      <c r="S11" s="154" t="n"/>
      <c r="T11" s="154" t="n"/>
      <c r="U11" s="154" t="n"/>
      <c r="V11" s="154" t="n"/>
      <c r="W11" s="154" t="n"/>
      <c r="X11" s="154" t="n"/>
      <c r="Y11" s="238" t="n"/>
      <c r="Z11" s="154" t="n"/>
      <c r="AA11" s="154" t="n"/>
      <c r="AB11" s="154" t="n"/>
      <c r="AC11" s="238" t="n"/>
      <c r="AD11" s="154" t="n"/>
      <c r="AE11" s="154" t="n"/>
      <c r="AF11" s="238" t="n"/>
      <c r="AG11" s="154" t="n"/>
      <c r="AH11" s="236" t="n">
        <v>488239</v>
      </c>
      <c r="AI11" s="236" t="n">
        <v>179568</v>
      </c>
      <c r="AJ11" s="236" t="n">
        <v>667807</v>
      </c>
      <c r="AK11" s="236" t="n">
        <v>354195</v>
      </c>
      <c r="AL11" s="154" t="n"/>
      <c r="AM11" s="149" t="inlineStr">
        <is>
          <t>Recoveries $21,696 + other $56,266; OpEx BT per PROFORMA REVISED.xlsx; NOI decline reflects higher vacancy</t>
        </is>
      </c>
      <c r="AN11">
        <f>IF(AND($B11=Subj_OccCode,Subj_BldgSF&gt;0,ABS($J11-Subj_BldgSF)&lt;=Subj_BldgSF*Subj_SizeTol),ABS($J11-Subj_BldgSF),NA())</f>
        <v/>
      </c>
      <c r="AO11">
        <f>IF(ISNA(AN11),NA(),AN11+ROW()/10000000)</f>
        <v/>
      </c>
      <c r="AR11" s="233">
        <f>IF(B11="","",IFERROR(INDEX(OCC_TABLE_DESC,MATCH(B11,OCC_TABLE_CODE,0)),"Unrecognized code"))</f>
        <v/>
      </c>
    </row>
    <row r="12" ht="18" customHeight="1" s="518">
      <c r="A12" s="154" t="inlineStr">
        <is>
          <t>P004</t>
        </is>
      </c>
      <c r="B12" s="150" t="n">
        <v>412</v>
      </c>
      <c r="C12" s="155" t="inlineStr">
        <is>
          <t>R0050221</t>
        </is>
      </c>
      <c r="D12" s="149" t="inlineStr">
        <is>
          <t>8860 Federal Blvd</t>
        </is>
      </c>
      <c r="E12" s="154" t="inlineStr">
        <is>
          <t>Adams County</t>
        </is>
      </c>
      <c r="F12" s="154" t="inlineStr">
        <is>
          <t>CO</t>
        </is>
      </c>
      <c r="G12" s="154" t="inlineStr">
        <is>
          <t>Retail</t>
        </is>
      </c>
      <c r="H12" s="149" t="inlineStr">
        <is>
          <t>Strip/Multi-tenant</t>
        </is>
      </c>
      <c r="I12" s="156" t="n"/>
      <c r="J12" s="156" t="n">
        <v>65850</v>
      </c>
      <c r="K12" s="156" t="n">
        <v>2023</v>
      </c>
      <c r="L12" s="154" t="n"/>
      <c r="M12" s="154" t="n"/>
      <c r="N12" s="158" t="n">
        <v>570777</v>
      </c>
      <c r="O12" s="154" t="n"/>
      <c r="P12" s="154" t="n"/>
      <c r="Q12" s="154" t="n"/>
      <c r="R12" s="154" t="n"/>
      <c r="S12" s="154" t="n"/>
      <c r="T12" s="154" t="n"/>
      <c r="U12" s="154" t="n"/>
      <c r="V12" s="154" t="n"/>
      <c r="W12" s="154" t="n"/>
      <c r="X12" s="154" t="n"/>
      <c r="Y12" s="238" t="n"/>
      <c r="Z12" s="154" t="n"/>
      <c r="AA12" s="154" t="n"/>
      <c r="AB12" s="154" t="n"/>
      <c r="AC12" s="238" t="n"/>
      <c r="AD12" s="154" t="n"/>
      <c r="AE12" s="154" t="n"/>
      <c r="AF12" s="238" t="n"/>
      <c r="AG12" s="154" t="n"/>
      <c r="AH12" s="239" t="n"/>
      <c r="AI12" s="236" t="n">
        <v>74000</v>
      </c>
      <c r="AJ12" s="236" t="n">
        <v>269935</v>
      </c>
      <c r="AK12" s="236" t="n">
        <v>300842</v>
      </c>
      <c r="AL12" s="154" t="n"/>
      <c r="AM12" s="149" t="inlineStr">
        <is>
          <t>RE Tax estimated ~$74k (2023 not detailed); Total OpEx per actuals submission; NOI confirmed</t>
        </is>
      </c>
      <c r="AN12">
        <f>IF(AND($B12=Subj_OccCode,Subj_BldgSF&gt;0,ABS($J12-Subj_BldgSF)&lt;=Subj_BldgSF*Subj_SizeTol),ABS($J12-Subj_BldgSF),NA())</f>
        <v/>
      </c>
      <c r="AO12">
        <f>IF(ISNA(AN12),NA(),AN12+ROW()/10000000)</f>
        <v/>
      </c>
      <c r="AR12" s="233">
        <f>IF(B12="","",IFERROR(INDEX(OCC_TABLE_DESC,MATCH(B12,OCC_TABLE_CODE,0)),"Unrecognized code"))</f>
        <v/>
      </c>
    </row>
    <row r="13" ht="18" customHeight="1" s="518">
      <c r="A13" s="154" t="inlineStr">
        <is>
          <t>P004</t>
        </is>
      </c>
      <c r="B13" s="150" t="n">
        <v>412</v>
      </c>
      <c r="C13" s="155" t="inlineStr">
        <is>
          <t>R0050221</t>
        </is>
      </c>
      <c r="D13" s="149" t="inlineStr">
        <is>
          <t>8860 Federal Blvd</t>
        </is>
      </c>
      <c r="E13" s="154" t="inlineStr">
        <is>
          <t>Adams County</t>
        </is>
      </c>
      <c r="F13" s="154" t="inlineStr">
        <is>
          <t>CO</t>
        </is>
      </c>
      <c r="G13" s="154" t="inlineStr">
        <is>
          <t>Retail</t>
        </is>
      </c>
      <c r="H13" s="149" t="inlineStr">
        <is>
          <t>Strip/Multi-tenant</t>
        </is>
      </c>
      <c r="I13" s="156" t="n"/>
      <c r="J13" s="156" t="n">
        <v>65850</v>
      </c>
      <c r="K13" s="156" t="n">
        <v>2024</v>
      </c>
      <c r="L13" s="154" t="n"/>
      <c r="M13" s="154" t="n"/>
      <c r="N13" s="158" t="n">
        <v>587819</v>
      </c>
      <c r="O13" s="157" t="n">
        <v>51223</v>
      </c>
      <c r="P13" s="154" t="n"/>
      <c r="Q13" s="154" t="n"/>
      <c r="R13" s="154" t="n"/>
      <c r="S13" s="154" t="n"/>
      <c r="T13" s="154" t="n"/>
      <c r="U13" s="154" t="n"/>
      <c r="V13" s="154" t="n"/>
      <c r="W13" s="154" t="n"/>
      <c r="X13" s="157" t="n">
        <v>28919</v>
      </c>
      <c r="Y13" s="235" t="n">
        <v>28919</v>
      </c>
      <c r="Z13" s="157" t="n">
        <v>17561</v>
      </c>
      <c r="AA13" s="157" t="n">
        <v>2002</v>
      </c>
      <c r="AB13" s="157" t="n">
        <v>3485</v>
      </c>
      <c r="AC13" s="235" t="n">
        <v>23048</v>
      </c>
      <c r="AD13" s="157" t="n">
        <v>12892</v>
      </c>
      <c r="AE13" s="157" t="n">
        <v>7120</v>
      </c>
      <c r="AF13" s="235" t="n">
        <v>20012</v>
      </c>
      <c r="AG13" s="157" t="n">
        <v>10978</v>
      </c>
      <c r="AH13" s="236" t="n">
        <v>159331</v>
      </c>
      <c r="AI13" s="236" t="n">
        <v>105466</v>
      </c>
      <c r="AJ13" s="236" t="n">
        <v>264797</v>
      </c>
      <c r="AK13" s="236" t="n">
        <v>323022</v>
      </c>
      <c r="AL13" s="154" t="n"/>
      <c r="AM13" s="149" t="inlineStr">
        <is>
          <t>Detailed 2024 actuals; R&amp;M includes CAM component $261; insurance unusually high at $51,223; drainage/lighting included in Other</t>
        </is>
      </c>
      <c r="AN13">
        <f>IF(AND($B13=Subj_OccCode,Subj_BldgSF&gt;0,ABS($J13-Subj_BldgSF)&lt;=Subj_BldgSF*Subj_SizeTol),ABS($J13-Subj_BldgSF),NA())</f>
        <v/>
      </c>
      <c r="AO13">
        <f>IF(ISNA(AN13),NA(),AN13+ROW()/10000000)</f>
        <v/>
      </c>
      <c r="AR13" s="233">
        <f>IF(B13="","",IFERROR(INDEX(OCC_TABLE_DESC,MATCH(B13,OCC_TABLE_CODE,0)),"Unrecognized code"))</f>
        <v/>
      </c>
    </row>
    <row r="14" ht="18" customHeight="1" s="518">
      <c r="A14" s="154" t="inlineStr">
        <is>
          <t>P005</t>
        </is>
      </c>
      <c r="B14" s="150" t="n">
        <v>344</v>
      </c>
      <c r="C14" s="155" t="inlineStr">
        <is>
          <t>R0050977</t>
        </is>
      </c>
      <c r="D14" s="149" t="inlineStr">
        <is>
          <t>9351 Grant St (Horizon Terrace)</t>
        </is>
      </c>
      <c r="E14" s="154" t="inlineStr">
        <is>
          <t>Thornton</t>
        </is>
      </c>
      <c r="F14" s="154" t="inlineStr">
        <is>
          <t>CO</t>
        </is>
      </c>
      <c r="G14" s="154" t="inlineStr">
        <is>
          <t>Office</t>
        </is>
      </c>
      <c r="H14" s="149" t="inlineStr">
        <is>
          <t>Class B Multi-story</t>
        </is>
      </c>
      <c r="I14" s="156" t="n"/>
      <c r="J14" s="156" t="n">
        <v>91646</v>
      </c>
      <c r="K14" s="156" t="n">
        <v>2023</v>
      </c>
      <c r="L14" s="157" t="n">
        <v>2011958</v>
      </c>
      <c r="M14" s="157" t="n">
        <v>227276</v>
      </c>
      <c r="N14" s="158" t="n">
        <v>2239234</v>
      </c>
      <c r="O14" s="157" t="n">
        <v>24425</v>
      </c>
      <c r="P14" s="157" t="n">
        <v>132014</v>
      </c>
      <c r="Q14" s="154" t="n"/>
      <c r="R14" s="154" t="n"/>
      <c r="S14" s="154" t="n"/>
      <c r="T14" s="154" t="n"/>
      <c r="U14" s="154" t="n"/>
      <c r="V14" s="154" t="n"/>
      <c r="W14" s="154" t="n"/>
      <c r="X14" s="157" t="n">
        <v>144543</v>
      </c>
      <c r="Y14" s="235" t="n">
        <v>144543</v>
      </c>
      <c r="Z14" s="154" t="n"/>
      <c r="AA14" s="157" t="n">
        <v>108773</v>
      </c>
      <c r="AB14" s="157" t="n">
        <v>65183</v>
      </c>
      <c r="AC14" s="235" t="n">
        <v>273332</v>
      </c>
      <c r="AD14" s="157" t="n">
        <v>14762</v>
      </c>
      <c r="AE14" s="157" t="n">
        <v>225588</v>
      </c>
      <c r="AF14" s="235" t="n">
        <v>240350</v>
      </c>
      <c r="AG14" s="157" t="n">
        <v>32925</v>
      </c>
      <c r="AH14" s="236" t="n">
        <v>845814</v>
      </c>
      <c r="AI14" s="236" t="n">
        <v>372013</v>
      </c>
      <c r="AJ14" s="236" t="n">
        <v>1217827</v>
      </c>
      <c r="AK14" s="236" t="n">
        <v>1021407</v>
      </c>
      <c r="AL14" s="154" t="n"/>
      <c r="AM14" s="149" t="inlineStr">
        <is>
          <t>Full-service office: janitorial $164,559 in contract total; security/life safety $29,726 in Other; landscape incl snow $65,183; 2023 actuals confirmed</t>
        </is>
      </c>
      <c r="AN14">
        <f>IF(AND($B14=Subj_OccCode,Subj_BldgSF&gt;0,ABS($J14-Subj_BldgSF)&lt;=Subj_BldgSF*Subj_SizeTol),ABS($J14-Subj_BldgSF),NA())</f>
        <v/>
      </c>
      <c r="AO14">
        <f>IF(ISNA(AN14),NA(),AN14+ROW()/10000000)</f>
        <v/>
      </c>
      <c r="AR14" s="233">
        <f>IF(B14="","",IFERROR(INDEX(OCC_TABLE_DESC,MATCH(B14,OCC_TABLE_CODE,0)),"Unrecognized code"))</f>
        <v/>
      </c>
    </row>
    <row r="15" ht="18" customHeight="1" s="518">
      <c r="A15" s="154" t="inlineStr">
        <is>
          <t>P005</t>
        </is>
      </c>
      <c r="B15" s="150" t="n">
        <v>344</v>
      </c>
      <c r="C15" s="155" t="inlineStr">
        <is>
          <t>R0050977</t>
        </is>
      </c>
      <c r="D15" s="149" t="inlineStr">
        <is>
          <t>9351 Grant St (Horizon Terrace)</t>
        </is>
      </c>
      <c r="E15" s="154" t="inlineStr">
        <is>
          <t>Thornton</t>
        </is>
      </c>
      <c r="F15" s="154" t="inlineStr">
        <is>
          <t>CO</t>
        </is>
      </c>
      <c r="G15" s="154" t="inlineStr">
        <is>
          <t>Office</t>
        </is>
      </c>
      <c r="H15" s="149" t="inlineStr">
        <is>
          <t>Class B Multi-story</t>
        </is>
      </c>
      <c r="I15" s="156" t="n"/>
      <c r="J15" s="156" t="n">
        <v>91646</v>
      </c>
      <c r="K15" s="156" t="n">
        <v>2024</v>
      </c>
      <c r="L15" s="157" t="n">
        <v>2052556</v>
      </c>
      <c r="M15" s="157" t="n">
        <v>269597</v>
      </c>
      <c r="N15" s="158" t="n">
        <v>2322153</v>
      </c>
      <c r="O15" s="157" t="n">
        <v>24269</v>
      </c>
      <c r="P15" s="157" t="n">
        <v>149428</v>
      </c>
      <c r="Q15" s="154" t="n"/>
      <c r="R15" s="154" t="n"/>
      <c r="S15" s="154" t="n"/>
      <c r="T15" s="154" t="n"/>
      <c r="U15" s="154" t="n"/>
      <c r="V15" s="154" t="n"/>
      <c r="W15" s="154" t="n"/>
      <c r="X15" s="157" t="n">
        <v>150462</v>
      </c>
      <c r="Y15" s="235" t="n">
        <v>150462</v>
      </c>
      <c r="Z15" s="154" t="n"/>
      <c r="AA15" s="157" t="n">
        <v>109178</v>
      </c>
      <c r="AB15" s="154" t="n"/>
      <c r="AC15" s="235" t="n">
        <v>262640</v>
      </c>
      <c r="AD15" s="154" t="n"/>
      <c r="AE15" s="154" t="n"/>
      <c r="AF15" s="235" t="n">
        <v>232174</v>
      </c>
      <c r="AG15" s="157" t="n">
        <v>37416</v>
      </c>
      <c r="AH15" s="236" t="n">
        <v>856390</v>
      </c>
      <c r="AI15" s="236" t="n">
        <v>413583</v>
      </c>
      <c r="AJ15" s="236" t="n">
        <v>1269973</v>
      </c>
      <c r="AK15" s="236" t="n">
        <v>1052180</v>
      </c>
      <c r="AL15" s="154" t="n"/>
      <c r="AM15" s="149" t="inlineStr">
        <is>
          <t>2024 actuals; janitorial $153,462 in contract total; security $32,603 in Other; sales/use tax $4,813 in Other</t>
        </is>
      </c>
      <c r="AN15">
        <f>IF(AND($B15=Subj_OccCode,Subj_BldgSF&gt;0,ABS($J15-Subj_BldgSF)&lt;=Subj_BldgSF*Subj_SizeTol),ABS($J15-Subj_BldgSF),NA())</f>
        <v/>
      </c>
      <c r="AO15">
        <f>IF(ISNA(AN15),NA(),AN15+ROW()/10000000)</f>
        <v/>
      </c>
      <c r="AR15" s="233">
        <f>IF(B15="","",IFERROR(INDEX(OCC_TABLE_DESC,MATCH(B15,OCC_TABLE_CODE,0)),"Unrecognized code"))</f>
        <v/>
      </c>
    </row>
    <row r="16" ht="18" customHeight="1" s="518">
      <c r="A16" s="154" t="inlineStr">
        <is>
          <t>P006</t>
        </is>
      </c>
      <c r="B16" s="150" t="n">
        <v>210</v>
      </c>
      <c r="C16" s="155" t="inlineStr">
        <is>
          <t>R0062937</t>
        </is>
      </c>
      <c r="D16" s="149" t="inlineStr">
        <is>
          <t>8670 Wolff Ct (Sheridan Park 8)</t>
        </is>
      </c>
      <c r="E16" s="154" t="inlineStr">
        <is>
          <t>Westminster</t>
        </is>
      </c>
      <c r="F16" s="154" t="inlineStr">
        <is>
          <t>CO</t>
        </is>
      </c>
      <c r="G16" s="154" t="inlineStr">
        <is>
          <t>Office/Flex</t>
        </is>
      </c>
      <c r="H16" s="149" t="inlineStr">
        <is>
          <t>Multi-tenant</t>
        </is>
      </c>
      <c r="I16" s="156" t="n"/>
      <c r="J16" s="156" t="n">
        <v>37078</v>
      </c>
      <c r="K16" s="156" t="n">
        <v>2020</v>
      </c>
      <c r="L16" s="154" t="n"/>
      <c r="M16" s="154" t="n"/>
      <c r="N16" s="159" t="n"/>
      <c r="O16" s="157" t="n">
        <v>5777</v>
      </c>
      <c r="P16" s="157" t="n">
        <v>19499</v>
      </c>
      <c r="Q16" s="154" t="n"/>
      <c r="R16" s="154" t="n"/>
      <c r="S16" s="154" t="n"/>
      <c r="T16" s="154" t="n"/>
      <c r="U16" s="154" t="n"/>
      <c r="V16" s="154" t="n"/>
      <c r="W16" s="154" t="n"/>
      <c r="X16" s="154" t="n"/>
      <c r="Y16" s="238" t="n"/>
      <c r="Z16" s="154" t="n"/>
      <c r="AA16" s="154" t="n"/>
      <c r="AB16" s="154" t="n"/>
      <c r="AC16" s="235" t="n">
        <v>133689</v>
      </c>
      <c r="AD16" s="154" t="n"/>
      <c r="AE16" s="154" t="n"/>
      <c r="AF16" s="235" t="n">
        <v>116321</v>
      </c>
      <c r="AG16" s="154" t="n"/>
      <c r="AH16" s="236" t="n">
        <v>275286</v>
      </c>
      <c r="AI16" s="236" t="n">
        <v>88705</v>
      </c>
      <c r="AJ16" s="236" t="n">
        <v>363991</v>
      </c>
      <c r="AK16" s="239" t="n"/>
      <c r="AL16" s="154" t="n"/>
      <c r="AM16" s="149" t="inlineStr">
        <is>
          <t>Income not available; expense-only from DYCO CAM history; CAM in contract total</t>
        </is>
      </c>
      <c r="AN16">
        <f>IF(AND($B16=Subj_OccCode,Subj_BldgSF&gt;0,ABS($J16-Subj_BldgSF)&lt;=Subj_BldgSF*Subj_SizeTol),ABS($J16-Subj_BldgSF),NA())</f>
        <v/>
      </c>
      <c r="AO16">
        <f>IF(ISNA(AN16),NA(),AN16+ROW()/10000000)</f>
        <v/>
      </c>
      <c r="AR16" s="233">
        <f>IF(B16="","",IFERROR(INDEX(OCC_TABLE_DESC,MATCH(B16,OCC_TABLE_CODE,0)),"Unrecognized code"))</f>
        <v/>
      </c>
    </row>
    <row r="17" ht="18" customHeight="1" s="518">
      <c r="A17" s="154" t="inlineStr">
        <is>
          <t>P006</t>
        </is>
      </c>
      <c r="B17" s="150" t="n">
        <v>210</v>
      </c>
      <c r="C17" s="155" t="inlineStr">
        <is>
          <t>R0062937</t>
        </is>
      </c>
      <c r="D17" s="149" t="inlineStr">
        <is>
          <t>8670 Wolff Ct (Sheridan Park 8)</t>
        </is>
      </c>
      <c r="E17" s="154" t="inlineStr">
        <is>
          <t>Westminster</t>
        </is>
      </c>
      <c r="F17" s="154" t="inlineStr">
        <is>
          <t>CO</t>
        </is>
      </c>
      <c r="G17" s="154" t="inlineStr">
        <is>
          <t>Office/Flex</t>
        </is>
      </c>
      <c r="H17" s="149" t="inlineStr">
        <is>
          <t>Multi-tenant</t>
        </is>
      </c>
      <c r="I17" s="156" t="n"/>
      <c r="J17" s="156" t="n">
        <v>37078</v>
      </c>
      <c r="K17" s="156" t="n">
        <v>2021</v>
      </c>
      <c r="L17" s="154" t="n"/>
      <c r="M17" s="154" t="n"/>
      <c r="N17" s="159" t="n"/>
      <c r="O17" s="157" t="n">
        <v>6826</v>
      </c>
      <c r="P17" s="157" t="n">
        <v>18000</v>
      </c>
      <c r="Q17" s="154" t="n"/>
      <c r="R17" s="154" t="n"/>
      <c r="S17" s="154" t="n"/>
      <c r="T17" s="154" t="n"/>
      <c r="U17" s="154" t="n"/>
      <c r="V17" s="154" t="n"/>
      <c r="W17" s="154" t="n"/>
      <c r="X17" s="154" t="n"/>
      <c r="Y17" s="238" t="n"/>
      <c r="Z17" s="154" t="n"/>
      <c r="AA17" s="154" t="n"/>
      <c r="AB17" s="154" t="n"/>
      <c r="AC17" s="235" t="n">
        <v>104519</v>
      </c>
      <c r="AD17" s="154" t="n"/>
      <c r="AE17" s="154" t="n"/>
      <c r="AF17" s="235" t="n">
        <v>108857</v>
      </c>
      <c r="AG17" s="154" t="n"/>
      <c r="AH17" s="236" t="n">
        <v>238202</v>
      </c>
      <c r="AI17" s="236" t="n">
        <v>84200</v>
      </c>
      <c r="AJ17" s="236" t="n">
        <v>322402</v>
      </c>
      <c r="AK17" s="239" t="n"/>
      <c r="AL17" s="154" t="n"/>
      <c r="AM17" s="149" t="inlineStr">
        <is>
          <t>Income not available; expense-only from DYCO CAM history</t>
        </is>
      </c>
      <c r="AN17">
        <f>IF(AND($B17=Subj_OccCode,Subj_BldgSF&gt;0,ABS($J17-Subj_BldgSF)&lt;=Subj_BldgSF*Subj_SizeTol),ABS($J17-Subj_BldgSF),NA())</f>
        <v/>
      </c>
      <c r="AO17">
        <f>IF(ISNA(AN17),NA(),AN17+ROW()/10000000)</f>
        <v/>
      </c>
      <c r="AR17" s="233">
        <f>IF(B17="","",IFERROR(INDEX(OCC_TABLE_DESC,MATCH(B17,OCC_TABLE_CODE,0)),"Unrecognized code"))</f>
        <v/>
      </c>
    </row>
    <row r="18" ht="18" customHeight="1" s="518">
      <c r="A18" s="154" t="inlineStr">
        <is>
          <t>P006</t>
        </is>
      </c>
      <c r="B18" s="150" t="n">
        <v>210</v>
      </c>
      <c r="C18" s="155" t="inlineStr">
        <is>
          <t>R0062937</t>
        </is>
      </c>
      <c r="D18" s="149" t="inlineStr">
        <is>
          <t>8670 Wolff Ct (Sheridan Park 8)</t>
        </is>
      </c>
      <c r="E18" s="154" t="inlineStr">
        <is>
          <t>Westminster</t>
        </is>
      </c>
      <c r="F18" s="154" t="inlineStr">
        <is>
          <t>CO</t>
        </is>
      </c>
      <c r="G18" s="154" t="inlineStr">
        <is>
          <t>Office/Flex</t>
        </is>
      </c>
      <c r="H18" s="149" t="inlineStr">
        <is>
          <t>Multi-tenant</t>
        </is>
      </c>
      <c r="I18" s="156" t="n"/>
      <c r="J18" s="156" t="n">
        <v>37078</v>
      </c>
      <c r="K18" s="156" t="n">
        <v>2022</v>
      </c>
      <c r="L18" s="154" t="n"/>
      <c r="M18" s="154" t="n"/>
      <c r="N18" s="159" t="n"/>
      <c r="O18" s="157" t="n">
        <v>7867</v>
      </c>
      <c r="P18" s="157" t="n">
        <v>20952</v>
      </c>
      <c r="Q18" s="154" t="n"/>
      <c r="R18" s="154" t="n"/>
      <c r="S18" s="154" t="n"/>
      <c r="T18" s="154" t="n"/>
      <c r="U18" s="154" t="n"/>
      <c r="V18" s="154" t="n"/>
      <c r="W18" s="154" t="n"/>
      <c r="X18" s="154" t="n"/>
      <c r="Y18" s="238" t="n"/>
      <c r="Z18" s="154" t="n"/>
      <c r="AA18" s="154" t="n"/>
      <c r="AB18" s="154" t="n"/>
      <c r="AC18" s="235" t="n">
        <v>112201</v>
      </c>
      <c r="AD18" s="154" t="n"/>
      <c r="AE18" s="154" t="n"/>
      <c r="AF18" s="235" t="n">
        <v>111968</v>
      </c>
      <c r="AG18" s="154" t="n"/>
      <c r="AH18" s="236" t="n">
        <v>252988</v>
      </c>
      <c r="AI18" s="236" t="n">
        <v>137142</v>
      </c>
      <c r="AJ18" s="236" t="n">
        <v>390130</v>
      </c>
      <c r="AK18" s="239" t="n"/>
      <c r="AL18" s="154" t="n"/>
      <c r="AM18" s="149" t="inlineStr">
        <is>
          <t>Income not available; expense-only from DYCO CAM history; RE Tax jumped from $84k to $137k (reval year)</t>
        </is>
      </c>
      <c r="AN18">
        <f>IF(AND($B18=Subj_OccCode,Subj_BldgSF&gt;0,ABS($J18-Subj_BldgSF)&lt;=Subj_BldgSF*Subj_SizeTol),ABS($J18-Subj_BldgSF),NA())</f>
        <v/>
      </c>
      <c r="AO18">
        <f>IF(ISNA(AN18),NA(),AN18+ROW()/10000000)</f>
        <v/>
      </c>
      <c r="AR18" s="233">
        <f>IF(B18="","",IFERROR(INDEX(OCC_TABLE_DESC,MATCH(B18,OCC_TABLE_CODE,0)),"Unrecognized code"))</f>
        <v/>
      </c>
    </row>
    <row r="19" ht="18" customHeight="1" s="518">
      <c r="A19" s="154" t="inlineStr">
        <is>
          <t>P006</t>
        </is>
      </c>
      <c r="B19" s="150" t="n">
        <v>210</v>
      </c>
      <c r="C19" s="155" t="inlineStr">
        <is>
          <t>R0062937</t>
        </is>
      </c>
      <c r="D19" s="149" t="inlineStr">
        <is>
          <t>8670 Wolff Ct (Sheridan Park 8)</t>
        </is>
      </c>
      <c r="E19" s="154" t="inlineStr">
        <is>
          <t>Westminster</t>
        </is>
      </c>
      <c r="F19" s="154" t="inlineStr">
        <is>
          <t>CO</t>
        </is>
      </c>
      <c r="G19" s="154" t="inlineStr">
        <is>
          <t>Office/Flex</t>
        </is>
      </c>
      <c r="H19" s="149" t="inlineStr">
        <is>
          <t>Multi-tenant</t>
        </is>
      </c>
      <c r="I19" s="156" t="n"/>
      <c r="J19" s="156" t="n">
        <v>37078</v>
      </c>
      <c r="K19" s="156" t="n">
        <v>2023</v>
      </c>
      <c r="L19" s="154" t="n"/>
      <c r="M19" s="154" t="n"/>
      <c r="N19" s="159" t="n"/>
      <c r="O19" s="157" t="n">
        <v>8654</v>
      </c>
      <c r="P19" s="157" t="n">
        <v>18000</v>
      </c>
      <c r="Q19" s="154" t="n"/>
      <c r="R19" s="154" t="n"/>
      <c r="S19" s="154" t="n"/>
      <c r="T19" s="154" t="n"/>
      <c r="U19" s="154" t="n"/>
      <c r="V19" s="154" t="n"/>
      <c r="W19" s="154" t="n"/>
      <c r="X19" s="154" t="n"/>
      <c r="Y19" s="238" t="n"/>
      <c r="Z19" s="154" t="n"/>
      <c r="AA19" s="154" t="n"/>
      <c r="AB19" s="154" t="n"/>
      <c r="AC19" s="235" t="n">
        <v>116495</v>
      </c>
      <c r="AD19" s="154" t="n"/>
      <c r="AE19" s="154" t="n"/>
      <c r="AF19" s="235" t="n">
        <v>111903</v>
      </c>
      <c r="AG19" s="154" t="n"/>
      <c r="AH19" s="236" t="n">
        <v>255052</v>
      </c>
      <c r="AI19" s="236" t="n">
        <v>131777</v>
      </c>
      <c r="AJ19" s="236" t="n">
        <v>386829</v>
      </c>
      <c r="AK19" s="239" t="n"/>
      <c r="AL19" s="154" t="n"/>
      <c r="AM19" s="149" t="inlineStr">
        <is>
          <t>Income not available; 2023 YTD annualized per DYCO</t>
        </is>
      </c>
      <c r="AN19">
        <f>IF(AND($B19=Subj_OccCode,Subj_BldgSF&gt;0,ABS($J19-Subj_BldgSF)&lt;=Subj_BldgSF*Subj_SizeTol),ABS($J19-Subj_BldgSF),NA())</f>
        <v/>
      </c>
      <c r="AO19">
        <f>IF(ISNA(AN19),NA(),AN19+ROW()/10000000)</f>
        <v/>
      </c>
      <c r="AR19" s="233">
        <f>IF(B19="","",IFERROR(INDEX(OCC_TABLE_DESC,MATCH(B19,OCC_TABLE_CODE,0)),"Unrecognized code"))</f>
        <v/>
      </c>
    </row>
    <row r="20" ht="18" customHeight="1" s="518">
      <c r="A20" s="154" t="inlineStr">
        <is>
          <t>P006</t>
        </is>
      </c>
      <c r="B20" s="150" t="n">
        <v>210</v>
      </c>
      <c r="C20" s="155" t="inlineStr">
        <is>
          <t>R0062937</t>
        </is>
      </c>
      <c r="D20" s="149" t="inlineStr">
        <is>
          <t>8670 Wolff Ct (Sheridan Park 8)</t>
        </is>
      </c>
      <c r="E20" s="154" t="inlineStr">
        <is>
          <t>Westminster</t>
        </is>
      </c>
      <c r="F20" s="154" t="inlineStr">
        <is>
          <t>CO</t>
        </is>
      </c>
      <c r="G20" s="154" t="inlineStr">
        <is>
          <t>Office/Flex</t>
        </is>
      </c>
      <c r="H20" s="149" t="inlineStr">
        <is>
          <t>Multi-tenant</t>
        </is>
      </c>
      <c r="I20" s="156" t="n"/>
      <c r="J20" s="156" t="n">
        <v>37078</v>
      </c>
      <c r="K20" s="156" t="n">
        <v>2024</v>
      </c>
      <c r="L20" s="154" t="n"/>
      <c r="M20" s="154" t="n"/>
      <c r="N20" s="159" t="n"/>
      <c r="O20" s="157" t="n">
        <v>8654</v>
      </c>
      <c r="P20" s="157" t="n">
        <v>21600</v>
      </c>
      <c r="Q20" s="154" t="n"/>
      <c r="R20" s="154" t="n"/>
      <c r="S20" s="154" t="n"/>
      <c r="T20" s="154" t="n"/>
      <c r="U20" s="154" t="n"/>
      <c r="V20" s="154" t="n"/>
      <c r="W20" s="154" t="n"/>
      <c r="X20" s="154" t="n"/>
      <c r="Y20" s="238" t="n"/>
      <c r="Z20" s="154" t="n"/>
      <c r="AA20" s="154" t="n"/>
      <c r="AB20" s="154" t="n"/>
      <c r="AC20" s="235" t="n">
        <v>139794</v>
      </c>
      <c r="AD20" s="154" t="n"/>
      <c r="AE20" s="154" t="n"/>
      <c r="AF20" s="235" t="n">
        <v>134284</v>
      </c>
      <c r="AG20" s="154" t="n"/>
      <c r="AH20" s="236" t="n">
        <v>304332</v>
      </c>
      <c r="AI20" s="236" t="n">
        <v>131777</v>
      </c>
      <c r="AJ20" s="236" t="n">
        <v>436109</v>
      </c>
      <c r="AK20" s="239" t="n"/>
      <c r="AL20" s="154" t="n"/>
      <c r="AM20" s="149" t="inlineStr">
        <is>
          <t>Income not available; 2024 actuals per DYCO CAM history</t>
        </is>
      </c>
      <c r="AN20">
        <f>IF(AND($B20=Subj_OccCode,Subj_BldgSF&gt;0,ABS($J20-Subj_BldgSF)&lt;=Subj_BldgSF*Subj_SizeTol),ABS($J20-Subj_BldgSF),NA())</f>
        <v/>
      </c>
      <c r="AO20">
        <f>IF(ISNA(AN20),NA(),AN20+ROW()/10000000)</f>
        <v/>
      </c>
      <c r="AR20" s="233">
        <f>IF(B20="","",IFERROR(INDEX(OCC_TABLE_DESC,MATCH(B20,OCC_TABLE_CODE,0)),"Unrecognized code"))</f>
        <v/>
      </c>
    </row>
    <row r="21" ht="18" customHeight="1" s="518">
      <c r="A21" s="154" t="inlineStr">
        <is>
          <t>P007</t>
        </is>
      </c>
      <c r="B21" s="150" t="n">
        <v>341</v>
      </c>
      <c r="C21" s="155" t="inlineStr">
        <is>
          <t>R0062944</t>
        </is>
      </c>
      <c r="D21" s="149" t="inlineStr">
        <is>
          <t>8787 (medical office complex)</t>
        </is>
      </c>
      <c r="E21" s="154" t="inlineStr">
        <is>
          <t>Adams County</t>
        </is>
      </c>
      <c r="F21" s="154" t="inlineStr">
        <is>
          <t>CO</t>
        </is>
      </c>
      <c r="G21" s="154" t="inlineStr">
        <is>
          <t>Medical Office</t>
        </is>
      </c>
      <c r="H21" s="149" t="inlineStr">
        <is>
          <t>Multi-tenant</t>
        </is>
      </c>
      <c r="I21" s="156" t="n"/>
      <c r="J21" s="156" t="n">
        <v>19430</v>
      </c>
      <c r="K21" s="156" t="n">
        <v>2023</v>
      </c>
      <c r="L21" s="154" t="n"/>
      <c r="M21" s="154" t="n"/>
      <c r="N21" s="158" t="n">
        <v>393809</v>
      </c>
      <c r="O21" s="157" t="n">
        <v>9485</v>
      </c>
      <c r="P21" s="157" t="n">
        <v>10200</v>
      </c>
      <c r="Q21" s="154" t="n"/>
      <c r="R21" s="154" t="n"/>
      <c r="S21" s="154" t="n"/>
      <c r="T21" s="154" t="n"/>
      <c r="U21" s="157" t="n">
        <v>21615</v>
      </c>
      <c r="V21" s="154" t="n"/>
      <c r="W21" s="154" t="n"/>
      <c r="X21" s="157" t="n">
        <v>26521</v>
      </c>
      <c r="Y21" s="235" t="n">
        <v>26521</v>
      </c>
      <c r="Z21" s="157" t="n">
        <v>2032</v>
      </c>
      <c r="AA21" s="157" t="n">
        <v>11685</v>
      </c>
      <c r="AB21" s="157" t="n">
        <v>6338</v>
      </c>
      <c r="AC21" s="235" t="n">
        <v>20055</v>
      </c>
      <c r="AD21" s="157" t="n">
        <v>7660</v>
      </c>
      <c r="AE21" s="157" t="n">
        <v>37676</v>
      </c>
      <c r="AF21" s="235" t="n">
        <v>45336</v>
      </c>
      <c r="AG21" s="157" t="n">
        <v>18144</v>
      </c>
      <c r="AH21" s="236" t="n">
        <v>151355</v>
      </c>
      <c r="AI21" s="236" t="n">
        <v>53397</v>
      </c>
      <c r="AJ21" s="236" t="n">
        <v>204752</v>
      </c>
      <c r="AK21" s="236" t="n">
        <v>189057</v>
      </c>
      <c r="AL21" s="154" t="n"/>
      <c r="AM21" s="149" t="inlineStr">
        <is>
          <t>HVAC maint $21,615 included in R&amp;M; janitorial $16,418 in Other; professional svcs $1,726 in Other; 2023 actuals</t>
        </is>
      </c>
      <c r="AN21">
        <f>IF(AND($B21=Subj_OccCode,Subj_BldgSF&gt;0,ABS($J21-Subj_BldgSF)&lt;=Subj_BldgSF*Subj_SizeTol),ABS($J21-Subj_BldgSF),NA())</f>
        <v/>
      </c>
      <c r="AO21">
        <f>IF(ISNA(AN21),NA(),AN21+ROW()/10000000)</f>
        <v/>
      </c>
      <c r="AR21" s="233">
        <f>IF(B21="","",IFERROR(INDEX(OCC_TABLE_DESC,MATCH(B21,OCC_TABLE_CODE,0)),"Unrecognized code"))</f>
        <v/>
      </c>
    </row>
    <row r="22" ht="18" customHeight="1" s="518">
      <c r="A22" s="154" t="inlineStr">
        <is>
          <t>P007</t>
        </is>
      </c>
      <c r="B22" s="150" t="n">
        <v>341</v>
      </c>
      <c r="C22" s="155" t="inlineStr">
        <is>
          <t>R0062944</t>
        </is>
      </c>
      <c r="D22" s="149" t="inlineStr">
        <is>
          <t>8787 (medical office complex)</t>
        </is>
      </c>
      <c r="E22" s="154" t="inlineStr">
        <is>
          <t>Adams County</t>
        </is>
      </c>
      <c r="F22" s="154" t="inlineStr">
        <is>
          <t>CO</t>
        </is>
      </c>
      <c r="G22" s="154" t="inlineStr">
        <is>
          <t>Medical Office</t>
        </is>
      </c>
      <c r="H22" s="149" t="inlineStr">
        <is>
          <t>Multi-tenant</t>
        </is>
      </c>
      <c r="I22" s="156" t="n"/>
      <c r="J22" s="156" t="n">
        <v>19430</v>
      </c>
      <c r="K22" s="156" t="n">
        <v>2024</v>
      </c>
      <c r="L22" s="154" t="n"/>
      <c r="M22" s="154" t="n"/>
      <c r="N22" s="158" t="n">
        <v>390497</v>
      </c>
      <c r="O22" s="157" t="n">
        <v>13960</v>
      </c>
      <c r="P22" s="157" t="n">
        <v>38622</v>
      </c>
      <c r="Q22" s="154" t="n"/>
      <c r="R22" s="154" t="n"/>
      <c r="S22" s="154" t="n"/>
      <c r="T22" s="154" t="n"/>
      <c r="U22" s="157" t="n">
        <v>13067</v>
      </c>
      <c r="V22" s="154" t="n"/>
      <c r="W22" s="154" t="n"/>
      <c r="X22" s="157" t="n">
        <v>25835</v>
      </c>
      <c r="Y22" s="235" t="n">
        <v>25835</v>
      </c>
      <c r="Z22" s="157" t="n">
        <v>1958</v>
      </c>
      <c r="AA22" s="157" t="n">
        <v>15696</v>
      </c>
      <c r="AB22" s="157" t="n">
        <v>5885</v>
      </c>
      <c r="AC22" s="235" t="n">
        <v>23539</v>
      </c>
      <c r="AD22" s="157" t="n">
        <v>6421</v>
      </c>
      <c r="AE22" s="157" t="n">
        <v>33074</v>
      </c>
      <c r="AF22" s="235" t="n">
        <v>39495</v>
      </c>
      <c r="AG22" s="157" t="n">
        <v>16022</v>
      </c>
      <c r="AH22" s="236" t="n">
        <v>170540</v>
      </c>
      <c r="AI22" s="236" t="n">
        <v>63200</v>
      </c>
      <c r="AJ22" s="236" t="n">
        <v>233740</v>
      </c>
      <c r="AK22" s="236" t="n">
        <v>156757</v>
      </c>
      <c r="AL22" s="154" t="n"/>
      <c r="AM22" s="149" t="inlineStr">
        <is>
          <t>Mgmt = CAM portion $10,600 + non-CAM $28,022; janitorial $16,022 in Other; HVAC $13,067 in R&amp;M; 2024 actuals</t>
        </is>
      </c>
      <c r="AN22">
        <f>IF(AND($B22=Subj_OccCode,Subj_BldgSF&gt;0,ABS($J22-Subj_BldgSF)&lt;=Subj_BldgSF*Subj_SizeTol),ABS($J22-Subj_BldgSF),NA())</f>
        <v/>
      </c>
      <c r="AO22">
        <f>IF(ISNA(AN22),NA(),AN22+ROW()/10000000)</f>
        <v/>
      </c>
      <c r="AR22" s="233">
        <f>IF(B22="","",IFERROR(INDEX(OCC_TABLE_DESC,MATCH(B22,OCC_TABLE_CODE,0)),"Unrecognized code"))</f>
        <v/>
      </c>
    </row>
    <row r="23" ht="18" customHeight="1" s="518">
      <c r="A23" s="154" t="inlineStr">
        <is>
          <t>P008</t>
        </is>
      </c>
      <c r="B23" s="150" t="n">
        <v>210</v>
      </c>
      <c r="C23" s="155" t="inlineStr">
        <is>
          <t>R0070622</t>
        </is>
      </c>
      <c r="D23" s="149" t="inlineStr">
        <is>
          <t>460-550 E. 76th Ave (WPC Corporate)</t>
        </is>
      </c>
      <c r="E23" s="154" t="inlineStr">
        <is>
          <t>Adams County</t>
        </is>
      </c>
      <c r="F23" s="154" t="inlineStr">
        <is>
          <t>CO</t>
        </is>
      </c>
      <c r="G23" s="154" t="inlineStr">
        <is>
          <t>Industrial</t>
        </is>
      </c>
      <c r="H23" s="149" t="inlineStr">
        <is>
          <t>Distribution/Flex Multi-tenant</t>
        </is>
      </c>
      <c r="I23" s="156" t="n"/>
      <c r="J23" s="156" t="n">
        <v>330935</v>
      </c>
      <c r="K23" s="156" t="n">
        <v>2024</v>
      </c>
      <c r="L23" s="154" t="n"/>
      <c r="M23" s="154" t="n"/>
      <c r="N23" s="158" t="n">
        <v>2750538</v>
      </c>
      <c r="O23" s="154" t="n"/>
      <c r="P23" s="154" t="n"/>
      <c r="Q23" s="154" t="n"/>
      <c r="R23" s="154" t="n"/>
      <c r="S23" s="154" t="n"/>
      <c r="T23" s="154" t="n"/>
      <c r="U23" s="154" t="n"/>
      <c r="V23" s="154" t="n"/>
      <c r="W23" s="154" t="n"/>
      <c r="X23" s="154" t="n"/>
      <c r="Y23" s="238" t="n"/>
      <c r="Z23" s="154" t="n"/>
      <c r="AA23" s="154" t="n"/>
      <c r="AB23" s="154" t="n"/>
      <c r="AC23" s="238" t="n"/>
      <c r="AD23" s="154" t="n"/>
      <c r="AE23" s="154" t="n"/>
      <c r="AF23" s="238" t="n"/>
      <c r="AG23" s="154" t="n"/>
      <c r="AH23" s="239" t="n"/>
      <c r="AI23" s="239" t="n"/>
      <c r="AJ23" s="236" t="n">
        <v>1338440</v>
      </c>
      <c r="AK23" s="236" t="n">
        <v>1412098</v>
      </c>
      <c r="AL23" s="154" t="n"/>
      <c r="AM23" s="149" t="inlineStr">
        <is>
          <t>2024 only; total OPX derived (EGI - NOI); limited line-item detail from scanned actuals; large multi-tenant industrial complex</t>
        </is>
      </c>
      <c r="AN23">
        <f>IF(AND($B23=Subj_OccCode,Subj_BldgSF&gt;0,ABS($J23-Subj_BldgSF)&lt;=Subj_BldgSF*Subj_SizeTol),ABS($J23-Subj_BldgSF),NA())</f>
        <v/>
      </c>
      <c r="AO23">
        <f>IF(ISNA(AN23),NA(),AN23+ROW()/10000000)</f>
        <v/>
      </c>
      <c r="AR23" s="233">
        <f>IF(B23="","",IFERROR(INDEX(OCC_TABLE_DESC,MATCH(B23,OCC_TABLE_CODE,0)),"Unrecognized code"))</f>
        <v/>
      </c>
    </row>
    <row r="24" ht="18" customHeight="1" s="518">
      <c r="A24" s="154" t="inlineStr">
        <is>
          <t>P009</t>
        </is>
      </c>
      <c r="B24" s="150" t="n">
        <v>407</v>
      </c>
      <c r="C24" s="155" t="inlineStr">
        <is>
          <t>R0075212</t>
        </is>
      </c>
      <c r="D24" s="149" t="inlineStr">
        <is>
          <t>10500 Havana Court</t>
        </is>
      </c>
      <c r="E24" s="154" t="inlineStr">
        <is>
          <t>Adams County</t>
        </is>
      </c>
      <c r="F24" s="154" t="inlineStr">
        <is>
          <t>CO</t>
        </is>
      </c>
      <c r="G24" s="154" t="inlineStr">
        <is>
          <t>Industrial</t>
        </is>
      </c>
      <c r="H24" s="149" t="inlineStr">
        <is>
          <t>NNN Single-tenant</t>
        </is>
      </c>
      <c r="I24" s="156" t="n"/>
      <c r="J24" s="156" t="n"/>
      <c r="K24" s="156" t="n">
        <v>2023</v>
      </c>
      <c r="L24" s="154" t="n"/>
      <c r="M24" s="154" t="n"/>
      <c r="N24" s="158" t="n">
        <v>332759</v>
      </c>
      <c r="O24" s="157" t="n">
        <v>22784</v>
      </c>
      <c r="P24" s="157" t="n">
        <v>4000</v>
      </c>
      <c r="Q24" s="154" t="n"/>
      <c r="R24" s="154" t="n"/>
      <c r="S24" s="154" t="n"/>
      <c r="T24" s="154" t="n"/>
      <c r="U24" s="154" t="n"/>
      <c r="V24" s="154" t="n"/>
      <c r="W24" s="154" t="n"/>
      <c r="X24" s="157" t="n">
        <v>12804</v>
      </c>
      <c r="Y24" s="235" t="n">
        <v>12804</v>
      </c>
      <c r="Z24" s="154" t="n"/>
      <c r="AA24" s="157" t="n">
        <v>6910</v>
      </c>
      <c r="AB24" s="157" t="n">
        <v>1800</v>
      </c>
      <c r="AC24" s="235" t="n">
        <v>8710</v>
      </c>
      <c r="AD24" s="157" t="n">
        <v>2209</v>
      </c>
      <c r="AE24" s="157" t="n">
        <v>1956</v>
      </c>
      <c r="AF24" s="235" t="n">
        <v>4165</v>
      </c>
      <c r="AG24" s="157" t="n">
        <v>8397</v>
      </c>
      <c r="AH24" s="236" t="n">
        <v>127005</v>
      </c>
      <c r="AI24" s="236" t="n">
        <v>60552</v>
      </c>
      <c r="AJ24" s="236" t="n">
        <v>187557</v>
      </c>
      <c r="AK24" s="236" t="n">
        <v>265550</v>
      </c>
      <c r="AL24" s="154" t="n"/>
      <c r="AM24" s="149" t="inlineStr">
        <is>
          <t>NNN; P&amp;L excludes depreciation ($68,209) and mortgage interest ($60,714) from NOI calc; acctg/legal/bank/dues in Other; 2023 actuals</t>
        </is>
      </c>
      <c r="AN24">
        <f>IF(AND($B24=Subj_OccCode,Subj_BldgSF&gt;0,ABS($J24-Subj_BldgSF)&lt;=Subj_BldgSF*Subj_SizeTol),ABS($J24-Subj_BldgSF),NA())</f>
        <v/>
      </c>
      <c r="AO24">
        <f>IF(ISNA(AN24),NA(),AN24+ROW()/10000000)</f>
        <v/>
      </c>
      <c r="AR24" s="233">
        <f>IF(B24="","",IFERROR(INDEX(OCC_TABLE_DESC,MATCH(B24,OCC_TABLE_CODE,0)),"Unrecognized code"))</f>
        <v/>
      </c>
    </row>
    <row r="25" ht="18" customHeight="1" s="518">
      <c r="A25" s="154" t="inlineStr">
        <is>
          <t>P009</t>
        </is>
      </c>
      <c r="B25" s="150" t="n">
        <v>407</v>
      </c>
      <c r="C25" s="155" t="inlineStr">
        <is>
          <t>R0075212</t>
        </is>
      </c>
      <c r="D25" s="149" t="inlineStr">
        <is>
          <t>10500 Havana Court</t>
        </is>
      </c>
      <c r="E25" s="154" t="inlineStr">
        <is>
          <t>Adams County</t>
        </is>
      </c>
      <c r="F25" s="154" t="inlineStr">
        <is>
          <t>CO</t>
        </is>
      </c>
      <c r="G25" s="154" t="inlineStr">
        <is>
          <t>Industrial</t>
        </is>
      </c>
      <c r="H25" s="149" t="inlineStr">
        <is>
          <t>NNN Single-tenant</t>
        </is>
      </c>
      <c r="I25" s="156" t="n"/>
      <c r="J25" s="156" t="n"/>
      <c r="K25" s="156" t="n">
        <v>2024</v>
      </c>
      <c r="L25" s="154" t="n"/>
      <c r="M25" s="154" t="n"/>
      <c r="N25" s="158" t="n">
        <v>359583</v>
      </c>
      <c r="O25" s="157" t="n">
        <v>27489</v>
      </c>
      <c r="P25" s="157" t="n">
        <v>6000</v>
      </c>
      <c r="Q25" s="154" t="n"/>
      <c r="R25" s="154" t="n"/>
      <c r="S25" s="154" t="n"/>
      <c r="T25" s="154" t="n"/>
      <c r="U25" s="154" t="n"/>
      <c r="V25" s="154" t="n"/>
      <c r="W25" s="154" t="n"/>
      <c r="X25" s="157" t="n">
        <v>9601</v>
      </c>
      <c r="Y25" s="235" t="n">
        <v>9601</v>
      </c>
      <c r="Z25" s="154" t="n"/>
      <c r="AA25" s="157" t="n">
        <v>3045</v>
      </c>
      <c r="AB25" s="157" t="n">
        <v>1960</v>
      </c>
      <c r="AC25" s="235" t="n">
        <v>5005</v>
      </c>
      <c r="AD25" s="157" t="n">
        <v>3555</v>
      </c>
      <c r="AE25" s="157" t="n">
        <v>1567</v>
      </c>
      <c r="AF25" s="235" t="n">
        <v>5122</v>
      </c>
      <c r="AG25" s="157" t="n">
        <v>10035</v>
      </c>
      <c r="AH25" s="236" t="n">
        <v>69350</v>
      </c>
      <c r="AI25" s="236" t="n">
        <v>101114</v>
      </c>
      <c r="AJ25" s="236" t="n">
        <v>170464</v>
      </c>
      <c r="AK25" s="236" t="n">
        <v>290993</v>
      </c>
      <c r="AL25" s="154" t="n"/>
      <c r="AM25" s="149" t="inlineStr">
        <is>
          <t>NNN; depreciation ($52,109) and mortgage interest ($58,574) excluded from NOI; Other includes acctg, dues, inspections; 2024 actuals</t>
        </is>
      </c>
      <c r="AN25">
        <f>IF(AND($B25=Subj_OccCode,Subj_BldgSF&gt;0,ABS($J25-Subj_BldgSF)&lt;=Subj_BldgSF*Subj_SizeTol),ABS($J25-Subj_BldgSF),NA())</f>
        <v/>
      </c>
      <c r="AO25">
        <f>IF(ISNA(AN25),NA(),AN25+ROW()/10000000)</f>
        <v/>
      </c>
      <c r="AR25" s="233">
        <f>IF(B25="","",IFERROR(INDEX(OCC_TABLE_DESC,MATCH(B25,OCC_TABLE_CODE,0)),"Unrecognized code"))</f>
        <v/>
      </c>
    </row>
    <row r="26" ht="18" customHeight="1" s="518">
      <c r="A26" s="154" t="inlineStr">
        <is>
          <t>P010</t>
        </is>
      </c>
      <c r="B26" s="150" t="n">
        <v>210</v>
      </c>
      <c r="C26" s="155" t="inlineStr">
        <is>
          <t>R0098225</t>
        </is>
      </c>
      <c r="D26" s="149" t="inlineStr">
        <is>
          <t>Broadway Business Center (7040B Broadway)</t>
        </is>
      </c>
      <c r="E26" s="154" t="inlineStr">
        <is>
          <t>Denver</t>
        </is>
      </c>
      <c r="F26" s="154" t="inlineStr">
        <is>
          <t>CO</t>
        </is>
      </c>
      <c r="G26" s="154" t="inlineStr">
        <is>
          <t>Flex/Industrial</t>
        </is>
      </c>
      <c r="H26" s="149" t="inlineStr">
        <is>
          <t>Multi-tenant CAM</t>
        </is>
      </c>
      <c r="I26" s="156" t="n"/>
      <c r="J26" s="156" t="n">
        <v>105000</v>
      </c>
      <c r="K26" s="156" t="n">
        <v>2023</v>
      </c>
      <c r="L26" s="157" t="n">
        <v>737984</v>
      </c>
      <c r="M26" s="157" t="n">
        <v>508740</v>
      </c>
      <c r="N26" s="158" t="n">
        <v>1246724</v>
      </c>
      <c r="O26" s="157" t="n">
        <v>48903</v>
      </c>
      <c r="P26" s="157" t="n">
        <v>104311</v>
      </c>
      <c r="Q26" s="154" t="n"/>
      <c r="R26" s="154" t="n"/>
      <c r="S26" s="154" t="n"/>
      <c r="T26" s="154" t="n"/>
      <c r="U26" s="154" t="n"/>
      <c r="V26" s="154" t="n"/>
      <c r="W26" s="154" t="n"/>
      <c r="X26" s="157" t="n">
        <v>66445</v>
      </c>
      <c r="Y26" s="235" t="n">
        <v>66445</v>
      </c>
      <c r="Z26" s="157" t="n">
        <v>49021</v>
      </c>
      <c r="AA26" s="157" t="n">
        <v>22802</v>
      </c>
      <c r="AB26" s="157" t="n">
        <v>58641</v>
      </c>
      <c r="AC26" s="235" t="n">
        <v>130464</v>
      </c>
      <c r="AD26" s="157" t="n">
        <v>53517</v>
      </c>
      <c r="AE26" s="154" t="n"/>
      <c r="AF26" s="235" t="n">
        <v>75845</v>
      </c>
      <c r="AG26" s="154" t="n"/>
      <c r="AH26" s="236" t="n">
        <v>484485</v>
      </c>
      <c r="AI26" s="236" t="n">
        <v>229515</v>
      </c>
      <c r="AJ26" s="236" t="n">
        <v>714000</v>
      </c>
      <c r="AK26" s="236" t="n">
        <v>533000</v>
      </c>
      <c r="AL26" s="154" t="n"/>
      <c r="AM26" s="149" t="inlineStr">
        <is>
          <t>CAM recovery structure; mgmt = prop mgmt fee $50,590 + recoverable mgmt $53,721; snow in contract; 2023 actuals; NOI estimated</t>
        </is>
      </c>
      <c r="AN26">
        <f>IF(AND($B26=Subj_OccCode,Subj_BldgSF&gt;0,ABS($J26-Subj_BldgSF)&lt;=Subj_BldgSF*Subj_SizeTol),ABS($J26-Subj_BldgSF),NA())</f>
        <v/>
      </c>
      <c r="AO26">
        <f>IF(ISNA(AN26),NA(),AN26+ROW()/10000000)</f>
        <v/>
      </c>
      <c r="AR26" s="233">
        <f>IF(B26="","",IFERROR(INDEX(OCC_TABLE_DESC,MATCH(B26,OCC_TABLE_CODE,0)),"Unrecognized code"))</f>
        <v/>
      </c>
    </row>
    <row r="27" ht="18" customHeight="1" s="518">
      <c r="A27" s="154" t="inlineStr">
        <is>
          <t>P010</t>
        </is>
      </c>
      <c r="B27" s="150" t="n">
        <v>210</v>
      </c>
      <c r="C27" s="155" t="inlineStr">
        <is>
          <t>R0098225</t>
        </is>
      </c>
      <c r="D27" s="149" t="inlineStr">
        <is>
          <t>Broadway Business Center (7040B Broadway)</t>
        </is>
      </c>
      <c r="E27" s="154" t="inlineStr">
        <is>
          <t>Denver</t>
        </is>
      </c>
      <c r="F27" s="154" t="inlineStr">
        <is>
          <t>CO</t>
        </is>
      </c>
      <c r="G27" s="154" t="inlineStr">
        <is>
          <t>Flex/Industrial</t>
        </is>
      </c>
      <c r="H27" s="149" t="inlineStr">
        <is>
          <t>Multi-tenant CAM</t>
        </is>
      </c>
      <c r="I27" s="156" t="n"/>
      <c r="J27" s="156" t="n">
        <v>105000</v>
      </c>
      <c r="K27" s="156" t="n">
        <v>2024</v>
      </c>
      <c r="L27" s="157" t="n">
        <v>902782</v>
      </c>
      <c r="M27" s="157" t="n">
        <v>784277</v>
      </c>
      <c r="N27" s="158" t="n">
        <v>1687059</v>
      </c>
      <c r="O27" s="157" t="n">
        <v>50508</v>
      </c>
      <c r="P27" s="157" t="n">
        <v>123399</v>
      </c>
      <c r="Q27" s="154" t="n"/>
      <c r="R27" s="154" t="n"/>
      <c r="S27" s="154" t="n"/>
      <c r="T27" s="154" t="n"/>
      <c r="U27" s="154" t="n"/>
      <c r="V27" s="154" t="n"/>
      <c r="W27" s="154" t="n"/>
      <c r="X27" s="157" t="n">
        <v>75128</v>
      </c>
      <c r="Y27" s="235" t="n">
        <v>75128</v>
      </c>
      <c r="Z27" s="157" t="n">
        <v>58998</v>
      </c>
      <c r="AA27" s="157" t="n">
        <v>18144</v>
      </c>
      <c r="AB27" s="157" t="n">
        <v>52328</v>
      </c>
      <c r="AC27" s="235" t="n">
        <v>129470</v>
      </c>
      <c r="AD27" s="157" t="n">
        <v>87196</v>
      </c>
      <c r="AE27" s="154" t="n"/>
      <c r="AF27" s="235" t="n">
        <v>100191</v>
      </c>
      <c r="AG27" s="154" t="n"/>
      <c r="AH27" s="236" t="n">
        <v>502686</v>
      </c>
      <c r="AI27" s="236" t="n">
        <v>544314</v>
      </c>
      <c r="AJ27" s="236" t="n">
        <v>1047000</v>
      </c>
      <c r="AK27" s="236" t="n">
        <v>640000</v>
      </c>
      <c r="AL27" s="154" t="n"/>
      <c r="AM27" s="149" t="inlineStr">
        <is>
          <t>2024 RE Tax inflated by $111,314 prior-yr catchup; normalized tax ~$425k; parking lot $52,328 in snow/contract; NOI estimated</t>
        </is>
      </c>
      <c r="AN27">
        <f>IF(AND($B27=Subj_OccCode,Subj_BldgSF&gt;0,ABS($J27-Subj_BldgSF)&lt;=Subj_BldgSF*Subj_SizeTol),ABS($J27-Subj_BldgSF),NA())</f>
        <v/>
      </c>
      <c r="AO27">
        <f>IF(ISNA(AN27),NA(),AN27+ROW()/10000000)</f>
        <v/>
      </c>
      <c r="AR27" s="233">
        <f>IF(B27="","",IFERROR(INDEX(OCC_TABLE_DESC,MATCH(B27,OCC_TABLE_CODE,0)),"Unrecognized code"))</f>
        <v/>
      </c>
    </row>
    <row r="28" ht="18" customHeight="1" s="518">
      <c r="A28" s="154" t="inlineStr">
        <is>
          <t>P011</t>
        </is>
      </c>
      <c r="B28" s="150" t="n">
        <v>210</v>
      </c>
      <c r="C28" s="155" t="inlineStr">
        <is>
          <t>R0103767</t>
        </is>
      </c>
      <c r="D28" s="149" t="inlineStr">
        <is>
          <t>5650 Washington St (Washington Business Park)</t>
        </is>
      </c>
      <c r="E28" s="154" t="inlineStr">
        <is>
          <t>Adams County</t>
        </is>
      </c>
      <c r="F28" s="154" t="inlineStr">
        <is>
          <t>CO</t>
        </is>
      </c>
      <c r="G28" s="154" t="inlineStr">
        <is>
          <t>Industrial/Flex</t>
        </is>
      </c>
      <c r="H28" s="149" t="inlineStr">
        <is>
          <t>Multi-tenant</t>
        </is>
      </c>
      <c r="I28" s="156" t="n"/>
      <c r="J28" s="156" t="n"/>
      <c r="K28" s="156" t="n">
        <v>2022</v>
      </c>
      <c r="L28" s="154" t="n"/>
      <c r="M28" s="154" t="n"/>
      <c r="N28" s="158" t="n">
        <v>502006</v>
      </c>
      <c r="O28" s="157" t="n">
        <v>16872</v>
      </c>
      <c r="P28" s="157" t="n">
        <v>54025</v>
      </c>
      <c r="Q28" s="154" t="n"/>
      <c r="R28" s="154" t="n"/>
      <c r="S28" s="154" t="n"/>
      <c r="T28" s="154" t="n"/>
      <c r="U28" s="154" t="n"/>
      <c r="V28" s="154" t="n"/>
      <c r="W28" s="154" t="n"/>
      <c r="X28" s="157" t="n">
        <v>71762</v>
      </c>
      <c r="Y28" s="235" t="n">
        <v>71762</v>
      </c>
      <c r="Z28" s="154" t="n"/>
      <c r="AA28" s="157" t="n">
        <v>6528</v>
      </c>
      <c r="AB28" s="154" t="n"/>
      <c r="AC28" s="235" t="n">
        <v>6528</v>
      </c>
      <c r="AD28" s="157" t="n">
        <v>4858</v>
      </c>
      <c r="AE28" s="157" t="n">
        <v>525</v>
      </c>
      <c r="AF28" s="235" t="n">
        <v>5383</v>
      </c>
      <c r="AG28" s="154" t="n"/>
      <c r="AH28" s="236" t="n">
        <v>209625</v>
      </c>
      <c r="AI28" s="236" t="n">
        <v>64792</v>
      </c>
      <c r="AJ28" s="236" t="n">
        <v>274417</v>
      </c>
      <c r="AK28" s="236" t="n">
        <v>227649</v>
      </c>
      <c r="AL28" s="154" t="n"/>
      <c r="AM28" s="149" t="inlineStr">
        <is>
          <t>Mgmt fee $54,025 (2022 only ? not in later years); R&amp;M = bldg maint + repairs + HVAC + plumbing; water/gas from operating stmt</t>
        </is>
      </c>
      <c r="AN28">
        <f>IF(AND($B28=Subj_OccCode,Subj_BldgSF&gt;0,ABS($J28-Subj_BldgSF)&lt;=Subj_BldgSF*Subj_SizeTol),ABS($J28-Subj_BldgSF),NA())</f>
        <v/>
      </c>
      <c r="AO28">
        <f>IF(ISNA(AN28),NA(),AN28+ROW()/10000000)</f>
        <v/>
      </c>
      <c r="AR28" s="233">
        <f>IF(B28="","",IFERROR(INDEX(OCC_TABLE_DESC,MATCH(B28,OCC_TABLE_CODE,0)),"Unrecognized code"))</f>
        <v/>
      </c>
    </row>
    <row r="29" ht="18" customHeight="1" s="518">
      <c r="A29" s="154" t="inlineStr">
        <is>
          <t>P011</t>
        </is>
      </c>
      <c r="B29" s="150" t="n">
        <v>210</v>
      </c>
      <c r="C29" s="155" t="inlineStr">
        <is>
          <t>R0103767</t>
        </is>
      </c>
      <c r="D29" s="149" t="inlineStr">
        <is>
          <t>5650 Washington St (Washington Business Park)</t>
        </is>
      </c>
      <c r="E29" s="154" t="inlineStr">
        <is>
          <t>Adams County</t>
        </is>
      </c>
      <c r="F29" s="154" t="inlineStr">
        <is>
          <t>CO</t>
        </is>
      </c>
      <c r="G29" s="154" t="inlineStr">
        <is>
          <t>Industrial/Flex</t>
        </is>
      </c>
      <c r="H29" s="149" t="inlineStr">
        <is>
          <t>Multi-tenant</t>
        </is>
      </c>
      <c r="I29" s="156" t="n"/>
      <c r="J29" s="156" t="n"/>
      <c r="K29" s="156" t="n">
        <v>2023</v>
      </c>
      <c r="L29" s="154" t="n"/>
      <c r="M29" s="154" t="n"/>
      <c r="N29" s="158" t="n">
        <v>532468</v>
      </c>
      <c r="O29" s="157" t="n">
        <v>15442</v>
      </c>
      <c r="P29" s="154" t="n"/>
      <c r="Q29" s="154" t="n"/>
      <c r="R29" s="154" t="n"/>
      <c r="S29" s="154" t="n"/>
      <c r="T29" s="154" t="n"/>
      <c r="U29" s="154" t="n"/>
      <c r="V29" s="154" t="n"/>
      <c r="W29" s="154" t="n"/>
      <c r="X29" s="157" t="n">
        <v>83293</v>
      </c>
      <c r="Y29" s="235" t="n">
        <v>83293</v>
      </c>
      <c r="Z29" s="154" t="n"/>
      <c r="AA29" s="157" t="n">
        <v>6029</v>
      </c>
      <c r="AB29" s="154" t="n"/>
      <c r="AC29" s="235" t="n">
        <v>6029</v>
      </c>
      <c r="AD29" s="157" t="n">
        <v>6487</v>
      </c>
      <c r="AE29" s="154" t="n"/>
      <c r="AF29" s="235" t="n">
        <v>6487</v>
      </c>
      <c r="AG29" s="154" t="n"/>
      <c r="AH29" s="236" t="n">
        <v>141304</v>
      </c>
      <c r="AI29" s="236" t="n">
        <v>63133</v>
      </c>
      <c r="AJ29" s="236" t="n">
        <v>204437</v>
      </c>
      <c r="AK29" s="236" t="n">
        <v>328030</v>
      </c>
      <c r="AL29" s="154" t="n"/>
      <c r="AM29" s="149" t="inlineStr">
        <is>
          <t>No mgmt fee in 2023; R&amp;M higher due to building repairs; gas negligible per statement; 2023 actuals</t>
        </is>
      </c>
      <c r="AN29">
        <f>IF(AND($B29=Subj_OccCode,Subj_BldgSF&gt;0,ABS($J29-Subj_BldgSF)&lt;=Subj_BldgSF*Subj_SizeTol),ABS($J29-Subj_BldgSF),NA())</f>
        <v/>
      </c>
      <c r="AO29">
        <f>IF(ISNA(AN29),NA(),AN29+ROW()/10000000)</f>
        <v/>
      </c>
      <c r="AR29" s="233">
        <f>IF(B29="","",IFERROR(INDEX(OCC_TABLE_DESC,MATCH(B29,OCC_TABLE_CODE,0)),"Unrecognized code"))</f>
        <v/>
      </c>
    </row>
    <row r="30" ht="18" customHeight="1" s="518">
      <c r="A30" s="154" t="inlineStr">
        <is>
          <t>P011</t>
        </is>
      </c>
      <c r="B30" s="150" t="n">
        <v>210</v>
      </c>
      <c r="C30" s="155" t="inlineStr">
        <is>
          <t>R0103767</t>
        </is>
      </c>
      <c r="D30" s="149" t="inlineStr">
        <is>
          <t>5650 Washington St (Washington Business Park)</t>
        </is>
      </c>
      <c r="E30" s="154" t="inlineStr">
        <is>
          <t>Adams County</t>
        </is>
      </c>
      <c r="F30" s="154" t="inlineStr">
        <is>
          <t>CO</t>
        </is>
      </c>
      <c r="G30" s="154" t="inlineStr">
        <is>
          <t>Industrial/Flex</t>
        </is>
      </c>
      <c r="H30" s="149" t="inlineStr">
        <is>
          <t>Multi-tenant</t>
        </is>
      </c>
      <c r="I30" s="156" t="n"/>
      <c r="J30" s="156" t="n"/>
      <c r="K30" s="156" t="n">
        <v>2024</v>
      </c>
      <c r="L30" s="154" t="n"/>
      <c r="M30" s="154" t="n"/>
      <c r="N30" s="158" t="n">
        <v>517234</v>
      </c>
      <c r="O30" s="157" t="n">
        <v>20795</v>
      </c>
      <c r="P30" s="154" t="n"/>
      <c r="Q30" s="154" t="n"/>
      <c r="R30" s="154" t="n"/>
      <c r="S30" s="154" t="n"/>
      <c r="T30" s="154" t="n"/>
      <c r="U30" s="154" t="n"/>
      <c r="V30" s="154" t="n"/>
      <c r="W30" s="154" t="n"/>
      <c r="X30" s="157" t="n">
        <v>32385</v>
      </c>
      <c r="Y30" s="235" t="n">
        <v>32385</v>
      </c>
      <c r="Z30" s="154" t="n"/>
      <c r="AA30" s="157" t="n">
        <v>4814</v>
      </c>
      <c r="AB30" s="154" t="n"/>
      <c r="AC30" s="235" t="n">
        <v>4814</v>
      </c>
      <c r="AD30" s="157" t="n">
        <v>5690</v>
      </c>
      <c r="AE30" s="154" t="n"/>
      <c r="AF30" s="235" t="n">
        <v>5690</v>
      </c>
      <c r="AG30" s="154" t="n"/>
      <c r="AH30" s="239" t="n"/>
      <c r="AI30" s="239" t="n"/>
      <c r="AJ30" s="236" t="n">
        <v>331645</v>
      </c>
      <c r="AK30" s="236" t="n">
        <v>185389</v>
      </c>
      <c r="AL30" s="154" t="n"/>
      <c r="AM30" s="149" t="inlineStr">
        <is>
          <t>RE Tax not separately identified in 2024 column of operating stmt; total OPX from actuals; NOI confirmed</t>
        </is>
      </c>
      <c r="AN30">
        <f>IF(AND($B30=Subj_OccCode,Subj_BldgSF&gt;0,ABS($J30-Subj_BldgSF)&lt;=Subj_BldgSF*Subj_SizeTol),ABS($J30-Subj_BldgSF),NA())</f>
        <v/>
      </c>
      <c r="AO30">
        <f>IF(ISNA(AN30),NA(),AN30+ROW()/10000000)</f>
        <v/>
      </c>
      <c r="AR30" s="233">
        <f>IF(B30="","",IFERROR(INDEX(OCC_TABLE_DESC,MATCH(B30,OCC_TABLE_CODE,0)),"Unrecognized code"))</f>
        <v/>
      </c>
    </row>
    <row r="31" ht="18" customHeight="1" s="518">
      <c r="A31" s="154" t="inlineStr">
        <is>
          <t>P012</t>
        </is>
      </c>
      <c r="B31" s="150" t="n">
        <v>344</v>
      </c>
      <c r="C31" s="155" t="inlineStr">
        <is>
          <t>R0124385</t>
        </is>
      </c>
      <c r="D31" s="149" t="inlineStr">
        <is>
          <t>Unknown (Tax District 555)</t>
        </is>
      </c>
      <c r="E31" s="154" t="inlineStr">
        <is>
          <t>Adams County</t>
        </is>
      </c>
      <c r="F31" s="154" t="inlineStr">
        <is>
          <t>CO</t>
        </is>
      </c>
      <c r="G31" s="154" t="inlineStr">
        <is>
          <t>Office</t>
        </is>
      </c>
      <c r="H31" s="149" t="inlineStr">
        <is>
          <t>Multi-tenant</t>
        </is>
      </c>
      <c r="I31" s="156" t="n"/>
      <c r="J31" s="156" t="n">
        <v>20170</v>
      </c>
      <c r="K31" s="156" t="n">
        <v>2023</v>
      </c>
      <c r="L31" s="154" t="n"/>
      <c r="M31" s="154" t="n"/>
      <c r="N31" s="158" t="n">
        <v>275740</v>
      </c>
      <c r="O31" s="154" t="n"/>
      <c r="P31" s="154" t="n"/>
      <c r="Q31" s="154" t="n"/>
      <c r="R31" s="154" t="n"/>
      <c r="S31" s="154" t="n"/>
      <c r="T31" s="154" t="n"/>
      <c r="U31" s="154" t="n"/>
      <c r="V31" s="154" t="n"/>
      <c r="W31" s="154" t="n"/>
      <c r="X31" s="154" t="n"/>
      <c r="Y31" s="238" t="n"/>
      <c r="Z31" s="154" t="n"/>
      <c r="AA31" s="154" t="n"/>
      <c r="AB31" s="154" t="n"/>
      <c r="AC31" s="238" t="n"/>
      <c r="AD31" s="154" t="n"/>
      <c r="AE31" s="154" t="n"/>
      <c r="AF31" s="238" t="n"/>
      <c r="AG31" s="154" t="n"/>
      <c r="AH31" s="236" t="n">
        <v>108096</v>
      </c>
      <c r="AI31" s="236" t="n">
        <v>45179</v>
      </c>
      <c r="AJ31" s="236" t="n">
        <v>153275</v>
      </c>
      <c r="AK31" s="236" t="n">
        <v>167644</v>
      </c>
      <c r="AL31" s="154" t="n"/>
      <c r="AM31" s="149" t="inlineStr">
        <is>
          <t>Limited line-item detail; totals from PROFORMA BASIS FOR OFFER.xlsx actuals section</t>
        </is>
      </c>
      <c r="AN31">
        <f>IF(AND($B31=Subj_OccCode,Subj_BldgSF&gt;0,ABS($J31-Subj_BldgSF)&lt;=Subj_BldgSF*Subj_SizeTol),ABS($J31-Subj_BldgSF),NA())</f>
        <v/>
      </c>
      <c r="AO31">
        <f>IF(ISNA(AN31),NA(),AN31+ROW()/10000000)</f>
        <v/>
      </c>
      <c r="AR31" s="233">
        <f>IF(B31="","",IFERROR(INDEX(OCC_TABLE_DESC,MATCH(B31,OCC_TABLE_CODE,0)),"Unrecognized code"))</f>
        <v/>
      </c>
    </row>
    <row r="32" ht="18" customHeight="1" s="518">
      <c r="A32" s="154" t="inlineStr">
        <is>
          <t>P012</t>
        </is>
      </c>
      <c r="B32" s="150" t="n">
        <v>344</v>
      </c>
      <c r="C32" s="155" t="inlineStr">
        <is>
          <t>R0124385</t>
        </is>
      </c>
      <c r="D32" s="149" t="inlineStr">
        <is>
          <t>Unknown (Tax District 555)</t>
        </is>
      </c>
      <c r="E32" s="154" t="inlineStr">
        <is>
          <t>Adams County</t>
        </is>
      </c>
      <c r="F32" s="154" t="inlineStr">
        <is>
          <t>CO</t>
        </is>
      </c>
      <c r="G32" s="154" t="inlineStr">
        <is>
          <t>Office</t>
        </is>
      </c>
      <c r="H32" s="149" t="inlineStr">
        <is>
          <t>Multi-tenant</t>
        </is>
      </c>
      <c r="I32" s="156" t="n"/>
      <c r="J32" s="156" t="n">
        <v>20170</v>
      </c>
      <c r="K32" s="156" t="n">
        <v>2024</v>
      </c>
      <c r="L32" s="154" t="n"/>
      <c r="M32" s="154" t="n"/>
      <c r="N32" s="158" t="n">
        <v>298556</v>
      </c>
      <c r="O32" s="154" t="n"/>
      <c r="P32" s="154" t="n"/>
      <c r="Q32" s="154" t="n"/>
      <c r="R32" s="154" t="n"/>
      <c r="S32" s="154" t="n"/>
      <c r="T32" s="154" t="n"/>
      <c r="U32" s="154" t="n"/>
      <c r="V32" s="154" t="n"/>
      <c r="W32" s="154" t="n"/>
      <c r="X32" s="154" t="n"/>
      <c r="Y32" s="238" t="n"/>
      <c r="Z32" s="154" t="n"/>
      <c r="AA32" s="154" t="n"/>
      <c r="AB32" s="154" t="n"/>
      <c r="AC32" s="238" t="n"/>
      <c r="AD32" s="154" t="n"/>
      <c r="AE32" s="154" t="n"/>
      <c r="AF32" s="238" t="n"/>
      <c r="AG32" s="154" t="n"/>
      <c r="AH32" s="236" t="n">
        <v>127491</v>
      </c>
      <c r="AI32" s="236" t="n">
        <v>43698</v>
      </c>
      <c r="AJ32" s="236" t="n">
        <v>185189</v>
      </c>
      <c r="AK32" s="236" t="n">
        <v>171065</v>
      </c>
      <c r="AL32" s="154" t="n"/>
      <c r="AM32" s="149" t="inlineStr">
        <is>
          <t>CapEx $14,000 non-recurring excluded from OPX; limited line-item detail</t>
        </is>
      </c>
      <c r="AN32">
        <f>IF(AND($B32=Subj_OccCode,Subj_BldgSF&gt;0,ABS($J32-Subj_BldgSF)&lt;=Subj_BldgSF*Subj_SizeTol),ABS($J32-Subj_BldgSF),NA())</f>
        <v/>
      </c>
      <c r="AO32">
        <f>IF(ISNA(AN32),NA(),AN32+ROW()/10000000)</f>
        <v/>
      </c>
      <c r="AR32" s="233">
        <f>IF(B32="","",IFERROR(INDEX(OCC_TABLE_DESC,MATCH(B32,OCC_TABLE_CODE,0)),"Unrecognized code"))</f>
        <v/>
      </c>
    </row>
    <row r="33" ht="18" customHeight="1" s="518">
      <c r="A33" s="154" t="inlineStr">
        <is>
          <t>P013</t>
        </is>
      </c>
      <c r="B33" s="150" t="n">
        <v>353</v>
      </c>
      <c r="C33" s="155" t="inlineStr">
        <is>
          <t>R0169176</t>
        </is>
      </c>
      <c r="D33" s="149" t="inlineStr">
        <is>
          <t>Unknown (new const., opened Oct 2023)</t>
        </is>
      </c>
      <c r="E33" s="154" t="inlineStr">
        <is>
          <t>Adams County</t>
        </is>
      </c>
      <c r="F33" s="154" t="inlineStr">
        <is>
          <t>CO</t>
        </is>
      </c>
      <c r="G33" s="154" t="inlineStr">
        <is>
          <t>Retail/Office</t>
        </is>
      </c>
      <c r="H33" s="149" t="inlineStr">
        <is>
          <t>Multi-tenant</t>
        </is>
      </c>
      <c r="I33" s="156" t="n">
        <v>2023</v>
      </c>
      <c r="J33" s="156" t="n"/>
      <c r="K33" s="156" t="n">
        <v>2023</v>
      </c>
      <c r="L33" s="157" t="n">
        <v>270793</v>
      </c>
      <c r="M33" s="157" t="n">
        <v>258323</v>
      </c>
      <c r="N33" s="158" t="n">
        <v>524533</v>
      </c>
      <c r="O33" s="157" t="n">
        <v>16865</v>
      </c>
      <c r="P33" s="157" t="n">
        <v>26496</v>
      </c>
      <c r="Q33" s="154" t="n"/>
      <c r="R33" s="154" t="n"/>
      <c r="S33" s="154" t="n"/>
      <c r="T33" s="154" t="n"/>
      <c r="U33" s="154" t="n"/>
      <c r="V33" s="154" t="n"/>
      <c r="W33" s="154" t="n"/>
      <c r="X33" s="157" t="n">
        <v>50972</v>
      </c>
      <c r="Y33" s="235" t="n">
        <v>50972</v>
      </c>
      <c r="Z33" s="154" t="n"/>
      <c r="AA33" s="157" t="n">
        <v>7543</v>
      </c>
      <c r="AB33" s="154" t="n"/>
      <c r="AC33" s="235" t="n">
        <v>7543</v>
      </c>
      <c r="AD33" s="157" t="n">
        <v>4602</v>
      </c>
      <c r="AE33" s="157" t="n">
        <v>51467</v>
      </c>
      <c r="AF33" s="235" t="n">
        <v>56069</v>
      </c>
      <c r="AG33" s="154" t="n"/>
      <c r="AH33" s="236" t="n">
        <v>157946</v>
      </c>
      <c r="AI33" s="236" t="n">
        <v>125577</v>
      </c>
      <c r="AJ33" s="236" t="n">
        <v>283523</v>
      </c>
      <c r="AK33" s="236" t="n">
        <v>241009</v>
      </c>
      <c r="AL33" s="154" t="n"/>
      <c r="AM33" s="149" t="inlineStr">
        <is>
          <t>2023 partial year (opened Oct 2023); RE Tax high for new construction; gas $3,877 + elec $47,590 in utilities</t>
        </is>
      </c>
      <c r="AN33">
        <f>IF(AND($B33=Subj_OccCode,Subj_BldgSF&gt;0,ABS($J33-Subj_BldgSF)&lt;=Subj_BldgSF*Subj_SizeTol),ABS($J33-Subj_BldgSF),NA())</f>
        <v/>
      </c>
      <c r="AO33">
        <f>IF(ISNA(AN33),NA(),AN33+ROW()/10000000)</f>
        <v/>
      </c>
      <c r="AR33" s="233">
        <f>IF(B33="","",IFERROR(INDEX(OCC_TABLE_DESC,MATCH(B33,OCC_TABLE_CODE,0)),"Unrecognized code"))</f>
        <v/>
      </c>
    </row>
    <row r="34" ht="18" customHeight="1" s="518">
      <c r="A34" s="154" t="inlineStr">
        <is>
          <t>P013</t>
        </is>
      </c>
      <c r="B34" s="150" t="n">
        <v>353</v>
      </c>
      <c r="C34" s="155" t="inlineStr">
        <is>
          <t>R0169176</t>
        </is>
      </c>
      <c r="D34" s="149" t="inlineStr">
        <is>
          <t>Unknown (new const., opened Oct 2023)</t>
        </is>
      </c>
      <c r="E34" s="154" t="inlineStr">
        <is>
          <t>Adams County</t>
        </is>
      </c>
      <c r="F34" s="154" t="inlineStr">
        <is>
          <t>CO</t>
        </is>
      </c>
      <c r="G34" s="154" t="inlineStr">
        <is>
          <t>Retail/Office</t>
        </is>
      </c>
      <c r="H34" s="149" t="inlineStr">
        <is>
          <t>Multi-tenant</t>
        </is>
      </c>
      <c r="I34" s="156" t="n">
        <v>2023</v>
      </c>
      <c r="J34" s="156" t="n"/>
      <c r="K34" s="156" t="n">
        <v>2024</v>
      </c>
      <c r="L34" s="157" t="n">
        <v>260040</v>
      </c>
      <c r="M34" s="157" t="n">
        <v>337015</v>
      </c>
      <c r="N34" s="158" t="n">
        <v>597056</v>
      </c>
      <c r="O34" s="157" t="n">
        <v>12437</v>
      </c>
      <c r="P34" s="157" t="n">
        <v>26717</v>
      </c>
      <c r="Q34" s="154" t="n"/>
      <c r="R34" s="154" t="n"/>
      <c r="S34" s="154" t="n"/>
      <c r="T34" s="154" t="n"/>
      <c r="U34" s="154" t="n"/>
      <c r="V34" s="154" t="n"/>
      <c r="W34" s="154" t="n"/>
      <c r="X34" s="157" t="n">
        <v>36931</v>
      </c>
      <c r="Y34" s="235" t="n">
        <v>36931</v>
      </c>
      <c r="Z34" s="154" t="n"/>
      <c r="AA34" s="157" t="n">
        <v>27159</v>
      </c>
      <c r="AB34" s="154" t="n"/>
      <c r="AC34" s="235" t="n">
        <v>27159</v>
      </c>
      <c r="AD34" s="157" t="n">
        <v>5043</v>
      </c>
      <c r="AE34" s="157" t="n">
        <v>54230</v>
      </c>
      <c r="AF34" s="235" t="n">
        <v>59273</v>
      </c>
      <c r="AG34" s="154" t="n"/>
      <c r="AH34" s="236" t="n">
        <v>162518</v>
      </c>
      <c r="AI34" s="236" t="n">
        <v>156074</v>
      </c>
      <c r="AJ34" s="236" t="n">
        <v>318592</v>
      </c>
      <c r="AK34" s="236" t="n">
        <v>278464</v>
      </c>
      <c r="AL34" s="154" t="n"/>
      <c r="AM34" s="149" t="inlineStr">
        <is>
          <t>Tax consultant $11,515 added to RE Tax line; HOA/exterior maint $27,159 in landscape; recoveries $336,319 + other $696</t>
        </is>
      </c>
      <c r="AN34">
        <f>IF(AND($B34=Subj_OccCode,Subj_BldgSF&gt;0,ABS($J34-Subj_BldgSF)&lt;=Subj_BldgSF*Subj_SizeTol),ABS($J34-Subj_BldgSF),NA())</f>
        <v/>
      </c>
      <c r="AO34">
        <f>IF(ISNA(AN34),NA(),AN34+ROW()/10000000)</f>
        <v/>
      </c>
      <c r="AR34" s="233">
        <f>IF(B34="","",IFERROR(INDEX(OCC_TABLE_DESC,MATCH(B34,OCC_TABLE_CODE,0)),"Unrecognized code"))</f>
        <v/>
      </c>
    </row>
    <row r="35" ht="18" customHeight="1" s="518">
      <c r="A35" s="154" t="inlineStr">
        <is>
          <t>P014</t>
        </is>
      </c>
      <c r="B35" s="150" t="n">
        <v>407</v>
      </c>
      <c r="C35" s="155" t="inlineStr">
        <is>
          <t>R0198530</t>
        </is>
      </c>
      <c r="D35" s="149" t="inlineStr">
        <is>
          <t>Amazon DEN7 Distribution Center</t>
        </is>
      </c>
      <c r="E35" s="154" t="inlineStr">
        <is>
          <t>Aurora</t>
        </is>
      </c>
      <c r="F35" s="154" t="inlineStr">
        <is>
          <t>CO</t>
        </is>
      </c>
      <c r="G35" s="154" t="inlineStr">
        <is>
          <t>Industrial/Distribution</t>
        </is>
      </c>
      <c r="H35" s="149" t="inlineStr">
        <is>
          <t>Single-tenant NNN</t>
        </is>
      </c>
      <c r="I35" s="156" t="n"/>
      <c r="J35" s="156" t="n">
        <v>555840</v>
      </c>
      <c r="K35" s="156" t="n">
        <v>2023</v>
      </c>
      <c r="L35" s="157" t="n">
        <v>3123377</v>
      </c>
      <c r="M35" s="154" t="n"/>
      <c r="N35" s="158" t="n">
        <v>3123377</v>
      </c>
      <c r="O35" s="157" t="n">
        <v>86084</v>
      </c>
      <c r="P35" s="157" t="n">
        <v>62468</v>
      </c>
      <c r="Q35" s="154" t="n"/>
      <c r="R35" s="154" t="n"/>
      <c r="S35" s="154" t="n"/>
      <c r="T35" s="154" t="n"/>
      <c r="U35" s="154" t="n"/>
      <c r="V35" s="154" t="n"/>
      <c r="W35" s="154" t="n"/>
      <c r="X35" s="154" t="n"/>
      <c r="Y35" s="238" t="n"/>
      <c r="Z35" s="154" t="n"/>
      <c r="AA35" s="154" t="n"/>
      <c r="AB35" s="154" t="n"/>
      <c r="AC35" s="235" t="n">
        <v>22360</v>
      </c>
      <c r="AD35" s="154" t="n"/>
      <c r="AE35" s="154" t="n"/>
      <c r="AF35" s="235" t="n">
        <v>1107</v>
      </c>
      <c r="AG35" s="154" t="n"/>
      <c r="AH35" s="236" t="n">
        <v>197351</v>
      </c>
      <c r="AI35" s="236" t="n">
        <v>1617282</v>
      </c>
      <c r="AJ35" s="236" t="n">
        <v>1814633</v>
      </c>
      <c r="AK35" s="239" t="n"/>
      <c r="AL35" s="154" t="n"/>
      <c r="AM35" s="149" t="inlineStr">
        <is>
          <t>NNN ? expenses = LL CAM billed to Amazon tenant; RE Tax $1.617M dominates; base rent $3.12M; 2023 CAM reconciliation</t>
        </is>
      </c>
      <c r="AN35">
        <f>IF(AND($B35=Subj_OccCode,Subj_BldgSF&gt;0,ABS($J35-Subj_BldgSF)&lt;=Subj_BldgSF*Subj_SizeTol),ABS($J35-Subj_BldgSF),NA())</f>
        <v/>
      </c>
      <c r="AO35">
        <f>IF(ISNA(AN35),NA(),AN35+ROW()/10000000)</f>
        <v/>
      </c>
      <c r="AR35" s="233">
        <f>IF(B35="","",IFERROR(INDEX(OCC_TABLE_DESC,MATCH(B35,OCC_TABLE_CODE,0)),"Unrecognized code"))</f>
        <v/>
      </c>
    </row>
    <row r="36" ht="18" customHeight="1" s="518">
      <c r="A36" s="154" t="inlineStr">
        <is>
          <t>P014</t>
        </is>
      </c>
      <c r="B36" s="150" t="n">
        <v>407</v>
      </c>
      <c r="C36" s="155" t="inlineStr">
        <is>
          <t>R0198530</t>
        </is>
      </c>
      <c r="D36" s="149" t="inlineStr">
        <is>
          <t>Amazon DEN7 Distribution Center</t>
        </is>
      </c>
      <c r="E36" s="154" t="inlineStr">
        <is>
          <t>Aurora</t>
        </is>
      </c>
      <c r="F36" s="154" t="inlineStr">
        <is>
          <t>CO</t>
        </is>
      </c>
      <c r="G36" s="154" t="inlineStr">
        <is>
          <t>Industrial/Distribution</t>
        </is>
      </c>
      <c r="H36" s="149" t="inlineStr">
        <is>
          <t>Single-tenant NNN</t>
        </is>
      </c>
      <c r="I36" s="156" t="n"/>
      <c r="J36" s="156" t="n">
        <v>555840</v>
      </c>
      <c r="K36" s="156" t="n">
        <v>2024</v>
      </c>
      <c r="L36" s="157" t="n">
        <v>3201462</v>
      </c>
      <c r="M36" s="154" t="n"/>
      <c r="N36" s="158" t="n">
        <v>3201462</v>
      </c>
      <c r="O36" s="157" t="n">
        <v>89809</v>
      </c>
      <c r="P36" s="157" t="n">
        <v>64029</v>
      </c>
      <c r="Q36" s="154" t="n"/>
      <c r="R36" s="154" t="n"/>
      <c r="S36" s="154" t="n"/>
      <c r="T36" s="154" t="n"/>
      <c r="U36" s="154" t="n"/>
      <c r="V36" s="154" t="n"/>
      <c r="W36" s="154" t="n"/>
      <c r="X36" s="154" t="n"/>
      <c r="Y36" s="238" t="n"/>
      <c r="Z36" s="154" t="n"/>
      <c r="AA36" s="154" t="n"/>
      <c r="AB36" s="157" t="n">
        <v>2110</v>
      </c>
      <c r="AC36" s="235" t="n">
        <v>17455</v>
      </c>
      <c r="AD36" s="154" t="n"/>
      <c r="AE36" s="154" t="n"/>
      <c r="AF36" s="235" t="n">
        <v>2024</v>
      </c>
      <c r="AG36" s="154" t="n"/>
      <c r="AH36" s="236" t="n">
        <v>154693</v>
      </c>
      <c r="AI36" s="236" t="n">
        <v>2161856</v>
      </c>
      <c r="AJ36" s="236" t="n">
        <v>2316549</v>
      </c>
      <c r="AK36" s="239" t="n"/>
      <c r="AL36" s="154" t="n"/>
      <c r="AM36" s="149" t="inlineStr">
        <is>
          <t>NNN; RE Tax $2.162M = $3.89/SF reflecting Adams County assessment increase (+34% YOY); 2024 CAM reconciliation</t>
        </is>
      </c>
      <c r="AN36">
        <f>IF(AND($B36=Subj_OccCode,Subj_BldgSF&gt;0,ABS($J36-Subj_BldgSF)&lt;=Subj_BldgSF*Subj_SizeTol),ABS($J36-Subj_BldgSF),NA())</f>
        <v/>
      </c>
      <c r="AO36">
        <f>IF(ISNA(AN36),NA(),AN36+ROW()/10000000)</f>
        <v/>
      </c>
      <c r="AR36" s="233">
        <f>IF(B36="","",IFERROR(INDEX(OCC_TABLE_DESC,MATCH(B36,OCC_TABLE_CODE,0)),"Unrecognized code"))</f>
        <v/>
      </c>
    </row>
    <row r="37" ht="15" customHeight="1" s="518">
      <c r="A37" s="155" t="inlineStr">
        <is>
          <t>P015</t>
        </is>
      </c>
      <c r="B37" s="150" t="n">
        <v>407</v>
      </c>
      <c r="C37" s="155" t="inlineStr">
        <is>
          <t>R0180894</t>
        </is>
      </c>
      <c r="D37" s="269" t="inlineStr">
        <is>
          <t>1910 N Gun Club Rd</t>
        </is>
      </c>
      <c r="E37" s="155" t="inlineStr">
        <is>
          <t>Aurora</t>
        </is>
      </c>
      <c r="F37" s="155" t="inlineStr">
        <is>
          <t>CO</t>
        </is>
      </c>
      <c r="G37" s="155" t="inlineStr">
        <is>
          <t>Industrial</t>
        </is>
      </c>
      <c r="H37" s="269" t="inlineStr">
        <is>
          <t>Distribution Warehouse Multi-Tenant NNN</t>
        </is>
      </c>
      <c r="I37" s="155" t="n">
        <v>2019</v>
      </c>
      <c r="J37" s="155" t="n">
        <v>163386</v>
      </c>
      <c r="K37" s="155" t="n">
        <v>2023</v>
      </c>
      <c r="L37" s="160" t="n">
        <v>2096086</v>
      </c>
      <c r="M37" s="155" t="n"/>
      <c r="N37" s="160" t="n">
        <v>2096086</v>
      </c>
      <c r="O37" s="160" t="n">
        <v>40706</v>
      </c>
      <c r="P37" s="160" t="n">
        <v>55071</v>
      </c>
      <c r="Q37" s="155" t="n"/>
      <c r="R37" s="155" t="n"/>
      <c r="S37" s="155" t="n"/>
      <c r="T37" s="155" t="n"/>
      <c r="U37" s="155" t="n"/>
      <c r="V37" s="155" t="n"/>
      <c r="W37" s="155" t="n"/>
      <c r="X37" s="155" t="n"/>
      <c r="Y37" s="160" t="n">
        <v>6447</v>
      </c>
      <c r="Z37" s="155" t="n"/>
      <c r="AA37" s="160" t="n">
        <v>14502</v>
      </c>
      <c r="AB37" s="160" t="n">
        <v>55450</v>
      </c>
      <c r="AC37" s="155" t="n"/>
      <c r="AD37" s="155" t="n"/>
      <c r="AE37" s="155" t="n"/>
      <c r="AF37" s="160" t="n">
        <v>43911</v>
      </c>
      <c r="AG37" s="160" t="n">
        <v>159500</v>
      </c>
      <c r="AH37" s="160" t="n">
        <v>379886</v>
      </c>
      <c r="AI37" s="160" t="n">
        <v>923586</v>
      </c>
      <c r="AJ37" s="160" t="n">
        <v>1303472</v>
      </c>
      <c r="AK37" s="160" t="n">
        <v>792614</v>
      </c>
      <c r="AL37" s="155" t="n"/>
      <c r="AM37" s="269" t="inlineStr">
        <is>
          <t>Actual accrual; security $159,500 in Other</t>
        </is>
      </c>
      <c r="AN37">
        <f>IF(AND($B37=Subj_OccCode,Subj_BldgSF&gt;0,ABS($J37-Subj_BldgSF)&lt;=Subj_BldgSF*Subj_SizeTol),ABS($J37-Subj_BldgSF),NA())</f>
        <v/>
      </c>
      <c r="AO37">
        <f>IF(ISNA(AN37),NA(),AN37+ROW()/10000000)</f>
        <v/>
      </c>
      <c r="AR37" s="233">
        <f>IF(B37="","",IFERROR(INDEX(OCC_TABLE_DESC,MATCH(B37,OCC_TABLE_CODE,0)),"Unrecognized code"))</f>
        <v/>
      </c>
    </row>
    <row r="38" ht="15" customHeight="1" s="518">
      <c r="A38" s="155" t="inlineStr">
        <is>
          <t>P015</t>
        </is>
      </c>
      <c r="B38" s="150" t="n">
        <v>407</v>
      </c>
      <c r="C38" s="155" t="inlineStr">
        <is>
          <t>R0180894</t>
        </is>
      </c>
      <c r="D38" s="269" t="inlineStr">
        <is>
          <t>1910 N Gun Club Rd</t>
        </is>
      </c>
      <c r="E38" s="155" t="inlineStr">
        <is>
          <t>Aurora</t>
        </is>
      </c>
      <c r="F38" s="155" t="inlineStr">
        <is>
          <t>CO</t>
        </is>
      </c>
      <c r="G38" s="155" t="inlineStr">
        <is>
          <t>Industrial</t>
        </is>
      </c>
      <c r="H38" s="269" t="inlineStr">
        <is>
          <t>Distribution Warehouse Multi-Tenant NNN</t>
        </is>
      </c>
      <c r="I38" s="155" t="n">
        <v>2019</v>
      </c>
      <c r="J38" s="155" t="n">
        <v>163386</v>
      </c>
      <c r="K38" s="155" t="n">
        <v>2024</v>
      </c>
      <c r="L38" s="160" t="n">
        <v>2154019</v>
      </c>
      <c r="M38" s="155" t="n"/>
      <c r="N38" s="160" t="n">
        <v>2154019</v>
      </c>
      <c r="O38" s="160" t="n">
        <v>48091</v>
      </c>
      <c r="P38" s="160" t="n">
        <v>74844</v>
      </c>
      <c r="Q38" s="155" t="n"/>
      <c r="R38" s="155" t="n"/>
      <c r="S38" s="155" t="n"/>
      <c r="T38" s="155" t="n"/>
      <c r="U38" s="155" t="n"/>
      <c r="V38" s="155" t="n"/>
      <c r="W38" s="155" t="n"/>
      <c r="X38" s="155" t="n"/>
      <c r="Y38" s="160" t="n">
        <v>5257</v>
      </c>
      <c r="Z38" s="155" t="n"/>
      <c r="AA38" s="160" t="n">
        <v>13438</v>
      </c>
      <c r="AB38" s="160" t="n">
        <v>46667</v>
      </c>
      <c r="AC38" s="155" t="n"/>
      <c r="AD38" s="155" t="n"/>
      <c r="AE38" s="155" t="n"/>
      <c r="AF38" s="160" t="n">
        <v>53895</v>
      </c>
      <c r="AG38" s="160" t="n">
        <v>132552</v>
      </c>
      <c r="AH38" s="160" t="n">
        <v>394495</v>
      </c>
      <c r="AI38" s="160" t="n">
        <v>912402</v>
      </c>
      <c r="AJ38" s="160" t="n">
        <v>1306897</v>
      </c>
      <c r="AK38" s="160" t="n">
        <v>847122</v>
      </c>
      <c r="AL38" s="155" t="n"/>
      <c r="AM38" s="269" t="inlineStr">
        <is>
          <t>Actual accrual; security $132,552 in Other</t>
        </is>
      </c>
      <c r="AN38">
        <f>IF(AND($B38=Subj_OccCode,Subj_BldgSF&gt;0,ABS($J38-Subj_BldgSF)&lt;=Subj_BldgSF*Subj_SizeTol),ABS($J38-Subj_BldgSF),NA())</f>
        <v/>
      </c>
      <c r="AO38">
        <f>IF(ISNA(AN38),NA(),AN38+ROW()/10000000)</f>
        <v/>
      </c>
      <c r="AR38" s="233">
        <f>IF(B38="","",IFERROR(INDEX(OCC_TABLE_DESC,MATCH(B38,OCC_TABLE_CODE,0)),"Unrecognized code"))</f>
        <v/>
      </c>
    </row>
    <row r="39" ht="15" customHeight="1" s="518">
      <c r="A39" s="155" t="inlineStr">
        <is>
          <t>P016</t>
        </is>
      </c>
      <c r="B39" s="150" t="n">
        <v>584</v>
      </c>
      <c r="C39" s="155" t="inlineStr">
        <is>
          <t>R0212546/R0212547</t>
        </is>
      </c>
      <c r="D39" s="269" t="inlineStr">
        <is>
          <t>2780 N Tower Rd</t>
        </is>
      </c>
      <c r="E39" s="155" t="inlineStr">
        <is>
          <t>Aurora</t>
        </is>
      </c>
      <c r="F39" s="155" t="inlineStr">
        <is>
          <t>CO</t>
        </is>
      </c>
      <c r="G39" s="155" t="inlineStr">
        <is>
          <t>Industrial</t>
        </is>
      </c>
      <c r="H39" s="269" t="inlineStr">
        <is>
          <t>Mega Warehouse NNN</t>
        </is>
      </c>
      <c r="I39" s="155" t="n">
        <v>1983</v>
      </c>
      <c r="J39" s="155" t="n">
        <v>384953</v>
      </c>
      <c r="K39" s="155" t="n">
        <v>2024</v>
      </c>
      <c r="L39" s="155" t="n"/>
      <c r="M39" s="155" t="n"/>
      <c r="N39" s="155" t="n"/>
      <c r="O39" s="155" t="n"/>
      <c r="P39" s="155" t="n"/>
      <c r="Q39" s="155" t="n"/>
      <c r="R39" s="155" t="n"/>
      <c r="S39" s="155" t="n"/>
      <c r="T39" s="155" t="n"/>
      <c r="U39" s="155" t="n"/>
      <c r="V39" s="155" t="n"/>
      <c r="W39" s="155" t="n"/>
      <c r="X39" s="155" t="n"/>
      <c r="Y39" s="155" t="n"/>
      <c r="Z39" s="155" t="n"/>
      <c r="AA39" s="155" t="n"/>
      <c r="AB39" s="155" t="n"/>
      <c r="AC39" s="155" t="n"/>
      <c r="AD39" s="155" t="n"/>
      <c r="AE39" s="155" t="n"/>
      <c r="AF39" s="155" t="n"/>
      <c r="AG39" s="155" t="n"/>
      <c r="AH39" s="155" t="n"/>
      <c r="AI39" s="155" t="n"/>
      <c r="AJ39" s="155" t="n"/>
      <c r="AK39" s="155" t="n"/>
      <c r="AL39" s="155" t="n"/>
      <c r="AM39" s="269" t="inlineStr">
        <is>
          <t>County proforma only; limited line-item detail available</t>
        </is>
      </c>
      <c r="AN39">
        <f>IF(AND($B39=Subj_OccCode,Subj_BldgSF&gt;0,ABS($J39-Subj_BldgSF)&lt;=Subj_BldgSF*Subj_SizeTol),ABS($J39-Subj_BldgSF),NA())</f>
        <v/>
      </c>
      <c r="AO39">
        <f>IF(ISNA(AN39),NA(),AN39+ROW()/10000000)</f>
        <v/>
      </c>
      <c r="AR39" s="233">
        <f>IF(B39="","",IFERROR(INDEX(OCC_TABLE_DESC,MATCH(B39,OCC_TABLE_CODE,0)),"Unrecognized code"))</f>
        <v/>
      </c>
    </row>
    <row r="40" ht="15" customHeight="1" s="518">
      <c r="A40" s="155" t="inlineStr">
        <is>
          <t>P017</t>
        </is>
      </c>
      <c r="B40" s="150" t="n">
        <v>210</v>
      </c>
      <c r="C40" s="155" t="inlineStr">
        <is>
          <t>R0098098</t>
        </is>
      </c>
      <c r="D40" s="269" t="inlineStr">
        <is>
          <t>1445 E 68th Ave</t>
        </is>
      </c>
      <c r="E40" s="155" t="inlineStr">
        <is>
          <t>Denver</t>
        </is>
      </c>
      <c r="F40" s="155" t="inlineStr">
        <is>
          <t>CO</t>
        </is>
      </c>
      <c r="G40" s="155" t="inlineStr">
        <is>
          <t>Industrial</t>
        </is>
      </c>
      <c r="H40" s="269" t="inlineStr">
        <is>
          <t>Industrial Office Mix</t>
        </is>
      </c>
      <c r="I40" s="155" t="n">
        <v>1972</v>
      </c>
      <c r="J40" s="155" t="n">
        <v>63348</v>
      </c>
      <c r="K40" s="155" t="n">
        <v>2024</v>
      </c>
      <c r="L40" s="155" t="n"/>
      <c r="M40" s="155" t="n"/>
      <c r="N40" s="155" t="n"/>
      <c r="O40" s="155" t="n"/>
      <c r="P40" s="155" t="n"/>
      <c r="Q40" s="155" t="n"/>
      <c r="R40" s="155" t="n"/>
      <c r="S40" s="155" t="n"/>
      <c r="T40" s="155" t="n"/>
      <c r="U40" s="155" t="n"/>
      <c r="V40" s="155" t="n"/>
      <c r="W40" s="155" t="n"/>
      <c r="X40" s="155" t="n"/>
      <c r="Y40" s="155" t="n"/>
      <c r="Z40" s="155" t="n"/>
      <c r="AA40" s="155" t="n"/>
      <c r="AB40" s="155" t="n"/>
      <c r="AC40" s="155" t="n"/>
      <c r="AD40" s="155" t="n"/>
      <c r="AE40" s="155" t="n"/>
      <c r="AF40" s="155" t="n"/>
      <c r="AG40" s="155" t="n"/>
      <c r="AH40" s="155" t="n"/>
      <c r="AI40" s="155" t="n"/>
      <c r="AJ40" s="155" t="n"/>
      <c r="AK40" s="155" t="n"/>
      <c r="AL40" s="155" t="n"/>
      <c r="AM40" s="269" t="inlineStr">
        <is>
          <t>County proforma 2024; YOC 1972/2006/2023 additions</t>
        </is>
      </c>
      <c r="AN40">
        <f>IF(AND($B40=Subj_OccCode,Subj_BldgSF&gt;0,ABS($J40-Subj_BldgSF)&lt;=Subj_BldgSF*Subj_SizeTol),ABS($J40-Subj_BldgSF),NA())</f>
        <v/>
      </c>
      <c r="AO40">
        <f>IF(ISNA(AN40),NA(),AN40+ROW()/10000000)</f>
        <v/>
      </c>
      <c r="AR40" s="233">
        <f>IF(B40="","",IFERROR(INDEX(OCC_TABLE_DESC,MATCH(B40,OCC_TABLE_CODE,0)),"Unrecognized code"))</f>
        <v/>
      </c>
    </row>
    <row r="41" ht="15" customHeight="1" s="518">
      <c r="A41" s="155" t="inlineStr">
        <is>
          <t>P018</t>
        </is>
      </c>
      <c r="B41" s="150" t="n">
        <v>406</v>
      </c>
      <c r="C41" s="155" t="inlineStr">
        <is>
          <t>R0103783</t>
        </is>
      </c>
      <c r="D41" s="269" t="inlineStr">
        <is>
          <t>2031 E 58th Ave</t>
        </is>
      </c>
      <c r="E41" s="155" t="inlineStr">
        <is>
          <t>Denver</t>
        </is>
      </c>
      <c r="F41" s="155" t="inlineStr">
        <is>
          <t>CO</t>
        </is>
      </c>
      <c r="G41" s="155" t="inlineStr">
        <is>
          <t>Industrial</t>
        </is>
      </c>
      <c r="H41" s="269" t="inlineStr">
        <is>
          <t>Storage Warehouse / Mod Office NNN</t>
        </is>
      </c>
      <c r="I41" s="155" t="n">
        <v>2004</v>
      </c>
      <c r="J41" s="155" t="n">
        <v>18720</v>
      </c>
      <c r="K41" s="155" t="n">
        <v>2024</v>
      </c>
      <c r="L41" s="160" t="n">
        <v>248796</v>
      </c>
      <c r="M41" s="155" t="n"/>
      <c r="N41" s="160" t="n">
        <v>299942</v>
      </c>
      <c r="O41" s="160" t="n">
        <v>3858</v>
      </c>
      <c r="P41" s="155" t="n"/>
      <c r="Q41" s="155" t="n"/>
      <c r="R41" s="155" t="n"/>
      <c r="S41" s="155" t="n"/>
      <c r="T41" s="155" t="n"/>
      <c r="U41" s="155" t="n"/>
      <c r="V41" s="155" t="n"/>
      <c r="W41" s="155" t="n"/>
      <c r="X41" s="155" t="n"/>
      <c r="Y41" s="155" t="n"/>
      <c r="Z41" s="155" t="n"/>
      <c r="AA41" s="155" t="n"/>
      <c r="AB41" s="155" t="n"/>
      <c r="AC41" s="160" t="n">
        <v>2427</v>
      </c>
      <c r="AD41" s="155" t="n"/>
      <c r="AE41" s="155" t="n"/>
      <c r="AF41" s="155" t="n"/>
      <c r="AG41" s="155" t="n"/>
      <c r="AH41" s="160" t="n">
        <v>6285</v>
      </c>
      <c r="AI41" s="160" t="n">
        <v>44860</v>
      </c>
      <c r="AJ41" s="160" t="n">
        <v>51145</v>
      </c>
      <c r="AK41" s="160" t="n">
        <v>248797</v>
      </c>
      <c r="AL41" s="155" t="n"/>
      <c r="AM41" s="269" t="inlineStr">
        <is>
          <t>NNN billed charges; EGI = base rent + NNN pass-throughs</t>
        </is>
      </c>
      <c r="AN41">
        <f>IF(AND($B41=Subj_OccCode,Subj_BldgSF&gt;0,ABS($J41-Subj_BldgSF)&lt;=Subj_BldgSF*Subj_SizeTol),ABS($J41-Subj_BldgSF),NA())</f>
        <v/>
      </c>
      <c r="AO41">
        <f>IF(ISNA(AN41),NA(),AN41+ROW()/10000000)</f>
        <v/>
      </c>
      <c r="AR41" s="233">
        <f>IF(B41="","",IFERROR(INDEX(OCC_TABLE_DESC,MATCH(B41,OCC_TABLE_CODE,0)),"Unrecognized code"))</f>
        <v/>
      </c>
    </row>
    <row r="42" ht="15" customHeight="1" s="518">
      <c r="A42" s="155" t="inlineStr">
        <is>
          <t>P018</t>
        </is>
      </c>
      <c r="B42" s="150" t="n">
        <v>406</v>
      </c>
      <c r="C42" s="155" t="inlineStr">
        <is>
          <t>R0103783</t>
        </is>
      </c>
      <c r="D42" s="269" t="inlineStr">
        <is>
          <t>2031 E 58th Ave</t>
        </is>
      </c>
      <c r="E42" s="155" t="inlineStr">
        <is>
          <t>Denver</t>
        </is>
      </c>
      <c r="F42" s="155" t="inlineStr">
        <is>
          <t>CO</t>
        </is>
      </c>
      <c r="G42" s="155" t="inlineStr">
        <is>
          <t>Industrial</t>
        </is>
      </c>
      <c r="H42" s="269" t="inlineStr">
        <is>
          <t>Storage Warehouse / Mod Office NNN</t>
        </is>
      </c>
      <c r="I42" s="155" t="n">
        <v>2004</v>
      </c>
      <c r="J42" s="155" t="n">
        <v>18720</v>
      </c>
      <c r="K42" s="155" t="n">
        <v>2023</v>
      </c>
      <c r="L42" s="160" t="n">
        <v>243918</v>
      </c>
      <c r="M42" s="155" t="n"/>
      <c r="N42" s="160" t="n">
        <v>295063</v>
      </c>
      <c r="O42" s="160" t="n">
        <v>3858</v>
      </c>
      <c r="P42" s="155" t="n"/>
      <c r="Q42" s="155" t="n"/>
      <c r="R42" s="155" t="n"/>
      <c r="S42" s="155" t="n"/>
      <c r="T42" s="155" t="n"/>
      <c r="U42" s="155" t="n"/>
      <c r="V42" s="155" t="n"/>
      <c r="W42" s="155" t="n"/>
      <c r="X42" s="155" t="n"/>
      <c r="Y42" s="155" t="n"/>
      <c r="Z42" s="155" t="n"/>
      <c r="AA42" s="155" t="n"/>
      <c r="AB42" s="155" t="n"/>
      <c r="AC42" s="160" t="n">
        <v>2427</v>
      </c>
      <c r="AD42" s="155" t="n"/>
      <c r="AE42" s="155" t="n"/>
      <c r="AF42" s="155" t="n"/>
      <c r="AG42" s="155" t="n"/>
      <c r="AH42" s="160" t="n">
        <v>6285</v>
      </c>
      <c r="AI42" s="160" t="n">
        <v>44860</v>
      </c>
      <c r="AJ42" s="160" t="n">
        <v>51145</v>
      </c>
      <c r="AK42" s="160" t="n">
        <v>243918</v>
      </c>
      <c r="AL42" s="155" t="n"/>
      <c r="AM42" s="269" t="inlineStr">
        <is>
          <t>NNN billed charges; EGI = base rent + NNN pass-throughs</t>
        </is>
      </c>
      <c r="AN42">
        <f>IF(AND($B42=Subj_OccCode,Subj_BldgSF&gt;0,ABS($J42-Subj_BldgSF)&lt;=Subj_BldgSF*Subj_SizeTol),ABS($J42-Subj_BldgSF),NA())</f>
        <v/>
      </c>
      <c r="AO42">
        <f>IF(ISNA(AN42),NA(),AN42+ROW()/10000000)</f>
        <v/>
      </c>
      <c r="AR42" s="233">
        <f>IF(B42="","",IFERROR(INDEX(OCC_TABLE_DESC,MATCH(B42,OCC_TABLE_CODE,0)),"Unrecognized code"))</f>
        <v/>
      </c>
    </row>
    <row r="43" ht="15" customHeight="1" s="518">
      <c r="A43" s="155" t="inlineStr">
        <is>
          <t>P019</t>
        </is>
      </c>
      <c r="B43" s="150" t="n">
        <v>407</v>
      </c>
      <c r="C43" s="155" t="inlineStr">
        <is>
          <t>R0210402/R0210403</t>
        </is>
      </c>
      <c r="D43" s="269" t="inlineStr">
        <is>
          <t>17190 E 85th Ave</t>
        </is>
      </c>
      <c r="E43" s="155" t="inlineStr">
        <is>
          <t>Commerce City</t>
        </is>
      </c>
      <c r="F43" s="155" t="inlineStr">
        <is>
          <t>CO</t>
        </is>
      </c>
      <c r="G43" s="155" t="inlineStr">
        <is>
          <t>Industrial</t>
        </is>
      </c>
      <c r="H43" s="269" t="inlineStr">
        <is>
          <t>Industrial Warehouse NNN</t>
        </is>
      </c>
      <c r="I43" s="155" t="n">
        <v>2021</v>
      </c>
      <c r="J43" s="155" t="n">
        <v>329940</v>
      </c>
      <c r="K43" s="155" t="n">
        <v>2024</v>
      </c>
      <c r="L43" s="155" t="n"/>
      <c r="M43" s="155" t="n"/>
      <c r="N43" s="155" t="n"/>
      <c r="O43" s="155" t="n"/>
      <c r="P43" s="155" t="n"/>
      <c r="Q43" s="155" t="n"/>
      <c r="R43" s="155" t="n"/>
      <c r="S43" s="155" t="n"/>
      <c r="T43" s="155" t="n"/>
      <c r="U43" s="155" t="n"/>
      <c r="V43" s="155" t="n"/>
      <c r="W43" s="155" t="n"/>
      <c r="X43" s="155" t="n"/>
      <c r="Y43" s="155" t="n"/>
      <c r="Z43" s="155" t="n"/>
      <c r="AA43" s="155" t="n"/>
      <c r="AB43" s="155" t="n"/>
      <c r="AC43" s="155" t="n"/>
      <c r="AD43" s="155" t="n"/>
      <c r="AE43" s="155" t="n"/>
      <c r="AF43" s="155" t="n"/>
      <c r="AG43" s="155" t="n"/>
      <c r="AH43" s="155" t="n"/>
      <c r="AI43" s="155" t="n"/>
      <c r="AJ43" s="155" t="n"/>
      <c r="AK43" s="155" t="n"/>
      <c r="AL43" s="155" t="n"/>
      <c r="AM43" s="269" t="inlineStr">
        <is>
          <t>Petitioner proforma 2024/25; limited line-item detail</t>
        </is>
      </c>
      <c r="AN43">
        <f>IF(AND($B43=Subj_OccCode,Subj_BldgSF&gt;0,ABS($J43-Subj_BldgSF)&lt;=Subj_BldgSF*Subj_SizeTol),ABS($J43-Subj_BldgSF),NA())</f>
        <v/>
      </c>
      <c r="AO43">
        <f>IF(ISNA(AN43),NA(),AN43+ROW()/10000000)</f>
        <v/>
      </c>
      <c r="AR43" s="233">
        <f>IF(B43="","",IFERROR(INDEX(OCC_TABLE_DESC,MATCH(B43,OCC_TABLE_CODE,0)),"Unrecognized code"))</f>
        <v/>
      </c>
    </row>
    <row r="44" ht="30" customHeight="1" s="518">
      <c r="A44" s="155" t="inlineStr">
        <is>
          <t>P020</t>
        </is>
      </c>
      <c r="B44" s="150" t="n">
        <v>584</v>
      </c>
      <c r="C44" s="155" t="inlineStr">
        <is>
          <t>R0209679</t>
        </is>
      </c>
      <c r="D44" s="269" t="inlineStr">
        <is>
          <t>17501 E 84th Ave</t>
        </is>
      </c>
      <c r="E44" s="155" t="inlineStr">
        <is>
          <t>Commerce City</t>
        </is>
      </c>
      <c r="F44" s="155" t="inlineStr">
        <is>
          <t>CO</t>
        </is>
      </c>
      <c r="G44" s="155" t="inlineStr">
        <is>
          <t>Industrial</t>
        </is>
      </c>
      <c r="H44" s="269" t="inlineStr">
        <is>
          <t>Mega Warehouse / Distribution Center NNN (Lowe's)</t>
        </is>
      </c>
      <c r="I44" s="155" t="n">
        <v>2021</v>
      </c>
      <c r="J44" s="155" t="n">
        <v>999780</v>
      </c>
      <c r="K44" s="155" t="n">
        <v>2023</v>
      </c>
      <c r="L44" s="160" t="n">
        <v>12396458</v>
      </c>
      <c r="M44" s="155" t="n"/>
      <c r="N44" s="160" t="n">
        <v>12396458</v>
      </c>
      <c r="O44" s="160" t="n">
        <v>150453</v>
      </c>
      <c r="P44" s="160" t="n">
        <v>100437</v>
      </c>
      <c r="Q44" s="155" t="n"/>
      <c r="R44" s="155" t="n"/>
      <c r="S44" s="155" t="n"/>
      <c r="T44" s="155" t="n"/>
      <c r="U44" s="155" t="n"/>
      <c r="V44" s="155" t="n"/>
      <c r="W44" s="155" t="n"/>
      <c r="X44" s="155" t="n"/>
      <c r="Y44" s="160" t="n">
        <v>53276</v>
      </c>
      <c r="Z44" s="155" t="n"/>
      <c r="AA44" s="160" t="n">
        <v>50764</v>
      </c>
      <c r="AB44" s="160" t="n">
        <v>117765</v>
      </c>
      <c r="AC44" s="155" t="n"/>
      <c r="AD44" s="155" t="n"/>
      <c r="AE44" s="155" t="n"/>
      <c r="AF44" s="155" t="n"/>
      <c r="AG44" s="160" t="n">
        <v>8384</v>
      </c>
      <c r="AH44" s="160" t="n">
        <v>1354674</v>
      </c>
      <c r="AI44" s="160" t="n">
        <v>4922300</v>
      </c>
      <c r="AJ44" s="160" t="n">
        <v>8277752</v>
      </c>
      <c r="AK44" s="160" t="n">
        <v>4118706</v>
      </c>
      <c r="AL44" s="155" t="n"/>
      <c r="AM44" s="269" t="inlineStr">
        <is>
          <t>Actual accrual; 2023 NOI inflated ~$2.8M by prior-yr RE tax adj; security in Other</t>
        </is>
      </c>
      <c r="AN44">
        <f>IF(AND($B44=Subj_OccCode,Subj_BldgSF&gt;0,ABS($J44-Subj_BldgSF)&lt;=Subj_BldgSF*Subj_SizeTol),ABS($J44-Subj_BldgSF),NA())</f>
        <v/>
      </c>
      <c r="AO44">
        <f>IF(ISNA(AN44),NA(),AN44+ROW()/10000000)</f>
        <v/>
      </c>
      <c r="AR44" s="233">
        <f>IF(B44="","",IFERROR(INDEX(OCC_TABLE_DESC,MATCH(B44,OCC_TABLE_CODE,0)),"Unrecognized code"))</f>
        <v/>
      </c>
    </row>
    <row r="45" ht="15" customHeight="1" s="518">
      <c r="A45" s="155" t="inlineStr">
        <is>
          <t>P020</t>
        </is>
      </c>
      <c r="B45" s="150" t="n">
        <v>584</v>
      </c>
      <c r="C45" s="155" t="inlineStr">
        <is>
          <t>R0209679</t>
        </is>
      </c>
      <c r="D45" s="269" t="inlineStr">
        <is>
          <t>17501 E 84th Ave</t>
        </is>
      </c>
      <c r="E45" s="155" t="inlineStr">
        <is>
          <t>Commerce City</t>
        </is>
      </c>
      <c r="F45" s="155" t="inlineStr">
        <is>
          <t>CO</t>
        </is>
      </c>
      <c r="G45" s="155" t="inlineStr">
        <is>
          <t>Industrial</t>
        </is>
      </c>
      <c r="H45" s="269" t="inlineStr">
        <is>
          <t>Mega Warehouse / Distribution Center NNN (Lowe's)</t>
        </is>
      </c>
      <c r="I45" s="155" t="n">
        <v>2021</v>
      </c>
      <c r="J45" s="155" t="n">
        <v>999780</v>
      </c>
      <c r="K45" s="155" t="n">
        <v>2024</v>
      </c>
      <c r="L45" s="160" t="n">
        <v>10000751</v>
      </c>
      <c r="M45" s="155" t="n"/>
      <c r="N45" s="160" t="n">
        <v>10000751</v>
      </c>
      <c r="O45" s="160" t="n">
        <v>171963</v>
      </c>
      <c r="P45" s="160" t="n">
        <v>101559</v>
      </c>
      <c r="Q45" s="155" t="n"/>
      <c r="R45" s="155" t="n"/>
      <c r="S45" s="155" t="n"/>
      <c r="T45" s="155" t="n"/>
      <c r="U45" s="155" t="n"/>
      <c r="V45" s="155" t="n"/>
      <c r="W45" s="155" t="n"/>
      <c r="X45" s="155" t="n"/>
      <c r="Y45" s="160" t="n">
        <v>120481</v>
      </c>
      <c r="Z45" s="155" t="n"/>
      <c r="AA45" s="160" t="n">
        <v>37766</v>
      </c>
      <c r="AB45" s="160" t="n">
        <v>131877</v>
      </c>
      <c r="AC45" s="155" t="n"/>
      <c r="AD45" s="155" t="n"/>
      <c r="AE45" s="155" t="n"/>
      <c r="AF45" s="155" t="n"/>
      <c r="AG45" s="160" t="n">
        <v>30799</v>
      </c>
      <c r="AH45" s="160" t="n">
        <v>797409</v>
      </c>
      <c r="AI45" s="160" t="n">
        <v>4996600</v>
      </c>
      <c r="AJ45" s="160" t="n">
        <v>5794009</v>
      </c>
      <c r="AK45" s="160" t="n">
        <v>4206742</v>
      </c>
      <c r="AL45" s="155" t="n"/>
      <c r="AM45" s="269" t="inlineStr">
        <is>
          <t>Actual accrual; security $30,799 in Other</t>
        </is>
      </c>
      <c r="AN45">
        <f>IF(AND($B45=Subj_OccCode,Subj_BldgSF&gt;0,ABS($J45-Subj_BldgSF)&lt;=Subj_BldgSF*Subj_SizeTol),ABS($J45-Subj_BldgSF),NA())</f>
        <v/>
      </c>
      <c r="AO45">
        <f>IF(ISNA(AN45),NA(),AN45+ROW()/10000000)</f>
        <v/>
      </c>
      <c r="AR45" s="233">
        <f>IF(B45="","",IFERROR(INDEX(OCC_TABLE_DESC,MATCH(B45,OCC_TABLE_CODE,0)),"Unrecognized code"))</f>
        <v/>
      </c>
    </row>
    <row r="46" ht="15" customHeight="1" s="518">
      <c r="A46" s="155" t="inlineStr">
        <is>
          <t>P021</t>
        </is>
      </c>
      <c r="B46" s="150" t="n">
        <v>210</v>
      </c>
      <c r="C46" s="155" t="inlineStr">
        <is>
          <t>R0091931</t>
        </is>
      </c>
      <c r="D46" s="269" t="inlineStr">
        <is>
          <t>6300 E. 58th Ave</t>
        </is>
      </c>
      <c r="E46" s="155" t="inlineStr">
        <is>
          <t>Commerce City</t>
        </is>
      </c>
      <c r="F46" s="155" t="inlineStr">
        <is>
          <t>CO</t>
        </is>
      </c>
      <c r="G46" s="155" t="inlineStr">
        <is>
          <t>Industrial</t>
        </is>
      </c>
      <c r="H46" s="269" t="inlineStr">
        <is>
          <t>Multi-Tenant Industrial/Flex</t>
        </is>
      </c>
      <c r="I46" s="155" t="n">
        <v>1999</v>
      </c>
      <c r="J46" s="155" t="n">
        <v>90000</v>
      </c>
      <c r="K46" s="155" t="n">
        <v>2023</v>
      </c>
      <c r="L46" s="160" t="n">
        <v>949132</v>
      </c>
      <c r="M46" s="155" t="n"/>
      <c r="N46" s="160" t="n">
        <v>1238350</v>
      </c>
      <c r="O46" s="160" t="n">
        <v>15839</v>
      </c>
      <c r="P46" s="160" t="n">
        <v>46438</v>
      </c>
      <c r="Q46" s="160" t="n">
        <v>3968</v>
      </c>
      <c r="R46" s="155" t="n"/>
      <c r="S46" s="160" t="n">
        <v>27292</v>
      </c>
      <c r="T46" s="160" t="n">
        <v>6577</v>
      </c>
      <c r="U46" s="155" t="n"/>
      <c r="V46" s="155" t="n"/>
      <c r="W46" s="155" t="n"/>
      <c r="X46" s="160" t="n">
        <v>23213</v>
      </c>
      <c r="Y46" s="160" t="n">
        <v>61050</v>
      </c>
      <c r="Z46" s="160" t="n">
        <v>930</v>
      </c>
      <c r="AA46" s="160" t="n">
        <v>4777</v>
      </c>
      <c r="AB46" s="160" t="n">
        <v>11271</v>
      </c>
      <c r="AC46" s="160" t="n">
        <v>16978</v>
      </c>
      <c r="AD46" s="160" t="n">
        <v>14167</v>
      </c>
      <c r="AE46" s="160" t="n">
        <v>5593</v>
      </c>
      <c r="AF46" s="160" t="n">
        <v>19760</v>
      </c>
      <c r="AG46" s="155" t="n"/>
      <c r="AH46" s="160" t="n">
        <v>162482</v>
      </c>
      <c r="AI46" s="160" t="n">
        <v>283603</v>
      </c>
      <c r="AJ46" s="160" t="n">
        <v>446085</v>
      </c>
      <c r="AK46" s="160" t="n">
        <v>792265</v>
      </c>
      <c r="AL46" s="155" t="n"/>
      <c r="AM46" s="269" t="inlineStr">
        <is>
          <t>Actual accrual; parking sweep in Trash; admin fees in Mgmt</t>
        </is>
      </c>
      <c r="AN46">
        <f>IF(AND($B46=Subj_OccCode,Subj_BldgSF&gt;0,ABS($J46-Subj_BldgSF)&lt;=Subj_BldgSF*Subj_SizeTol),ABS($J46-Subj_BldgSF),NA())</f>
        <v/>
      </c>
      <c r="AO46">
        <f>IF(ISNA(AN46),NA(),AN46+ROW()/10000000)</f>
        <v/>
      </c>
      <c r="AR46" s="233">
        <f>IF(B46="","",IFERROR(INDEX(OCC_TABLE_DESC,MATCH(B46,OCC_TABLE_CODE,0)),"Unrecognized code"))</f>
        <v/>
      </c>
    </row>
    <row r="47" ht="30" customHeight="1" s="518">
      <c r="A47" s="155" t="inlineStr">
        <is>
          <t>P021</t>
        </is>
      </c>
      <c r="B47" s="150" t="n">
        <v>210</v>
      </c>
      <c r="C47" s="155" t="inlineStr">
        <is>
          <t>R0091931</t>
        </is>
      </c>
      <c r="D47" s="269" t="inlineStr">
        <is>
          <t>6300 E. 58th Ave</t>
        </is>
      </c>
      <c r="E47" s="155" t="inlineStr">
        <is>
          <t>Commerce City</t>
        </is>
      </c>
      <c r="F47" s="155" t="inlineStr">
        <is>
          <t>CO</t>
        </is>
      </c>
      <c r="G47" s="155" t="inlineStr">
        <is>
          <t>Industrial</t>
        </is>
      </c>
      <c r="H47" s="269" t="inlineStr">
        <is>
          <t>Multi-Tenant Industrial/Flex</t>
        </is>
      </c>
      <c r="I47" s="155" t="n">
        <v>1999</v>
      </c>
      <c r="J47" s="155" t="n">
        <v>90000</v>
      </c>
      <c r="K47" s="155" t="n">
        <v>2024</v>
      </c>
      <c r="L47" s="160" t="n">
        <v>911911</v>
      </c>
      <c r="M47" s="155" t="n"/>
      <c r="N47" s="160" t="n">
        <v>1307178</v>
      </c>
      <c r="O47" s="160" t="n">
        <v>15815</v>
      </c>
      <c r="P47" s="160" t="n">
        <v>65253</v>
      </c>
      <c r="Q47" s="160" t="n">
        <v>620</v>
      </c>
      <c r="R47" s="155" t="n"/>
      <c r="S47" s="160" t="n">
        <v>35961</v>
      </c>
      <c r="T47" s="160" t="n">
        <v>7833</v>
      </c>
      <c r="U47" s="155" t="n"/>
      <c r="V47" s="155" t="n"/>
      <c r="W47" s="155" t="n"/>
      <c r="X47" s="160" t="n">
        <v>22008</v>
      </c>
      <c r="Y47" s="160" t="n">
        <v>66422</v>
      </c>
      <c r="Z47" s="160" t="n">
        <v>1176</v>
      </c>
      <c r="AA47" s="160" t="n">
        <v>4463</v>
      </c>
      <c r="AB47" s="160" t="n">
        <v>14953</v>
      </c>
      <c r="AC47" s="160" t="n">
        <v>20592</v>
      </c>
      <c r="AD47" s="160" t="n">
        <v>15736</v>
      </c>
      <c r="AE47" s="160" t="n">
        <v>5731</v>
      </c>
      <c r="AF47" s="160" t="n">
        <v>21467</v>
      </c>
      <c r="AG47" s="155" t="n"/>
      <c r="AH47" s="160" t="n">
        <v>158481</v>
      </c>
      <c r="AI47" s="160" t="n">
        <v>290988</v>
      </c>
      <c r="AJ47" s="160" t="n">
        <v>449469</v>
      </c>
      <c r="AK47" s="160" t="n">
        <v>842728</v>
      </c>
      <c r="AL47" s="155" t="n"/>
      <c r="AM47" s="269" t="inlineStr">
        <is>
          <t>Actual accrual; snow $14,953 also listed under ext R&amp;M; security/admin in ext maint</t>
        </is>
      </c>
      <c r="AN47">
        <f>IF(AND($B47=Subj_OccCode,Subj_BldgSF&gt;0,ABS($J47-Subj_BldgSF)&lt;=Subj_BldgSF*Subj_SizeTol),ABS($J47-Subj_BldgSF),NA())</f>
        <v/>
      </c>
      <c r="AO47">
        <f>IF(ISNA(AN47),NA(),AN47+ROW()/10000000)</f>
        <v/>
      </c>
      <c r="AR47" s="233">
        <f>IF(B47="","",IFERROR(INDEX(OCC_TABLE_DESC,MATCH(B47,OCC_TABLE_CODE,0)),"Unrecognized code"))</f>
        <v/>
      </c>
    </row>
    <row r="48" ht="30" customHeight="1" s="518">
      <c r="A48" s="155" t="inlineStr">
        <is>
          <t>P022</t>
        </is>
      </c>
      <c r="B48" s="150" t="n">
        <v>210</v>
      </c>
      <c r="C48" s="155" t="inlineStr">
        <is>
          <t>R0111559</t>
        </is>
      </c>
      <c r="D48" s="269" t="inlineStr">
        <is>
          <t>3590 N. Himalaya Rd (Bldg 6)</t>
        </is>
      </c>
      <c r="E48" s="155" t="inlineStr">
        <is>
          <t>Aurora</t>
        </is>
      </c>
      <c r="F48" s="155" t="inlineStr">
        <is>
          <t>CO</t>
        </is>
      </c>
      <c r="G48" s="155" t="inlineStr">
        <is>
          <t>Industrial</t>
        </is>
      </c>
      <c r="H48" s="269" t="inlineStr">
        <is>
          <t>Multi-Tenant Industrial/Flex NNN</t>
        </is>
      </c>
      <c r="I48" s="155" t="n"/>
      <c r="J48" s="155" t="n"/>
      <c r="K48" s="155" t="n">
        <v>2024</v>
      </c>
      <c r="L48" s="160" t="n">
        <v>548918</v>
      </c>
      <c r="M48" s="155" t="n"/>
      <c r="N48" s="160" t="n">
        <v>766859</v>
      </c>
      <c r="O48" s="160" t="n">
        <v>23025</v>
      </c>
      <c r="P48" s="155" t="n"/>
      <c r="Q48" s="155" t="n"/>
      <c r="R48" s="155" t="n"/>
      <c r="S48" s="155" t="n"/>
      <c r="T48" s="155" t="n"/>
      <c r="U48" s="155" t="n"/>
      <c r="V48" s="155" t="n"/>
      <c r="W48" s="155" t="n"/>
      <c r="X48" s="155" t="n"/>
      <c r="Y48" s="155" t="n"/>
      <c r="Z48" s="155" t="n"/>
      <c r="AA48" s="155" t="n"/>
      <c r="AB48" s="155" t="n"/>
      <c r="AC48" s="155" t="n"/>
      <c r="AD48" s="160" t="n">
        <v>7986</v>
      </c>
      <c r="AE48" s="160" t="n">
        <v>33669</v>
      </c>
      <c r="AF48" s="160" t="n">
        <v>41655</v>
      </c>
      <c r="AG48" s="155" t="n"/>
      <c r="AH48" s="155" t="n"/>
      <c r="AI48" s="160" t="n">
        <v>129107</v>
      </c>
      <c r="AJ48" s="160" t="n">
        <v>250157</v>
      </c>
      <c r="AK48" s="160" t="n">
        <v>374789</v>
      </c>
      <c r="AL48" s="155" t="n"/>
      <c r="AM48" s="269" t="inlineStr">
        <is>
          <t>2024 only – 2023 was transitional vacancy year; SF not confirmed; approx figures</t>
        </is>
      </c>
      <c r="AN48">
        <f>IF(AND($B48=Subj_OccCode,Subj_BldgSF&gt;0,ABS($J48-Subj_BldgSF)&lt;=Subj_BldgSF*Subj_SizeTol),ABS($J48-Subj_BldgSF),NA())</f>
        <v/>
      </c>
      <c r="AO48">
        <f>IF(ISNA(AN48),NA(),AN48+ROW()/10000000)</f>
        <v/>
      </c>
      <c r="AR48" s="233">
        <f>IF(B48="","",IFERROR(INDEX(OCC_TABLE_DESC,MATCH(B48,OCC_TABLE_CODE,0)),"Unrecognized code"))</f>
        <v/>
      </c>
    </row>
    <row r="49" ht="30" customHeight="1" s="518">
      <c r="A49" s="155" t="inlineStr">
        <is>
          <t>P023</t>
        </is>
      </c>
      <c r="B49" s="150" t="n">
        <v>407</v>
      </c>
      <c r="C49" s="155" t="inlineStr">
        <is>
          <t>R0191098</t>
        </is>
      </c>
      <c r="D49" s="269" t="inlineStr">
        <is>
          <t>19754 E. 35th Dr (Bldg 4)</t>
        </is>
      </c>
      <c r="E49" s="155" t="inlineStr">
        <is>
          <t>Aurora</t>
        </is>
      </c>
      <c r="F49" s="155" t="inlineStr">
        <is>
          <t>CO</t>
        </is>
      </c>
      <c r="G49" s="155" t="inlineStr">
        <is>
          <t>Industrial</t>
        </is>
      </c>
      <c r="H49" s="269" t="inlineStr">
        <is>
          <t>Single-Tenant Industrial NNN</t>
        </is>
      </c>
      <c r="I49" s="155" t="n"/>
      <c r="J49" s="155" t="n">
        <v>155033</v>
      </c>
      <c r="K49" s="155" t="n">
        <v>2023</v>
      </c>
      <c r="L49" s="160" t="n">
        <v>969912</v>
      </c>
      <c r="M49" s="155" t="n"/>
      <c r="N49" s="160" t="n">
        <v>968340</v>
      </c>
      <c r="O49" s="160" t="n">
        <v>20444</v>
      </c>
      <c r="P49" s="160" t="n">
        <v>29946</v>
      </c>
      <c r="Q49" s="155" t="n"/>
      <c r="R49" s="155" t="n"/>
      <c r="S49" s="155" t="n"/>
      <c r="T49" s="155" t="n"/>
      <c r="U49" s="155" t="n"/>
      <c r="V49" s="155" t="n"/>
      <c r="W49" s="155" t="n"/>
      <c r="X49" s="155" t="n"/>
      <c r="Y49" s="155" t="n"/>
      <c r="Z49" s="155" t="n"/>
      <c r="AA49" s="160" t="n">
        <v>3990</v>
      </c>
      <c r="AB49" s="155" t="n"/>
      <c r="AC49" s="155" t="n"/>
      <c r="AD49" s="160" t="n">
        <v>37966</v>
      </c>
      <c r="AE49" s="160" t="n">
        <v>13715</v>
      </c>
      <c r="AF49" s="160" t="n">
        <v>51681</v>
      </c>
      <c r="AG49" s="155" t="n"/>
      <c r="AH49" s="160" t="n">
        <v>295391</v>
      </c>
      <c r="AI49" s="160" t="n">
        <v>92518</v>
      </c>
      <c r="AJ49" s="160" t="n">
        <v>387909</v>
      </c>
      <c r="AK49" s="160" t="n">
        <v>580431</v>
      </c>
      <c r="AL49" s="155" t="n"/>
      <c r="AM49" s="269" t="inlineStr">
        <is>
          <t>NNN; tenant pays most R&amp;M directly; Quality Custom Distribution lease thru 12/31/2029</t>
        </is>
      </c>
      <c r="AN49">
        <f>IF(AND($B49=Subj_OccCode,Subj_BldgSF&gt;0,ABS($J49-Subj_BldgSF)&lt;=Subj_BldgSF*Subj_SizeTol),ABS($J49-Subj_BldgSF),NA())</f>
        <v/>
      </c>
      <c r="AO49">
        <f>IF(ISNA(AN49),NA(),AN49+ROW()/10000000)</f>
        <v/>
      </c>
      <c r="AR49" s="233">
        <f>IF(B49="","",IFERROR(INDEX(OCC_TABLE_DESC,MATCH(B49,OCC_TABLE_CODE,0)),"Unrecognized code"))</f>
        <v/>
      </c>
    </row>
    <row r="50" ht="15" customHeight="1" s="518">
      <c r="A50" s="155" t="inlineStr">
        <is>
          <t>P023</t>
        </is>
      </c>
      <c r="B50" s="150" t="n">
        <v>407</v>
      </c>
      <c r="C50" s="155" t="inlineStr">
        <is>
          <t>R0191098</t>
        </is>
      </c>
      <c r="D50" s="269" t="inlineStr">
        <is>
          <t>19754 E. 35th Dr (Bldg 4)</t>
        </is>
      </c>
      <c r="E50" s="155" t="inlineStr">
        <is>
          <t>Aurora</t>
        </is>
      </c>
      <c r="F50" s="155" t="inlineStr">
        <is>
          <t>CO</t>
        </is>
      </c>
      <c r="G50" s="155" t="inlineStr">
        <is>
          <t>Industrial</t>
        </is>
      </c>
      <c r="H50" s="269" t="inlineStr">
        <is>
          <t>Single-Tenant Industrial NNN</t>
        </is>
      </c>
      <c r="I50" s="155" t="n"/>
      <c r="J50" s="155" t="n">
        <v>155033</v>
      </c>
      <c r="K50" s="155" t="n">
        <v>2024</v>
      </c>
      <c r="L50" s="160" t="n">
        <v>1011167</v>
      </c>
      <c r="M50" s="155" t="n"/>
      <c r="N50" s="160" t="n">
        <v>1011168</v>
      </c>
      <c r="O50" s="160" t="n">
        <v>28366</v>
      </c>
      <c r="P50" s="160" t="n">
        <v>29365</v>
      </c>
      <c r="Q50" s="155" t="n"/>
      <c r="R50" s="155" t="n"/>
      <c r="S50" s="155" t="n"/>
      <c r="T50" s="155" t="n"/>
      <c r="U50" s="155" t="n"/>
      <c r="V50" s="155" t="n"/>
      <c r="W50" s="155" t="n"/>
      <c r="X50" s="155" t="n"/>
      <c r="Y50" s="155" t="n"/>
      <c r="Z50" s="155" t="n"/>
      <c r="AA50" s="155" t="n"/>
      <c r="AB50" s="155" t="n"/>
      <c r="AC50" s="155" t="n"/>
      <c r="AD50" s="160" t="n">
        <v>36662</v>
      </c>
      <c r="AE50" s="160" t="n">
        <v>27344</v>
      </c>
      <c r="AF50" s="160" t="n">
        <v>64006</v>
      </c>
      <c r="AG50" s="155" t="n"/>
      <c r="AH50" s="160" t="n">
        <v>264833</v>
      </c>
      <c r="AI50" s="160" t="n">
        <v>120903</v>
      </c>
      <c r="AJ50" s="160" t="n">
        <v>385736</v>
      </c>
      <c r="AK50" s="160" t="n">
        <v>625432</v>
      </c>
      <c r="AL50" s="155" t="n"/>
      <c r="AM50" s="269" t="inlineStr">
        <is>
          <t>NNN; tenant pays most R&amp;M directly</t>
        </is>
      </c>
      <c r="AN50">
        <f>IF(AND($B50=Subj_OccCode,Subj_BldgSF&gt;0,ABS($J50-Subj_BldgSF)&lt;=Subj_BldgSF*Subj_SizeTol),ABS($J50-Subj_BldgSF),NA())</f>
        <v/>
      </c>
      <c r="AO50">
        <f>IF(ISNA(AN50),NA(),AN50+ROW()/10000000)</f>
        <v/>
      </c>
      <c r="AR50" s="233">
        <f>IF(B50="","",IFERROR(INDEX(OCC_TABLE_DESC,MATCH(B50,OCC_TABLE_CODE,0)),"Unrecognized code"))</f>
        <v/>
      </c>
    </row>
    <row r="51" ht="30" customHeight="1" s="518">
      <c r="A51" s="155" t="inlineStr">
        <is>
          <t>P024</t>
        </is>
      </c>
      <c r="B51" s="150" t="n">
        <v>407</v>
      </c>
      <c r="C51" s="155" t="inlineStr">
        <is>
          <t>R0111560</t>
        </is>
      </c>
      <c r="D51" s="269" t="inlineStr">
        <is>
          <t>20320 E. 36th Dr (Bldg 7)</t>
        </is>
      </c>
      <c r="E51" s="155" t="inlineStr">
        <is>
          <t>Aurora</t>
        </is>
      </c>
      <c r="F51" s="155" t="inlineStr">
        <is>
          <t>CO</t>
        </is>
      </c>
      <c r="G51" s="155" t="inlineStr">
        <is>
          <t>Industrial</t>
        </is>
      </c>
      <c r="H51" s="269" t="inlineStr">
        <is>
          <t>Single-Tenant Industrial NNN</t>
        </is>
      </c>
      <c r="I51" s="155" t="n"/>
      <c r="J51" s="155" t="n">
        <v>200000</v>
      </c>
      <c r="K51" s="155" t="n">
        <v>2023</v>
      </c>
      <c r="L51" s="160" t="n">
        <v>1391167</v>
      </c>
      <c r="M51" s="155" t="n"/>
      <c r="N51" s="160" t="n">
        <v>1357167</v>
      </c>
      <c r="O51" s="160" t="n">
        <v>4008</v>
      </c>
      <c r="P51" s="155" t="n"/>
      <c r="Q51" s="155" t="n"/>
      <c r="R51" s="155" t="n"/>
      <c r="S51" s="155" t="n"/>
      <c r="T51" s="155" t="n"/>
      <c r="U51" s="155" t="n"/>
      <c r="V51" s="155" t="n"/>
      <c r="W51" s="155" t="n"/>
      <c r="X51" s="155" t="n"/>
      <c r="Y51" s="155" t="n"/>
      <c r="Z51" s="155" t="n"/>
      <c r="AA51" s="155" t="n"/>
      <c r="AB51" s="155" t="n"/>
      <c r="AC51" s="155" t="n"/>
      <c r="AD51" s="155" t="n"/>
      <c r="AE51" s="160" t="n">
        <v>2419</v>
      </c>
      <c r="AF51" s="160" t="n">
        <v>2419</v>
      </c>
      <c r="AG51" s="155" t="n"/>
      <c r="AH51" s="160" t="n">
        <v>235792</v>
      </c>
      <c r="AI51" s="160" t="n">
        <v>3481</v>
      </c>
      <c r="AJ51" s="160" t="n">
        <v>239273</v>
      </c>
      <c r="AK51" s="160" t="n">
        <v>1117893</v>
      </c>
      <c r="AL51" s="155" t="n"/>
      <c r="AM51" s="269" t="inlineStr">
        <is>
          <t>FedEx NNN thru 4/30/2024; tenant pays nearly all expenses; 2024 excluded (lease expiry vacancy)</t>
        </is>
      </c>
      <c r="AN51">
        <f>IF(AND($B51=Subj_OccCode,Subj_BldgSF&gt;0,ABS($J51-Subj_BldgSF)&lt;=Subj_BldgSF*Subj_SizeTol),ABS($J51-Subj_BldgSF),NA())</f>
        <v/>
      </c>
      <c r="AO51">
        <f>IF(ISNA(AN51),NA(),AN51+ROW()/10000000)</f>
        <v/>
      </c>
      <c r="AR51" s="233">
        <f>IF(B51="","",IFERROR(INDEX(OCC_TABLE_DESC,MATCH(B51,OCC_TABLE_CODE,0)),"Unrecognized code"))</f>
        <v/>
      </c>
    </row>
    <row r="52" ht="30" customHeight="1" s="518">
      <c r="A52" s="155" t="inlineStr">
        <is>
          <t>P025</t>
        </is>
      </c>
      <c r="B52" s="150" t="n">
        <v>210</v>
      </c>
      <c r="C52" s="155" t="inlineStr">
        <is>
          <t>R0191099</t>
        </is>
      </c>
      <c r="D52" s="269" t="inlineStr">
        <is>
          <t>3559 N. Himalaya Rd (Bldg 5)</t>
        </is>
      </c>
      <c r="E52" s="155" t="inlineStr">
        <is>
          <t>Aurora</t>
        </is>
      </c>
      <c r="F52" s="155" t="inlineStr">
        <is>
          <t>CO</t>
        </is>
      </c>
      <c r="G52" s="155" t="inlineStr">
        <is>
          <t>Industrial</t>
        </is>
      </c>
      <c r="H52" s="269" t="inlineStr">
        <is>
          <t>Multi-Tenant Industrial NNN</t>
        </is>
      </c>
      <c r="I52" s="155" t="n"/>
      <c r="J52" s="155" t="n">
        <v>159047</v>
      </c>
      <c r="K52" s="155" t="n">
        <v>2023</v>
      </c>
      <c r="L52" s="155" t="n"/>
      <c r="M52" s="155" t="n"/>
      <c r="N52" s="160" t="n">
        <v>2146251</v>
      </c>
      <c r="O52" s="155" t="n"/>
      <c r="P52" s="160" t="n">
        <v>5837</v>
      </c>
      <c r="Q52" s="155" t="n"/>
      <c r="R52" s="155" t="n"/>
      <c r="S52" s="155" t="n"/>
      <c r="T52" s="155" t="n"/>
      <c r="U52" s="155" t="n"/>
      <c r="V52" s="155" t="n"/>
      <c r="W52" s="155" t="n"/>
      <c r="X52" s="155" t="n"/>
      <c r="Y52" s="155" t="n"/>
      <c r="Z52" s="155" t="n"/>
      <c r="AA52" s="155" t="n"/>
      <c r="AB52" s="160" t="n">
        <v>2813</v>
      </c>
      <c r="AC52" s="155" t="n"/>
      <c r="AD52" s="155" t="n"/>
      <c r="AE52" s="155" t="n"/>
      <c r="AF52" s="155" t="n"/>
      <c r="AG52" s="155" t="n"/>
      <c r="AH52" s="155" t="n"/>
      <c r="AI52" s="155" t="n"/>
      <c r="AJ52" s="160" t="n">
        <v>1015103</v>
      </c>
      <c r="AK52" s="160" t="n">
        <v>1131148</v>
      </c>
      <c r="AL52" s="155" t="n"/>
      <c r="AM52" s="269" t="inlineStr">
        <is>
          <t>Multi-tenant NNN; limited expense detail available; approx figures</t>
        </is>
      </c>
      <c r="AN52">
        <f>IF(AND($B52=Subj_OccCode,Subj_BldgSF&gt;0,ABS($J52-Subj_BldgSF)&lt;=Subj_BldgSF*Subj_SizeTol),ABS($J52-Subj_BldgSF),NA())</f>
        <v/>
      </c>
      <c r="AO52">
        <f>IF(ISNA(AN52),NA(),AN52+ROW()/10000000)</f>
        <v/>
      </c>
      <c r="AR52" s="233">
        <f>IF(B52="","",IFERROR(INDEX(OCC_TABLE_DESC,MATCH(B52,OCC_TABLE_CODE,0)),"Unrecognized code"))</f>
        <v/>
      </c>
    </row>
    <row r="53" ht="30" customHeight="1" s="518">
      <c r="A53" s="155" t="inlineStr">
        <is>
          <t>P025</t>
        </is>
      </c>
      <c r="B53" s="150" t="n">
        <v>210</v>
      </c>
      <c r="C53" s="155" t="inlineStr">
        <is>
          <t>R0191099</t>
        </is>
      </c>
      <c r="D53" s="269" t="inlineStr">
        <is>
          <t>3559 N. Himalaya Rd (Bldg 5)</t>
        </is>
      </c>
      <c r="E53" s="155" t="inlineStr">
        <is>
          <t>Aurora</t>
        </is>
      </c>
      <c r="F53" s="155" t="inlineStr">
        <is>
          <t>CO</t>
        </is>
      </c>
      <c r="G53" s="155" t="inlineStr">
        <is>
          <t>Industrial</t>
        </is>
      </c>
      <c r="H53" s="269" t="inlineStr">
        <is>
          <t>Multi-Tenant Industrial NNN</t>
        </is>
      </c>
      <c r="I53" s="155" t="n"/>
      <c r="J53" s="155" t="n">
        <v>159047</v>
      </c>
      <c r="K53" s="155" t="n">
        <v>2024</v>
      </c>
      <c r="L53" s="155" t="n"/>
      <c r="M53" s="155" t="n"/>
      <c r="N53" s="160" t="n">
        <v>2148251</v>
      </c>
      <c r="O53" s="155" t="n"/>
      <c r="P53" s="155" t="n"/>
      <c r="Q53" s="155" t="n"/>
      <c r="R53" s="155" t="n"/>
      <c r="S53" s="155" t="n"/>
      <c r="T53" s="155" t="n"/>
      <c r="U53" s="155" t="n"/>
      <c r="V53" s="155" t="n"/>
      <c r="W53" s="155" t="n"/>
      <c r="X53" s="155" t="n"/>
      <c r="Y53" s="155" t="n"/>
      <c r="Z53" s="155" t="n"/>
      <c r="AA53" s="155" t="n"/>
      <c r="AB53" s="160" t="n">
        <v>2813</v>
      </c>
      <c r="AC53" s="155" t="n"/>
      <c r="AD53" s="155" t="n"/>
      <c r="AE53" s="155" t="n"/>
      <c r="AF53" s="155" t="n"/>
      <c r="AG53" s="155" t="n"/>
      <c r="AH53" s="155" t="n"/>
      <c r="AI53" s="155" t="n"/>
      <c r="AJ53" s="160" t="n">
        <v>1176766</v>
      </c>
      <c r="AK53" s="160" t="n">
        <v>971485</v>
      </c>
      <c r="AL53" s="155" t="n"/>
      <c r="AM53" s="269" t="inlineStr">
        <is>
          <t>Multi-tenant NNN; limited expense detail available; approx figures</t>
        </is>
      </c>
      <c r="AN53">
        <f>IF(AND($B53=Subj_OccCode,Subj_BldgSF&gt;0,ABS($J53-Subj_BldgSF)&lt;=Subj_BldgSF*Subj_SizeTol),ABS($J53-Subj_BldgSF),NA())</f>
        <v/>
      </c>
      <c r="AO53">
        <f>IF(ISNA(AN53),NA(),AN53+ROW()/10000000)</f>
        <v/>
      </c>
      <c r="AR53" s="233">
        <f>IF(B53="","",IFERROR(INDEX(OCC_TABLE_DESC,MATCH(B53,OCC_TABLE_CODE,0)),"Unrecognized code"))</f>
        <v/>
      </c>
    </row>
    <row r="54" ht="30" customHeight="1" s="518">
      <c r="A54" s="155" t="inlineStr">
        <is>
          <t>P026</t>
        </is>
      </c>
      <c r="B54" s="150" t="n">
        <v>406</v>
      </c>
      <c r="C54" s="155" t="inlineStr">
        <is>
          <t>R0092667</t>
        </is>
      </c>
      <c r="D54" s="269" t="inlineStr">
        <is>
          <t>4901 Locust St</t>
        </is>
      </c>
      <c r="E54" s="155" t="inlineStr">
        <is>
          <t>Commerce City</t>
        </is>
      </c>
      <c r="F54" s="155" t="inlineStr">
        <is>
          <t>CO</t>
        </is>
      </c>
      <c r="G54" s="155" t="inlineStr">
        <is>
          <t>Industrial</t>
        </is>
      </c>
      <c r="H54" s="269" t="inlineStr">
        <is>
          <t>Industrial Warehouse</t>
        </is>
      </c>
      <c r="I54" s="155" t="n"/>
      <c r="J54" s="155" t="n">
        <v>29512</v>
      </c>
      <c r="K54" s="155" t="n">
        <v>2024</v>
      </c>
      <c r="L54" s="155" t="n"/>
      <c r="M54" s="155" t="n"/>
      <c r="N54" s="160" t="n">
        <v>419456</v>
      </c>
      <c r="O54" s="160" t="n">
        <v>4427</v>
      </c>
      <c r="P54" s="160" t="n">
        <v>10486</v>
      </c>
      <c r="Q54" s="155" t="n"/>
      <c r="R54" s="155" t="n"/>
      <c r="S54" s="155" t="n"/>
      <c r="T54" s="155" t="n"/>
      <c r="U54" s="155" t="n"/>
      <c r="V54" s="155" t="n"/>
      <c r="W54" s="155" t="n"/>
      <c r="X54" s="160" t="n">
        <v>16232</v>
      </c>
      <c r="Y54" s="160" t="n">
        <v>16232</v>
      </c>
      <c r="Z54" s="155" t="n"/>
      <c r="AA54" s="155" t="n"/>
      <c r="AB54" s="155" t="n"/>
      <c r="AC54" s="155" t="n"/>
      <c r="AD54" s="155" t="n"/>
      <c r="AE54" s="155" t="n"/>
      <c r="AF54" s="160" t="n">
        <v>7378</v>
      </c>
      <c r="AG54" s="160" t="n">
        <v>14756</v>
      </c>
      <c r="AH54" s="160" t="n">
        <v>59181</v>
      </c>
      <c r="AI54" s="160" t="n">
        <v>97831</v>
      </c>
      <c r="AJ54" s="160" t="n">
        <v>157012</v>
      </c>
      <c r="AK54" s="160" t="n">
        <v>262444</v>
      </c>
      <c r="AL54" s="160" t="n">
        <v>5902</v>
      </c>
      <c r="AM54" s="269" t="inlineStr">
        <is>
          <t>Newmark stabilized proforma 6/30/2024; cap rate 7.00%; not actual historical</t>
        </is>
      </c>
      <c r="AN54">
        <f>IF(AND($B54=Subj_OccCode,Subj_BldgSF&gt;0,ABS($J54-Subj_BldgSF)&lt;=Subj_BldgSF*Subj_SizeTol),ABS($J54-Subj_BldgSF),NA())</f>
        <v/>
      </c>
      <c r="AO54">
        <f>IF(ISNA(AN54),NA(),AN54+ROW()/10000000)</f>
        <v/>
      </c>
      <c r="AR54" s="233">
        <f>IF(B54="","",IFERROR(INDEX(OCC_TABLE_DESC,MATCH(B54,OCC_TABLE_CODE,0)),"Unrecognized code"))</f>
        <v/>
      </c>
    </row>
    <row r="55" ht="30" customHeight="1" s="518">
      <c r="A55" s="155" t="inlineStr">
        <is>
          <t>P022</t>
        </is>
      </c>
      <c r="B55" s="150" t="n">
        <v>210</v>
      </c>
      <c r="C55" s="155" t="inlineStr">
        <is>
          <t>R0111559</t>
        </is>
      </c>
      <c r="D55" s="269" t="inlineStr">
        <is>
          <t>3590 N. Himalaya Rd (Bldg 6)</t>
        </is>
      </c>
      <c r="E55" s="155" t="inlineStr">
        <is>
          <t>Aurora</t>
        </is>
      </c>
      <c r="F55" s="155" t="inlineStr">
        <is>
          <t>CO</t>
        </is>
      </c>
      <c r="G55" s="155" t="inlineStr">
        <is>
          <t>Industrial</t>
        </is>
      </c>
      <c r="H55" s="269" t="inlineStr">
        <is>
          <t>Multi-Tenant Industrial/Flex NNN</t>
        </is>
      </c>
      <c r="I55" s="155" t="n">
        <v>1998</v>
      </c>
      <c r="J55" s="155" t="n">
        <v>123603</v>
      </c>
      <c r="K55" s="155" t="n">
        <v>2021</v>
      </c>
      <c r="L55" s="155" t="n"/>
      <c r="M55" s="155" t="n"/>
      <c r="N55" s="155" t="n"/>
      <c r="O55" s="160" t="n">
        <v>10376</v>
      </c>
      <c r="P55" s="160" t="n">
        <v>43384</v>
      </c>
      <c r="Q55" s="155" t="n"/>
      <c r="R55" s="155" t="n"/>
      <c r="S55" s="155" t="n"/>
      <c r="T55" s="155" t="n"/>
      <c r="U55" s="155" t="n"/>
      <c r="V55" s="155" t="n"/>
      <c r="W55" s="155" t="n"/>
      <c r="X55" s="155" t="n"/>
      <c r="Y55" s="155" t="n"/>
      <c r="Z55" s="155" t="n"/>
      <c r="AA55" s="155" t="n"/>
      <c r="AB55" s="155" t="n"/>
      <c r="AC55" s="160" t="n">
        <v>88626</v>
      </c>
      <c r="AD55" s="155" t="n"/>
      <c r="AE55" s="155" t="n"/>
      <c r="AF55" s="160" t="n">
        <v>37062</v>
      </c>
      <c r="AG55" s="155" t="n"/>
      <c r="AH55" s="160" t="n">
        <v>179448</v>
      </c>
      <c r="AI55" s="160" t="n">
        <v>289126</v>
      </c>
      <c r="AJ55" s="160" t="n">
        <v>468574</v>
      </c>
      <c r="AK55" s="155" t="n"/>
      <c r="AL55" s="155" t="n"/>
      <c r="AM55" s="269" t="inlineStr">
        <is>
          <t>NNN landlord expenses only; from AXG Whse Expenses PSF.xlsx</t>
        </is>
      </c>
      <c r="AN55">
        <f>IF(AND($B55=Subj_OccCode,Subj_BldgSF&gt;0,ABS($J55-Subj_BldgSF)&lt;=Subj_BldgSF*Subj_SizeTol),ABS($J55-Subj_BldgSF),NA())</f>
        <v/>
      </c>
      <c r="AO55">
        <f>IF(ISNA(AN55),NA(),AN55+ROW()/10000000)</f>
        <v/>
      </c>
      <c r="AR55" s="233">
        <f>IF(B55="","",IFERROR(INDEX(OCC_TABLE_DESC,MATCH(B55,OCC_TABLE_CODE,0)),"Unrecognized code"))</f>
        <v/>
      </c>
    </row>
    <row r="56" ht="30" customHeight="1" s="518">
      <c r="A56" s="155" t="inlineStr">
        <is>
          <t>P022</t>
        </is>
      </c>
      <c r="B56" s="150" t="n">
        <v>210</v>
      </c>
      <c r="C56" s="155" t="inlineStr">
        <is>
          <t>R0111559</t>
        </is>
      </c>
      <c r="D56" s="269" t="inlineStr">
        <is>
          <t>3590 N. Himalaya Rd (Bldg 6)</t>
        </is>
      </c>
      <c r="E56" s="155" t="inlineStr">
        <is>
          <t>Aurora</t>
        </is>
      </c>
      <c r="F56" s="155" t="inlineStr">
        <is>
          <t>CO</t>
        </is>
      </c>
      <c r="G56" s="155" t="inlineStr">
        <is>
          <t>Industrial</t>
        </is>
      </c>
      <c r="H56" s="269" t="inlineStr">
        <is>
          <t>Multi-Tenant Industrial/Flex NNN</t>
        </is>
      </c>
      <c r="I56" s="155" t="n">
        <v>1998</v>
      </c>
      <c r="J56" s="155" t="n">
        <v>123603</v>
      </c>
      <c r="K56" s="155" t="n">
        <v>2022</v>
      </c>
      <c r="L56" s="155" t="n"/>
      <c r="M56" s="155" t="n"/>
      <c r="N56" s="155" t="n"/>
      <c r="O56" s="160" t="n">
        <v>11039</v>
      </c>
      <c r="P56" s="160" t="n">
        <v>39811</v>
      </c>
      <c r="Q56" s="155" t="n"/>
      <c r="R56" s="155" t="n"/>
      <c r="S56" s="155" t="n"/>
      <c r="T56" s="155" t="n"/>
      <c r="U56" s="155" t="n"/>
      <c r="V56" s="155" t="n"/>
      <c r="W56" s="155" t="n"/>
      <c r="X56" s="155" t="n"/>
      <c r="Y56" s="155" t="n"/>
      <c r="Z56" s="155" t="n"/>
      <c r="AA56" s="155" t="n"/>
      <c r="AB56" s="155" t="n"/>
      <c r="AC56" s="160" t="n">
        <v>91945</v>
      </c>
      <c r="AD56" s="155" t="n"/>
      <c r="AE56" s="155" t="n"/>
      <c r="AF56" s="160" t="n">
        <v>38461</v>
      </c>
      <c r="AG56" s="155" t="n"/>
      <c r="AH56" s="160" t="n">
        <v>181256</v>
      </c>
      <c r="AI56" s="160" t="n">
        <v>318845</v>
      </c>
      <c r="AJ56" s="160" t="n">
        <v>500101</v>
      </c>
      <c r="AK56" s="155" t="n"/>
      <c r="AL56" s="155" t="n"/>
      <c r="AM56" s="269" t="inlineStr">
        <is>
          <t>NNN landlord expenses only; from AXG Whse Expenses PSF.xlsx</t>
        </is>
      </c>
      <c r="AN56">
        <f>IF(AND($B56=Subj_OccCode,Subj_BldgSF&gt;0,ABS($J56-Subj_BldgSF)&lt;=Subj_BldgSF*Subj_SizeTol),ABS($J56-Subj_BldgSF),NA())</f>
        <v/>
      </c>
      <c r="AO56">
        <f>IF(ISNA(AN56),NA(),AN56+ROW()/10000000)</f>
        <v/>
      </c>
      <c r="AR56" s="233">
        <f>IF(B56="","",IFERROR(INDEX(OCC_TABLE_DESC,MATCH(B56,OCC_TABLE_CODE,0)),"Unrecognized code"))</f>
        <v/>
      </c>
    </row>
    <row r="57" ht="30" customHeight="1" s="518">
      <c r="A57" s="155" t="inlineStr">
        <is>
          <t>P024</t>
        </is>
      </c>
      <c r="B57" s="150" t="n">
        <v>407</v>
      </c>
      <c r="C57" s="155" t="inlineStr">
        <is>
          <t>R0111560</t>
        </is>
      </c>
      <c r="D57" s="269" t="inlineStr">
        <is>
          <t>20320 E. 36th Dr (Bldg 7)</t>
        </is>
      </c>
      <c r="E57" s="155" t="inlineStr">
        <is>
          <t>Aurora</t>
        </is>
      </c>
      <c r="F57" s="155" t="inlineStr">
        <is>
          <t>CO</t>
        </is>
      </c>
      <c r="G57" s="155" t="inlineStr">
        <is>
          <t>Industrial</t>
        </is>
      </c>
      <c r="H57" s="269" t="inlineStr">
        <is>
          <t>Single-Tenant Industrial NNN</t>
        </is>
      </c>
      <c r="I57" s="155" t="n">
        <v>1998</v>
      </c>
      <c r="J57" s="155" t="n">
        <v>199962</v>
      </c>
      <c r="K57" s="155" t="n">
        <v>2019</v>
      </c>
      <c r="L57" s="155" t="n"/>
      <c r="M57" s="155" t="n"/>
      <c r="N57" s="155" t="n"/>
      <c r="O57" s="160" t="n">
        <v>8457</v>
      </c>
      <c r="P57" s="160" t="n">
        <v>26194</v>
      </c>
      <c r="Q57" s="155" t="n"/>
      <c r="R57" s="155" t="n"/>
      <c r="S57" s="155" t="n"/>
      <c r="T57" s="155" t="n"/>
      <c r="U57" s="155" t="n"/>
      <c r="V57" s="155" t="n"/>
      <c r="W57" s="155" t="n"/>
      <c r="X57" s="155" t="n"/>
      <c r="Y57" s="155" t="n"/>
      <c r="Z57" s="155" t="n"/>
      <c r="AA57" s="155" t="n"/>
      <c r="AB57" s="155" t="n"/>
      <c r="AC57" s="160" t="n">
        <v>261694</v>
      </c>
      <c r="AD57" s="155" t="n"/>
      <c r="AE57" s="155" t="n"/>
      <c r="AF57" s="155" t="n"/>
      <c r="AG57" s="155" t="n"/>
      <c r="AH57" s="160" t="n">
        <v>296345</v>
      </c>
      <c r="AI57" s="160" t="n">
        <v>494719</v>
      </c>
      <c r="AJ57" s="160" t="n">
        <v>791064</v>
      </c>
      <c r="AK57" s="155" t="n"/>
      <c r="AL57" s="155" t="n"/>
      <c r="AM57" s="269" t="inlineStr">
        <is>
          <t>NNN landlord expenses only; from AXG Whse Expenses PSF.xlsx</t>
        </is>
      </c>
      <c r="AN57">
        <f>IF(AND($B57=Subj_OccCode,Subj_BldgSF&gt;0,ABS($J57-Subj_BldgSF)&lt;=Subj_BldgSF*Subj_SizeTol),ABS($J57-Subj_BldgSF),NA())</f>
        <v/>
      </c>
      <c r="AO57">
        <f>IF(ISNA(AN57),NA(),AN57+ROW()/10000000)</f>
        <v/>
      </c>
      <c r="AR57" s="233">
        <f>IF(B57="","",IFERROR(INDEX(OCC_TABLE_DESC,MATCH(B57,OCC_TABLE_CODE,0)),"Unrecognized code"))</f>
        <v/>
      </c>
    </row>
    <row r="58" ht="30" customHeight="1" s="518">
      <c r="A58" s="155" t="inlineStr">
        <is>
          <t>P024</t>
        </is>
      </c>
      <c r="B58" s="150" t="n">
        <v>407</v>
      </c>
      <c r="C58" s="155" t="inlineStr">
        <is>
          <t>R0111560</t>
        </is>
      </c>
      <c r="D58" s="269" t="inlineStr">
        <is>
          <t>20320 E. 36th Dr (Bldg 7)</t>
        </is>
      </c>
      <c r="E58" s="155" t="inlineStr">
        <is>
          <t>Aurora</t>
        </is>
      </c>
      <c r="F58" s="155" t="inlineStr">
        <is>
          <t>CO</t>
        </is>
      </c>
      <c r="G58" s="155" t="inlineStr">
        <is>
          <t>Industrial</t>
        </is>
      </c>
      <c r="H58" s="269" t="inlineStr">
        <is>
          <t>Single-Tenant Industrial NNN</t>
        </is>
      </c>
      <c r="I58" s="155" t="n">
        <v>1998</v>
      </c>
      <c r="J58" s="155" t="n">
        <v>199962</v>
      </c>
      <c r="K58" s="155" t="n">
        <v>2020</v>
      </c>
      <c r="L58" s="155" t="n"/>
      <c r="M58" s="155" t="n"/>
      <c r="N58" s="155" t="n"/>
      <c r="O58" s="160" t="n">
        <v>9678</v>
      </c>
      <c r="P58" s="160" t="n">
        <v>26625</v>
      </c>
      <c r="Q58" s="155" t="n"/>
      <c r="R58" s="155" t="n"/>
      <c r="S58" s="155" t="n"/>
      <c r="T58" s="155" t="n"/>
      <c r="U58" s="155" t="n"/>
      <c r="V58" s="155" t="n"/>
      <c r="W58" s="155" t="n"/>
      <c r="X58" s="155" t="n"/>
      <c r="Y58" s="155" t="n"/>
      <c r="Z58" s="155" t="n"/>
      <c r="AA58" s="155" t="n"/>
      <c r="AB58" s="155" t="n"/>
      <c r="AC58" s="160" t="n">
        <v>144817</v>
      </c>
      <c r="AD58" s="155" t="n"/>
      <c r="AE58" s="155" t="n"/>
      <c r="AF58" s="155" t="n"/>
      <c r="AG58" s="155" t="n"/>
      <c r="AH58" s="160" t="n">
        <v>181120</v>
      </c>
      <c r="AI58" s="160" t="n">
        <v>415592</v>
      </c>
      <c r="AJ58" s="160" t="n">
        <v>596712</v>
      </c>
      <c r="AK58" s="155" t="n"/>
      <c r="AL58" s="155" t="n"/>
      <c r="AM58" s="269" t="inlineStr">
        <is>
          <t>NNN landlord expenses only; from AXG Whse Expenses PSF.xlsx</t>
        </is>
      </c>
      <c r="AN58">
        <f>IF(AND($B58=Subj_OccCode,Subj_BldgSF&gt;0,ABS($J58-Subj_BldgSF)&lt;=Subj_BldgSF*Subj_SizeTol),ABS($J58-Subj_BldgSF),NA())</f>
        <v/>
      </c>
      <c r="AO58">
        <f>IF(ISNA(AN58),NA(),AN58+ROW()/10000000)</f>
        <v/>
      </c>
      <c r="AR58" s="233">
        <f>IF(B58="","",IFERROR(INDEX(OCC_TABLE_DESC,MATCH(B58,OCC_TABLE_CODE,0)),"Unrecognized code"))</f>
        <v/>
      </c>
    </row>
    <row r="59" ht="30" customHeight="1" s="518">
      <c r="A59" s="155" t="inlineStr">
        <is>
          <t>P025</t>
        </is>
      </c>
      <c r="B59" s="150" t="n">
        <v>210</v>
      </c>
      <c r="C59" s="155" t="inlineStr">
        <is>
          <t>R0191099</t>
        </is>
      </c>
      <c r="D59" s="269" t="inlineStr">
        <is>
          <t>3559 N. Himalaya Rd (Bldg 5)</t>
        </is>
      </c>
      <c r="E59" s="155" t="inlineStr">
        <is>
          <t>Aurora</t>
        </is>
      </c>
      <c r="F59" s="155" t="inlineStr">
        <is>
          <t>CO</t>
        </is>
      </c>
      <c r="G59" s="155" t="inlineStr">
        <is>
          <t>Industrial</t>
        </is>
      </c>
      <c r="H59" s="269" t="inlineStr">
        <is>
          <t>Multi-Tenant Industrial NNN</t>
        </is>
      </c>
      <c r="I59" s="155" t="n">
        <v>2017</v>
      </c>
      <c r="J59" s="155" t="n">
        <v>159047</v>
      </c>
      <c r="K59" s="155" t="n">
        <v>2021</v>
      </c>
      <c r="L59" s="155" t="n"/>
      <c r="M59" s="155" t="n"/>
      <c r="N59" s="155" t="n"/>
      <c r="O59" s="160" t="n">
        <v>15209</v>
      </c>
      <c r="P59" s="160" t="n">
        <v>53747</v>
      </c>
      <c r="Q59" s="155" t="n"/>
      <c r="R59" s="155" t="n"/>
      <c r="S59" s="155" t="n"/>
      <c r="T59" s="155" t="n"/>
      <c r="U59" s="155" t="n"/>
      <c r="V59" s="155" t="n"/>
      <c r="W59" s="155" t="n"/>
      <c r="X59" s="155" t="n"/>
      <c r="Y59" s="155" t="n"/>
      <c r="Z59" s="155" t="n"/>
      <c r="AA59" s="155" t="n"/>
      <c r="AB59" s="155" t="n"/>
      <c r="AC59" s="160" t="n">
        <v>59915</v>
      </c>
      <c r="AD59" s="155" t="n"/>
      <c r="AE59" s="155" t="n"/>
      <c r="AF59" s="160" t="n">
        <v>46324</v>
      </c>
      <c r="AG59" s="155" t="n"/>
      <c r="AH59" s="160" t="n">
        <v>175195</v>
      </c>
      <c r="AI59" s="160" t="n">
        <v>554960</v>
      </c>
      <c r="AJ59" s="160" t="n">
        <v>730155</v>
      </c>
      <c r="AK59" s="155" t="n"/>
      <c r="AL59" s="155" t="n"/>
      <c r="AM59" s="269" t="inlineStr">
        <is>
          <t>NNN landlord expenses only; from AXG Whse Expenses PSF.xlsx</t>
        </is>
      </c>
      <c r="AN59">
        <f>IF(AND($B59=Subj_OccCode,Subj_BldgSF&gt;0,ABS($J59-Subj_BldgSF)&lt;=Subj_BldgSF*Subj_SizeTol),ABS($J59-Subj_BldgSF),NA())</f>
        <v/>
      </c>
      <c r="AO59">
        <f>IF(ISNA(AN59),NA(),AN59+ROW()/10000000)</f>
        <v/>
      </c>
      <c r="AR59" s="233">
        <f>IF(B59="","",IFERROR(INDEX(OCC_TABLE_DESC,MATCH(B59,OCC_TABLE_CODE,0)),"Unrecognized code"))</f>
        <v/>
      </c>
    </row>
    <row r="60" ht="30" customHeight="1" s="518">
      <c r="A60" s="155" t="inlineStr">
        <is>
          <t>P025</t>
        </is>
      </c>
      <c r="B60" s="150" t="n">
        <v>210</v>
      </c>
      <c r="C60" s="155" t="inlineStr">
        <is>
          <t>R0191099</t>
        </is>
      </c>
      <c r="D60" s="269" t="inlineStr">
        <is>
          <t>3559 N. Himalaya Rd (Bldg 5)</t>
        </is>
      </c>
      <c r="E60" s="155" t="inlineStr">
        <is>
          <t>Aurora</t>
        </is>
      </c>
      <c r="F60" s="155" t="inlineStr">
        <is>
          <t>CO</t>
        </is>
      </c>
      <c r="G60" s="155" t="inlineStr">
        <is>
          <t>Industrial</t>
        </is>
      </c>
      <c r="H60" s="269" t="inlineStr">
        <is>
          <t>Multi-Tenant Industrial NNN</t>
        </is>
      </c>
      <c r="I60" s="155" t="n">
        <v>2017</v>
      </c>
      <c r="J60" s="155" t="n">
        <v>159047</v>
      </c>
      <c r="K60" s="155" t="n">
        <v>2022</v>
      </c>
      <c r="L60" s="155" t="n"/>
      <c r="M60" s="155" t="n"/>
      <c r="N60" s="155" t="n"/>
      <c r="O60" s="160" t="n">
        <v>16181</v>
      </c>
      <c r="P60" s="160" t="n">
        <v>49338</v>
      </c>
      <c r="Q60" s="155" t="n"/>
      <c r="R60" s="155" t="n"/>
      <c r="S60" s="155" t="n"/>
      <c r="T60" s="155" t="n"/>
      <c r="U60" s="155" t="n"/>
      <c r="V60" s="155" t="n"/>
      <c r="W60" s="155" t="n"/>
      <c r="X60" s="155" t="n"/>
      <c r="Y60" s="155" t="n"/>
      <c r="Z60" s="155" t="n"/>
      <c r="AA60" s="155" t="n"/>
      <c r="AB60" s="155" t="n"/>
      <c r="AC60" s="160" t="n">
        <v>53323</v>
      </c>
      <c r="AD60" s="155" t="n"/>
      <c r="AE60" s="155" t="n"/>
      <c r="AF60" s="160" t="n">
        <v>51404</v>
      </c>
      <c r="AG60" s="155" t="n"/>
      <c r="AH60" s="160" t="n">
        <v>170246</v>
      </c>
      <c r="AI60" s="160" t="n">
        <v>468848</v>
      </c>
      <c r="AJ60" s="160" t="n">
        <v>639094</v>
      </c>
      <c r="AK60" s="155" t="n"/>
      <c r="AL60" s="155" t="n"/>
      <c r="AM60" s="269" t="inlineStr">
        <is>
          <t>NNN landlord expenses only; from AXG Whse Expenses PSF.xlsx</t>
        </is>
      </c>
      <c r="AN60">
        <f>IF(AND($B60=Subj_OccCode,Subj_BldgSF&gt;0,ABS($J60-Subj_BldgSF)&lt;=Subj_BldgSF*Subj_SizeTol),ABS($J60-Subj_BldgSF),NA())</f>
        <v/>
      </c>
      <c r="AO60">
        <f>IF(ISNA(AN60),NA(),AN60+ROW()/10000000)</f>
        <v/>
      </c>
      <c r="AR60" s="233">
        <f>IF(B60="","",IFERROR(INDEX(OCC_TABLE_DESC,MATCH(B60,OCC_TABLE_CODE,0)),"Unrecognized code"))</f>
        <v/>
      </c>
    </row>
    <row r="61" ht="30" customHeight="1" s="518">
      <c r="A61" s="155" t="inlineStr">
        <is>
          <t>P027</t>
        </is>
      </c>
      <c r="B61" s="150" t="n">
        <v>407</v>
      </c>
      <c r="C61" s="155" t="inlineStr">
        <is>
          <t>R0132030</t>
        </is>
      </c>
      <c r="D61" s="269" t="inlineStr">
        <is>
          <t>Majestic Commercenter (R0132030)</t>
        </is>
      </c>
      <c r="E61" s="155" t="inlineStr">
        <is>
          <t>Commerce City</t>
        </is>
      </c>
      <c r="F61" s="155" t="inlineStr">
        <is>
          <t>CO</t>
        </is>
      </c>
      <c r="G61" s="155" t="inlineStr">
        <is>
          <t>Industrial</t>
        </is>
      </c>
      <c r="H61" s="269" t="inlineStr">
        <is>
          <t>Warehouse NNN</t>
        </is>
      </c>
      <c r="I61" s="155" t="n">
        <v>2001</v>
      </c>
      <c r="J61" s="155" t="n">
        <v>200094</v>
      </c>
      <c r="K61" s="155" t="n">
        <v>2021</v>
      </c>
      <c r="L61" s="155" t="n"/>
      <c r="M61" s="155" t="n"/>
      <c r="N61" s="155" t="n"/>
      <c r="O61" s="160" t="n">
        <v>14313</v>
      </c>
      <c r="P61" s="160" t="n">
        <v>53036</v>
      </c>
      <c r="Q61" s="155" t="n"/>
      <c r="R61" s="155" t="n"/>
      <c r="S61" s="155" t="n"/>
      <c r="T61" s="155" t="n"/>
      <c r="U61" s="155" t="n"/>
      <c r="V61" s="155" t="n"/>
      <c r="W61" s="155" t="n"/>
      <c r="X61" s="155" t="n"/>
      <c r="Y61" s="155" t="n"/>
      <c r="Z61" s="155" t="n"/>
      <c r="AA61" s="155" t="n"/>
      <c r="AB61" s="155" t="n"/>
      <c r="AC61" s="160" t="n">
        <v>98037</v>
      </c>
      <c r="AD61" s="155" t="n"/>
      <c r="AE61" s="155" t="n"/>
      <c r="AF61" s="160" t="n">
        <v>70815</v>
      </c>
      <c r="AG61" s="155" t="n"/>
      <c r="AH61" s="160" t="n">
        <v>236201</v>
      </c>
      <c r="AI61" s="160" t="n">
        <v>570651</v>
      </c>
      <c r="AJ61" s="160" t="n">
        <v>806852</v>
      </c>
      <c r="AK61" s="155" t="n"/>
      <c r="AL61" s="155" t="n"/>
      <c r="AM61" s="269" t="inlineStr">
        <is>
          <t>NNN landlord expenses only; from AXG Whse Expenses PSF.xlsx (R0132030)</t>
        </is>
      </c>
      <c r="AN61">
        <f>IF(AND($B61=Subj_OccCode,Subj_BldgSF&gt;0,ABS($J61-Subj_BldgSF)&lt;=Subj_BldgSF*Subj_SizeTol),ABS($J61-Subj_BldgSF),NA())</f>
        <v/>
      </c>
      <c r="AO61">
        <f>IF(ISNA(AN61),NA(),AN61+ROW()/10000000)</f>
        <v/>
      </c>
      <c r="AR61" s="233">
        <f>IF(B61="","",IFERROR(INDEX(OCC_TABLE_DESC,MATCH(B61,OCC_TABLE_CODE,0)),"Unrecognized code"))</f>
        <v/>
      </c>
    </row>
    <row r="62" ht="30" customHeight="1" s="518">
      <c r="A62" s="155" t="inlineStr">
        <is>
          <t>P027</t>
        </is>
      </c>
      <c r="B62" s="150" t="n">
        <v>407</v>
      </c>
      <c r="C62" s="155" t="inlineStr">
        <is>
          <t>R0132030</t>
        </is>
      </c>
      <c r="D62" s="269" t="inlineStr">
        <is>
          <t>Majestic Commercenter (R0132030)</t>
        </is>
      </c>
      <c r="E62" s="155" t="inlineStr">
        <is>
          <t>Commerce City</t>
        </is>
      </c>
      <c r="F62" s="155" t="inlineStr">
        <is>
          <t>CO</t>
        </is>
      </c>
      <c r="G62" s="155" t="inlineStr">
        <is>
          <t>Industrial</t>
        </is>
      </c>
      <c r="H62" s="269" t="inlineStr">
        <is>
          <t>Warehouse NNN</t>
        </is>
      </c>
      <c r="I62" s="155" t="n">
        <v>2001</v>
      </c>
      <c r="J62" s="155" t="n">
        <v>200094</v>
      </c>
      <c r="K62" s="155" t="n">
        <v>2022</v>
      </c>
      <c r="L62" s="155" t="n"/>
      <c r="M62" s="155" t="n"/>
      <c r="N62" s="155" t="n"/>
      <c r="O62" s="160" t="n">
        <v>15228</v>
      </c>
      <c r="P62" s="160" t="n">
        <v>49506</v>
      </c>
      <c r="Q62" s="155" t="n"/>
      <c r="R62" s="155" t="n"/>
      <c r="S62" s="155" t="n"/>
      <c r="T62" s="155" t="n"/>
      <c r="U62" s="155" t="n"/>
      <c r="V62" s="155" t="n"/>
      <c r="W62" s="155" t="n"/>
      <c r="X62" s="155" t="n"/>
      <c r="Y62" s="155" t="n"/>
      <c r="Z62" s="155" t="n"/>
      <c r="AA62" s="155" t="n"/>
      <c r="AB62" s="155" t="n"/>
      <c r="AC62" s="160" t="n">
        <v>98037</v>
      </c>
      <c r="AD62" s="155" t="n"/>
      <c r="AE62" s="155" t="n"/>
      <c r="AF62" s="160" t="n">
        <v>70815</v>
      </c>
      <c r="AG62" s="155" t="n"/>
      <c r="AH62" s="160" t="n">
        <v>233586</v>
      </c>
      <c r="AI62" s="160" t="n">
        <v>451706</v>
      </c>
      <c r="AJ62" s="160" t="n">
        <v>685292</v>
      </c>
      <c r="AK62" s="155" t="n"/>
      <c r="AL62" s="155" t="n"/>
      <c r="AM62" s="269" t="inlineStr">
        <is>
          <t>NNN landlord expenses only; from AXG Whse Expenses PSF.xlsx (R0132030)</t>
        </is>
      </c>
      <c r="AN62">
        <f>IF(AND($B62=Subj_OccCode,Subj_BldgSF&gt;0,ABS($J62-Subj_BldgSF)&lt;=Subj_BldgSF*Subj_SizeTol),ABS($J62-Subj_BldgSF),NA())</f>
        <v/>
      </c>
      <c r="AO62">
        <f>IF(ISNA(AN62),NA(),AN62+ROW()/10000000)</f>
        <v/>
      </c>
      <c r="AR62" s="233">
        <f>IF(B62="","",IFERROR(INDEX(OCC_TABLE_DESC,MATCH(B62,OCC_TABLE_CODE,0)),"Unrecognized code"))</f>
        <v/>
      </c>
    </row>
    <row r="63" ht="30" customHeight="1" s="518">
      <c r="A63" s="155" t="inlineStr">
        <is>
          <t>P028</t>
        </is>
      </c>
      <c r="B63" s="150" t="n">
        <v>407</v>
      </c>
      <c r="C63" s="155" t="inlineStr">
        <is>
          <t>R0084040</t>
        </is>
      </c>
      <c r="D63" s="269" t="inlineStr">
        <is>
          <t>Majestic Commercenter (R0084040)</t>
        </is>
      </c>
      <c r="E63" s="155" t="inlineStr">
        <is>
          <t>Commerce City</t>
        </is>
      </c>
      <c r="F63" s="155" t="inlineStr">
        <is>
          <t>CO</t>
        </is>
      </c>
      <c r="G63" s="155" t="inlineStr">
        <is>
          <t>Industrial</t>
        </is>
      </c>
      <c r="H63" s="269" t="inlineStr">
        <is>
          <t>Warehouse NNN</t>
        </is>
      </c>
      <c r="I63" s="155" t="n">
        <v>1997</v>
      </c>
      <c r="J63" s="155" t="n">
        <v>177736</v>
      </c>
      <c r="K63" s="155" t="n">
        <v>2021</v>
      </c>
      <c r="L63" s="155" t="n"/>
      <c r="M63" s="155" t="n"/>
      <c r="N63" s="155" t="n"/>
      <c r="O63" s="160" t="n">
        <v>13073</v>
      </c>
      <c r="P63" s="160" t="n">
        <v>55346</v>
      </c>
      <c r="Q63" s="155" t="n"/>
      <c r="R63" s="155" t="n"/>
      <c r="S63" s="155" t="n"/>
      <c r="T63" s="155" t="n"/>
      <c r="U63" s="155" t="n"/>
      <c r="V63" s="155" t="n"/>
      <c r="W63" s="155" t="n"/>
      <c r="X63" s="155" t="n"/>
      <c r="Y63" s="155" t="n"/>
      <c r="Z63" s="155" t="n"/>
      <c r="AA63" s="155" t="n"/>
      <c r="AB63" s="155" t="n"/>
      <c r="AC63" s="160" t="n">
        <v>98118</v>
      </c>
      <c r="AD63" s="155" t="n"/>
      <c r="AE63" s="155" t="n"/>
      <c r="AF63" s="160" t="n">
        <v>51405</v>
      </c>
      <c r="AG63" s="155" t="n"/>
      <c r="AH63" s="160" t="n">
        <v>217942</v>
      </c>
      <c r="AI63" s="160" t="n">
        <v>483220</v>
      </c>
      <c r="AJ63" s="160" t="n">
        <v>701162</v>
      </c>
      <c r="AK63" s="155" t="n"/>
      <c r="AL63" s="155" t="n"/>
      <c r="AM63" s="269" t="inlineStr">
        <is>
          <t>NNN landlord expenses only; from AXG Whse Expenses PSF.xlsx (R0084040)</t>
        </is>
      </c>
      <c r="AN63">
        <f>IF(AND($B63=Subj_OccCode,Subj_BldgSF&gt;0,ABS($J63-Subj_BldgSF)&lt;=Subj_BldgSF*Subj_SizeTol),ABS($J63-Subj_BldgSF),NA())</f>
        <v/>
      </c>
      <c r="AO63">
        <f>IF(ISNA(AN63),NA(),AN63+ROW()/10000000)</f>
        <v/>
      </c>
      <c r="AR63" s="233">
        <f>IF(B63="","",IFERROR(INDEX(OCC_TABLE_DESC,MATCH(B63,OCC_TABLE_CODE,0)),"Unrecognized code"))</f>
        <v/>
      </c>
    </row>
    <row r="64" ht="30" customHeight="1" s="518">
      <c r="A64" s="155" t="inlineStr">
        <is>
          <t>P028</t>
        </is>
      </c>
      <c r="B64" s="150" t="n">
        <v>407</v>
      </c>
      <c r="C64" s="155" t="inlineStr">
        <is>
          <t>R0084040</t>
        </is>
      </c>
      <c r="D64" s="269" t="inlineStr">
        <is>
          <t>Majestic Commercenter (R0084040)</t>
        </is>
      </c>
      <c r="E64" s="155" t="inlineStr">
        <is>
          <t>Commerce City</t>
        </is>
      </c>
      <c r="F64" s="155" t="inlineStr">
        <is>
          <t>CO</t>
        </is>
      </c>
      <c r="G64" s="155" t="inlineStr">
        <is>
          <t>Industrial</t>
        </is>
      </c>
      <c r="H64" s="269" t="inlineStr">
        <is>
          <t>Warehouse NNN</t>
        </is>
      </c>
      <c r="I64" s="155" t="n">
        <v>1997</v>
      </c>
      <c r="J64" s="155" t="n">
        <v>177736</v>
      </c>
      <c r="K64" s="155" t="n">
        <v>2022</v>
      </c>
      <c r="L64" s="155" t="n"/>
      <c r="M64" s="155" t="n"/>
      <c r="N64" s="155" t="n"/>
      <c r="O64" s="160" t="n">
        <v>13909</v>
      </c>
      <c r="P64" s="160" t="n">
        <v>55347</v>
      </c>
      <c r="Q64" s="155" t="n"/>
      <c r="R64" s="155" t="n"/>
      <c r="S64" s="155" t="n"/>
      <c r="T64" s="155" t="n"/>
      <c r="U64" s="155" t="n"/>
      <c r="V64" s="155" t="n"/>
      <c r="W64" s="155" t="n"/>
      <c r="X64" s="155" t="n"/>
      <c r="Y64" s="155" t="n"/>
      <c r="Z64" s="155" t="n"/>
      <c r="AA64" s="155" t="n"/>
      <c r="AB64" s="155" t="n"/>
      <c r="AC64" s="160" t="n">
        <v>117141</v>
      </c>
      <c r="AD64" s="155" t="n"/>
      <c r="AE64" s="155" t="n"/>
      <c r="AF64" s="160" t="n">
        <v>63264</v>
      </c>
      <c r="AG64" s="155" t="n"/>
      <c r="AH64" s="160" t="n">
        <v>249661</v>
      </c>
      <c r="AI64" s="160" t="n">
        <v>506747</v>
      </c>
      <c r="AJ64" s="160" t="n">
        <v>756408</v>
      </c>
      <c r="AK64" s="155" t="n"/>
      <c r="AL64" s="155" t="n"/>
      <c r="AM64" s="269" t="inlineStr">
        <is>
          <t>NNN landlord expenses only; from AXG Whse Expenses PSF.xlsx (R0084040)</t>
        </is>
      </c>
      <c r="AN64">
        <f>IF(AND($B64=Subj_OccCode,Subj_BldgSF&gt;0,ABS($J64-Subj_BldgSF)&lt;=Subj_BldgSF*Subj_SizeTol),ABS($J64-Subj_BldgSF),NA())</f>
        <v/>
      </c>
      <c r="AO64">
        <f>IF(ISNA(AN64),NA(),AN64+ROW()/10000000)</f>
        <v/>
      </c>
      <c r="AR64" s="233">
        <f>IF(B64="","",IFERROR(INDEX(OCC_TABLE_DESC,MATCH(B64,OCC_TABLE_CODE,0)),"Unrecognized code"))</f>
        <v/>
      </c>
    </row>
    <row r="65" ht="30" customHeight="1" s="518">
      <c r="A65" s="155" t="inlineStr">
        <is>
          <t>P029</t>
        </is>
      </c>
      <c r="B65" s="150" t="n">
        <v>407</v>
      </c>
      <c r="C65" s="155" t="inlineStr">
        <is>
          <t>R0084041</t>
        </is>
      </c>
      <c r="D65" s="269" t="inlineStr">
        <is>
          <t>Majestic Commercenter (R0084041)</t>
        </is>
      </c>
      <c r="E65" s="155" t="inlineStr">
        <is>
          <t>Commerce City</t>
        </is>
      </c>
      <c r="F65" s="155" t="inlineStr">
        <is>
          <t>CO</t>
        </is>
      </c>
      <c r="G65" s="155" t="inlineStr">
        <is>
          <t>Industrial</t>
        </is>
      </c>
      <c r="H65" s="269" t="inlineStr">
        <is>
          <t>Warehouse NNN</t>
        </is>
      </c>
      <c r="I65" s="155" t="n">
        <v>1997</v>
      </c>
      <c r="J65" s="155" t="n">
        <v>200371</v>
      </c>
      <c r="K65" s="155" t="n">
        <v>2021</v>
      </c>
      <c r="L65" s="155" t="n"/>
      <c r="M65" s="155" t="n"/>
      <c r="N65" s="155" t="n"/>
      <c r="O65" s="160" t="n">
        <v>13750</v>
      </c>
      <c r="P65" s="160" t="n">
        <v>32155</v>
      </c>
      <c r="Q65" s="155" t="n"/>
      <c r="R65" s="155" t="n"/>
      <c r="S65" s="155" t="n"/>
      <c r="T65" s="155" t="n"/>
      <c r="U65" s="155" t="n"/>
      <c r="V65" s="155" t="n"/>
      <c r="W65" s="155" t="n"/>
      <c r="X65" s="155" t="n"/>
      <c r="Y65" s="155" t="n"/>
      <c r="Z65" s="155" t="n"/>
      <c r="AA65" s="155" t="n"/>
      <c r="AB65" s="155" t="n"/>
      <c r="AC65" s="160" t="n">
        <v>117597</v>
      </c>
      <c r="AD65" s="155" t="n"/>
      <c r="AE65" s="155" t="n"/>
      <c r="AF65" s="155" t="n"/>
      <c r="AG65" s="155" t="n"/>
      <c r="AH65" s="160" t="n">
        <v>163502</v>
      </c>
      <c r="AI65" s="160" t="n">
        <v>499309</v>
      </c>
      <c r="AJ65" s="160" t="n">
        <v>662811</v>
      </c>
      <c r="AK65" s="155" t="n"/>
      <c r="AL65" s="155" t="n"/>
      <c r="AM65" s="269" t="inlineStr">
        <is>
          <t>NNN landlord expenses only; from AXG Whse Expenses PSF.xlsx (R0084041)</t>
        </is>
      </c>
      <c r="AN65">
        <f>IF(AND($B65=Subj_OccCode,Subj_BldgSF&gt;0,ABS($J65-Subj_BldgSF)&lt;=Subj_BldgSF*Subj_SizeTol),ABS($J65-Subj_BldgSF),NA())</f>
        <v/>
      </c>
      <c r="AO65">
        <f>IF(ISNA(AN65),NA(),AN65+ROW()/10000000)</f>
        <v/>
      </c>
      <c r="AR65" s="233">
        <f>IF(B65="","",IFERROR(INDEX(OCC_TABLE_DESC,MATCH(B65,OCC_TABLE_CODE,0)),"Unrecognized code"))</f>
        <v/>
      </c>
    </row>
    <row r="66" ht="30" customHeight="1" s="518">
      <c r="A66" s="155" t="inlineStr">
        <is>
          <t>P029</t>
        </is>
      </c>
      <c r="B66" s="150" t="n">
        <v>407</v>
      </c>
      <c r="C66" s="155" t="inlineStr">
        <is>
          <t>R0084041</t>
        </is>
      </c>
      <c r="D66" s="269" t="inlineStr">
        <is>
          <t>Majestic Commercenter (R0084041)</t>
        </is>
      </c>
      <c r="E66" s="155" t="inlineStr">
        <is>
          <t>Commerce City</t>
        </is>
      </c>
      <c r="F66" s="155" t="inlineStr">
        <is>
          <t>CO</t>
        </is>
      </c>
      <c r="G66" s="155" t="inlineStr">
        <is>
          <t>Industrial</t>
        </is>
      </c>
      <c r="H66" s="269" t="inlineStr">
        <is>
          <t>Warehouse NNN</t>
        </is>
      </c>
      <c r="I66" s="155" t="n">
        <v>1997</v>
      </c>
      <c r="J66" s="155" t="n">
        <v>200371</v>
      </c>
      <c r="K66" s="155" t="n">
        <v>2022</v>
      </c>
      <c r="L66" s="155" t="n"/>
      <c r="M66" s="155" t="n"/>
      <c r="N66" s="155" t="n"/>
      <c r="O66" s="160" t="n">
        <v>14629</v>
      </c>
      <c r="P66" s="160" t="n">
        <v>29974</v>
      </c>
      <c r="Q66" s="155" t="n"/>
      <c r="R66" s="155" t="n"/>
      <c r="S66" s="155" t="n"/>
      <c r="T66" s="155" t="n"/>
      <c r="U66" s="155" t="n"/>
      <c r="V66" s="155" t="n"/>
      <c r="W66" s="155" t="n"/>
      <c r="X66" s="155" t="n"/>
      <c r="Y66" s="155" t="n"/>
      <c r="Z66" s="155" t="n"/>
      <c r="AA66" s="155" t="n"/>
      <c r="AB66" s="155" t="n"/>
      <c r="AC66" s="160" t="n">
        <v>103927</v>
      </c>
      <c r="AD66" s="155" t="n"/>
      <c r="AE66" s="155" t="n"/>
      <c r="AF66" s="155" t="n"/>
      <c r="AG66" s="155" t="n"/>
      <c r="AH66" s="160" t="n">
        <v>148530</v>
      </c>
      <c r="AI66" s="160" t="n">
        <v>518816</v>
      </c>
      <c r="AJ66" s="160" t="n">
        <v>667346</v>
      </c>
      <c r="AK66" s="155" t="n"/>
      <c r="AL66" s="155" t="n"/>
      <c r="AM66" s="269" t="inlineStr">
        <is>
          <t>NNN landlord expenses only; from AXG Whse Expenses PSF.xlsx (R0084041)</t>
        </is>
      </c>
      <c r="AN66">
        <f>IF(AND($B66=Subj_OccCode,Subj_BldgSF&gt;0,ABS($J66-Subj_BldgSF)&lt;=Subj_BldgSF*Subj_SizeTol),ABS($J66-Subj_BldgSF),NA())</f>
        <v/>
      </c>
      <c r="AO66">
        <f>IF(ISNA(AN66),NA(),AN66+ROW()/10000000)</f>
        <v/>
      </c>
      <c r="AR66" s="233">
        <f>IF(B66="","",IFERROR(INDEX(OCC_TABLE_DESC,MATCH(B66,OCC_TABLE_CODE,0)),"Unrecognized code"))</f>
        <v/>
      </c>
    </row>
    <row r="67" ht="30" customHeight="1" s="518">
      <c r="A67" s="155" t="inlineStr">
        <is>
          <t>P030</t>
        </is>
      </c>
      <c r="B67" s="150" t="n">
        <v>584</v>
      </c>
      <c r="C67" s="155" t="inlineStr">
        <is>
          <t>R0217015</t>
        </is>
      </c>
      <c r="D67" s="269" t="inlineStr">
        <is>
          <t>Majestic Commercenter (R0217015)</t>
        </is>
      </c>
      <c r="E67" s="155" t="inlineStr">
        <is>
          <t>Commerce City</t>
        </is>
      </c>
      <c r="F67" s="155" t="inlineStr">
        <is>
          <t>CO</t>
        </is>
      </c>
      <c r="G67" s="155" t="inlineStr">
        <is>
          <t>Industrial</t>
        </is>
      </c>
      <c r="H67" s="269" t="inlineStr">
        <is>
          <t>Warehouse NNN</t>
        </is>
      </c>
      <c r="I67" s="155" t="n">
        <v>2021</v>
      </c>
      <c r="J67" s="155" t="n">
        <v>548510</v>
      </c>
      <c r="K67" s="155" t="n">
        <v>2022</v>
      </c>
      <c r="L67" s="155" t="n"/>
      <c r="M67" s="155" t="n"/>
      <c r="N67" s="155" t="n"/>
      <c r="O67" s="160" t="n">
        <v>64009</v>
      </c>
      <c r="P67" s="160" t="n">
        <v>58266</v>
      </c>
      <c r="Q67" s="155" t="n"/>
      <c r="R67" s="155" t="n"/>
      <c r="S67" s="155" t="n"/>
      <c r="T67" s="155" t="n"/>
      <c r="U67" s="155" t="n"/>
      <c r="V67" s="155" t="n"/>
      <c r="W67" s="155" t="n"/>
      <c r="X67" s="155" t="n"/>
      <c r="Y67" s="155" t="n"/>
      <c r="Z67" s="155" t="n"/>
      <c r="AA67" s="155" t="n"/>
      <c r="AB67" s="155" t="n"/>
      <c r="AC67" s="160" t="n">
        <v>96936</v>
      </c>
      <c r="AD67" s="155" t="n"/>
      <c r="AE67" s="155" t="n"/>
      <c r="AF67" s="160" t="n">
        <v>20844</v>
      </c>
      <c r="AG67" s="155" t="n"/>
      <c r="AH67" s="160" t="n">
        <v>240055</v>
      </c>
      <c r="AI67" s="160" t="n">
        <v>1245681</v>
      </c>
      <c r="AJ67" s="160" t="n">
        <v>1485736</v>
      </c>
      <c r="AK67" s="155" t="n"/>
      <c r="AL67" s="155" t="n"/>
      <c r="AM67" s="269" t="inlineStr">
        <is>
          <t>NNN landlord expenses only; from AXG Whse Expenses PSF.xlsx (R0217015)</t>
        </is>
      </c>
      <c r="AN67">
        <f>IF(AND($B67=Subj_OccCode,Subj_BldgSF&gt;0,ABS($J67-Subj_BldgSF)&lt;=Subj_BldgSF*Subj_SizeTol),ABS($J67-Subj_BldgSF),NA())</f>
        <v/>
      </c>
      <c r="AO67">
        <f>IF(ISNA(AN67),NA(),AN67+ROW()/10000000)</f>
        <v/>
      </c>
      <c r="AR67" s="233">
        <f>IF(B67="","",IFERROR(INDEX(OCC_TABLE_DESC,MATCH(B67,OCC_TABLE_CODE,0)),"Unrecognized code"))</f>
        <v/>
      </c>
    </row>
    <row r="68" ht="30" customHeight="1" s="518">
      <c r="A68" s="155" t="inlineStr">
        <is>
          <t>P031</t>
        </is>
      </c>
      <c r="B68" s="150" t="n">
        <v>407</v>
      </c>
      <c r="C68" s="155" t="inlineStr">
        <is>
          <t>R0111562</t>
        </is>
      </c>
      <c r="D68" s="269" t="inlineStr">
        <is>
          <t>Majestic Commercenter (R0111562)</t>
        </is>
      </c>
      <c r="E68" s="155" t="inlineStr">
        <is>
          <t>Commerce City</t>
        </is>
      </c>
      <c r="F68" s="155" t="inlineStr">
        <is>
          <t>CO</t>
        </is>
      </c>
      <c r="G68" s="155" t="inlineStr">
        <is>
          <t>Industrial</t>
        </is>
      </c>
      <c r="H68" s="269" t="inlineStr">
        <is>
          <t>Warehouse NNN</t>
        </is>
      </c>
      <c r="I68" s="155" t="n">
        <v>2000</v>
      </c>
      <c r="J68" s="155" t="n">
        <v>149175</v>
      </c>
      <c r="K68" s="155" t="n">
        <v>2019</v>
      </c>
      <c r="L68" s="155" t="n"/>
      <c r="M68" s="155" t="n"/>
      <c r="N68" s="155" t="n"/>
      <c r="O68" s="160" t="n">
        <v>6519</v>
      </c>
      <c r="P68" s="160" t="n">
        <v>22700</v>
      </c>
      <c r="Q68" s="155" t="n"/>
      <c r="R68" s="155" t="n"/>
      <c r="S68" s="155" t="n"/>
      <c r="T68" s="155" t="n"/>
      <c r="U68" s="155" t="n"/>
      <c r="V68" s="155" t="n"/>
      <c r="W68" s="155" t="n"/>
      <c r="X68" s="155" t="n"/>
      <c r="Y68" s="155" t="n"/>
      <c r="Z68" s="155" t="n"/>
      <c r="AA68" s="155" t="n"/>
      <c r="AB68" s="155" t="n"/>
      <c r="AC68" s="160" t="n">
        <v>101769</v>
      </c>
      <c r="AD68" s="155" t="n"/>
      <c r="AE68" s="155" t="n"/>
      <c r="AF68" s="155" t="n"/>
      <c r="AG68" s="155" t="n"/>
      <c r="AH68" s="160" t="n">
        <v>130988</v>
      </c>
      <c r="AI68" s="160" t="n">
        <v>281972</v>
      </c>
      <c r="AJ68" s="160" t="n">
        <v>412960</v>
      </c>
      <c r="AK68" s="155" t="n"/>
      <c r="AL68" s="155" t="n"/>
      <c r="AM68" s="269" t="inlineStr">
        <is>
          <t>NNN landlord expenses only; from AXG Whse Expenses PSF.xlsx (R0111562)</t>
        </is>
      </c>
      <c r="AN68">
        <f>IF(AND($B68=Subj_OccCode,Subj_BldgSF&gt;0,ABS($J68-Subj_BldgSF)&lt;=Subj_BldgSF*Subj_SizeTol),ABS($J68-Subj_BldgSF),NA())</f>
        <v/>
      </c>
      <c r="AO68">
        <f>IF(ISNA(AN68),NA(),AN68+ROW()/10000000)</f>
        <v/>
      </c>
      <c r="AR68" s="233">
        <f>IF(B68="","",IFERROR(INDEX(OCC_TABLE_DESC,MATCH(B68,OCC_TABLE_CODE,0)),"Unrecognized code"))</f>
        <v/>
      </c>
    </row>
    <row r="69" ht="30" customHeight="1" s="518">
      <c r="A69" s="155" t="inlineStr">
        <is>
          <t>P031</t>
        </is>
      </c>
      <c r="B69" s="150" t="n">
        <v>407</v>
      </c>
      <c r="C69" s="155" t="inlineStr">
        <is>
          <t>R0111562</t>
        </is>
      </c>
      <c r="D69" s="269" t="inlineStr">
        <is>
          <t>Majestic Commercenter (R0111562)</t>
        </is>
      </c>
      <c r="E69" s="155" t="inlineStr">
        <is>
          <t>Commerce City</t>
        </is>
      </c>
      <c r="F69" s="155" t="inlineStr">
        <is>
          <t>CO</t>
        </is>
      </c>
      <c r="G69" s="155" t="inlineStr">
        <is>
          <t>Industrial</t>
        </is>
      </c>
      <c r="H69" s="269" t="inlineStr">
        <is>
          <t>Warehouse NNN</t>
        </is>
      </c>
      <c r="I69" s="155" t="n">
        <v>2000</v>
      </c>
      <c r="J69" s="155" t="n">
        <v>149175</v>
      </c>
      <c r="K69" s="155" t="n">
        <v>2020</v>
      </c>
      <c r="L69" s="155" t="n"/>
      <c r="M69" s="155" t="n"/>
      <c r="N69" s="155" t="n"/>
      <c r="O69" s="160" t="n">
        <v>7450</v>
      </c>
      <c r="P69" s="160" t="n">
        <v>3942</v>
      </c>
      <c r="Q69" s="155" t="n"/>
      <c r="R69" s="155" t="n"/>
      <c r="S69" s="155" t="n"/>
      <c r="T69" s="155" t="n"/>
      <c r="U69" s="155" t="n"/>
      <c r="V69" s="155" t="n"/>
      <c r="W69" s="155" t="n"/>
      <c r="X69" s="155" t="n"/>
      <c r="Y69" s="155" t="n"/>
      <c r="Z69" s="155" t="n"/>
      <c r="AA69" s="155" t="n"/>
      <c r="AB69" s="155" t="n"/>
      <c r="AC69" s="160" t="n">
        <v>23921</v>
      </c>
      <c r="AD69" s="155" t="n"/>
      <c r="AE69" s="155" t="n"/>
      <c r="AF69" s="160" t="n">
        <v>165141</v>
      </c>
      <c r="AG69" s="155" t="n"/>
      <c r="AH69" s="160" t="n">
        <v>200454</v>
      </c>
      <c r="AI69" s="160" t="n">
        <v>282989</v>
      </c>
      <c r="AJ69" s="160" t="n">
        <v>483443</v>
      </c>
      <c r="AK69" s="155" t="n"/>
      <c r="AL69" s="155" t="n"/>
      <c r="AM69" s="269" t="inlineStr">
        <is>
          <t>NNN landlord expenses only; from AXG Whse Expenses PSF.xlsx (R0111562)</t>
        </is>
      </c>
      <c r="AN69">
        <f>IF(AND($B69=Subj_OccCode,Subj_BldgSF&gt;0,ABS($J69-Subj_BldgSF)&lt;=Subj_BldgSF*Subj_SizeTol),ABS($J69-Subj_BldgSF),NA())</f>
        <v/>
      </c>
      <c r="AO69">
        <f>IF(ISNA(AN69),NA(),AN69+ROW()/10000000)</f>
        <v/>
      </c>
      <c r="AR69" s="233">
        <f>IF(B69="","",IFERROR(INDEX(OCC_TABLE_DESC,MATCH(B69,OCC_TABLE_CODE,0)),"Unrecognized code"))</f>
        <v/>
      </c>
    </row>
    <row r="70" ht="30" customHeight="1" s="518">
      <c r="A70" s="155" t="inlineStr">
        <is>
          <t>P032</t>
        </is>
      </c>
      <c r="B70" s="150" t="n">
        <v>407</v>
      </c>
      <c r="C70" s="155" t="inlineStr">
        <is>
          <t>R0118875</t>
        </is>
      </c>
      <c r="D70" s="269" t="inlineStr">
        <is>
          <t>Majestic Commercenter (R0118875)</t>
        </is>
      </c>
      <c r="E70" s="155" t="inlineStr">
        <is>
          <t>Commerce City</t>
        </is>
      </c>
      <c r="F70" s="155" t="inlineStr">
        <is>
          <t>CO</t>
        </is>
      </c>
      <c r="G70" s="155" t="inlineStr">
        <is>
          <t>Industrial</t>
        </is>
      </c>
      <c r="H70" s="269" t="inlineStr">
        <is>
          <t>Warehouse NNN</t>
        </is>
      </c>
      <c r="I70" s="155" t="n">
        <v>1999</v>
      </c>
      <c r="J70" s="155" t="n">
        <v>279640</v>
      </c>
      <c r="K70" s="155" t="n">
        <v>2021</v>
      </c>
      <c r="L70" s="155" t="n"/>
      <c r="M70" s="155" t="n"/>
      <c r="N70" s="155" t="n"/>
      <c r="O70" s="160" t="n">
        <v>24629</v>
      </c>
      <c r="P70" s="160" t="n">
        <v>62870</v>
      </c>
      <c r="Q70" s="155" t="n"/>
      <c r="R70" s="155" t="n"/>
      <c r="S70" s="155" t="n"/>
      <c r="T70" s="155" t="n"/>
      <c r="U70" s="155" t="n"/>
      <c r="V70" s="155" t="n"/>
      <c r="W70" s="155" t="n"/>
      <c r="X70" s="155" t="n"/>
      <c r="Y70" s="155" t="n"/>
      <c r="Z70" s="155" t="n"/>
      <c r="AA70" s="155" t="n"/>
      <c r="AB70" s="155" t="n"/>
      <c r="AC70" s="160" t="n">
        <v>100363</v>
      </c>
      <c r="AD70" s="155" t="n"/>
      <c r="AE70" s="155" t="n"/>
      <c r="AF70" s="155" t="n"/>
      <c r="AG70" s="155" t="n"/>
      <c r="AH70" s="160" t="n">
        <v>187862</v>
      </c>
      <c r="AI70" s="160" t="n">
        <v>640886</v>
      </c>
      <c r="AJ70" s="160" t="n">
        <v>828748</v>
      </c>
      <c r="AK70" s="155" t="n"/>
      <c r="AL70" s="155" t="n"/>
      <c r="AM70" s="269" t="inlineStr">
        <is>
          <t>NNN landlord expenses only; from AXG Whse Expenses PSF.xlsx (R0118875)</t>
        </is>
      </c>
      <c r="AN70">
        <f>IF(AND($B70=Subj_OccCode,Subj_BldgSF&gt;0,ABS($J70-Subj_BldgSF)&lt;=Subj_BldgSF*Subj_SizeTol),ABS($J70-Subj_BldgSF),NA())</f>
        <v/>
      </c>
      <c r="AO70">
        <f>IF(ISNA(AN70),NA(),AN70+ROW()/10000000)</f>
        <v/>
      </c>
      <c r="AR70" s="233">
        <f>IF(B70="","",IFERROR(INDEX(OCC_TABLE_DESC,MATCH(B70,OCC_TABLE_CODE,0)),"Unrecognized code"))</f>
        <v/>
      </c>
    </row>
    <row r="71" ht="30" customHeight="1" s="518">
      <c r="A71" s="155" t="inlineStr">
        <is>
          <t>P032</t>
        </is>
      </c>
      <c r="B71" s="150" t="n">
        <v>407</v>
      </c>
      <c r="C71" s="155" t="inlineStr">
        <is>
          <t>R0118875</t>
        </is>
      </c>
      <c r="D71" s="269" t="inlineStr">
        <is>
          <t>Majestic Commercenter (R0118875)</t>
        </is>
      </c>
      <c r="E71" s="155" t="inlineStr">
        <is>
          <t>Commerce City</t>
        </is>
      </c>
      <c r="F71" s="155" t="inlineStr">
        <is>
          <t>CO</t>
        </is>
      </c>
      <c r="G71" s="155" t="inlineStr">
        <is>
          <t>Industrial</t>
        </is>
      </c>
      <c r="H71" s="269" t="inlineStr">
        <is>
          <t>Warehouse NNN</t>
        </is>
      </c>
      <c r="I71" s="155" t="n">
        <v>1999</v>
      </c>
      <c r="J71" s="155" t="n">
        <v>279640</v>
      </c>
      <c r="K71" s="155" t="n">
        <v>2022</v>
      </c>
      <c r="L71" s="155" t="n"/>
      <c r="M71" s="155" t="n"/>
      <c r="N71" s="155" t="n"/>
      <c r="O71" s="160" t="n">
        <v>26204</v>
      </c>
      <c r="P71" s="160" t="n">
        <v>63433</v>
      </c>
      <c r="Q71" s="155" t="n"/>
      <c r="R71" s="155" t="n"/>
      <c r="S71" s="155" t="n"/>
      <c r="T71" s="155" t="n"/>
      <c r="U71" s="155" t="n"/>
      <c r="V71" s="155" t="n"/>
      <c r="W71" s="155" t="n"/>
      <c r="X71" s="155" t="n"/>
      <c r="Y71" s="155" t="n"/>
      <c r="Z71" s="155" t="n"/>
      <c r="AA71" s="155" t="n"/>
      <c r="AB71" s="155" t="n"/>
      <c r="AC71" s="160" t="n">
        <v>18197</v>
      </c>
      <c r="AD71" s="155" t="n"/>
      <c r="AE71" s="155" t="n"/>
      <c r="AF71" s="155" t="n"/>
      <c r="AG71" s="155" t="n"/>
      <c r="AH71" s="160" t="n">
        <v>107834</v>
      </c>
      <c r="AI71" s="160" t="n">
        <v>657060</v>
      </c>
      <c r="AJ71" s="160" t="n">
        <v>764894</v>
      </c>
      <c r="AK71" s="155" t="n"/>
      <c r="AL71" s="155" t="n"/>
      <c r="AM71" s="269" t="inlineStr">
        <is>
          <t>NNN landlord expenses only; from AXG Whse Expenses PSF.xlsx (R0118875)</t>
        </is>
      </c>
      <c r="AN71">
        <f>IF(AND($B71=Subj_OccCode,Subj_BldgSF&gt;0,ABS($J71-Subj_BldgSF)&lt;=Subj_BldgSF*Subj_SizeTol),ABS($J71-Subj_BldgSF),NA())</f>
        <v/>
      </c>
      <c r="AO71">
        <f>IF(ISNA(AN71),NA(),AN71+ROW()/10000000)</f>
        <v/>
      </c>
      <c r="AR71" s="233">
        <f>IF(B71="","",IFERROR(INDEX(OCC_TABLE_DESC,MATCH(B71,OCC_TABLE_CODE,0)),"Unrecognized code"))</f>
        <v/>
      </c>
    </row>
    <row r="72" ht="30" customHeight="1" s="518">
      <c r="A72" s="155" t="inlineStr">
        <is>
          <t>P033</t>
        </is>
      </c>
      <c r="B72" s="150" t="n">
        <v>407</v>
      </c>
      <c r="C72" s="155" t="inlineStr">
        <is>
          <t>R0132031</t>
        </is>
      </c>
      <c r="D72" s="269" t="inlineStr">
        <is>
          <t>Majestic Commercenter (R0132031)</t>
        </is>
      </c>
      <c r="E72" s="155" t="inlineStr">
        <is>
          <t>Commerce City</t>
        </is>
      </c>
      <c r="F72" s="155" t="inlineStr">
        <is>
          <t>CO</t>
        </is>
      </c>
      <c r="G72" s="155" t="inlineStr">
        <is>
          <t>Industrial</t>
        </is>
      </c>
      <c r="H72" s="269" t="inlineStr">
        <is>
          <t>Warehouse NNN</t>
        </is>
      </c>
      <c r="I72" s="155" t="n">
        <v>2002</v>
      </c>
      <c r="J72" s="155" t="n">
        <v>280098</v>
      </c>
      <c r="K72" s="155" t="n">
        <v>2021</v>
      </c>
      <c r="L72" s="155" t="n"/>
      <c r="M72" s="155" t="n"/>
      <c r="N72" s="155" t="n"/>
      <c r="O72" s="160" t="n">
        <v>19984</v>
      </c>
      <c r="P72" s="160" t="n">
        <v>64701</v>
      </c>
      <c r="Q72" s="155" t="n"/>
      <c r="R72" s="155" t="n"/>
      <c r="S72" s="155" t="n"/>
      <c r="T72" s="155" t="n"/>
      <c r="U72" s="155" t="n"/>
      <c r="V72" s="155" t="n"/>
      <c r="W72" s="155" t="n"/>
      <c r="X72" s="155" t="n"/>
      <c r="Y72" s="155" t="n"/>
      <c r="Z72" s="155" t="n"/>
      <c r="AA72" s="155" t="n"/>
      <c r="AB72" s="155" t="n"/>
      <c r="AC72" s="160" t="n">
        <v>73763</v>
      </c>
      <c r="AD72" s="155" t="n"/>
      <c r="AE72" s="155" t="n"/>
      <c r="AF72" s="160" t="n">
        <v>85895</v>
      </c>
      <c r="AG72" s="155" t="n"/>
      <c r="AH72" s="160" t="n">
        <v>244343</v>
      </c>
      <c r="AI72" s="160" t="n">
        <v>639063</v>
      </c>
      <c r="AJ72" s="160" t="n">
        <v>883406</v>
      </c>
      <c r="AK72" s="155" t="n"/>
      <c r="AL72" s="155" t="n"/>
      <c r="AM72" s="269" t="inlineStr">
        <is>
          <t>NNN landlord expenses only; from AXG Whse Expenses PSF.xlsx (R0132031)</t>
        </is>
      </c>
      <c r="AN72">
        <f>IF(AND($B72=Subj_OccCode,Subj_BldgSF&gt;0,ABS($J72-Subj_BldgSF)&lt;=Subj_BldgSF*Subj_SizeTol),ABS($J72-Subj_BldgSF),NA())</f>
        <v/>
      </c>
      <c r="AO72">
        <f>IF(ISNA(AN72),NA(),AN72+ROW()/10000000)</f>
        <v/>
      </c>
      <c r="AR72" s="233">
        <f>IF(B72="","",IFERROR(INDEX(OCC_TABLE_DESC,MATCH(B72,OCC_TABLE_CODE,0)),"Unrecognized code"))</f>
        <v/>
      </c>
    </row>
    <row r="73" ht="30" customHeight="1" s="518">
      <c r="A73" s="155" t="inlineStr">
        <is>
          <t>P033</t>
        </is>
      </c>
      <c r="B73" s="150" t="n">
        <v>407</v>
      </c>
      <c r="C73" s="155" t="inlineStr">
        <is>
          <t>R0132031</t>
        </is>
      </c>
      <c r="D73" s="269" t="inlineStr">
        <is>
          <t>Majestic Commercenter (R0132031)</t>
        </is>
      </c>
      <c r="E73" s="155" t="inlineStr">
        <is>
          <t>Commerce City</t>
        </is>
      </c>
      <c r="F73" s="155" t="inlineStr">
        <is>
          <t>CO</t>
        </is>
      </c>
      <c r="G73" s="155" t="inlineStr">
        <is>
          <t>Industrial</t>
        </is>
      </c>
      <c r="H73" s="269" t="inlineStr">
        <is>
          <t>Warehouse NNN</t>
        </is>
      </c>
      <c r="I73" s="155" t="n">
        <v>2002</v>
      </c>
      <c r="J73" s="155" t="n">
        <v>280098</v>
      </c>
      <c r="K73" s="155" t="n">
        <v>2022</v>
      </c>
      <c r="L73" s="155" t="n"/>
      <c r="M73" s="155" t="n"/>
      <c r="N73" s="155" t="n"/>
      <c r="O73" s="160" t="n">
        <v>21261</v>
      </c>
      <c r="P73" s="160" t="n">
        <v>59067</v>
      </c>
      <c r="Q73" s="155" t="n"/>
      <c r="R73" s="155" t="n"/>
      <c r="S73" s="155" t="n"/>
      <c r="T73" s="155" t="n"/>
      <c r="U73" s="155" t="n"/>
      <c r="V73" s="155" t="n"/>
      <c r="W73" s="155" t="n"/>
      <c r="X73" s="155" t="n"/>
      <c r="Y73" s="155" t="n"/>
      <c r="Z73" s="155" t="n"/>
      <c r="AA73" s="155" t="n"/>
      <c r="AB73" s="155" t="n"/>
      <c r="AC73" s="160" t="n">
        <v>120936</v>
      </c>
      <c r="AD73" s="155" t="n"/>
      <c r="AE73" s="155" t="n"/>
      <c r="AF73" s="160" t="n">
        <v>94786</v>
      </c>
      <c r="AG73" s="155" t="n"/>
      <c r="AH73" s="160" t="n">
        <v>296050</v>
      </c>
      <c r="AI73" s="160" t="n">
        <v>669090</v>
      </c>
      <c r="AJ73" s="160" t="n">
        <v>965140</v>
      </c>
      <c r="AK73" s="155" t="n"/>
      <c r="AL73" s="155" t="n"/>
      <c r="AM73" s="269" t="inlineStr">
        <is>
          <t>NNN landlord expenses only; from AXG Whse Expenses PSF.xlsx (R0132031)</t>
        </is>
      </c>
      <c r="AN73">
        <f>IF(AND($B73=Subj_OccCode,Subj_BldgSF&gt;0,ABS($J73-Subj_BldgSF)&lt;=Subj_BldgSF*Subj_SizeTol),ABS($J73-Subj_BldgSF),NA())</f>
        <v/>
      </c>
      <c r="AO73">
        <f>IF(ISNA(AN73),NA(),AN73+ROW()/10000000)</f>
        <v/>
      </c>
      <c r="AR73" s="233">
        <f>IF(B73="","",IFERROR(INDEX(OCC_TABLE_DESC,MATCH(B73,OCC_TABLE_CODE,0)),"Unrecognized code"))</f>
        <v/>
      </c>
    </row>
    <row r="74" ht="30" customHeight="1" s="518">
      <c r="A74" s="155" t="inlineStr">
        <is>
          <t>P034</t>
        </is>
      </c>
      <c r="B74" s="150" t="n">
        <v>407</v>
      </c>
      <c r="C74" s="155" t="inlineStr">
        <is>
          <t>R0172865</t>
        </is>
      </c>
      <c r="D74" s="269" t="inlineStr">
        <is>
          <t>Majestic Commercenter (R0172865)</t>
        </is>
      </c>
      <c r="E74" s="155" t="inlineStr">
        <is>
          <t>Commerce City</t>
        </is>
      </c>
      <c r="F74" s="155" t="inlineStr">
        <is>
          <t>CO</t>
        </is>
      </c>
      <c r="G74" s="155" t="inlineStr">
        <is>
          <t>Industrial</t>
        </is>
      </c>
      <c r="H74" s="269" t="inlineStr">
        <is>
          <t>Warehouse NNN</t>
        </is>
      </c>
      <c r="I74" s="155" t="n">
        <v>2008</v>
      </c>
      <c r="J74" s="155" t="n">
        <v>215461</v>
      </c>
      <c r="K74" s="155" t="n">
        <v>2021</v>
      </c>
      <c r="L74" s="155" t="n"/>
      <c r="M74" s="155" t="n"/>
      <c r="N74" s="155" t="n"/>
      <c r="O74" s="160" t="n">
        <v>17428</v>
      </c>
      <c r="P74" s="160" t="n">
        <v>65798</v>
      </c>
      <c r="Q74" s="155" t="n"/>
      <c r="R74" s="155" t="n"/>
      <c r="S74" s="155" t="n"/>
      <c r="T74" s="155" t="n"/>
      <c r="U74" s="155" t="n"/>
      <c r="V74" s="155" t="n"/>
      <c r="W74" s="155" t="n"/>
      <c r="X74" s="155" t="n"/>
      <c r="Y74" s="155" t="n"/>
      <c r="Z74" s="155" t="n"/>
      <c r="AA74" s="155" t="n"/>
      <c r="AB74" s="155" t="n"/>
      <c r="AC74" s="160" t="n">
        <v>100975</v>
      </c>
      <c r="AD74" s="155" t="n"/>
      <c r="AE74" s="155" t="n"/>
      <c r="AF74" s="160" t="n">
        <v>73139</v>
      </c>
      <c r="AG74" s="155" t="n"/>
      <c r="AH74" s="160" t="n">
        <v>257340</v>
      </c>
      <c r="AI74" s="160" t="n">
        <v>614041</v>
      </c>
      <c r="AJ74" s="160" t="n">
        <v>871381</v>
      </c>
      <c r="AK74" s="155" t="n"/>
      <c r="AL74" s="155" t="n"/>
      <c r="AM74" s="269" t="inlineStr">
        <is>
          <t>NNN landlord expenses only; from AXG Whse Expenses PSF.xlsx (R0172865)</t>
        </is>
      </c>
      <c r="AN74">
        <f>IF(AND($B74=Subj_OccCode,Subj_BldgSF&gt;0,ABS($J74-Subj_BldgSF)&lt;=Subj_BldgSF*Subj_SizeTol),ABS($J74-Subj_BldgSF),NA())</f>
        <v/>
      </c>
      <c r="AO74">
        <f>IF(ISNA(AN74),NA(),AN74+ROW()/10000000)</f>
        <v/>
      </c>
      <c r="AR74" s="233">
        <f>IF(B74="","",IFERROR(INDEX(OCC_TABLE_DESC,MATCH(B74,OCC_TABLE_CODE,0)),"Unrecognized code"))</f>
        <v/>
      </c>
    </row>
    <row r="75" ht="30" customHeight="1" s="518">
      <c r="A75" s="155" t="inlineStr">
        <is>
          <t>P034</t>
        </is>
      </c>
      <c r="B75" s="150" t="n">
        <v>407</v>
      </c>
      <c r="C75" s="155" t="inlineStr">
        <is>
          <t>R0172865</t>
        </is>
      </c>
      <c r="D75" s="269" t="inlineStr">
        <is>
          <t>Majestic Commercenter (R0172865)</t>
        </is>
      </c>
      <c r="E75" s="155" t="inlineStr">
        <is>
          <t>Commerce City</t>
        </is>
      </c>
      <c r="F75" s="155" t="inlineStr">
        <is>
          <t>CO</t>
        </is>
      </c>
      <c r="G75" s="155" t="inlineStr">
        <is>
          <t>Industrial</t>
        </is>
      </c>
      <c r="H75" s="269" t="inlineStr">
        <is>
          <t>Warehouse NNN</t>
        </is>
      </c>
      <c r="I75" s="155" t="n">
        <v>2008</v>
      </c>
      <c r="J75" s="155" t="n">
        <v>215461</v>
      </c>
      <c r="K75" s="155" t="n">
        <v>2022</v>
      </c>
      <c r="L75" s="155" t="n"/>
      <c r="M75" s="155" t="n"/>
      <c r="N75" s="155" t="n"/>
      <c r="O75" s="160" t="n">
        <v>18350</v>
      </c>
      <c r="P75" s="160" t="n">
        <v>62443</v>
      </c>
      <c r="Q75" s="155" t="n"/>
      <c r="R75" s="155" t="n"/>
      <c r="S75" s="155" t="n"/>
      <c r="T75" s="155" t="n"/>
      <c r="U75" s="155" t="n"/>
      <c r="V75" s="155" t="n"/>
      <c r="W75" s="155" t="n"/>
      <c r="X75" s="155" t="n"/>
      <c r="Y75" s="155" t="n"/>
      <c r="Z75" s="155" t="n"/>
      <c r="AA75" s="155" t="n"/>
      <c r="AB75" s="155" t="n"/>
      <c r="AC75" s="160" t="n">
        <v>73459</v>
      </c>
      <c r="AD75" s="155" t="n"/>
      <c r="AE75" s="155" t="n"/>
      <c r="AF75" s="160" t="n">
        <v>74975</v>
      </c>
      <c r="AG75" s="155" t="n"/>
      <c r="AH75" s="160" t="n">
        <v>229227</v>
      </c>
      <c r="AI75" s="160" t="n">
        <v>590782</v>
      </c>
      <c r="AJ75" s="160" t="n">
        <v>820009</v>
      </c>
      <c r="AK75" s="155" t="n"/>
      <c r="AL75" s="155" t="n"/>
      <c r="AM75" s="269" t="inlineStr">
        <is>
          <t>NNN landlord expenses only; from AXG Whse Expenses PSF.xlsx (R0172865)</t>
        </is>
      </c>
      <c r="AN75">
        <f>IF(AND($B75=Subj_OccCode,Subj_BldgSF&gt;0,ABS($J75-Subj_BldgSF)&lt;=Subj_BldgSF*Subj_SizeTol),ABS($J75-Subj_BldgSF),NA())</f>
        <v/>
      </c>
      <c r="AO75">
        <f>IF(ISNA(AN75),NA(),AN75+ROW()/10000000)</f>
        <v/>
      </c>
      <c r="AR75" s="233">
        <f>IF(B75="","",IFERROR(INDEX(OCC_TABLE_DESC,MATCH(B75,OCC_TABLE_CODE,0)),"Unrecognized code"))</f>
        <v/>
      </c>
    </row>
    <row r="76" ht="30" customHeight="1" s="518">
      <c r="A76" s="155" t="inlineStr">
        <is>
          <t>P035</t>
        </is>
      </c>
      <c r="B76" s="150" t="n">
        <v>407</v>
      </c>
      <c r="C76" s="155" t="inlineStr">
        <is>
          <t>R0172867</t>
        </is>
      </c>
      <c r="D76" s="269" t="inlineStr">
        <is>
          <t>Majestic Commercenter (R0172867)</t>
        </is>
      </c>
      <c r="E76" s="155" t="inlineStr">
        <is>
          <t>Commerce City</t>
        </is>
      </c>
      <c r="F76" s="155" t="inlineStr">
        <is>
          <t>CO</t>
        </is>
      </c>
      <c r="G76" s="155" t="inlineStr">
        <is>
          <t>Industrial</t>
        </is>
      </c>
      <c r="H76" s="269" t="inlineStr">
        <is>
          <t>Warehouse NNN</t>
        </is>
      </c>
      <c r="I76" s="155" t="n">
        <v>2007</v>
      </c>
      <c r="J76" s="155" t="n">
        <v>215560</v>
      </c>
      <c r="K76" s="155" t="n">
        <v>2021</v>
      </c>
      <c r="L76" s="155" t="n"/>
      <c r="M76" s="155" t="n"/>
      <c r="N76" s="155" t="n"/>
      <c r="O76" s="160" t="n">
        <v>21017</v>
      </c>
      <c r="P76" s="160" t="n">
        <v>52362</v>
      </c>
      <c r="Q76" s="155" t="n"/>
      <c r="R76" s="155" t="n"/>
      <c r="S76" s="155" t="n"/>
      <c r="T76" s="155" t="n"/>
      <c r="U76" s="155" t="n"/>
      <c r="V76" s="155" t="n"/>
      <c r="W76" s="155" t="n"/>
      <c r="X76" s="155" t="n"/>
      <c r="Y76" s="155" t="n"/>
      <c r="Z76" s="155" t="n"/>
      <c r="AA76" s="155" t="n"/>
      <c r="AB76" s="155" t="n"/>
      <c r="AC76" s="160" t="n">
        <v>64218</v>
      </c>
      <c r="AD76" s="155" t="n"/>
      <c r="AE76" s="155" t="n"/>
      <c r="AF76" s="160" t="n">
        <v>67129</v>
      </c>
      <c r="AG76" s="155" t="n"/>
      <c r="AH76" s="160" t="n">
        <v>204726</v>
      </c>
      <c r="AI76" s="160" t="n">
        <v>537207</v>
      </c>
      <c r="AJ76" s="160" t="n">
        <v>741933</v>
      </c>
      <c r="AK76" s="155" t="n"/>
      <c r="AL76" s="155" t="n"/>
      <c r="AM76" s="269" t="inlineStr">
        <is>
          <t>NNN landlord expenses only; from AXG Whse Expenses PSF.xlsx (R0172867)</t>
        </is>
      </c>
      <c r="AN76">
        <f>IF(AND($B76=Subj_OccCode,Subj_BldgSF&gt;0,ABS($J76-Subj_BldgSF)&lt;=Subj_BldgSF*Subj_SizeTol),ABS($J76-Subj_BldgSF),NA())</f>
        <v/>
      </c>
      <c r="AO76">
        <f>IF(ISNA(AN76),NA(),AN76+ROW()/10000000)</f>
        <v/>
      </c>
      <c r="AR76" s="233">
        <f>IF(B76="","",IFERROR(INDEX(OCC_TABLE_DESC,MATCH(B76,OCC_TABLE_CODE,0)),"Unrecognized code"))</f>
        <v/>
      </c>
    </row>
    <row r="77" ht="30" customHeight="1" s="518">
      <c r="A77" s="155" t="inlineStr">
        <is>
          <t>P035</t>
        </is>
      </c>
      <c r="B77" s="150" t="n">
        <v>407</v>
      </c>
      <c r="C77" s="155" t="inlineStr">
        <is>
          <t>R0172867</t>
        </is>
      </c>
      <c r="D77" s="269" t="inlineStr">
        <is>
          <t>Majestic Commercenter (R0172867)</t>
        </is>
      </c>
      <c r="E77" s="155" t="inlineStr">
        <is>
          <t>Commerce City</t>
        </is>
      </c>
      <c r="F77" s="155" t="inlineStr">
        <is>
          <t>CO</t>
        </is>
      </c>
      <c r="G77" s="155" t="inlineStr">
        <is>
          <t>Industrial</t>
        </is>
      </c>
      <c r="H77" s="269" t="inlineStr">
        <is>
          <t>Warehouse NNN</t>
        </is>
      </c>
      <c r="I77" s="155" t="n">
        <v>2007</v>
      </c>
      <c r="J77" s="155" t="n">
        <v>215560</v>
      </c>
      <c r="K77" s="155" t="n">
        <v>2022</v>
      </c>
      <c r="L77" s="155" t="n"/>
      <c r="M77" s="155" t="n"/>
      <c r="N77" s="155" t="n"/>
      <c r="O77" s="160" t="n">
        <v>22360</v>
      </c>
      <c r="P77" s="160" t="n">
        <v>55092</v>
      </c>
      <c r="Q77" s="155" t="n"/>
      <c r="R77" s="155" t="n"/>
      <c r="S77" s="155" t="n"/>
      <c r="T77" s="155" t="n"/>
      <c r="U77" s="155" t="n"/>
      <c r="V77" s="155" t="n"/>
      <c r="W77" s="155" t="n"/>
      <c r="X77" s="155" t="n"/>
      <c r="Y77" s="155" t="n"/>
      <c r="Z77" s="155" t="n"/>
      <c r="AA77" s="155" t="n"/>
      <c r="AB77" s="155" t="n"/>
      <c r="AC77" s="160" t="n">
        <v>67277</v>
      </c>
      <c r="AD77" s="155" t="n"/>
      <c r="AE77" s="155" t="n"/>
      <c r="AF77" s="160" t="n">
        <v>72040</v>
      </c>
      <c r="AG77" s="155" t="n"/>
      <c r="AH77" s="160" t="n">
        <v>216769</v>
      </c>
      <c r="AI77" s="160" t="n">
        <v>558214</v>
      </c>
      <c r="AJ77" s="160" t="n">
        <v>774983</v>
      </c>
      <c r="AK77" s="155" t="n"/>
      <c r="AL77" s="155" t="n"/>
      <c r="AM77" s="269" t="inlineStr">
        <is>
          <t>NNN landlord expenses only; from AXG Whse Expenses PSF.xlsx (R0172867)</t>
        </is>
      </c>
      <c r="AN77">
        <f>IF(AND($B77=Subj_OccCode,Subj_BldgSF&gt;0,ABS($J77-Subj_BldgSF)&lt;=Subj_BldgSF*Subj_SizeTol),ABS($J77-Subj_BldgSF),NA())</f>
        <v/>
      </c>
      <c r="AO77">
        <f>IF(ISNA(AN77),NA(),AN77+ROW()/10000000)</f>
        <v/>
      </c>
      <c r="AR77" s="233">
        <f>IF(B77="","",IFERROR(INDEX(OCC_TABLE_DESC,MATCH(B77,OCC_TABLE_CODE,0)),"Unrecognized code"))</f>
        <v/>
      </c>
    </row>
    <row r="78" ht="30" customHeight="1" s="518">
      <c r="A78" s="155" t="inlineStr">
        <is>
          <t>P036</t>
        </is>
      </c>
      <c r="B78" s="150" t="n">
        <v>407</v>
      </c>
      <c r="C78" s="155" t="inlineStr">
        <is>
          <t>R0172868</t>
        </is>
      </c>
      <c r="D78" s="269" t="inlineStr">
        <is>
          <t>Majestic Commercenter (R0172868)</t>
        </is>
      </c>
      <c r="E78" s="155" t="inlineStr">
        <is>
          <t>Commerce City</t>
        </is>
      </c>
      <c r="F78" s="155" t="inlineStr">
        <is>
          <t>CO</t>
        </is>
      </c>
      <c r="G78" s="155" t="inlineStr">
        <is>
          <t>Industrial</t>
        </is>
      </c>
      <c r="H78" s="269" t="inlineStr">
        <is>
          <t>Warehouse NNN</t>
        </is>
      </c>
      <c r="I78" s="155" t="n">
        <v>2007</v>
      </c>
      <c r="J78" s="155" t="n">
        <v>202091</v>
      </c>
      <c r="K78" s="155" t="n">
        <v>2021</v>
      </c>
      <c r="L78" s="155" t="n"/>
      <c r="M78" s="155" t="n"/>
      <c r="N78" s="155" t="n"/>
      <c r="O78" s="160" t="n">
        <v>17434</v>
      </c>
      <c r="P78" s="160" t="n">
        <v>31149</v>
      </c>
      <c r="Q78" s="155" t="n"/>
      <c r="R78" s="155" t="n"/>
      <c r="S78" s="155" t="n"/>
      <c r="T78" s="155" t="n"/>
      <c r="U78" s="155" t="n"/>
      <c r="V78" s="155" t="n"/>
      <c r="W78" s="155" t="n"/>
      <c r="X78" s="155" t="n"/>
      <c r="Y78" s="155" t="n"/>
      <c r="Z78" s="155" t="n"/>
      <c r="AA78" s="155" t="n"/>
      <c r="AB78" s="155" t="n"/>
      <c r="AC78" s="160" t="n">
        <v>83142</v>
      </c>
      <c r="AD78" s="155" t="n"/>
      <c r="AE78" s="155" t="n"/>
      <c r="AF78" s="155" t="n"/>
      <c r="AG78" s="155" t="n"/>
      <c r="AH78" s="160" t="n">
        <v>131725</v>
      </c>
      <c r="AI78" s="160" t="n">
        <v>499000</v>
      </c>
      <c r="AJ78" s="160" t="n">
        <v>630725</v>
      </c>
      <c r="AK78" s="155" t="n"/>
      <c r="AL78" s="155" t="n"/>
      <c r="AM78" s="269" t="inlineStr">
        <is>
          <t>NNN landlord expenses only; from AXG Whse Expenses PSF.xlsx (R0172868)</t>
        </is>
      </c>
      <c r="AN78">
        <f>IF(AND($B78=Subj_OccCode,Subj_BldgSF&gt;0,ABS($J78-Subj_BldgSF)&lt;=Subj_BldgSF*Subj_SizeTol),ABS($J78-Subj_BldgSF),NA())</f>
        <v/>
      </c>
      <c r="AO78">
        <f>IF(ISNA(AN78),NA(),AN78+ROW()/10000000)</f>
        <v/>
      </c>
      <c r="AR78" s="233">
        <f>IF(B78="","",IFERROR(INDEX(OCC_TABLE_DESC,MATCH(B78,OCC_TABLE_CODE,0)),"Unrecognized code"))</f>
        <v/>
      </c>
    </row>
    <row r="79" ht="30" customHeight="1" s="518">
      <c r="A79" s="155" t="inlineStr">
        <is>
          <t>P036</t>
        </is>
      </c>
      <c r="B79" s="150" t="n">
        <v>407</v>
      </c>
      <c r="C79" s="155" t="inlineStr">
        <is>
          <t>R0172868</t>
        </is>
      </c>
      <c r="D79" s="269" t="inlineStr">
        <is>
          <t>Majestic Commercenter (R0172868)</t>
        </is>
      </c>
      <c r="E79" s="155" t="inlineStr">
        <is>
          <t>Commerce City</t>
        </is>
      </c>
      <c r="F79" s="155" t="inlineStr">
        <is>
          <t>CO</t>
        </is>
      </c>
      <c r="G79" s="155" t="inlineStr">
        <is>
          <t>Industrial</t>
        </is>
      </c>
      <c r="H79" s="269" t="inlineStr">
        <is>
          <t>Warehouse NNN</t>
        </is>
      </c>
      <c r="I79" s="155" t="n">
        <v>2007</v>
      </c>
      <c r="J79" s="155" t="n">
        <v>202091</v>
      </c>
      <c r="K79" s="155" t="n">
        <v>2022</v>
      </c>
      <c r="L79" s="155" t="n"/>
      <c r="M79" s="155" t="n"/>
      <c r="N79" s="155" t="n"/>
      <c r="O79" s="160" t="n">
        <v>18548</v>
      </c>
      <c r="P79" s="160" t="n">
        <v>27554</v>
      </c>
      <c r="Q79" s="155" t="n"/>
      <c r="R79" s="155" t="n"/>
      <c r="S79" s="155" t="n"/>
      <c r="T79" s="155" t="n"/>
      <c r="U79" s="155" t="n"/>
      <c r="V79" s="155" t="n"/>
      <c r="W79" s="155" t="n"/>
      <c r="X79" s="155" t="n"/>
      <c r="Y79" s="155" t="n"/>
      <c r="Z79" s="155" t="n"/>
      <c r="AA79" s="155" t="n"/>
      <c r="AB79" s="155" t="n"/>
      <c r="AC79" s="160" t="n">
        <v>66184</v>
      </c>
      <c r="AD79" s="155" t="n"/>
      <c r="AE79" s="155" t="n"/>
      <c r="AF79" s="155" t="n"/>
      <c r="AG79" s="155" t="n"/>
      <c r="AH79" s="160" t="n">
        <v>112286</v>
      </c>
      <c r="AI79" s="160" t="n">
        <v>509649</v>
      </c>
      <c r="AJ79" s="160" t="n">
        <v>621935</v>
      </c>
      <c r="AK79" s="155" t="n"/>
      <c r="AL79" s="155" t="n"/>
      <c r="AM79" s="269" t="inlineStr">
        <is>
          <t>NNN landlord expenses only; from AXG Whse Expenses PSF.xlsx (R0172868)</t>
        </is>
      </c>
      <c r="AN79">
        <f>IF(AND($B79=Subj_OccCode,Subj_BldgSF&gt;0,ABS($J79-Subj_BldgSF)&lt;=Subj_BldgSF*Subj_SizeTol),ABS($J79-Subj_BldgSF),NA())</f>
        <v/>
      </c>
      <c r="AO79">
        <f>IF(ISNA(AN79),NA(),AN79+ROW()/10000000)</f>
        <v/>
      </c>
      <c r="AR79" s="233">
        <f>IF(B79="","",IFERROR(INDEX(OCC_TABLE_DESC,MATCH(B79,OCC_TABLE_CODE,0)),"Unrecognized code"))</f>
        <v/>
      </c>
    </row>
    <row r="80" ht="30" customHeight="1" s="518">
      <c r="A80" s="155" t="inlineStr">
        <is>
          <t>P037</t>
        </is>
      </c>
      <c r="B80" s="150" t="n">
        <v>407</v>
      </c>
      <c r="C80" s="155" t="inlineStr">
        <is>
          <t>R0145680</t>
        </is>
      </c>
      <c r="D80" s="269" t="inlineStr">
        <is>
          <t>Majestic Commercenter (R0145680)</t>
        </is>
      </c>
      <c r="E80" s="155" t="inlineStr">
        <is>
          <t>Commerce City</t>
        </is>
      </c>
      <c r="F80" s="155" t="inlineStr">
        <is>
          <t>CO</t>
        </is>
      </c>
      <c r="G80" s="155" t="inlineStr">
        <is>
          <t>Industrial</t>
        </is>
      </c>
      <c r="H80" s="269" t="inlineStr">
        <is>
          <t>Warehouse NNN</t>
        </is>
      </c>
      <c r="I80" s="155" t="n">
        <v>2001</v>
      </c>
      <c r="J80" s="155" t="n">
        <v>150027</v>
      </c>
      <c r="K80" s="155" t="n">
        <v>2021</v>
      </c>
      <c r="L80" s="155" t="n"/>
      <c r="M80" s="155" t="n"/>
      <c r="N80" s="155" t="n"/>
      <c r="O80" s="160" t="n">
        <v>11682</v>
      </c>
      <c r="P80" s="160" t="n">
        <v>41521</v>
      </c>
      <c r="Q80" s="155" t="n"/>
      <c r="R80" s="155" t="n"/>
      <c r="S80" s="155" t="n"/>
      <c r="T80" s="155" t="n"/>
      <c r="U80" s="155" t="n"/>
      <c r="V80" s="155" t="n"/>
      <c r="W80" s="155" t="n"/>
      <c r="X80" s="155" t="n"/>
      <c r="Y80" s="155" t="n"/>
      <c r="Z80" s="155" t="n"/>
      <c r="AA80" s="155" t="n"/>
      <c r="AB80" s="155" t="n"/>
      <c r="AC80" s="160" t="n">
        <v>49834</v>
      </c>
      <c r="AD80" s="155" t="n"/>
      <c r="AE80" s="155" t="n"/>
      <c r="AF80" s="155" t="n"/>
      <c r="AG80" s="155" t="n"/>
      <c r="AH80" s="160" t="n">
        <v>103037</v>
      </c>
      <c r="AI80" s="160" t="n">
        <v>427951</v>
      </c>
      <c r="AJ80" s="160" t="n">
        <v>530988</v>
      </c>
      <c r="AK80" s="155" t="n"/>
      <c r="AL80" s="155" t="n"/>
      <c r="AM80" s="269" t="inlineStr">
        <is>
          <t>NNN landlord expenses only; from AXG Whse Expenses PSF.xlsx (R0145680)</t>
        </is>
      </c>
      <c r="AN80">
        <f>IF(AND($B80=Subj_OccCode,Subj_BldgSF&gt;0,ABS($J80-Subj_BldgSF)&lt;=Subj_BldgSF*Subj_SizeTol),ABS($J80-Subj_BldgSF),NA())</f>
        <v/>
      </c>
      <c r="AO80">
        <f>IF(ISNA(AN80),NA(),AN80+ROW()/10000000)</f>
        <v/>
      </c>
      <c r="AR80" s="233">
        <f>IF(B80="","",IFERROR(INDEX(OCC_TABLE_DESC,MATCH(B80,OCC_TABLE_CODE,0)),"Unrecognized code"))</f>
        <v/>
      </c>
    </row>
    <row r="81" ht="30" customHeight="1" s="518">
      <c r="A81" s="155" t="inlineStr">
        <is>
          <t>P037</t>
        </is>
      </c>
      <c r="B81" s="150" t="n">
        <v>407</v>
      </c>
      <c r="C81" s="155" t="inlineStr">
        <is>
          <t>R0145680</t>
        </is>
      </c>
      <c r="D81" s="269" t="inlineStr">
        <is>
          <t>Majestic Commercenter (R0145680)</t>
        </is>
      </c>
      <c r="E81" s="155" t="inlineStr">
        <is>
          <t>Commerce City</t>
        </is>
      </c>
      <c r="F81" s="155" t="inlineStr">
        <is>
          <t>CO</t>
        </is>
      </c>
      <c r="G81" s="155" t="inlineStr">
        <is>
          <t>Industrial</t>
        </is>
      </c>
      <c r="H81" s="269" t="inlineStr">
        <is>
          <t>Warehouse NNN</t>
        </is>
      </c>
      <c r="I81" s="155" t="n">
        <v>2001</v>
      </c>
      <c r="J81" s="155" t="n">
        <v>150027</v>
      </c>
      <c r="K81" s="155" t="n">
        <v>2022</v>
      </c>
      <c r="L81" s="155" t="n"/>
      <c r="M81" s="155" t="n"/>
      <c r="N81" s="155" t="n"/>
      <c r="O81" s="160" t="n">
        <v>12428</v>
      </c>
      <c r="P81" s="160" t="n">
        <v>34409</v>
      </c>
      <c r="Q81" s="155" t="n"/>
      <c r="R81" s="155" t="n"/>
      <c r="S81" s="155" t="n"/>
      <c r="T81" s="155" t="n"/>
      <c r="U81" s="155" t="n"/>
      <c r="V81" s="155" t="n"/>
      <c r="W81" s="155" t="n"/>
      <c r="X81" s="155" t="n"/>
      <c r="Y81" s="155" t="n"/>
      <c r="Z81" s="155" t="n"/>
      <c r="AA81" s="155" t="n"/>
      <c r="AB81" s="155" t="n"/>
      <c r="AC81" s="160" t="n">
        <v>54262</v>
      </c>
      <c r="AD81" s="155" t="n"/>
      <c r="AE81" s="155" t="n"/>
      <c r="AF81" s="155" t="n"/>
      <c r="AG81" s="155" t="n"/>
      <c r="AH81" s="160" t="n">
        <v>101099</v>
      </c>
      <c r="AI81" s="160" t="n">
        <v>410892</v>
      </c>
      <c r="AJ81" s="160" t="n">
        <v>511991</v>
      </c>
      <c r="AK81" s="155" t="n"/>
      <c r="AL81" s="155" t="n"/>
      <c r="AM81" s="269" t="inlineStr">
        <is>
          <t>NNN landlord expenses only; from AXG Whse Expenses PSF.xlsx (R0145680)</t>
        </is>
      </c>
      <c r="AN81">
        <f>IF(AND($B81=Subj_OccCode,Subj_BldgSF&gt;0,ABS($J81-Subj_BldgSF)&lt;=Subj_BldgSF*Subj_SizeTol),ABS($J81-Subj_BldgSF),NA())</f>
        <v/>
      </c>
      <c r="AO81">
        <f>IF(ISNA(AN81),NA(),AN81+ROW()/10000000)</f>
        <v/>
      </c>
      <c r="AR81" s="233">
        <f>IF(B81="","",IFERROR(INDEX(OCC_TABLE_DESC,MATCH(B81,OCC_TABLE_CODE,0)),"Unrecognized code"))</f>
        <v/>
      </c>
    </row>
    <row r="82" ht="30" customHeight="1" s="518">
      <c r="A82" s="155" t="inlineStr">
        <is>
          <t>P038</t>
        </is>
      </c>
      <c r="B82" s="150" t="n">
        <v>584</v>
      </c>
      <c r="C82" s="155" t="inlineStr">
        <is>
          <t>R0181787</t>
        </is>
      </c>
      <c r="D82" s="269" t="inlineStr">
        <is>
          <t>Majestic Commercenter (R0181787)</t>
        </is>
      </c>
      <c r="E82" s="155" t="inlineStr">
        <is>
          <t>Commerce City</t>
        </is>
      </c>
      <c r="F82" s="155" t="inlineStr">
        <is>
          <t>CO</t>
        </is>
      </c>
      <c r="G82" s="155" t="inlineStr">
        <is>
          <t>Industrial</t>
        </is>
      </c>
      <c r="H82" s="269" t="inlineStr">
        <is>
          <t>Warehouse NNN</t>
        </is>
      </c>
      <c r="I82" s="155" t="n">
        <v>2013</v>
      </c>
      <c r="J82" s="155" t="n">
        <v>500358</v>
      </c>
      <c r="K82" s="155" t="n">
        <v>2021</v>
      </c>
      <c r="L82" s="155" t="n"/>
      <c r="M82" s="155" t="n"/>
      <c r="N82" s="155" t="n"/>
      <c r="O82" s="160" t="n">
        <v>37172</v>
      </c>
      <c r="P82" s="160" t="n">
        <v>117764</v>
      </c>
      <c r="Q82" s="155" t="n"/>
      <c r="R82" s="155" t="n"/>
      <c r="S82" s="155" t="n"/>
      <c r="T82" s="155" t="n"/>
      <c r="U82" s="155" t="n"/>
      <c r="V82" s="155" t="n"/>
      <c r="W82" s="155" t="n"/>
      <c r="X82" s="155" t="n"/>
      <c r="Y82" s="155" t="n"/>
      <c r="Z82" s="155" t="n"/>
      <c r="AA82" s="155" t="n"/>
      <c r="AB82" s="155" t="n"/>
      <c r="AC82" s="160" t="n">
        <v>156518</v>
      </c>
      <c r="AD82" s="155" t="n"/>
      <c r="AE82" s="155" t="n"/>
      <c r="AF82" s="160" t="n">
        <v>117148</v>
      </c>
      <c r="AG82" s="155" t="n"/>
      <c r="AH82" s="160" t="n">
        <v>428602</v>
      </c>
      <c r="AI82" s="160" t="n">
        <v>1142695</v>
      </c>
      <c r="AJ82" s="160" t="n">
        <v>1571297</v>
      </c>
      <c r="AK82" s="155" t="n"/>
      <c r="AL82" s="155" t="n"/>
      <c r="AM82" s="269" t="inlineStr">
        <is>
          <t>NNN landlord expenses only; from AXG Whse Expenses PSF.xlsx (R0181787)</t>
        </is>
      </c>
      <c r="AN82">
        <f>IF(AND($B82=Subj_OccCode,Subj_BldgSF&gt;0,ABS($J82-Subj_BldgSF)&lt;=Subj_BldgSF*Subj_SizeTol),ABS($J82-Subj_BldgSF),NA())</f>
        <v/>
      </c>
      <c r="AO82">
        <f>IF(ISNA(AN82),NA(),AN82+ROW()/10000000)</f>
        <v/>
      </c>
      <c r="AR82" s="233">
        <f>IF(B82="","",IFERROR(INDEX(OCC_TABLE_DESC,MATCH(B82,OCC_TABLE_CODE,0)),"Unrecognized code"))</f>
        <v/>
      </c>
    </row>
    <row r="83" ht="30" customHeight="1" s="518">
      <c r="A83" s="155" t="inlineStr">
        <is>
          <t>P038</t>
        </is>
      </c>
      <c r="B83" s="150" t="n">
        <v>584</v>
      </c>
      <c r="C83" s="155" t="inlineStr">
        <is>
          <t>R0181787</t>
        </is>
      </c>
      <c r="D83" s="269" t="inlineStr">
        <is>
          <t>Majestic Commercenter (R0181787)</t>
        </is>
      </c>
      <c r="E83" s="155" t="inlineStr">
        <is>
          <t>Commerce City</t>
        </is>
      </c>
      <c r="F83" s="155" t="inlineStr">
        <is>
          <t>CO</t>
        </is>
      </c>
      <c r="G83" s="155" t="inlineStr">
        <is>
          <t>Industrial</t>
        </is>
      </c>
      <c r="H83" s="269" t="inlineStr">
        <is>
          <t>Warehouse NNN</t>
        </is>
      </c>
      <c r="I83" s="155" t="n">
        <v>2013</v>
      </c>
      <c r="J83" s="155" t="n">
        <v>500358</v>
      </c>
      <c r="K83" s="155" t="n">
        <v>2022</v>
      </c>
      <c r="L83" s="155" t="n"/>
      <c r="M83" s="155" t="n"/>
      <c r="N83" s="155" t="n"/>
      <c r="O83" s="160" t="n">
        <v>39548</v>
      </c>
      <c r="P83" s="160" t="n">
        <v>100791</v>
      </c>
      <c r="Q83" s="155" t="n"/>
      <c r="R83" s="155" t="n"/>
      <c r="S83" s="155" t="n"/>
      <c r="T83" s="155" t="n"/>
      <c r="U83" s="155" t="n"/>
      <c r="V83" s="155" t="n"/>
      <c r="W83" s="155" t="n"/>
      <c r="X83" s="155" t="n"/>
      <c r="Y83" s="155" t="n"/>
      <c r="Z83" s="155" t="n"/>
      <c r="AA83" s="155" t="n"/>
      <c r="AB83" s="155" t="n"/>
      <c r="AC83" s="160" t="n">
        <v>116474</v>
      </c>
      <c r="AD83" s="155" t="n"/>
      <c r="AE83" s="155" t="n"/>
      <c r="AF83" s="160" t="n">
        <v>113231</v>
      </c>
      <c r="AG83" s="155" t="n"/>
      <c r="AH83" s="160" t="n">
        <v>370044</v>
      </c>
      <c r="AI83" s="160" t="n">
        <v>1270807</v>
      </c>
      <c r="AJ83" s="160" t="n">
        <v>1640851</v>
      </c>
      <c r="AK83" s="155" t="n"/>
      <c r="AL83" s="155" t="n"/>
      <c r="AM83" s="269" t="inlineStr">
        <is>
          <t>NNN landlord expenses only; from AXG Whse Expenses PSF.xlsx (R0181787)</t>
        </is>
      </c>
      <c r="AN83">
        <f>IF(AND($B83=Subj_OccCode,Subj_BldgSF&gt;0,ABS($J83-Subj_BldgSF)&lt;=Subj_BldgSF*Subj_SizeTol),ABS($J83-Subj_BldgSF),NA())</f>
        <v/>
      </c>
      <c r="AO83">
        <f>IF(ISNA(AN83),NA(),AN83+ROW()/10000000)</f>
        <v/>
      </c>
      <c r="AR83" s="233">
        <f>IF(B83="","",IFERROR(INDEX(OCC_TABLE_DESC,MATCH(B83,OCC_TABLE_CODE,0)),"Unrecognized code"))</f>
        <v/>
      </c>
    </row>
    <row r="84" ht="30" customHeight="1" s="518">
      <c r="A84" s="155" t="inlineStr">
        <is>
          <t>P039</t>
        </is>
      </c>
      <c r="B84" s="150" t="n">
        <v>584</v>
      </c>
      <c r="C84" s="155" t="inlineStr">
        <is>
          <t>R0191101</t>
        </is>
      </c>
      <c r="D84" s="269" t="inlineStr">
        <is>
          <t>Majestic Commercenter (R0191101)</t>
        </is>
      </c>
      <c r="E84" s="155" t="inlineStr">
        <is>
          <t>Commerce City</t>
        </is>
      </c>
      <c r="F84" s="155" t="inlineStr">
        <is>
          <t>CO</t>
        </is>
      </c>
      <c r="G84" s="155" t="inlineStr">
        <is>
          <t>Industrial</t>
        </is>
      </c>
      <c r="H84" s="269" t="inlineStr">
        <is>
          <t>Warehouse NNN</t>
        </is>
      </c>
      <c r="I84" s="155" t="n">
        <v>2017</v>
      </c>
      <c r="J84" s="155" t="n">
        <v>522120</v>
      </c>
      <c r="K84" s="155" t="n">
        <v>2021</v>
      </c>
      <c r="L84" s="155" t="n"/>
      <c r="M84" s="155" t="n"/>
      <c r="N84" s="155" t="n"/>
      <c r="O84" s="160" t="n">
        <v>42908</v>
      </c>
      <c r="P84" s="160" t="n">
        <v>134812</v>
      </c>
      <c r="Q84" s="155" t="n"/>
      <c r="R84" s="155" t="n"/>
      <c r="S84" s="155" t="n"/>
      <c r="T84" s="155" t="n"/>
      <c r="U84" s="155" t="n"/>
      <c r="V84" s="155" t="n"/>
      <c r="W84" s="155" t="n"/>
      <c r="X84" s="155" t="n"/>
      <c r="Y84" s="155" t="n"/>
      <c r="Z84" s="155" t="n"/>
      <c r="AA84" s="155" t="n"/>
      <c r="AB84" s="155" t="n"/>
      <c r="AC84" s="160" t="n">
        <v>147507</v>
      </c>
      <c r="AD84" s="155" t="n"/>
      <c r="AE84" s="155" t="n"/>
      <c r="AF84" s="160" t="n">
        <v>93640</v>
      </c>
      <c r="AG84" s="155" t="n"/>
      <c r="AH84" s="160" t="n">
        <v>418867</v>
      </c>
      <c r="AI84" s="160" t="n">
        <v>1137439</v>
      </c>
      <c r="AJ84" s="160" t="n">
        <v>1556306</v>
      </c>
      <c r="AK84" s="155" t="n"/>
      <c r="AL84" s="155" t="n"/>
      <c r="AM84" s="269" t="inlineStr">
        <is>
          <t>NNN landlord expenses only; from AXG Whse Expenses PSF.xlsx (R0191101)</t>
        </is>
      </c>
      <c r="AN84">
        <f>IF(AND($B84=Subj_OccCode,Subj_BldgSF&gt;0,ABS($J84-Subj_BldgSF)&lt;=Subj_BldgSF*Subj_SizeTol),ABS($J84-Subj_BldgSF),NA())</f>
        <v/>
      </c>
      <c r="AO84">
        <f>IF(ISNA(AN84),NA(),AN84+ROW()/10000000)</f>
        <v/>
      </c>
      <c r="AR84" s="233">
        <f>IF(B84="","",IFERROR(INDEX(OCC_TABLE_DESC,MATCH(B84,OCC_TABLE_CODE,0)),"Unrecognized code"))</f>
        <v/>
      </c>
    </row>
    <row r="85" ht="30" customHeight="1" s="518">
      <c r="A85" s="155" t="inlineStr">
        <is>
          <t>P039</t>
        </is>
      </c>
      <c r="B85" s="150" t="n">
        <v>584</v>
      </c>
      <c r="C85" s="155" t="inlineStr">
        <is>
          <t>R0191101</t>
        </is>
      </c>
      <c r="D85" s="269" t="inlineStr">
        <is>
          <t>Majestic Commercenter (R0191101)</t>
        </is>
      </c>
      <c r="E85" s="155" t="inlineStr">
        <is>
          <t>Commerce City</t>
        </is>
      </c>
      <c r="F85" s="155" t="inlineStr">
        <is>
          <t>CO</t>
        </is>
      </c>
      <c r="G85" s="155" t="inlineStr">
        <is>
          <t>Industrial</t>
        </is>
      </c>
      <c r="H85" s="269" t="inlineStr">
        <is>
          <t>Warehouse NNN</t>
        </is>
      </c>
      <c r="I85" s="155" t="n">
        <v>2017</v>
      </c>
      <c r="J85" s="155" t="n">
        <v>522120</v>
      </c>
      <c r="K85" s="155" t="n">
        <v>2022</v>
      </c>
      <c r="L85" s="155" t="n"/>
      <c r="M85" s="155" t="n"/>
      <c r="N85" s="155" t="n"/>
      <c r="O85" s="160" t="n">
        <v>45651</v>
      </c>
      <c r="P85" s="160" t="n">
        <v>115853</v>
      </c>
      <c r="Q85" s="155" t="n"/>
      <c r="R85" s="155" t="n"/>
      <c r="S85" s="155" t="n"/>
      <c r="T85" s="155" t="n"/>
      <c r="U85" s="155" t="n"/>
      <c r="V85" s="155" t="n"/>
      <c r="W85" s="155" t="n"/>
      <c r="X85" s="155" t="n"/>
      <c r="Y85" s="155" t="n"/>
      <c r="Z85" s="155" t="n"/>
      <c r="AA85" s="155" t="n"/>
      <c r="AB85" s="155" t="n"/>
      <c r="AC85" s="160" t="n">
        <v>89739</v>
      </c>
      <c r="AD85" s="155" t="n"/>
      <c r="AE85" s="155" t="n"/>
      <c r="AF85" s="160" t="n">
        <v>90763</v>
      </c>
      <c r="AG85" s="155" t="n"/>
      <c r="AH85" s="160" t="n">
        <v>342006</v>
      </c>
      <c r="AI85" s="160" t="n">
        <v>1169645</v>
      </c>
      <c r="AJ85" s="160" t="n">
        <v>1511651</v>
      </c>
      <c r="AK85" s="155" t="n"/>
      <c r="AL85" s="155" t="n"/>
      <c r="AM85" s="269" t="inlineStr">
        <is>
          <t>NNN landlord expenses only; from AXG Whse Expenses PSF.xlsx (R0191101)</t>
        </is>
      </c>
      <c r="AN85">
        <f>IF(AND($B85=Subj_OccCode,Subj_BldgSF&gt;0,ABS($J85-Subj_BldgSF)&lt;=Subj_BldgSF*Subj_SizeTol),ABS($J85-Subj_BldgSF),NA())</f>
        <v/>
      </c>
      <c r="AO85">
        <f>IF(ISNA(AN85),NA(),AN85+ROW()/10000000)</f>
        <v/>
      </c>
      <c r="AR85" s="233">
        <f>IF(B85="","",IFERROR(INDEX(OCC_TABLE_DESC,MATCH(B85,OCC_TABLE_CODE,0)),"Unrecognized code"))</f>
        <v/>
      </c>
    </row>
    <row r="86" ht="30" customHeight="1" s="518">
      <c r="A86" s="155" t="inlineStr">
        <is>
          <t>P040</t>
        </is>
      </c>
      <c r="B86" s="150" t="n">
        <v>407</v>
      </c>
      <c r="C86" s="155" t="inlineStr">
        <is>
          <t>R0202874</t>
        </is>
      </c>
      <c r="D86" s="269" t="inlineStr">
        <is>
          <t>900 E 128th Ave</t>
        </is>
      </c>
      <c r="E86" s="155" t="inlineStr">
        <is>
          <t>Henderson</t>
        </is>
      </c>
      <c r="F86" s="155" t="inlineStr">
        <is>
          <t>CO</t>
        </is>
      </c>
      <c r="G86" s="155" t="inlineStr">
        <is>
          <t>Industrial</t>
        </is>
      </c>
      <c r="H86" s="269" t="inlineStr">
        <is>
          <t>Last-Mile Distribution NNN</t>
        </is>
      </c>
      <c r="I86" s="155" t="n"/>
      <c r="J86" s="155" t="n"/>
      <c r="K86" s="155" t="n">
        <v>2021</v>
      </c>
      <c r="L86" s="160" t="n">
        <v>2633716</v>
      </c>
      <c r="M86" s="155" t="n"/>
      <c r="N86" s="160" t="n">
        <v>3256403</v>
      </c>
      <c r="O86" s="160" t="n">
        <v>56624</v>
      </c>
      <c r="P86" s="155" t="n"/>
      <c r="Q86" s="160" t="n">
        <v>300</v>
      </c>
      <c r="R86" s="155" t="n"/>
      <c r="S86" s="155" t="n"/>
      <c r="T86" s="155" t="n"/>
      <c r="U86" s="155" t="n"/>
      <c r="V86" s="155" t="n"/>
      <c r="W86" s="155" t="n"/>
      <c r="X86" s="160" t="n">
        <v>29535</v>
      </c>
      <c r="Y86" s="160" t="n">
        <v>30138</v>
      </c>
      <c r="Z86" s="155" t="n"/>
      <c r="AA86" s="160" t="n">
        <v>54136</v>
      </c>
      <c r="AB86" s="160" t="n">
        <v>127274</v>
      </c>
      <c r="AC86" s="155" t="n"/>
      <c r="AD86" s="155" t="n"/>
      <c r="AE86" s="155" t="n"/>
      <c r="AF86" s="160" t="n">
        <v>18748</v>
      </c>
      <c r="AG86" s="155" t="n"/>
      <c r="AH86" s="160" t="n">
        <v>731951</v>
      </c>
      <c r="AI86" s="155" t="n"/>
      <c r="AJ86" s="155" t="n"/>
      <c r="AK86" s="160" t="n">
        <v>2524452</v>
      </c>
      <c r="AL86" s="155" t="n"/>
      <c r="AM86" s="269" t="inlineStr">
        <is>
          <t>Amazon AMZL Site 51812; SF not extracted; RE Tax not broken out in 2021</t>
        </is>
      </c>
      <c r="AN86">
        <f>IF(AND($B86=Subj_OccCode,Subj_BldgSF&gt;0,ABS($J86-Subj_BldgSF)&lt;=Subj_BldgSF*Subj_SizeTol),ABS($J86-Subj_BldgSF),NA())</f>
        <v/>
      </c>
      <c r="AO86">
        <f>IF(ISNA(AN86),NA(),AN86+ROW()/10000000)</f>
        <v/>
      </c>
      <c r="AR86" s="233">
        <f>IF(B86="","",IFERROR(INDEX(OCC_TABLE_DESC,MATCH(B86,OCC_TABLE_CODE,0)),"Unrecognized code"))</f>
        <v/>
      </c>
    </row>
    <row r="87" ht="30" customHeight="1" s="518">
      <c r="A87" s="155" t="inlineStr">
        <is>
          <t>P040</t>
        </is>
      </c>
      <c r="B87" s="150" t="n">
        <v>407</v>
      </c>
      <c r="C87" s="155" t="inlineStr">
        <is>
          <t>R0202874</t>
        </is>
      </c>
      <c r="D87" s="269" t="inlineStr">
        <is>
          <t>900 E 128th Ave</t>
        </is>
      </c>
      <c r="E87" s="155" t="inlineStr">
        <is>
          <t>Henderson</t>
        </is>
      </c>
      <c r="F87" s="155" t="inlineStr">
        <is>
          <t>CO</t>
        </is>
      </c>
      <c r="G87" s="155" t="inlineStr">
        <is>
          <t>Industrial</t>
        </is>
      </c>
      <c r="H87" s="269" t="inlineStr">
        <is>
          <t>Last-Mile Distribution NNN</t>
        </is>
      </c>
      <c r="I87" s="155" t="n"/>
      <c r="J87" s="155" t="n"/>
      <c r="K87" s="155" t="n">
        <v>2022</v>
      </c>
      <c r="L87" s="155" t="n"/>
      <c r="M87" s="155" t="n"/>
      <c r="N87" s="155" t="n"/>
      <c r="O87" s="155" t="n"/>
      <c r="P87" s="160" t="n">
        <v>69999</v>
      </c>
      <c r="Q87" s="155" t="n"/>
      <c r="R87" s="155" t="n"/>
      <c r="S87" s="155" t="n"/>
      <c r="T87" s="155" t="n"/>
      <c r="U87" s="155" t="n"/>
      <c r="V87" s="155" t="n"/>
      <c r="W87" s="155" t="n"/>
      <c r="X87" s="155" t="n"/>
      <c r="Y87" s="155" t="n"/>
      <c r="Z87" s="155" t="n"/>
      <c r="AA87" s="155" t="n"/>
      <c r="AB87" s="155" t="n"/>
      <c r="AC87" s="155" t="n"/>
      <c r="AD87" s="155" t="n"/>
      <c r="AE87" s="155" t="n"/>
      <c r="AF87" s="155" t="n"/>
      <c r="AG87" s="155" t="n"/>
      <c r="AH87" s="155" t="n"/>
      <c r="AI87" s="160" t="n">
        <v>1080500</v>
      </c>
      <c r="AJ87" s="160" t="n">
        <v>1527913</v>
      </c>
      <c r="AK87" s="160" t="n">
        <v>2475461</v>
      </c>
      <c r="AL87" s="155" t="n"/>
      <c r="AM87" s="269" t="inlineStr">
        <is>
          <t>Amazon AMZL Site 51812; 2022 dominated by RE Tax $1.08M; asset mgmt fee $70k</t>
        </is>
      </c>
      <c r="AN87">
        <f>IF(AND($B87=Subj_OccCode,Subj_BldgSF&gt;0,ABS($J87-Subj_BldgSF)&lt;=Subj_BldgSF*Subj_SizeTol),ABS($J87-Subj_BldgSF),NA())</f>
        <v/>
      </c>
      <c r="AO87">
        <f>IF(ISNA(AN87),NA(),AN87+ROW()/10000000)</f>
        <v/>
      </c>
      <c r="AR87" s="233">
        <f>IF(B87="","",IFERROR(INDEX(OCC_TABLE_DESC,MATCH(B87,OCC_TABLE_CODE,0)),"Unrecognized code"))</f>
        <v/>
      </c>
    </row>
    <row r="88" ht="30" customHeight="1" s="518">
      <c r="A88" s="155" t="inlineStr">
        <is>
          <t>P041</t>
        </is>
      </c>
      <c r="B88" s="150" t="n">
        <v>386</v>
      </c>
      <c r="C88" s="155" t="inlineStr">
        <is>
          <t>R0189384</t>
        </is>
      </c>
      <c r="D88" s="269" t="inlineStr">
        <is>
          <t>1101 Colorado Blvd</t>
        </is>
      </c>
      <c r="E88" s="155" t="inlineStr">
        <is>
          <t>Thornton</t>
        </is>
      </c>
      <c r="F88" s="155" t="inlineStr">
        <is>
          <t>CO</t>
        </is>
      </c>
      <c r="G88" s="155" t="inlineStr">
        <is>
          <t>Self-Storage</t>
        </is>
      </c>
      <c r="H88" s="269" t="inlineStr">
        <is>
          <t>Climate-Controlled</t>
        </is>
      </c>
      <c r="I88" s="155" t="n"/>
      <c r="J88" s="155" t="n">
        <v>65766</v>
      </c>
      <c r="K88" s="155" t="n">
        <v>2021</v>
      </c>
      <c r="L88" s="155" t="n"/>
      <c r="M88" s="155" t="n"/>
      <c r="N88" s="160" t="n">
        <v>879992</v>
      </c>
      <c r="O88" s="155" t="n"/>
      <c r="P88" s="155" t="n"/>
      <c r="Q88" s="155" t="n"/>
      <c r="R88" s="155" t="n"/>
      <c r="S88" s="155" t="n"/>
      <c r="T88" s="155" t="n"/>
      <c r="U88" s="155" t="n"/>
      <c r="V88" s="155" t="n"/>
      <c r="W88" s="155" t="n"/>
      <c r="X88" s="155" t="n"/>
      <c r="Y88" s="155" t="n"/>
      <c r="Z88" s="155" t="n"/>
      <c r="AA88" s="155" t="n"/>
      <c r="AB88" s="155" t="n"/>
      <c r="AC88" s="155" t="n"/>
      <c r="AD88" s="155" t="n"/>
      <c r="AE88" s="155" t="n"/>
      <c r="AF88" s="155" t="n"/>
      <c r="AG88" s="155" t="n"/>
      <c r="AH88" s="155" t="n"/>
      <c r="AI88" s="155" t="n"/>
      <c r="AJ88" s="160" t="n">
        <v>418098</v>
      </c>
      <c r="AK88" s="160" t="n">
        <v>461894</v>
      </c>
      <c r="AL88" s="155" t="n"/>
      <c r="AM88" s="269" t="inlineStr">
        <is>
          <t>Actual SS P&amp;L; mgmt=off-site+on-site combined; admin+adv in Other</t>
        </is>
      </c>
      <c r="AN88">
        <f>IF(AND($B88=Subj_OccCode,Subj_BldgSF&gt;0,ABS($J88-Subj_BldgSF)&lt;=Subj_BldgSF*Subj_SizeTol),ABS($J88-Subj_BldgSF),NA())</f>
        <v/>
      </c>
      <c r="AO88">
        <f>IF(ISNA(AN88),NA(),AN88+ROW()/10000000)</f>
        <v/>
      </c>
      <c r="AR88" s="233">
        <f>IF(B88="","",IFERROR(INDEX(OCC_TABLE_DESC,MATCH(B88,OCC_TABLE_CODE,0)),"Unrecognized code"))</f>
        <v/>
      </c>
    </row>
    <row r="89" ht="30" customHeight="1" s="518">
      <c r="A89" s="155" t="inlineStr">
        <is>
          <t>P041</t>
        </is>
      </c>
      <c r="B89" s="150" t="n">
        <v>386</v>
      </c>
      <c r="C89" s="155" t="inlineStr">
        <is>
          <t>R0189384</t>
        </is>
      </c>
      <c r="D89" s="269" t="inlineStr">
        <is>
          <t>1101 Colorado Blvd</t>
        </is>
      </c>
      <c r="E89" s="155" t="inlineStr">
        <is>
          <t>Thornton</t>
        </is>
      </c>
      <c r="F89" s="155" t="inlineStr">
        <is>
          <t>CO</t>
        </is>
      </c>
      <c r="G89" s="155" t="inlineStr">
        <is>
          <t>Self-Storage</t>
        </is>
      </c>
      <c r="H89" s="269" t="inlineStr">
        <is>
          <t>Climate-Controlled</t>
        </is>
      </c>
      <c r="I89" s="155" t="n"/>
      <c r="J89" s="155" t="n">
        <v>65766</v>
      </c>
      <c r="K89" s="155" t="n">
        <v>2022</v>
      </c>
      <c r="L89" s="155" t="n"/>
      <c r="M89" s="155" t="n"/>
      <c r="N89" s="160" t="n">
        <v>924824</v>
      </c>
      <c r="O89" s="155" t="n"/>
      <c r="P89" s="155" t="n"/>
      <c r="Q89" s="155" t="n"/>
      <c r="R89" s="155" t="n"/>
      <c r="S89" s="155" t="n"/>
      <c r="T89" s="155" t="n"/>
      <c r="U89" s="155" t="n"/>
      <c r="V89" s="155" t="n"/>
      <c r="W89" s="155" t="n"/>
      <c r="X89" s="155" t="n"/>
      <c r="Y89" s="155" t="n"/>
      <c r="Z89" s="155" t="n"/>
      <c r="AA89" s="155" t="n"/>
      <c r="AB89" s="155" t="n"/>
      <c r="AC89" s="155" t="n"/>
      <c r="AD89" s="155" t="n"/>
      <c r="AE89" s="155" t="n"/>
      <c r="AF89" s="155" t="n"/>
      <c r="AG89" s="155" t="n"/>
      <c r="AH89" s="155" t="n"/>
      <c r="AI89" s="155" t="n"/>
      <c r="AJ89" s="160" t="n">
        <v>455769</v>
      </c>
      <c r="AK89" s="160" t="n">
        <v>469055</v>
      </c>
      <c r="AL89" s="155" t="n"/>
      <c r="AM89" s="269" t="inlineStr">
        <is>
          <t>Actual SS P&amp;L; mgmt=off-site+on-site combined; admin+adv in Other</t>
        </is>
      </c>
      <c r="AN89">
        <f>IF(AND($B89=Subj_OccCode,Subj_BldgSF&gt;0,ABS($J89-Subj_BldgSF)&lt;=Subj_BldgSF*Subj_SizeTol),ABS($J89-Subj_BldgSF),NA())</f>
        <v/>
      </c>
      <c r="AO89">
        <f>IF(ISNA(AN89),NA(),AN89+ROW()/10000000)</f>
        <v/>
      </c>
      <c r="AR89" s="233">
        <f>IF(B89="","",IFERROR(INDEX(OCC_TABLE_DESC,MATCH(B89,OCC_TABLE_CODE,0)),"Unrecognized code"))</f>
        <v/>
      </c>
    </row>
    <row r="90" ht="30" customHeight="1" s="518">
      <c r="A90" s="155" t="inlineStr">
        <is>
          <t>P041</t>
        </is>
      </c>
      <c r="B90" s="150" t="n">
        <v>386</v>
      </c>
      <c r="C90" s="155" t="inlineStr">
        <is>
          <t>R0189384</t>
        </is>
      </c>
      <c r="D90" s="269" t="inlineStr">
        <is>
          <t>1101 Colorado Blvd</t>
        </is>
      </c>
      <c r="E90" s="155" t="inlineStr">
        <is>
          <t>Thornton</t>
        </is>
      </c>
      <c r="F90" s="155" t="inlineStr">
        <is>
          <t>CO</t>
        </is>
      </c>
      <c r="G90" s="155" t="inlineStr">
        <is>
          <t>Self-Storage</t>
        </is>
      </c>
      <c r="H90" s="269" t="inlineStr">
        <is>
          <t>Climate-Controlled</t>
        </is>
      </c>
      <c r="I90" s="155" t="n"/>
      <c r="J90" s="155" t="n">
        <v>65766</v>
      </c>
      <c r="K90" s="155" t="n">
        <v>2023</v>
      </c>
      <c r="L90" s="155" t="n"/>
      <c r="M90" s="155" t="n"/>
      <c r="N90" s="160" t="n">
        <v>931247</v>
      </c>
      <c r="O90" s="160" t="n">
        <v>41471</v>
      </c>
      <c r="P90" s="160" t="n">
        <v>104101</v>
      </c>
      <c r="Q90" s="155" t="n"/>
      <c r="R90" s="155" t="n"/>
      <c r="S90" s="155" t="n"/>
      <c r="T90" s="155" t="n"/>
      <c r="U90" s="155" t="n"/>
      <c r="V90" s="155" t="n"/>
      <c r="W90" s="155" t="n"/>
      <c r="X90" s="155" t="n"/>
      <c r="Y90" s="160" t="n">
        <v>15564</v>
      </c>
      <c r="Z90" s="155" t="n"/>
      <c r="AA90" s="155" t="n"/>
      <c r="AB90" s="155" t="n"/>
      <c r="AC90" s="155" t="n"/>
      <c r="AD90" s="155" t="n"/>
      <c r="AE90" s="155" t="n"/>
      <c r="AF90" s="160" t="n">
        <v>37120</v>
      </c>
      <c r="AG90" s="155" t="n"/>
      <c r="AH90" s="160" t="n">
        <v>294563</v>
      </c>
      <c r="AI90" s="160" t="n">
        <v>179920</v>
      </c>
      <c r="AJ90" s="160" t="n">
        <v>474483</v>
      </c>
      <c r="AK90" s="160" t="n">
        <v>469746</v>
      </c>
      <c r="AL90" s="155" t="n"/>
      <c r="AM90" s="269" t="inlineStr">
        <is>
          <t>Actual SS P&amp;L; mgmt=off-site+on-site combined; admin+adv in Other</t>
        </is>
      </c>
      <c r="AN90">
        <f>IF(AND($B90=Subj_OccCode,Subj_BldgSF&gt;0,ABS($J90-Subj_BldgSF)&lt;=Subj_BldgSF*Subj_SizeTol),ABS($J90-Subj_BldgSF),NA())</f>
        <v/>
      </c>
      <c r="AO90">
        <f>IF(ISNA(AN90),NA(),AN90+ROW()/10000000)</f>
        <v/>
      </c>
      <c r="AR90" s="233">
        <f>IF(B90="","",IFERROR(INDEX(OCC_TABLE_DESC,MATCH(B90,OCC_TABLE_CODE,0)),"Unrecognized code"))</f>
        <v/>
      </c>
    </row>
    <row r="91" ht="15" customHeight="1" s="518">
      <c r="A91" s="155" t="inlineStr">
        <is>
          <t>P042</t>
        </is>
      </c>
      <c r="B91" s="150" t="n">
        <v>386</v>
      </c>
      <c r="C91" s="155" t="inlineStr">
        <is>
          <t>R0126235</t>
        </is>
      </c>
      <c r="D91" s="269" t="inlineStr">
        <is>
          <t>15024 Laroy Drive</t>
        </is>
      </c>
      <c r="E91" s="155" t="inlineStr">
        <is>
          <t>Northglenn</t>
        </is>
      </c>
      <c r="F91" s="155" t="inlineStr">
        <is>
          <t>CO</t>
        </is>
      </c>
      <c r="G91" s="155" t="inlineStr">
        <is>
          <t>Self-Storage</t>
        </is>
      </c>
      <c r="H91" s="269" t="inlineStr">
        <is>
          <t>Climate-Controlled</t>
        </is>
      </c>
      <c r="I91" s="155" t="n"/>
      <c r="J91" s="155" t="n">
        <v>79950</v>
      </c>
      <c r="K91" s="155" t="n">
        <v>2021</v>
      </c>
      <c r="L91" s="155" t="n"/>
      <c r="M91" s="155" t="n"/>
      <c r="N91" s="160" t="n">
        <v>956337</v>
      </c>
      <c r="O91" s="155" t="n"/>
      <c r="P91" s="155" t="n"/>
      <c r="Q91" s="155" t="n"/>
      <c r="R91" s="155" t="n"/>
      <c r="S91" s="155" t="n"/>
      <c r="T91" s="155" t="n"/>
      <c r="U91" s="155" t="n"/>
      <c r="V91" s="155" t="n"/>
      <c r="W91" s="155" t="n"/>
      <c r="X91" s="155" t="n"/>
      <c r="Y91" s="155" t="n"/>
      <c r="Z91" s="155" t="n"/>
      <c r="AA91" s="155" t="n"/>
      <c r="AB91" s="155" t="n"/>
      <c r="AC91" s="155" t="n"/>
      <c r="AD91" s="155" t="n"/>
      <c r="AE91" s="155" t="n"/>
      <c r="AF91" s="155" t="n"/>
      <c r="AG91" s="155" t="n"/>
      <c r="AH91" s="155" t="n"/>
      <c r="AI91" s="155" t="n"/>
      <c r="AJ91" s="160" t="n">
        <v>481614</v>
      </c>
      <c r="AK91" s="160" t="n">
        <v>514723</v>
      </c>
      <c r="AL91" s="155" t="n"/>
      <c r="AM91" s="269" t="inlineStr">
        <is>
          <t>Actual SS P&amp;L; mgmt=off-site+on-site combined</t>
        </is>
      </c>
      <c r="AN91">
        <f>IF(AND($B91=Subj_OccCode,Subj_BldgSF&gt;0,ABS($J91-Subj_BldgSF)&lt;=Subj_BldgSF*Subj_SizeTol),ABS($J91-Subj_BldgSF),NA())</f>
        <v/>
      </c>
      <c r="AO91">
        <f>IF(ISNA(AN91),NA(),AN91+ROW()/10000000)</f>
        <v/>
      </c>
      <c r="AR91" s="233">
        <f>IF(B91="","",IFERROR(INDEX(OCC_TABLE_DESC,MATCH(B91,OCC_TABLE_CODE,0)),"Unrecognized code"))</f>
        <v/>
      </c>
    </row>
    <row r="92" ht="15" customHeight="1" s="518">
      <c r="A92" s="155" t="inlineStr">
        <is>
          <t>P042</t>
        </is>
      </c>
      <c r="B92" s="150" t="n">
        <v>386</v>
      </c>
      <c r="C92" s="155" t="inlineStr">
        <is>
          <t>R0126235</t>
        </is>
      </c>
      <c r="D92" s="269" t="inlineStr">
        <is>
          <t>15024 Laroy Drive</t>
        </is>
      </c>
      <c r="E92" s="155" t="inlineStr">
        <is>
          <t>Northglenn</t>
        </is>
      </c>
      <c r="F92" s="155" t="inlineStr">
        <is>
          <t>CO</t>
        </is>
      </c>
      <c r="G92" s="155" t="inlineStr">
        <is>
          <t>Self-Storage</t>
        </is>
      </c>
      <c r="H92" s="269" t="inlineStr">
        <is>
          <t>Climate-Controlled</t>
        </is>
      </c>
      <c r="I92" s="155" t="n"/>
      <c r="J92" s="155" t="n">
        <v>79950</v>
      </c>
      <c r="K92" s="155" t="n">
        <v>2022</v>
      </c>
      <c r="L92" s="155" t="n"/>
      <c r="M92" s="155" t="n"/>
      <c r="N92" s="160" t="n">
        <v>1017929</v>
      </c>
      <c r="O92" s="155" t="n"/>
      <c r="P92" s="155" t="n"/>
      <c r="Q92" s="155" t="n"/>
      <c r="R92" s="155" t="n"/>
      <c r="S92" s="155" t="n"/>
      <c r="T92" s="155" t="n"/>
      <c r="U92" s="155" t="n"/>
      <c r="V92" s="155" t="n"/>
      <c r="W92" s="155" t="n"/>
      <c r="X92" s="155" t="n"/>
      <c r="Y92" s="155" t="n"/>
      <c r="Z92" s="155" t="n"/>
      <c r="AA92" s="155" t="n"/>
      <c r="AB92" s="155" t="n"/>
      <c r="AC92" s="155" t="n"/>
      <c r="AD92" s="155" t="n"/>
      <c r="AE92" s="155" t="n"/>
      <c r="AF92" s="155" t="n"/>
      <c r="AG92" s="155" t="n"/>
      <c r="AH92" s="155" t="n"/>
      <c r="AI92" s="155" t="n"/>
      <c r="AJ92" s="160" t="n">
        <v>432239</v>
      </c>
      <c r="AK92" s="160" t="n">
        <v>585690</v>
      </c>
      <c r="AL92" s="155" t="n"/>
      <c r="AM92" s="269" t="inlineStr">
        <is>
          <t>Actual SS P&amp;L; mgmt=off-site+on-site combined</t>
        </is>
      </c>
      <c r="AN92">
        <f>IF(AND($B92=Subj_OccCode,Subj_BldgSF&gt;0,ABS($J92-Subj_BldgSF)&lt;=Subj_BldgSF*Subj_SizeTol),ABS($J92-Subj_BldgSF),NA())</f>
        <v/>
      </c>
      <c r="AO92">
        <f>IF(ISNA(AN92),NA(),AN92+ROW()/10000000)</f>
        <v/>
      </c>
      <c r="AR92" s="233">
        <f>IF(B92="","",IFERROR(INDEX(OCC_TABLE_DESC,MATCH(B92,OCC_TABLE_CODE,0)),"Unrecognized code"))</f>
        <v/>
      </c>
    </row>
    <row r="93" ht="15" customHeight="1" s="518">
      <c r="A93" s="155" t="inlineStr">
        <is>
          <t>P042</t>
        </is>
      </c>
      <c r="B93" s="150" t="n">
        <v>386</v>
      </c>
      <c r="C93" s="155" t="inlineStr">
        <is>
          <t>R0126235</t>
        </is>
      </c>
      <c r="D93" s="269" t="inlineStr">
        <is>
          <t>15024 Laroy Drive</t>
        </is>
      </c>
      <c r="E93" s="155" t="inlineStr">
        <is>
          <t>Northglenn</t>
        </is>
      </c>
      <c r="F93" s="155" t="inlineStr">
        <is>
          <t>CO</t>
        </is>
      </c>
      <c r="G93" s="155" t="inlineStr">
        <is>
          <t>Self-Storage</t>
        </is>
      </c>
      <c r="H93" s="269" t="inlineStr">
        <is>
          <t>Climate-Controlled</t>
        </is>
      </c>
      <c r="I93" s="155" t="n"/>
      <c r="J93" s="155" t="n">
        <v>79950</v>
      </c>
      <c r="K93" s="155" t="n">
        <v>2023</v>
      </c>
      <c r="L93" s="155" t="n"/>
      <c r="M93" s="155" t="n"/>
      <c r="N93" s="160" t="n">
        <v>954605</v>
      </c>
      <c r="O93" s="160" t="n">
        <v>40815</v>
      </c>
      <c r="P93" s="160" t="n">
        <v>108523</v>
      </c>
      <c r="Q93" s="155" t="n"/>
      <c r="R93" s="155" t="n"/>
      <c r="S93" s="155" t="n"/>
      <c r="T93" s="155" t="n"/>
      <c r="U93" s="155" t="n"/>
      <c r="V93" s="155" t="n"/>
      <c r="W93" s="155" t="n"/>
      <c r="X93" s="155" t="n"/>
      <c r="Y93" s="160" t="n">
        <v>24068</v>
      </c>
      <c r="Z93" s="155" t="n"/>
      <c r="AA93" s="155" t="n"/>
      <c r="AB93" s="155" t="n"/>
      <c r="AC93" s="155" t="n"/>
      <c r="AD93" s="155" t="n"/>
      <c r="AE93" s="155" t="n"/>
      <c r="AF93" s="160" t="n">
        <v>20683</v>
      </c>
      <c r="AG93" s="155" t="n"/>
      <c r="AH93" s="160" t="n">
        <v>274666</v>
      </c>
      <c r="AI93" s="160" t="n">
        <v>244725</v>
      </c>
      <c r="AJ93" s="160" t="n">
        <v>519391</v>
      </c>
      <c r="AK93" s="160" t="n">
        <v>435215</v>
      </c>
      <c r="AL93" s="155" t="n"/>
      <c r="AM93" s="269" t="inlineStr">
        <is>
          <t>Actual SS P&amp;L; mgmt=off-site+on-site combined</t>
        </is>
      </c>
      <c r="AN93">
        <f>IF(AND($B93=Subj_OccCode,Subj_BldgSF&gt;0,ABS($J93-Subj_BldgSF)&lt;=Subj_BldgSF*Subj_SizeTol),ABS($J93-Subj_BldgSF),NA())</f>
        <v/>
      </c>
      <c r="AO93">
        <f>IF(ISNA(AN93),NA(),AN93+ROW()/10000000)</f>
        <v/>
      </c>
      <c r="AR93" s="233">
        <f>IF(B93="","",IFERROR(INDEX(OCC_TABLE_DESC,MATCH(B93,OCC_TABLE_CODE,0)),"Unrecognized code"))</f>
        <v/>
      </c>
    </row>
    <row r="94" ht="15" customHeight="1" s="518">
      <c r="A94" s="155" t="inlineStr">
        <is>
          <t>P043</t>
        </is>
      </c>
      <c r="B94" s="150" t="n">
        <v>386</v>
      </c>
      <c r="C94" s="155" t="inlineStr">
        <is>
          <t>R0126234</t>
        </is>
      </c>
      <c r="D94" s="269" t="inlineStr">
        <is>
          <t>715 W 112th Ave</t>
        </is>
      </c>
      <c r="E94" s="155" t="inlineStr">
        <is>
          <t>Northglenn</t>
        </is>
      </c>
      <c r="F94" s="155" t="inlineStr">
        <is>
          <t>CO</t>
        </is>
      </c>
      <c r="G94" s="155" t="inlineStr">
        <is>
          <t>Self-Storage</t>
        </is>
      </c>
      <c r="H94" s="269" t="inlineStr">
        <is>
          <t>Drive-Up/Drop-Off</t>
        </is>
      </c>
      <c r="I94" s="155" t="n"/>
      <c r="J94" s="155" t="n">
        <v>83756</v>
      </c>
      <c r="K94" s="155" t="n">
        <v>2021</v>
      </c>
      <c r="L94" s="155" t="n"/>
      <c r="M94" s="155" t="n"/>
      <c r="N94" s="160" t="n">
        <v>814763</v>
      </c>
      <c r="O94" s="155" t="n"/>
      <c r="P94" s="155" t="n"/>
      <c r="Q94" s="155" t="n"/>
      <c r="R94" s="155" t="n"/>
      <c r="S94" s="155" t="n"/>
      <c r="T94" s="155" t="n"/>
      <c r="U94" s="155" t="n"/>
      <c r="V94" s="155" t="n"/>
      <c r="W94" s="155" t="n"/>
      <c r="X94" s="155" t="n"/>
      <c r="Y94" s="155" t="n"/>
      <c r="Z94" s="155" t="n"/>
      <c r="AA94" s="155" t="n"/>
      <c r="AB94" s="155" t="n"/>
      <c r="AC94" s="155" t="n"/>
      <c r="AD94" s="155" t="n"/>
      <c r="AE94" s="155" t="n"/>
      <c r="AF94" s="155" t="n"/>
      <c r="AG94" s="155" t="n"/>
      <c r="AH94" s="155" t="n"/>
      <c r="AI94" s="155" t="n"/>
      <c r="AJ94" s="160" t="n">
        <v>436596</v>
      </c>
      <c r="AK94" s="160" t="n">
        <v>378167</v>
      </c>
      <c r="AL94" s="155" t="n"/>
      <c r="AM94" s="269" t="inlineStr">
        <is>
          <t>Actual SS P&amp;L; mgmt=off-site+on-site combined</t>
        </is>
      </c>
      <c r="AN94">
        <f>IF(AND($B94=Subj_OccCode,Subj_BldgSF&gt;0,ABS($J94-Subj_BldgSF)&lt;=Subj_BldgSF*Subj_SizeTol),ABS($J94-Subj_BldgSF),NA())</f>
        <v/>
      </c>
      <c r="AO94">
        <f>IF(ISNA(AN94),NA(),AN94+ROW()/10000000)</f>
        <v/>
      </c>
      <c r="AR94" s="233">
        <f>IF(B94="","",IFERROR(INDEX(OCC_TABLE_DESC,MATCH(B94,OCC_TABLE_CODE,0)),"Unrecognized code"))</f>
        <v/>
      </c>
    </row>
    <row r="95" ht="15" customHeight="1" s="518">
      <c r="A95" s="155" t="inlineStr">
        <is>
          <t>P043</t>
        </is>
      </c>
      <c r="B95" s="150" t="n">
        <v>386</v>
      </c>
      <c r="C95" s="155" t="inlineStr">
        <is>
          <t>R0126234</t>
        </is>
      </c>
      <c r="D95" s="269" t="inlineStr">
        <is>
          <t>715 W 112th Ave</t>
        </is>
      </c>
      <c r="E95" s="155" t="inlineStr">
        <is>
          <t>Northglenn</t>
        </is>
      </c>
      <c r="F95" s="155" t="inlineStr">
        <is>
          <t>CO</t>
        </is>
      </c>
      <c r="G95" s="155" t="inlineStr">
        <is>
          <t>Self-Storage</t>
        </is>
      </c>
      <c r="H95" s="269" t="inlineStr">
        <is>
          <t>Drive-Up/Drop-Off</t>
        </is>
      </c>
      <c r="I95" s="155" t="n"/>
      <c r="J95" s="155" t="n">
        <v>83756</v>
      </c>
      <c r="K95" s="155" t="n">
        <v>2022</v>
      </c>
      <c r="L95" s="155" t="n"/>
      <c r="M95" s="155" t="n"/>
      <c r="N95" s="160" t="n">
        <v>980798</v>
      </c>
      <c r="O95" s="155" t="n"/>
      <c r="P95" s="155" t="n"/>
      <c r="Q95" s="155" t="n"/>
      <c r="R95" s="155" t="n"/>
      <c r="S95" s="155" t="n"/>
      <c r="T95" s="155" t="n"/>
      <c r="U95" s="155" t="n"/>
      <c r="V95" s="155" t="n"/>
      <c r="W95" s="155" t="n"/>
      <c r="X95" s="155" t="n"/>
      <c r="Y95" s="155" t="n"/>
      <c r="Z95" s="155" t="n"/>
      <c r="AA95" s="155" t="n"/>
      <c r="AB95" s="155" t="n"/>
      <c r="AC95" s="155" t="n"/>
      <c r="AD95" s="155" t="n"/>
      <c r="AE95" s="155" t="n"/>
      <c r="AF95" s="155" t="n"/>
      <c r="AG95" s="155" t="n"/>
      <c r="AH95" s="155" t="n"/>
      <c r="AI95" s="155" t="n"/>
      <c r="AJ95" s="160" t="n">
        <v>455854</v>
      </c>
      <c r="AK95" s="160" t="n">
        <v>524944</v>
      </c>
      <c r="AL95" s="155" t="n"/>
      <c r="AM95" s="269" t="inlineStr">
        <is>
          <t>Actual SS P&amp;L; mgmt=off-site+on-site combined</t>
        </is>
      </c>
      <c r="AN95">
        <f>IF(AND($B95=Subj_OccCode,Subj_BldgSF&gt;0,ABS($J95-Subj_BldgSF)&lt;=Subj_BldgSF*Subj_SizeTol),ABS($J95-Subj_BldgSF),NA())</f>
        <v/>
      </c>
      <c r="AO95">
        <f>IF(ISNA(AN95),NA(),AN95+ROW()/10000000)</f>
        <v/>
      </c>
      <c r="AR95" s="233">
        <f>IF(B95="","",IFERROR(INDEX(OCC_TABLE_DESC,MATCH(B95,OCC_TABLE_CODE,0)),"Unrecognized code"))</f>
        <v/>
      </c>
    </row>
    <row r="96" ht="15" customHeight="1" s="518">
      <c r="A96" s="155" t="inlineStr">
        <is>
          <t>P043</t>
        </is>
      </c>
      <c r="B96" s="150" t="n">
        <v>386</v>
      </c>
      <c r="C96" s="155" t="inlineStr">
        <is>
          <t>R0126234</t>
        </is>
      </c>
      <c r="D96" s="269" t="inlineStr">
        <is>
          <t>715 W 112th Ave</t>
        </is>
      </c>
      <c r="E96" s="155" t="inlineStr">
        <is>
          <t>Northglenn</t>
        </is>
      </c>
      <c r="F96" s="155" t="inlineStr">
        <is>
          <t>CO</t>
        </is>
      </c>
      <c r="G96" s="155" t="inlineStr">
        <is>
          <t>Self-Storage</t>
        </is>
      </c>
      <c r="H96" s="269" t="inlineStr">
        <is>
          <t>Drive-Up/Drop-Off</t>
        </is>
      </c>
      <c r="I96" s="155" t="n"/>
      <c r="J96" s="155" t="n">
        <v>83756</v>
      </c>
      <c r="K96" s="155" t="n">
        <v>2023</v>
      </c>
      <c r="L96" s="155" t="n"/>
      <c r="M96" s="155" t="n"/>
      <c r="N96" s="160" t="n">
        <v>1011950</v>
      </c>
      <c r="O96" s="160" t="n">
        <v>47107</v>
      </c>
      <c r="P96" s="160" t="n">
        <v>111748</v>
      </c>
      <c r="Q96" s="155" t="n"/>
      <c r="R96" s="155" t="n"/>
      <c r="S96" s="155" t="n"/>
      <c r="T96" s="155" t="n"/>
      <c r="U96" s="155" t="n"/>
      <c r="V96" s="155" t="n"/>
      <c r="W96" s="155" t="n"/>
      <c r="X96" s="155" t="n"/>
      <c r="Y96" s="160" t="n">
        <v>10236</v>
      </c>
      <c r="Z96" s="155" t="n"/>
      <c r="AA96" s="155" t="n"/>
      <c r="AB96" s="155" t="n"/>
      <c r="AC96" s="155" t="n"/>
      <c r="AD96" s="155" t="n"/>
      <c r="AE96" s="155" t="n"/>
      <c r="AF96" s="160" t="n">
        <v>15944</v>
      </c>
      <c r="AG96" s="155" t="n"/>
      <c r="AH96" s="160" t="n">
        <v>257858</v>
      </c>
      <c r="AI96" s="160" t="n">
        <v>202686</v>
      </c>
      <c r="AJ96" s="160" t="n">
        <v>460544</v>
      </c>
      <c r="AK96" s="160" t="n">
        <v>551606</v>
      </c>
      <c r="AL96" s="155" t="n"/>
      <c r="AM96" s="269" t="inlineStr">
        <is>
          <t>Actual SS P&amp;L; mgmt=off-site+on-site combined</t>
        </is>
      </c>
      <c r="AN96">
        <f>IF(AND($B96=Subj_OccCode,Subj_BldgSF&gt;0,ABS($J96-Subj_BldgSF)&lt;=Subj_BldgSF*Subj_SizeTol),ABS($J96-Subj_BldgSF),NA())</f>
        <v/>
      </c>
      <c r="AO96">
        <f>IF(ISNA(AN96),NA(),AN96+ROW()/10000000)</f>
        <v/>
      </c>
      <c r="AR96" s="233">
        <f>IF(B96="","",IFERROR(INDEX(OCC_TABLE_DESC,MATCH(B96,OCC_TABLE_CODE,0)),"Unrecognized code"))</f>
        <v/>
      </c>
    </row>
    <row r="97" ht="30" customHeight="1" s="518">
      <c r="A97" s="155" t="inlineStr">
        <is>
          <t>P044</t>
        </is>
      </c>
      <c r="B97" s="150" t="n">
        <v>386</v>
      </c>
      <c r="C97" s="155" t="inlineStr">
        <is>
          <t>R0027089/R0178319</t>
        </is>
      </c>
      <c r="D97" s="269" t="inlineStr">
        <is>
          <t>2290 E 120th Ave</t>
        </is>
      </c>
      <c r="E97" s="155" t="inlineStr">
        <is>
          <t>Thornton</t>
        </is>
      </c>
      <c r="F97" s="155" t="inlineStr">
        <is>
          <t>CO</t>
        </is>
      </c>
      <c r="G97" s="155" t="inlineStr">
        <is>
          <t>Self-Storage</t>
        </is>
      </c>
      <c r="H97" s="269" t="inlineStr">
        <is>
          <t>Drive-Up/Drop-Off</t>
        </is>
      </c>
      <c r="I97" s="155" t="n"/>
      <c r="J97" s="155" t="n">
        <v>71909</v>
      </c>
      <c r="K97" s="155" t="n">
        <v>2021</v>
      </c>
      <c r="L97" s="155" t="n"/>
      <c r="M97" s="155" t="n"/>
      <c r="N97" s="160" t="n">
        <v>837430</v>
      </c>
      <c r="O97" s="155" t="n"/>
      <c r="P97" s="155" t="n"/>
      <c r="Q97" s="155" t="n"/>
      <c r="R97" s="155" t="n"/>
      <c r="S97" s="155" t="n"/>
      <c r="T97" s="155" t="n"/>
      <c r="U97" s="155" t="n"/>
      <c r="V97" s="155" t="n"/>
      <c r="W97" s="155" t="n"/>
      <c r="X97" s="155" t="n"/>
      <c r="Y97" s="155" t="n"/>
      <c r="Z97" s="155" t="n"/>
      <c r="AA97" s="155" t="n"/>
      <c r="AB97" s="155" t="n"/>
      <c r="AC97" s="155" t="n"/>
      <c r="AD97" s="155" t="n"/>
      <c r="AE97" s="155" t="n"/>
      <c r="AF97" s="155" t="n"/>
      <c r="AG97" s="155" t="n"/>
      <c r="AH97" s="155" t="n"/>
      <c r="AI97" s="155" t="n"/>
      <c r="AJ97" s="160" t="n">
        <v>445701</v>
      </c>
      <c r="AK97" s="160" t="n">
        <v>391729</v>
      </c>
      <c r="AL97" s="155" t="n"/>
      <c r="AM97" s="269" t="inlineStr">
        <is>
          <t>Actual SS P&amp;L; combined parcels R0027089+R0178319; mgmt=off-site+on-site</t>
        </is>
      </c>
      <c r="AN97">
        <f>IF(AND($B97=Subj_OccCode,Subj_BldgSF&gt;0,ABS($J97-Subj_BldgSF)&lt;=Subj_BldgSF*Subj_SizeTol),ABS($J97-Subj_BldgSF),NA())</f>
        <v/>
      </c>
      <c r="AO97">
        <f>IF(ISNA(AN97),NA(),AN97+ROW()/10000000)</f>
        <v/>
      </c>
      <c r="AR97" s="233">
        <f>IF(B97="","",IFERROR(INDEX(OCC_TABLE_DESC,MATCH(B97,OCC_TABLE_CODE,0)),"Unrecognized code"))</f>
        <v/>
      </c>
    </row>
    <row r="98" ht="30" customHeight="1" s="518">
      <c r="A98" s="155" t="inlineStr">
        <is>
          <t>P044</t>
        </is>
      </c>
      <c r="B98" s="150" t="n">
        <v>386</v>
      </c>
      <c r="C98" s="155" t="inlineStr">
        <is>
          <t>R0027089/R0178319</t>
        </is>
      </c>
      <c r="D98" s="269" t="inlineStr">
        <is>
          <t>2290 E 120th Ave</t>
        </is>
      </c>
      <c r="E98" s="155" t="inlineStr">
        <is>
          <t>Thornton</t>
        </is>
      </c>
      <c r="F98" s="155" t="inlineStr">
        <is>
          <t>CO</t>
        </is>
      </c>
      <c r="G98" s="155" t="inlineStr">
        <is>
          <t>Self-Storage</t>
        </is>
      </c>
      <c r="H98" s="269" t="inlineStr">
        <is>
          <t>Drive-Up/Drop-Off</t>
        </is>
      </c>
      <c r="I98" s="155" t="n"/>
      <c r="J98" s="155" t="n">
        <v>71909</v>
      </c>
      <c r="K98" s="155" t="n">
        <v>2022</v>
      </c>
      <c r="L98" s="155" t="n"/>
      <c r="M98" s="155" t="n"/>
      <c r="N98" s="160" t="n">
        <v>945562</v>
      </c>
      <c r="O98" s="155" t="n"/>
      <c r="P98" s="155" t="n"/>
      <c r="Q98" s="155" t="n"/>
      <c r="R98" s="155" t="n"/>
      <c r="S98" s="155" t="n"/>
      <c r="T98" s="155" t="n"/>
      <c r="U98" s="155" t="n"/>
      <c r="V98" s="155" t="n"/>
      <c r="W98" s="155" t="n"/>
      <c r="X98" s="155" t="n"/>
      <c r="Y98" s="155" t="n"/>
      <c r="Z98" s="155" t="n"/>
      <c r="AA98" s="155" t="n"/>
      <c r="AB98" s="155" t="n"/>
      <c r="AC98" s="155" t="n"/>
      <c r="AD98" s="155" t="n"/>
      <c r="AE98" s="155" t="n"/>
      <c r="AF98" s="155" t="n"/>
      <c r="AG98" s="155" t="n"/>
      <c r="AH98" s="155" t="n"/>
      <c r="AI98" s="155" t="n"/>
      <c r="AJ98" s="160" t="n">
        <v>445701</v>
      </c>
      <c r="AK98" s="160" t="n">
        <v>466302</v>
      </c>
      <c r="AL98" s="155" t="n"/>
      <c r="AM98" s="269" t="inlineStr">
        <is>
          <t>Actual SS P&amp;L; combined parcels R0027089+R0178319; mgmt=off-site+on-site</t>
        </is>
      </c>
      <c r="AN98">
        <f>IF(AND($B98=Subj_OccCode,Subj_BldgSF&gt;0,ABS($J98-Subj_BldgSF)&lt;=Subj_BldgSF*Subj_SizeTol),ABS($J98-Subj_BldgSF),NA())</f>
        <v/>
      </c>
      <c r="AO98">
        <f>IF(ISNA(AN98),NA(),AN98+ROW()/10000000)</f>
        <v/>
      </c>
      <c r="AR98" s="233">
        <f>IF(B98="","",IFERROR(INDEX(OCC_TABLE_DESC,MATCH(B98,OCC_TABLE_CODE,0)),"Unrecognized code"))</f>
        <v/>
      </c>
    </row>
    <row r="99" ht="30" customHeight="1" s="518">
      <c r="A99" s="155" t="inlineStr">
        <is>
          <t>P044</t>
        </is>
      </c>
      <c r="B99" s="150" t="n">
        <v>386</v>
      </c>
      <c r="C99" s="155" t="inlineStr">
        <is>
          <t>R0027089/R0178319</t>
        </is>
      </c>
      <c r="D99" s="269" t="inlineStr">
        <is>
          <t>2290 E 120th Ave</t>
        </is>
      </c>
      <c r="E99" s="155" t="inlineStr">
        <is>
          <t>Thornton</t>
        </is>
      </c>
      <c r="F99" s="155" t="inlineStr">
        <is>
          <t>CO</t>
        </is>
      </c>
      <c r="G99" s="155" t="inlineStr">
        <is>
          <t>Self-Storage</t>
        </is>
      </c>
      <c r="H99" s="269" t="inlineStr">
        <is>
          <t>Drive-Up/Drop-Off</t>
        </is>
      </c>
      <c r="I99" s="155" t="n"/>
      <c r="J99" s="155" t="n">
        <v>71909</v>
      </c>
      <c r="K99" s="155" t="n">
        <v>2023</v>
      </c>
      <c r="L99" s="155" t="n"/>
      <c r="M99" s="155" t="n"/>
      <c r="N99" s="160" t="n">
        <v>980778</v>
      </c>
      <c r="O99" s="160" t="n">
        <v>43407</v>
      </c>
      <c r="P99" s="160" t="n">
        <v>141702</v>
      </c>
      <c r="Q99" s="155" t="n"/>
      <c r="R99" s="155" t="n"/>
      <c r="S99" s="155" t="n"/>
      <c r="T99" s="155" t="n"/>
      <c r="U99" s="155" t="n"/>
      <c r="V99" s="155" t="n"/>
      <c r="W99" s="155" t="n"/>
      <c r="X99" s="155" t="n"/>
      <c r="Y99" s="160" t="n">
        <v>17835</v>
      </c>
      <c r="Z99" s="155" t="n"/>
      <c r="AA99" s="155" t="n"/>
      <c r="AB99" s="155" t="n"/>
      <c r="AC99" s="155" t="n"/>
      <c r="AD99" s="155" t="n"/>
      <c r="AE99" s="155" t="n"/>
      <c r="AF99" s="160" t="n">
        <v>21431</v>
      </c>
      <c r="AG99" s="155" t="n"/>
      <c r="AH99" s="160" t="n">
        <v>298955</v>
      </c>
      <c r="AI99" s="160" t="n">
        <v>186365</v>
      </c>
      <c r="AJ99" s="160" t="n">
        <v>485320</v>
      </c>
      <c r="AK99" s="160" t="n">
        <v>492300</v>
      </c>
      <c r="AL99" s="155" t="n"/>
      <c r="AM99" s="269" t="inlineStr">
        <is>
          <t>Actual SS P&amp;L; combined parcels R0027089+R0178319; mgmt=off-site+on-site</t>
        </is>
      </c>
      <c r="AN99">
        <f>IF(AND($B99=Subj_OccCode,Subj_BldgSF&gt;0,ABS($J99-Subj_BldgSF)&lt;=Subj_BldgSF*Subj_SizeTol),ABS($J99-Subj_BldgSF),NA())</f>
        <v/>
      </c>
      <c r="AO99">
        <f>IF(ISNA(AN99),NA(),AN99+ROW()/10000000)</f>
        <v/>
      </c>
      <c r="AR99" s="233">
        <f>IF(B99="","",IFERROR(INDEX(OCC_TABLE_DESC,MATCH(B99,OCC_TABLE_CODE,0)),"Unrecognized code"))</f>
        <v/>
      </c>
    </row>
    <row r="100" ht="30" customHeight="1" s="518">
      <c r="A100" s="155" t="inlineStr">
        <is>
          <t>P045</t>
        </is>
      </c>
      <c r="B100" s="150" t="n">
        <v>386</v>
      </c>
      <c r="C100" s="155" t="inlineStr">
        <is>
          <t>R0043569</t>
        </is>
      </c>
      <c r="D100" s="269" t="inlineStr">
        <is>
          <t>40131 Quivas St</t>
        </is>
      </c>
      <c r="E100" s="155" t="inlineStr">
        <is>
          <t>Thornton</t>
        </is>
      </c>
      <c r="F100" s="155" t="inlineStr">
        <is>
          <t>CO</t>
        </is>
      </c>
      <c r="G100" s="155" t="inlineStr">
        <is>
          <t>Self-Storage</t>
        </is>
      </c>
      <c r="H100" s="269" t="inlineStr">
        <is>
          <t>Drive-Up/Drop-Off</t>
        </is>
      </c>
      <c r="I100" s="155" t="n"/>
      <c r="J100" s="155" t="n">
        <v>41900</v>
      </c>
      <c r="K100" s="155" t="n">
        <v>2024</v>
      </c>
      <c r="L100" s="155" t="n"/>
      <c r="M100" s="155" t="n"/>
      <c r="N100" s="160" t="n">
        <v>718060</v>
      </c>
      <c r="O100" s="160" t="n">
        <v>19037</v>
      </c>
      <c r="P100" s="160" t="n">
        <v>93975</v>
      </c>
      <c r="Q100" s="155" t="n"/>
      <c r="R100" s="155" t="n"/>
      <c r="S100" s="155" t="n"/>
      <c r="T100" s="155" t="n"/>
      <c r="U100" s="155" t="n"/>
      <c r="V100" s="155" t="n"/>
      <c r="W100" s="155" t="n"/>
      <c r="X100" s="155" t="n"/>
      <c r="Y100" s="160" t="n">
        <v>11768</v>
      </c>
      <c r="Z100" s="155" t="n"/>
      <c r="AA100" s="155" t="n"/>
      <c r="AB100" s="155" t="n"/>
      <c r="AC100" s="155" t="n"/>
      <c r="AD100" s="155" t="n"/>
      <c r="AE100" s="155" t="n"/>
      <c r="AF100" s="160" t="n">
        <v>5417</v>
      </c>
      <c r="AG100" s="155" t="n"/>
      <c r="AH100" s="160" t="n">
        <v>208790</v>
      </c>
      <c r="AI100" s="160" t="n">
        <v>176524</v>
      </c>
      <c r="AJ100" s="160" t="n">
        <v>385314</v>
      </c>
      <c r="AK100" s="160" t="n">
        <v>332746</v>
      </c>
      <c r="AL100" s="155" t="n"/>
      <c r="AM100" s="269" t="inlineStr">
        <is>
          <t>Actual FY2024 P&amp;L; mgmt=off-site $42,964+on-site $51,011; RE Tax est from matrix</t>
        </is>
      </c>
      <c r="AN100">
        <f>IF(AND($B100=Subj_OccCode,Subj_BldgSF&gt;0,ABS($J100-Subj_BldgSF)&lt;=Subj_BldgSF*Subj_SizeTol),ABS($J100-Subj_BldgSF),NA())</f>
        <v/>
      </c>
      <c r="AO100">
        <f>IF(ISNA(AN100),NA(),AN100+ROW()/10000000)</f>
        <v/>
      </c>
      <c r="AR100" s="233">
        <f>IF(B100="","",IFERROR(INDEX(OCC_TABLE_DESC,MATCH(B100,OCC_TABLE_CODE,0)),"Unrecognized code"))</f>
        <v/>
      </c>
    </row>
    <row r="101" ht="30" customHeight="1" s="518">
      <c r="A101" s="155" t="inlineStr">
        <is>
          <t>P046</t>
        </is>
      </c>
      <c r="B101" s="150" t="n">
        <v>386</v>
      </c>
      <c r="C101" s="155" t="inlineStr">
        <is>
          <t>R0193009</t>
        </is>
      </c>
      <c r="D101" s="269" t="inlineStr">
        <is>
          <t>Address unknown – see R0193009</t>
        </is>
      </c>
      <c r="E101" s="155" t="inlineStr">
        <is>
          <t>Adams County</t>
        </is>
      </c>
      <c r="F101" s="155" t="inlineStr">
        <is>
          <t>CO</t>
        </is>
      </c>
      <c r="G101" s="155" t="inlineStr">
        <is>
          <t>Self-Storage</t>
        </is>
      </c>
      <c r="H101" s="269" t="inlineStr">
        <is>
          <t>Climate-Controlled</t>
        </is>
      </c>
      <c r="I101" s="155" t="n"/>
      <c r="J101" s="155" t="n">
        <v>94736</v>
      </c>
      <c r="K101" s="155" t="n"/>
      <c r="L101" s="155" t="n"/>
      <c r="M101" s="155" t="n"/>
      <c r="N101" s="160" t="n">
        <v>1582087</v>
      </c>
      <c r="O101" s="160" t="n">
        <v>39625</v>
      </c>
      <c r="P101" s="160" t="n">
        <v>167356</v>
      </c>
      <c r="Q101" s="155" t="n"/>
      <c r="R101" s="155" t="n"/>
      <c r="S101" s="155" t="n"/>
      <c r="T101" s="155" t="n"/>
      <c r="U101" s="155" t="n"/>
      <c r="V101" s="155" t="n"/>
      <c r="W101" s="155" t="n"/>
      <c r="X101" s="155" t="n"/>
      <c r="Y101" s="160" t="n">
        <v>38582</v>
      </c>
      <c r="Z101" s="155" t="n"/>
      <c r="AA101" s="155" t="n"/>
      <c r="AB101" s="155" t="n"/>
      <c r="AC101" s="155" t="n"/>
      <c r="AD101" s="155" t="n"/>
      <c r="AE101" s="155" t="n"/>
      <c r="AF101" s="160" t="n">
        <v>19609</v>
      </c>
      <c r="AG101" s="155" t="n"/>
      <c r="AH101" s="160" t="n">
        <v>349253</v>
      </c>
      <c r="AI101" s="160" t="n">
        <v>423847</v>
      </c>
      <c r="AJ101" s="160" t="n">
        <v>773100</v>
      </c>
      <c r="AK101" s="160" t="n">
        <v>808987</v>
      </c>
      <c r="AL101" s="155" t="n"/>
      <c r="AM101" s="269" t="inlineStr">
        <is>
          <t>AXG SS Expense Matrix; year not specified (~2022/23); R0193009</t>
        </is>
      </c>
      <c r="AN101">
        <f>IF(AND($B101=Subj_OccCode,Subj_BldgSF&gt;0,ABS($J101-Subj_BldgSF)&lt;=Subj_BldgSF*Subj_SizeTol),ABS($J101-Subj_BldgSF),NA())</f>
        <v/>
      </c>
      <c r="AO101">
        <f>IF(ISNA(AN101),NA(),AN101+ROW()/10000000)</f>
        <v/>
      </c>
      <c r="AR101" s="233">
        <f>IF(B101="","",IFERROR(INDEX(OCC_TABLE_DESC,MATCH(B101,OCC_TABLE_CODE,0)),"Unrecognized code"))</f>
        <v/>
      </c>
    </row>
    <row r="102" ht="30" customHeight="1" s="518">
      <c r="A102" s="155" t="inlineStr">
        <is>
          <t>P047</t>
        </is>
      </c>
      <c r="B102" s="150" t="n">
        <v>386</v>
      </c>
      <c r="C102" s="155" t="inlineStr">
        <is>
          <t>R0099616</t>
        </is>
      </c>
      <c r="D102" s="269" t="inlineStr">
        <is>
          <t>Address unknown – see R0099616</t>
        </is>
      </c>
      <c r="E102" s="155" t="inlineStr">
        <is>
          <t>Adams County</t>
        </is>
      </c>
      <c r="F102" s="155" t="inlineStr">
        <is>
          <t>CO</t>
        </is>
      </c>
      <c r="G102" s="155" t="inlineStr">
        <is>
          <t>Self-Storage</t>
        </is>
      </c>
      <c r="H102" s="269" t="inlineStr">
        <is>
          <t>Drive-Up/Drop-Off</t>
        </is>
      </c>
      <c r="I102" s="155" t="n"/>
      <c r="J102" s="155" t="n">
        <v>73500</v>
      </c>
      <c r="K102" s="155" t="n"/>
      <c r="L102" s="155" t="n"/>
      <c r="M102" s="155" t="n"/>
      <c r="N102" s="160" t="n">
        <v>834358</v>
      </c>
      <c r="O102" s="160" t="n">
        <v>18408</v>
      </c>
      <c r="P102" s="160" t="n">
        <v>65010</v>
      </c>
      <c r="Q102" s="155" t="n"/>
      <c r="R102" s="155" t="n"/>
      <c r="S102" s="155" t="n"/>
      <c r="T102" s="155" t="n"/>
      <c r="U102" s="155" t="n"/>
      <c r="V102" s="155" t="n"/>
      <c r="W102" s="155" t="n"/>
      <c r="X102" s="155" t="n"/>
      <c r="Y102" s="160" t="n">
        <v>24753</v>
      </c>
      <c r="Z102" s="155" t="n"/>
      <c r="AA102" s="155" t="n"/>
      <c r="AB102" s="155" t="n"/>
      <c r="AC102" s="155" t="n"/>
      <c r="AD102" s="155" t="n"/>
      <c r="AE102" s="155" t="n"/>
      <c r="AF102" s="160" t="n">
        <v>17255</v>
      </c>
      <c r="AG102" s="155" t="n"/>
      <c r="AH102" s="160" t="n">
        <v>198623</v>
      </c>
      <c r="AI102" s="160" t="n">
        <v>157582</v>
      </c>
      <c r="AJ102" s="160" t="n">
        <v>356205</v>
      </c>
      <c r="AK102" s="160" t="n">
        <v>478153</v>
      </c>
      <c r="AL102" s="155" t="n"/>
      <c r="AM102" s="269" t="inlineStr">
        <is>
          <t>AXG SS Expense Matrix; year not specified (~2022/23); R0099616</t>
        </is>
      </c>
      <c r="AN102">
        <f>IF(AND($B102=Subj_OccCode,Subj_BldgSF&gt;0,ABS($J102-Subj_BldgSF)&lt;=Subj_BldgSF*Subj_SizeTol),ABS($J102-Subj_BldgSF),NA())</f>
        <v/>
      </c>
      <c r="AO102">
        <f>IF(ISNA(AN102),NA(),AN102+ROW()/10000000)</f>
        <v/>
      </c>
      <c r="AR102" s="233">
        <f>IF(B102="","",IFERROR(INDEX(OCC_TABLE_DESC,MATCH(B102,OCC_TABLE_CODE,0)),"Unrecognized code"))</f>
        <v/>
      </c>
    </row>
    <row r="103" ht="30" customHeight="1" s="518">
      <c r="A103" s="155" t="inlineStr">
        <is>
          <t>P048</t>
        </is>
      </c>
      <c r="B103" s="150" t="n">
        <v>386</v>
      </c>
      <c r="C103" s="155" t="inlineStr">
        <is>
          <t>R0098019</t>
        </is>
      </c>
      <c r="D103" s="269" t="inlineStr">
        <is>
          <t>Address unknown – see R0098019</t>
        </is>
      </c>
      <c r="E103" s="155" t="inlineStr">
        <is>
          <t>Adams County</t>
        </is>
      </c>
      <c r="F103" s="155" t="inlineStr">
        <is>
          <t>CO</t>
        </is>
      </c>
      <c r="G103" s="155" t="inlineStr">
        <is>
          <t>Self-Storage</t>
        </is>
      </c>
      <c r="H103" s="269" t="inlineStr">
        <is>
          <t>Drive-Up/Drop-Off</t>
        </is>
      </c>
      <c r="I103" s="155" t="n"/>
      <c r="J103" s="155" t="n">
        <v>44975</v>
      </c>
      <c r="K103" s="155" t="n"/>
      <c r="L103" s="155" t="n"/>
      <c r="M103" s="155" t="n"/>
      <c r="N103" s="160" t="n">
        <v>588827</v>
      </c>
      <c r="O103" s="160" t="n">
        <v>22185</v>
      </c>
      <c r="P103" s="160" t="n">
        <v>38503</v>
      </c>
      <c r="Q103" s="155" t="n"/>
      <c r="R103" s="155" t="n"/>
      <c r="S103" s="155" t="n"/>
      <c r="T103" s="155" t="n"/>
      <c r="U103" s="155" t="n"/>
      <c r="V103" s="155" t="n"/>
      <c r="W103" s="155" t="n"/>
      <c r="X103" s="155" t="n"/>
      <c r="Y103" s="160" t="n">
        <v>38667</v>
      </c>
      <c r="Z103" s="155" t="n"/>
      <c r="AA103" s="155" t="n"/>
      <c r="AB103" s="155" t="n"/>
      <c r="AC103" s="155" t="n"/>
      <c r="AD103" s="155" t="n"/>
      <c r="AE103" s="155" t="n"/>
      <c r="AF103" s="160" t="n">
        <v>31243</v>
      </c>
      <c r="AG103" s="155" t="n"/>
      <c r="AH103" s="160" t="n">
        <v>143905</v>
      </c>
      <c r="AI103" s="160" t="n">
        <v>128521</v>
      </c>
      <c r="AJ103" s="160" t="n">
        <v>272426</v>
      </c>
      <c r="AK103" s="160" t="n">
        <v>316401</v>
      </c>
      <c r="AL103" s="155" t="n"/>
      <c r="AM103" s="269" t="inlineStr">
        <is>
          <t>AXG SS Expense Matrix; year not specified (~2022/23); R0098019</t>
        </is>
      </c>
      <c r="AN103">
        <f>IF(AND($B103=Subj_OccCode,Subj_BldgSF&gt;0,ABS($J103-Subj_BldgSF)&lt;=Subj_BldgSF*Subj_SizeTol),ABS($J103-Subj_BldgSF),NA())</f>
        <v/>
      </c>
      <c r="AO103">
        <f>IF(ISNA(AN103),NA(),AN103+ROW()/10000000)</f>
        <v/>
      </c>
      <c r="AR103" s="233">
        <f>IF(B103="","",IFERROR(INDEX(OCC_TABLE_DESC,MATCH(B103,OCC_TABLE_CODE,0)),"Unrecognized code"))</f>
        <v/>
      </c>
    </row>
    <row r="104" ht="30" customHeight="1" s="518">
      <c r="A104" s="155" t="inlineStr">
        <is>
          <t>P049</t>
        </is>
      </c>
      <c r="B104" s="150" t="n">
        <v>386</v>
      </c>
      <c r="C104" s="155" t="inlineStr">
        <is>
          <t>R0102989</t>
        </is>
      </c>
      <c r="D104" s="269" t="inlineStr">
        <is>
          <t>Address unknown – see R0102989</t>
        </is>
      </c>
      <c r="E104" s="155" t="inlineStr">
        <is>
          <t>Adams County</t>
        </is>
      </c>
      <c r="F104" s="155" t="inlineStr">
        <is>
          <t>CO</t>
        </is>
      </c>
      <c r="G104" s="155" t="inlineStr">
        <is>
          <t>Self-Storage</t>
        </is>
      </c>
      <c r="H104" s="269" t="inlineStr">
        <is>
          <t>Climate-Controlled</t>
        </is>
      </c>
      <c r="I104" s="155" t="n"/>
      <c r="J104" s="155" t="n">
        <v>94797</v>
      </c>
      <c r="K104" s="155" t="n"/>
      <c r="L104" s="155" t="n"/>
      <c r="M104" s="155" t="n"/>
      <c r="N104" s="160" t="n">
        <v>1184503</v>
      </c>
      <c r="O104" s="160" t="n">
        <v>25293</v>
      </c>
      <c r="P104" s="160" t="n">
        <v>206702</v>
      </c>
      <c r="Q104" s="155" t="n"/>
      <c r="R104" s="155" t="n"/>
      <c r="S104" s="155" t="n"/>
      <c r="T104" s="155" t="n"/>
      <c r="U104" s="155" t="n"/>
      <c r="V104" s="155" t="n"/>
      <c r="W104" s="155" t="n"/>
      <c r="X104" s="155" t="n"/>
      <c r="Y104" s="160" t="n">
        <v>28562</v>
      </c>
      <c r="Z104" s="155" t="n"/>
      <c r="AA104" s="155" t="n"/>
      <c r="AB104" s="155" t="n"/>
      <c r="AC104" s="155" t="n"/>
      <c r="AD104" s="155" t="n"/>
      <c r="AE104" s="155" t="n"/>
      <c r="AF104" s="160" t="n">
        <v>49493</v>
      </c>
      <c r="AG104" s="155" t="n"/>
      <c r="AH104" s="160" t="n">
        <v>434049</v>
      </c>
      <c r="AI104" s="160" t="n">
        <v>259535</v>
      </c>
      <c r="AJ104" s="160" t="n">
        <v>693584</v>
      </c>
      <c r="AK104" s="160" t="n">
        <v>490919</v>
      </c>
      <c r="AL104" s="155" t="n"/>
      <c r="AM104" s="269" t="inlineStr">
        <is>
          <t>AXG SS Expense Matrix; year not specified (~2022/23); R0102989</t>
        </is>
      </c>
      <c r="AN104">
        <f>IF(AND($B104=Subj_OccCode,Subj_BldgSF&gt;0,ABS($J104-Subj_BldgSF)&lt;=Subj_BldgSF*Subj_SizeTol),ABS($J104-Subj_BldgSF),NA())</f>
        <v/>
      </c>
      <c r="AO104">
        <f>IF(ISNA(AN104),NA(),AN104+ROW()/10000000)</f>
        <v/>
      </c>
      <c r="AR104" s="233">
        <f>IF(B104="","",IFERROR(INDEX(OCC_TABLE_DESC,MATCH(B104,OCC_TABLE_CODE,0)),"Unrecognized code"))</f>
        <v/>
      </c>
    </row>
    <row r="105" ht="30" customHeight="1" s="518">
      <c r="A105" s="155" t="inlineStr">
        <is>
          <t>P050</t>
        </is>
      </c>
      <c r="B105" s="150" t="n">
        <v>386</v>
      </c>
      <c r="C105" s="155" t="inlineStr">
        <is>
          <t>R0085523</t>
        </is>
      </c>
      <c r="D105" s="269" t="inlineStr">
        <is>
          <t>Address unknown – see R0085523</t>
        </is>
      </c>
      <c r="E105" s="155" t="inlineStr">
        <is>
          <t>Adams County</t>
        </is>
      </c>
      <c r="F105" s="155" t="inlineStr">
        <is>
          <t>CO</t>
        </is>
      </c>
      <c r="G105" s="155" t="inlineStr">
        <is>
          <t>Self-Storage</t>
        </is>
      </c>
      <c r="H105" s="269" t="inlineStr">
        <is>
          <t>Drive-Up/Drop-Off</t>
        </is>
      </c>
      <c r="I105" s="155" t="n"/>
      <c r="J105" s="155" t="n">
        <v>39525</v>
      </c>
      <c r="K105" s="155" t="n"/>
      <c r="L105" s="155" t="n"/>
      <c r="M105" s="155" t="n"/>
      <c r="N105" s="160" t="n">
        <v>541974</v>
      </c>
      <c r="O105" s="160" t="n">
        <v>8307</v>
      </c>
      <c r="P105" s="160" t="n">
        <v>94279</v>
      </c>
      <c r="Q105" s="155" t="n"/>
      <c r="R105" s="155" t="n"/>
      <c r="S105" s="155" t="n"/>
      <c r="T105" s="155" t="n"/>
      <c r="U105" s="155" t="n"/>
      <c r="V105" s="155" t="n"/>
      <c r="W105" s="155" t="n"/>
      <c r="X105" s="155" t="n"/>
      <c r="Y105" s="160" t="n">
        <v>21292</v>
      </c>
      <c r="Z105" s="155" t="n"/>
      <c r="AA105" s="155" t="n"/>
      <c r="AB105" s="155" t="n"/>
      <c r="AC105" s="155" t="n"/>
      <c r="AD105" s="155" t="n"/>
      <c r="AE105" s="155" t="n"/>
      <c r="AF105" s="160" t="n">
        <v>16489</v>
      </c>
      <c r="AG105" s="155" t="n"/>
      <c r="AH105" s="160" t="n">
        <v>149627</v>
      </c>
      <c r="AI105" s="160" t="n">
        <v>209139</v>
      </c>
      <c r="AJ105" s="160" t="n">
        <v>358766</v>
      </c>
      <c r="AK105" s="160" t="n">
        <v>183208</v>
      </c>
      <c r="AL105" s="155" t="n"/>
      <c r="AM105" s="269" t="inlineStr">
        <is>
          <t>AXG SS Expense Matrix; year not specified (~2022/23); R0085523</t>
        </is>
      </c>
      <c r="AN105">
        <f>IF(AND($B105=Subj_OccCode,Subj_BldgSF&gt;0,ABS($J105-Subj_BldgSF)&lt;=Subj_BldgSF*Subj_SizeTol),ABS($J105-Subj_BldgSF),NA())</f>
        <v/>
      </c>
      <c r="AO105">
        <f>IF(ISNA(AN105),NA(),AN105+ROW()/10000000)</f>
        <v/>
      </c>
      <c r="AR105" s="233">
        <f>IF(B105="","",IFERROR(INDEX(OCC_TABLE_DESC,MATCH(B105,OCC_TABLE_CODE,0)),"Unrecognized code"))</f>
        <v/>
      </c>
    </row>
    <row r="106" ht="30" customHeight="1" s="518">
      <c r="A106" s="155" t="inlineStr">
        <is>
          <t>P051</t>
        </is>
      </c>
      <c r="B106" s="150" t="n">
        <v>386</v>
      </c>
      <c r="C106" s="155" t="inlineStr">
        <is>
          <t>R0174860</t>
        </is>
      </c>
      <c r="D106" s="269" t="inlineStr">
        <is>
          <t>Address unknown – see R0174860</t>
        </is>
      </c>
      <c r="E106" s="155" t="inlineStr">
        <is>
          <t>Adams County</t>
        </is>
      </c>
      <c r="F106" s="155" t="inlineStr">
        <is>
          <t>CO</t>
        </is>
      </c>
      <c r="G106" s="155" t="inlineStr">
        <is>
          <t>Self-Storage</t>
        </is>
      </c>
      <c r="H106" s="269" t="inlineStr">
        <is>
          <t>Drive-Up/Drop-Off (containers)</t>
        </is>
      </c>
      <c r="I106" s="155" t="n"/>
      <c r="J106" s="155" t="n">
        <v>45980</v>
      </c>
      <c r="K106" s="155" t="n"/>
      <c r="L106" s="155" t="n"/>
      <c r="M106" s="155" t="n"/>
      <c r="N106" s="160" t="n">
        <v>646496</v>
      </c>
      <c r="O106" s="160" t="n">
        <v>4989</v>
      </c>
      <c r="P106" s="160" t="n">
        <v>70000</v>
      </c>
      <c r="Q106" s="155" t="n"/>
      <c r="R106" s="155" t="n"/>
      <c r="S106" s="155" t="n"/>
      <c r="T106" s="155" t="n"/>
      <c r="U106" s="155" t="n"/>
      <c r="V106" s="155" t="n"/>
      <c r="W106" s="155" t="n"/>
      <c r="X106" s="155" t="n"/>
      <c r="Y106" s="160" t="n">
        <v>12000</v>
      </c>
      <c r="Z106" s="155" t="n"/>
      <c r="AA106" s="155" t="n"/>
      <c r="AB106" s="155" t="n"/>
      <c r="AC106" s="155" t="n"/>
      <c r="AD106" s="155" t="n"/>
      <c r="AE106" s="155" t="n"/>
      <c r="AF106" s="160" t="n">
        <v>11972</v>
      </c>
      <c r="AG106" s="155" t="n"/>
      <c r="AH106" s="160" t="n">
        <v>146795</v>
      </c>
      <c r="AI106" s="160" t="n">
        <v>83042</v>
      </c>
      <c r="AJ106" s="160" t="n">
        <v>229837</v>
      </c>
      <c r="AK106" s="160" t="n">
        <v>416659</v>
      </c>
      <c r="AL106" s="155" t="n"/>
      <c r="AM106" s="269" t="inlineStr">
        <is>
          <t>AXG SS Expense Matrix; year not specified (~2022/23); R0174860</t>
        </is>
      </c>
      <c r="AN106">
        <f>IF(AND($B106=Subj_OccCode,Subj_BldgSF&gt;0,ABS($J106-Subj_BldgSF)&lt;=Subj_BldgSF*Subj_SizeTol),ABS($J106-Subj_BldgSF),NA())</f>
        <v/>
      </c>
      <c r="AO106">
        <f>IF(ISNA(AN106),NA(),AN106+ROW()/10000000)</f>
        <v/>
      </c>
      <c r="AR106" s="233">
        <f>IF(B106="","",IFERROR(INDEX(OCC_TABLE_DESC,MATCH(B106,OCC_TABLE_CODE,0)),"Unrecognized code"))</f>
        <v/>
      </c>
    </row>
    <row r="107" ht="30" customHeight="1" s="518">
      <c r="A107" s="155" t="inlineStr">
        <is>
          <t>P052</t>
        </is>
      </c>
      <c r="B107" s="150" t="n">
        <v>386</v>
      </c>
      <c r="C107" s="155" t="inlineStr">
        <is>
          <t>R0161412</t>
        </is>
      </c>
      <c r="D107" s="269" t="inlineStr">
        <is>
          <t>Address unknown – see R0161412</t>
        </is>
      </c>
      <c r="E107" s="155" t="inlineStr">
        <is>
          <t>Adams County</t>
        </is>
      </c>
      <c r="F107" s="155" t="inlineStr">
        <is>
          <t>CO</t>
        </is>
      </c>
      <c r="G107" s="155" t="inlineStr">
        <is>
          <t>Self-Storage</t>
        </is>
      </c>
      <c r="H107" s="269" t="inlineStr">
        <is>
          <t>Drive-Up/Drop-Off</t>
        </is>
      </c>
      <c r="I107" s="155" t="n"/>
      <c r="J107" s="155" t="n">
        <v>88043</v>
      </c>
      <c r="K107" s="155" t="n"/>
      <c r="L107" s="155" t="n"/>
      <c r="M107" s="155" t="n"/>
      <c r="N107" s="160" t="n">
        <v>1206603</v>
      </c>
      <c r="O107" s="160" t="n">
        <v>12478</v>
      </c>
      <c r="P107" s="160" t="n">
        <v>179092</v>
      </c>
      <c r="Q107" s="155" t="n"/>
      <c r="R107" s="155" t="n"/>
      <c r="S107" s="155" t="n"/>
      <c r="T107" s="155" t="n"/>
      <c r="U107" s="155" t="n"/>
      <c r="V107" s="155" t="n"/>
      <c r="W107" s="155" t="n"/>
      <c r="X107" s="155" t="n"/>
      <c r="Y107" s="160" t="n">
        <v>20272</v>
      </c>
      <c r="Z107" s="155" t="n"/>
      <c r="AA107" s="155" t="n"/>
      <c r="AB107" s="155" t="n"/>
      <c r="AC107" s="155" t="n"/>
      <c r="AD107" s="155" t="n"/>
      <c r="AE107" s="155" t="n"/>
      <c r="AF107" s="160" t="n">
        <v>16957</v>
      </c>
      <c r="AG107" s="155" t="n"/>
      <c r="AH107" s="160" t="n">
        <v>284089</v>
      </c>
      <c r="AI107" s="160" t="n">
        <v>389500</v>
      </c>
      <c r="AJ107" s="160" t="n">
        <v>673589</v>
      </c>
      <c r="AK107" s="160" t="n">
        <v>533014</v>
      </c>
      <c r="AL107" s="155" t="n"/>
      <c r="AM107" s="269" t="inlineStr">
        <is>
          <t>AXG SS Expense Matrix; year not specified (~2022/23); R0161412</t>
        </is>
      </c>
      <c r="AN107">
        <f>IF(AND($B107=Subj_OccCode,Subj_BldgSF&gt;0,ABS($J107-Subj_BldgSF)&lt;=Subj_BldgSF*Subj_SizeTol),ABS($J107-Subj_BldgSF),NA())</f>
        <v/>
      </c>
      <c r="AO107">
        <f>IF(ISNA(AN107),NA(),AN107+ROW()/10000000)</f>
        <v/>
      </c>
      <c r="AR107" s="233">
        <f>IF(B107="","",IFERROR(INDEX(OCC_TABLE_DESC,MATCH(B107,OCC_TABLE_CODE,0)),"Unrecognized code"))</f>
        <v/>
      </c>
    </row>
    <row r="108" ht="30" customHeight="1" s="518">
      <c r="A108" s="155" t="inlineStr">
        <is>
          <t>P053</t>
        </is>
      </c>
      <c r="B108" s="150" t="n">
        <v>386</v>
      </c>
      <c r="C108" s="155" t="inlineStr">
        <is>
          <t>R0169115</t>
        </is>
      </c>
      <c r="D108" s="269" t="inlineStr">
        <is>
          <t>Address unknown – see R0169115</t>
        </is>
      </c>
      <c r="E108" s="155" t="inlineStr">
        <is>
          <t>Adams County</t>
        </is>
      </c>
      <c r="F108" s="155" t="inlineStr">
        <is>
          <t>CO</t>
        </is>
      </c>
      <c r="G108" s="155" t="inlineStr">
        <is>
          <t>Self-Storage</t>
        </is>
      </c>
      <c r="H108" s="269" t="inlineStr">
        <is>
          <t>Drive-Up/Drop-Off</t>
        </is>
      </c>
      <c r="I108" s="155" t="n"/>
      <c r="J108" s="155" t="n">
        <v>41764</v>
      </c>
      <c r="K108" s="155" t="n"/>
      <c r="L108" s="155" t="n"/>
      <c r="M108" s="155" t="n"/>
      <c r="N108" s="160" t="n">
        <v>787364</v>
      </c>
      <c r="O108" s="160" t="n">
        <v>9652</v>
      </c>
      <c r="P108" s="160" t="n">
        <v>83320</v>
      </c>
      <c r="Q108" s="155" t="n"/>
      <c r="R108" s="155" t="n"/>
      <c r="S108" s="155" t="n"/>
      <c r="T108" s="155" t="n"/>
      <c r="U108" s="155" t="n"/>
      <c r="V108" s="155" t="n"/>
      <c r="W108" s="155" t="n"/>
      <c r="X108" s="155" t="n"/>
      <c r="Y108" s="160" t="n">
        <v>25639</v>
      </c>
      <c r="Z108" s="155" t="n"/>
      <c r="AA108" s="155" t="n"/>
      <c r="AB108" s="155" t="n"/>
      <c r="AC108" s="155" t="n"/>
      <c r="AD108" s="155" t="n"/>
      <c r="AE108" s="155" t="n"/>
      <c r="AF108" s="160" t="n">
        <v>15956</v>
      </c>
      <c r="AG108" s="155" t="n"/>
      <c r="AH108" s="160" t="n">
        <v>192632</v>
      </c>
      <c r="AI108" s="160" t="n">
        <v>203116</v>
      </c>
      <c r="AJ108" s="160" t="n">
        <v>395748</v>
      </c>
      <c r="AK108" s="160" t="n">
        <v>391616</v>
      </c>
      <c r="AL108" s="155" t="n"/>
      <c r="AM108" s="269" t="inlineStr">
        <is>
          <t>AXG SS Expense Matrix; year not specified (~2022/23); R0169115</t>
        </is>
      </c>
      <c r="AN108">
        <f>IF(AND($B108=Subj_OccCode,Subj_BldgSF&gt;0,ABS($J108-Subj_BldgSF)&lt;=Subj_BldgSF*Subj_SizeTol),ABS($J108-Subj_BldgSF),NA())</f>
        <v/>
      </c>
      <c r="AO108">
        <f>IF(ISNA(AN108),NA(),AN108+ROW()/10000000)</f>
        <v/>
      </c>
      <c r="AR108" s="233">
        <f>IF(B108="","",IFERROR(INDEX(OCC_TABLE_DESC,MATCH(B108,OCC_TABLE_CODE,0)),"Unrecognized code"))</f>
        <v/>
      </c>
    </row>
    <row r="109" ht="30" customHeight="1" s="518">
      <c r="A109" s="155" t="inlineStr">
        <is>
          <t>P016</t>
        </is>
      </c>
      <c r="B109" s="150" t="n">
        <v>584</v>
      </c>
      <c r="C109" s="155" t="inlineStr">
        <is>
          <t>R0212546/R0212547</t>
        </is>
      </c>
      <c r="D109" s="269" t="inlineStr">
        <is>
          <t>2780 N Tower Rd</t>
        </is>
      </c>
      <c r="E109" s="155" t="inlineStr">
        <is>
          <t>Aurora</t>
        </is>
      </c>
      <c r="F109" s="155" t="inlineStr">
        <is>
          <t>CO</t>
        </is>
      </c>
      <c r="G109" s="155" t="inlineStr">
        <is>
          <t>Industrial</t>
        </is>
      </c>
      <c r="H109" s="269" t="inlineStr">
        <is>
          <t>Mega Warehouse NNN</t>
        </is>
      </c>
      <c r="I109" s="155" t="n">
        <v>1983</v>
      </c>
      <c r="J109" s="155" t="n">
        <v>377729</v>
      </c>
      <c r="K109" s="155" t="n">
        <v>2023</v>
      </c>
      <c r="L109" s="160" t="n">
        <v>2979661</v>
      </c>
      <c r="M109" s="155" t="n"/>
      <c r="N109" s="160" t="n">
        <v>2979661</v>
      </c>
      <c r="O109" s="155" t="n"/>
      <c r="P109" s="160" t="n">
        <v>3855</v>
      </c>
      <c r="Q109" s="155" t="n"/>
      <c r="R109" s="155" t="n"/>
      <c r="S109" s="155" t="n"/>
      <c r="T109" s="155" t="n"/>
      <c r="U109" s="155" t="n"/>
      <c r="V109" s="155" t="n"/>
      <c r="W109" s="155" t="n"/>
      <c r="X109" s="155" t="n"/>
      <c r="Y109" s="155" t="n"/>
      <c r="Z109" s="155" t="n"/>
      <c r="AA109" s="155" t="n"/>
      <c r="AB109" s="155" t="n"/>
      <c r="AC109" s="155" t="n"/>
      <c r="AD109" s="155" t="n"/>
      <c r="AE109" s="155" t="n"/>
      <c r="AF109" s="155" t="n"/>
      <c r="AG109" s="160" t="n">
        <v>7775</v>
      </c>
      <c r="AH109" s="160" t="n">
        <v>41363</v>
      </c>
      <c r="AI109" s="160" t="n">
        <v>0</v>
      </c>
      <c r="AJ109" s="160" t="n">
        <v>41363</v>
      </c>
      <c r="AK109" s="160" t="n">
        <v>2938298</v>
      </c>
      <c r="AL109" s="155" t="n"/>
      <c r="AM109" s="269" t="inlineStr">
        <is>
          <t>Absolute NNN; tenant pays ALL RE tax, ins, CAM; owner opex = admin only (excl D&amp;A $456k); supersedes proforma row</t>
        </is>
      </c>
      <c r="AN109">
        <f>IF(AND($B109=Subj_OccCode,Subj_BldgSF&gt;0,ABS($J109-Subj_BldgSF)&lt;=Subj_BldgSF*Subj_SizeTol),ABS($J109-Subj_BldgSF),NA())</f>
        <v/>
      </c>
      <c r="AO109">
        <f>IF(ISNA(AN109),NA(),AN109+ROW()/10000000)</f>
        <v/>
      </c>
      <c r="AR109" s="233">
        <f>IF(B109="","",IFERROR(INDEX(OCC_TABLE_DESC,MATCH(B109,OCC_TABLE_CODE,0)),"Unrecognized code"))</f>
        <v/>
      </c>
    </row>
    <row r="110" ht="30" customHeight="1" s="518">
      <c r="A110" s="155" t="inlineStr">
        <is>
          <t>P016</t>
        </is>
      </c>
      <c r="B110" s="150" t="n">
        <v>584</v>
      </c>
      <c r="C110" s="155" t="inlineStr">
        <is>
          <t>R0212546/R0212547</t>
        </is>
      </c>
      <c r="D110" s="269" t="inlineStr">
        <is>
          <t>2780 N Tower Rd</t>
        </is>
      </c>
      <c r="E110" s="155" t="inlineStr">
        <is>
          <t>Aurora</t>
        </is>
      </c>
      <c r="F110" s="155" t="inlineStr">
        <is>
          <t>CO</t>
        </is>
      </c>
      <c r="G110" s="155" t="inlineStr">
        <is>
          <t>Industrial</t>
        </is>
      </c>
      <c r="H110" s="269" t="inlineStr">
        <is>
          <t>Mega Warehouse NNN</t>
        </is>
      </c>
      <c r="I110" s="155" t="n">
        <v>1983</v>
      </c>
      <c r="J110" s="155" t="n">
        <v>377729</v>
      </c>
      <c r="K110" s="155" t="n">
        <v>2024</v>
      </c>
      <c r="L110" s="160" t="n">
        <v>3047376</v>
      </c>
      <c r="M110" s="155" t="n"/>
      <c r="N110" s="160" t="n">
        <v>3047376</v>
      </c>
      <c r="O110" s="155" t="n"/>
      <c r="P110" s="160" t="n">
        <v>4000</v>
      </c>
      <c r="Q110" s="155" t="n"/>
      <c r="R110" s="155" t="n"/>
      <c r="S110" s="155" t="n"/>
      <c r="T110" s="155" t="n"/>
      <c r="U110" s="155" t="n"/>
      <c r="V110" s="155" t="n"/>
      <c r="W110" s="155" t="n"/>
      <c r="X110" s="155" t="n"/>
      <c r="Y110" s="155" t="n"/>
      <c r="Z110" s="155" t="n"/>
      <c r="AA110" s="155" t="n"/>
      <c r="AB110" s="155" t="n"/>
      <c r="AC110" s="155" t="n"/>
      <c r="AD110" s="155" t="n"/>
      <c r="AE110" s="155" t="n"/>
      <c r="AF110" s="155" t="n"/>
      <c r="AG110" s="160" t="n">
        <v>25863</v>
      </c>
      <c r="AH110" s="160" t="n">
        <v>58863</v>
      </c>
      <c r="AI110" s="160" t="n">
        <v>0</v>
      </c>
      <c r="AJ110" s="160" t="n">
        <v>58863</v>
      </c>
      <c r="AK110" s="160" t="n">
        <v>2988513</v>
      </c>
      <c r="AL110" s="155" t="n"/>
      <c r="AM110" s="269" t="inlineStr">
        <is>
          <t>Absolute NNN; tenant pays ALL RE tax, ins, CAM; owner opex = admin only (excl D&amp;A $456k); supersedes proforma row</t>
        </is>
      </c>
      <c r="AN110">
        <f>IF(AND($B110=Subj_OccCode,Subj_BldgSF&gt;0,ABS($J110-Subj_BldgSF)&lt;=Subj_BldgSF*Subj_SizeTol),ABS($J110-Subj_BldgSF),NA())</f>
        <v/>
      </c>
      <c r="AO110">
        <f>IF(ISNA(AN110),NA(),AN110+ROW()/10000000)</f>
        <v/>
      </c>
      <c r="AR110" s="233">
        <f>IF(B110="","",IFERROR(INDEX(OCC_TABLE_DESC,MATCH(B110,OCC_TABLE_CODE,0)),"Unrecognized code"))</f>
        <v/>
      </c>
    </row>
    <row r="111" ht="30" customHeight="1" s="518">
      <c r="A111" s="155" t="inlineStr">
        <is>
          <t>P034</t>
        </is>
      </c>
      <c r="B111" s="150" t="n">
        <v>407</v>
      </c>
      <c r="C111" s="155" t="inlineStr">
        <is>
          <t>R0172865</t>
        </is>
      </c>
      <c r="D111" s="269" t="inlineStr">
        <is>
          <t>Majestic Commercenter (R0172865)</t>
        </is>
      </c>
      <c r="E111" s="155" t="inlineStr">
        <is>
          <t>Commerce City</t>
        </is>
      </c>
      <c r="F111" s="155" t="inlineStr">
        <is>
          <t>CO</t>
        </is>
      </c>
      <c r="G111" s="155" t="inlineStr">
        <is>
          <t>Industrial</t>
        </is>
      </c>
      <c r="H111" s="269" t="inlineStr">
        <is>
          <t>Warehouse NNN</t>
        </is>
      </c>
      <c r="I111" s="155" t="n">
        <v>2008</v>
      </c>
      <c r="J111" s="155" t="n">
        <v>215461</v>
      </c>
      <c r="K111" s="155" t="n">
        <v>2024</v>
      </c>
      <c r="L111" s="160" t="n">
        <v>1540283</v>
      </c>
      <c r="M111" s="155" t="n"/>
      <c r="N111" s="160" t="n">
        <v>1540283</v>
      </c>
      <c r="O111" s="155" t="n"/>
      <c r="P111" s="155" t="n"/>
      <c r="Q111" s="155" t="n"/>
      <c r="R111" s="155" t="n"/>
      <c r="S111" s="155" t="n"/>
      <c r="T111" s="155" t="n"/>
      <c r="U111" s="155" t="n"/>
      <c r="V111" s="155" t="n"/>
      <c r="W111" s="155" t="n"/>
      <c r="X111" s="155" t="n"/>
      <c r="Y111" s="155" t="n"/>
      <c r="Z111" s="155" t="n"/>
      <c r="AA111" s="160" t="n">
        <v>9880</v>
      </c>
      <c r="AB111" s="160" t="n">
        <v>29880</v>
      </c>
      <c r="AC111" s="155" t="n"/>
      <c r="AD111" s="155" t="n"/>
      <c r="AE111" s="155" t="n"/>
      <c r="AF111" s="155" t="n"/>
      <c r="AG111" s="155" t="n"/>
      <c r="AH111" s="155" t="n"/>
      <c r="AI111" s="155" t="n"/>
      <c r="AJ111" s="155" t="n"/>
      <c r="AK111" s="155" t="n"/>
      <c r="AL111" s="155" t="n"/>
      <c r="AM111" s="269" t="inlineStr">
        <is>
          <t>2024 actual 12-month P&amp;L; NOI est. per expense ratio; from 08_2025 Review</t>
        </is>
      </c>
      <c r="AN111">
        <f>IF(AND($B111=Subj_OccCode,Subj_BldgSF&gt;0,ABS($J111-Subj_BldgSF)&lt;=Subj_BldgSF*Subj_SizeTol),ABS($J111-Subj_BldgSF),NA())</f>
        <v/>
      </c>
      <c r="AO111">
        <f>IF(ISNA(AN111),NA(),AN111+ROW()/10000000)</f>
        <v/>
      </c>
      <c r="AR111" s="233">
        <f>IF(B111="","",IFERROR(INDEX(OCC_TABLE_DESC,MATCH(B111,OCC_TABLE_CODE,0)),"Unrecognized code"))</f>
        <v/>
      </c>
    </row>
    <row r="112" ht="15" customHeight="1" s="518">
      <c r="A112" s="155" t="inlineStr">
        <is>
          <t>P036</t>
        </is>
      </c>
      <c r="B112" s="150" t="n">
        <v>407</v>
      </c>
      <c r="C112" s="155" t="inlineStr">
        <is>
          <t>R0172868</t>
        </is>
      </c>
      <c r="D112" s="269" t="inlineStr">
        <is>
          <t>Majestic Commercenter (R0172868)</t>
        </is>
      </c>
      <c r="E112" s="155" t="inlineStr">
        <is>
          <t>Commerce City</t>
        </is>
      </c>
      <c r="F112" s="155" t="inlineStr">
        <is>
          <t>CO</t>
        </is>
      </c>
      <c r="G112" s="155" t="inlineStr">
        <is>
          <t>Industrial</t>
        </is>
      </c>
      <c r="H112" s="269" t="inlineStr">
        <is>
          <t>Warehouse NNN</t>
        </is>
      </c>
      <c r="I112" s="155" t="n">
        <v>2007</v>
      </c>
      <c r="J112" s="155" t="n">
        <v>202091</v>
      </c>
      <c r="K112" s="155" t="n">
        <v>2024</v>
      </c>
      <c r="L112" s="155" t="n"/>
      <c r="M112" s="155" t="n"/>
      <c r="N112" s="160" t="n">
        <v>1057537</v>
      </c>
      <c r="O112" s="155" t="n"/>
      <c r="P112" s="155" t="n"/>
      <c r="Q112" s="155" t="n"/>
      <c r="R112" s="155" t="n"/>
      <c r="S112" s="155" t="n"/>
      <c r="T112" s="155" t="n"/>
      <c r="U112" s="155" t="n"/>
      <c r="V112" s="155" t="n"/>
      <c r="W112" s="155" t="n"/>
      <c r="X112" s="155" t="n"/>
      <c r="Y112" s="155" t="n"/>
      <c r="Z112" s="155" t="n"/>
      <c r="AA112" s="155" t="n"/>
      <c r="AB112" s="155" t="n"/>
      <c r="AC112" s="155" t="n"/>
      <c r="AD112" s="155" t="n"/>
      <c r="AE112" s="155" t="n"/>
      <c r="AF112" s="155" t="n"/>
      <c r="AG112" s="155" t="n"/>
      <c r="AH112" s="160" t="n">
        <v>722093</v>
      </c>
      <c r="AI112" s="155" t="n"/>
      <c r="AJ112" s="160" t="n">
        <v>722093</v>
      </c>
      <c r="AK112" s="160" t="n">
        <v>335444</v>
      </c>
      <c r="AL112" s="155" t="n"/>
      <c r="AM112" s="269" t="inlineStr">
        <is>
          <t>2024 actual 12-month P&amp;L; from 08_2025 Review</t>
        </is>
      </c>
      <c r="AN112">
        <f>IF(AND($B112=Subj_OccCode,Subj_BldgSF&gt;0,ABS($J112-Subj_BldgSF)&lt;=Subj_BldgSF*Subj_SizeTol),ABS($J112-Subj_BldgSF),NA())</f>
        <v/>
      </c>
      <c r="AO112">
        <f>IF(ISNA(AN112),NA(),AN112+ROW()/10000000)</f>
        <v/>
      </c>
      <c r="AR112" s="233">
        <f>IF(B112="","",IFERROR(INDEX(OCC_TABLE_DESC,MATCH(B112,OCC_TABLE_CODE,0)),"Unrecognized code"))</f>
        <v/>
      </c>
    </row>
    <row r="113" ht="30" customHeight="1" s="518">
      <c r="A113" s="155" t="inlineStr">
        <is>
          <t>P054</t>
        </is>
      </c>
      <c r="B113" s="150" t="n">
        <v>210</v>
      </c>
      <c r="C113" s="155" t="inlineStr">
        <is>
          <t>R0180551</t>
        </is>
      </c>
      <c r="D113" s="269" t="inlineStr">
        <is>
          <t>1953 N Gun Club Rd</t>
        </is>
      </c>
      <c r="E113" s="155" t="inlineStr">
        <is>
          <t>Aurora</t>
        </is>
      </c>
      <c r="F113" s="155" t="inlineStr">
        <is>
          <t>CO</t>
        </is>
      </c>
      <c r="G113" s="155" t="inlineStr">
        <is>
          <t>Industrial</t>
        </is>
      </c>
      <c r="H113" s="269" t="inlineStr">
        <is>
          <t>Multi-Tenant Industrial/Office NNN</t>
        </is>
      </c>
      <c r="I113" s="155" t="n"/>
      <c r="J113" s="155" t="n"/>
      <c r="K113" s="155" t="n">
        <v>2023</v>
      </c>
      <c r="L113" s="155" t="n"/>
      <c r="M113" s="155" t="n"/>
      <c r="N113" s="160" t="n">
        <v>2454080</v>
      </c>
      <c r="O113" s="160" t="n">
        <v>41179</v>
      </c>
      <c r="P113" s="160" t="n">
        <v>58394</v>
      </c>
      <c r="Q113" s="155" t="n"/>
      <c r="R113" s="155" t="n"/>
      <c r="S113" s="160" t="n">
        <v>36166</v>
      </c>
      <c r="T113" s="160" t="n">
        <v>1942</v>
      </c>
      <c r="U113" s="155" t="n"/>
      <c r="V113" s="155" t="n"/>
      <c r="W113" s="155" t="n"/>
      <c r="X113" s="160" t="n">
        <v>549</v>
      </c>
      <c r="Y113" s="160" t="n">
        <v>38657</v>
      </c>
      <c r="Z113" s="155" t="n"/>
      <c r="AA113" s="160" t="n">
        <v>15068</v>
      </c>
      <c r="AB113" s="160" t="n">
        <v>55875</v>
      </c>
      <c r="AC113" s="160" t="n">
        <v>70943</v>
      </c>
      <c r="AD113" s="160" t="n">
        <v>25682</v>
      </c>
      <c r="AE113" s="155" t="n"/>
      <c r="AF113" s="160" t="n">
        <v>25682</v>
      </c>
      <c r="AG113" s="160" t="n">
        <v>1654</v>
      </c>
      <c r="AH113" s="160" t="n">
        <v>220784</v>
      </c>
      <c r="AI113" s="160" t="n">
        <v>1347168</v>
      </c>
      <c r="AJ113" s="160" t="n">
        <v>1568172</v>
      </c>
      <c r="AK113" s="160" t="n">
        <v>885908</v>
      </c>
      <c r="AL113" s="155" t="n"/>
      <c r="AM113" s="269" t="inlineStr">
        <is>
          <t>Actual accrual; base rent $880k; recovery $1.59M; prior-yr adj included</t>
        </is>
      </c>
      <c r="AN113">
        <f>IF(AND($B113=Subj_OccCode,Subj_BldgSF&gt;0,ABS($J113-Subj_BldgSF)&lt;=Subj_BldgSF*Subj_SizeTol),ABS($J113-Subj_BldgSF),NA())</f>
        <v/>
      </c>
      <c r="AO113">
        <f>IF(ISNA(AN113),NA(),AN113+ROW()/10000000)</f>
        <v/>
      </c>
      <c r="AR113" s="233">
        <f>IF(B113="","",IFERROR(INDEX(OCC_TABLE_DESC,MATCH(B113,OCC_TABLE_CODE,0)),"Unrecognized code"))</f>
        <v/>
      </c>
    </row>
    <row r="114" ht="15" customHeight="1" s="518">
      <c r="A114" s="155" t="inlineStr">
        <is>
          <t>P054</t>
        </is>
      </c>
      <c r="B114" s="150" t="n">
        <v>210</v>
      </c>
      <c r="C114" s="155" t="inlineStr">
        <is>
          <t>R0180551</t>
        </is>
      </c>
      <c r="D114" s="269" t="inlineStr">
        <is>
          <t>1953 N Gun Club Rd</t>
        </is>
      </c>
      <c r="E114" s="155" t="inlineStr">
        <is>
          <t>Aurora</t>
        </is>
      </c>
      <c r="F114" s="155" t="inlineStr">
        <is>
          <t>CO</t>
        </is>
      </c>
      <c r="G114" s="155" t="inlineStr">
        <is>
          <t>Industrial</t>
        </is>
      </c>
      <c r="H114" s="269" t="inlineStr">
        <is>
          <t>Multi-Tenant Industrial/Office NNN</t>
        </is>
      </c>
      <c r="I114" s="155" t="n"/>
      <c r="J114" s="155" t="n"/>
      <c r="K114" s="155" t="n">
        <v>2024</v>
      </c>
      <c r="L114" s="155" t="n"/>
      <c r="M114" s="155" t="n"/>
      <c r="N114" s="160" t="n">
        <v>2720117</v>
      </c>
      <c r="O114" s="160" t="n">
        <v>53324</v>
      </c>
      <c r="P114" s="160" t="n">
        <v>85426</v>
      </c>
      <c r="Q114" s="155" t="n"/>
      <c r="R114" s="155" t="n"/>
      <c r="S114" s="160" t="n">
        <v>10052</v>
      </c>
      <c r="T114" s="160" t="n">
        <v>12752</v>
      </c>
      <c r="U114" s="155" t="n"/>
      <c r="V114" s="155" t="n"/>
      <c r="W114" s="155" t="n"/>
      <c r="X114" s="160" t="n">
        <v>789</v>
      </c>
      <c r="Y114" s="160" t="n">
        <v>23593</v>
      </c>
      <c r="Z114" s="155" t="n"/>
      <c r="AA114" s="160" t="n">
        <v>16126</v>
      </c>
      <c r="AB114" s="160" t="n">
        <v>57314</v>
      </c>
      <c r="AC114" s="160" t="n">
        <v>73440</v>
      </c>
      <c r="AD114" s="160" t="n">
        <v>21725</v>
      </c>
      <c r="AE114" s="155" t="n"/>
      <c r="AF114" s="160" t="n">
        <v>21725</v>
      </c>
      <c r="AG114" s="160" t="n">
        <v>2601</v>
      </c>
      <c r="AH114" s="160" t="n">
        <v>265585</v>
      </c>
      <c r="AI114" s="160" t="n">
        <v>1331347</v>
      </c>
      <c r="AJ114" s="160" t="n">
        <v>1596932</v>
      </c>
      <c r="AK114" s="160" t="n">
        <v>1123184</v>
      </c>
      <c r="AL114" s="155" t="n"/>
      <c r="AM114" s="269" t="inlineStr">
        <is>
          <t>Actual accrual; base rent $1.09M stepped; recovery $1.62M</t>
        </is>
      </c>
      <c r="AN114">
        <f>IF(AND($B114=Subj_OccCode,Subj_BldgSF&gt;0,ABS($J114-Subj_BldgSF)&lt;=Subj_BldgSF*Subj_SizeTol),ABS($J114-Subj_BldgSF),NA())</f>
        <v/>
      </c>
      <c r="AO114">
        <f>IF(ISNA(AN114),NA(),AN114+ROW()/10000000)</f>
        <v/>
      </c>
      <c r="AR114" s="233">
        <f>IF(B114="","",IFERROR(INDEX(OCC_TABLE_DESC,MATCH(B114,OCC_TABLE_CODE,0)),"Unrecognized code"))</f>
        <v/>
      </c>
    </row>
    <row r="115" ht="30" customHeight="1" s="518">
      <c r="A115" s="155" t="inlineStr">
        <is>
          <t>P055</t>
        </is>
      </c>
      <c r="B115" s="150" t="n">
        <v>407</v>
      </c>
      <c r="C115" s="155" t="inlineStr">
        <is>
          <t>R0211072/R0211073/R0211074</t>
        </is>
      </c>
      <c r="D115" s="269" t="inlineStr">
        <is>
          <t>Park 76 Distribution Center</t>
        </is>
      </c>
      <c r="E115" s="155" t="inlineStr">
        <is>
          <t>Aurora</t>
        </is>
      </c>
      <c r="F115" s="155" t="inlineStr">
        <is>
          <t>CO</t>
        </is>
      </c>
      <c r="G115" s="155" t="inlineStr">
        <is>
          <t>Industrial</t>
        </is>
      </c>
      <c r="H115" s="269" t="inlineStr">
        <is>
          <t>Industrial Warehouse NNN</t>
        </is>
      </c>
      <c r="I115" s="155" t="n"/>
      <c r="J115" s="155" t="n"/>
      <c r="K115" s="155" t="n">
        <v>2023</v>
      </c>
      <c r="L115" s="160" t="n">
        <v>1865903</v>
      </c>
      <c r="M115" s="155" t="n"/>
      <c r="N115" s="160" t="n">
        <v>2819460</v>
      </c>
      <c r="O115" s="160" t="n">
        <v>30551</v>
      </c>
      <c r="P115" s="160" t="n">
        <v>174961</v>
      </c>
      <c r="Q115" s="155" t="n"/>
      <c r="R115" s="155" t="n"/>
      <c r="S115" s="160" t="n">
        <v>38995</v>
      </c>
      <c r="T115" s="160" t="n">
        <v>27460</v>
      </c>
      <c r="U115" s="155" t="n"/>
      <c r="V115" s="155" t="n"/>
      <c r="W115" s="155" t="n"/>
      <c r="X115" s="160" t="n">
        <v>2475</v>
      </c>
      <c r="Y115" s="160" t="n">
        <v>68930</v>
      </c>
      <c r="Z115" s="155" t="n"/>
      <c r="AA115" s="160" t="n">
        <v>18672</v>
      </c>
      <c r="AB115" s="160" t="n">
        <v>19945</v>
      </c>
      <c r="AC115" s="160" t="n">
        <v>38617</v>
      </c>
      <c r="AD115" s="155" t="n"/>
      <c r="AE115" s="155" t="n"/>
      <c r="AF115" s="160" t="n">
        <v>58172</v>
      </c>
      <c r="AG115" s="160" t="n">
        <v>18488</v>
      </c>
      <c r="AH115" s="160" t="n">
        <v>379535</v>
      </c>
      <c r="AI115" s="160" t="n">
        <v>895967</v>
      </c>
      <c r="AJ115" s="160" t="n">
        <v>1013502</v>
      </c>
      <c r="AK115" s="160" t="n">
        <v>1805958</v>
      </c>
      <c r="AL115" s="155" t="n"/>
      <c r="AM115" s="269" t="inlineStr">
        <is>
          <t>3-bldg campus; actual accrual; base rent $1.87M; recovery $992k; prior-yr tax credit ($186k) netted</t>
        </is>
      </c>
      <c r="AN115">
        <f>IF(AND($B115=Subj_OccCode,Subj_BldgSF&gt;0,ABS($J115-Subj_BldgSF)&lt;=Subj_BldgSF*Subj_SizeTol),ABS($J115-Subj_BldgSF),NA())</f>
        <v/>
      </c>
      <c r="AO115">
        <f>IF(ISNA(AN115),NA(),AN115+ROW()/10000000)</f>
        <v/>
      </c>
      <c r="AR115" s="233">
        <f>IF(B115="","",IFERROR(INDEX(OCC_TABLE_DESC,MATCH(B115,OCC_TABLE_CODE,0)),"Unrecognized code"))</f>
        <v/>
      </c>
    </row>
    <row r="116" ht="30" customHeight="1" s="518">
      <c r="A116" s="155" t="inlineStr">
        <is>
          <t>P055</t>
        </is>
      </c>
      <c r="B116" s="150" t="n">
        <v>407</v>
      </c>
      <c r="C116" s="155" t="inlineStr">
        <is>
          <t>R0211072/R0211073/R0211074</t>
        </is>
      </c>
      <c r="D116" s="269" t="inlineStr">
        <is>
          <t>Park 76 Distribution Center</t>
        </is>
      </c>
      <c r="E116" s="155" t="inlineStr">
        <is>
          <t>Aurora</t>
        </is>
      </c>
      <c r="F116" s="155" t="inlineStr">
        <is>
          <t>CO</t>
        </is>
      </c>
      <c r="G116" s="155" t="inlineStr">
        <is>
          <t>Industrial</t>
        </is>
      </c>
      <c r="H116" s="269" t="inlineStr">
        <is>
          <t>Industrial Warehouse NNN</t>
        </is>
      </c>
      <c r="I116" s="155" t="n"/>
      <c r="J116" s="155" t="n"/>
      <c r="K116" s="155" t="n">
        <v>2024</v>
      </c>
      <c r="L116" s="160" t="n">
        <v>2075908</v>
      </c>
      <c r="M116" s="155" t="n"/>
      <c r="N116" s="160" t="n">
        <v>3348615</v>
      </c>
      <c r="O116" s="160" t="n">
        <v>35750</v>
      </c>
      <c r="P116" s="160" t="n">
        <v>200286</v>
      </c>
      <c r="Q116" s="155" t="n"/>
      <c r="R116" s="155" t="n"/>
      <c r="S116" s="160" t="n">
        <v>22119</v>
      </c>
      <c r="T116" s="160" t="n">
        <v>33962</v>
      </c>
      <c r="U116" s="155" t="n"/>
      <c r="V116" s="155" t="n"/>
      <c r="W116" s="155" t="n"/>
      <c r="X116" s="160" t="n">
        <v>3333</v>
      </c>
      <c r="Y116" s="160" t="n">
        <v>59414</v>
      </c>
      <c r="Z116" s="155" t="n"/>
      <c r="AA116" s="160" t="n">
        <v>26689</v>
      </c>
      <c r="AB116" s="160" t="n">
        <v>56296</v>
      </c>
      <c r="AC116" s="160" t="n">
        <v>82985</v>
      </c>
      <c r="AD116" s="155" t="n"/>
      <c r="AE116" s="155" t="n"/>
      <c r="AF116" s="160" t="n">
        <v>34195</v>
      </c>
      <c r="AG116" s="160" t="n">
        <v>4284</v>
      </c>
      <c r="AH116" s="160" t="n">
        <v>341787</v>
      </c>
      <c r="AI116" s="160" t="n">
        <v>989805</v>
      </c>
      <c r="AJ116" s="160" t="n">
        <v>1331592</v>
      </c>
      <c r="AK116" s="160" t="n">
        <v>2017023</v>
      </c>
      <c r="AL116" s="155" t="n"/>
      <c r="AM116" s="269" t="inlineStr">
        <is>
          <t>3-bldg campus; actual accrual; near-stabilized; base rent $2.08M; recovery $1.23M</t>
        </is>
      </c>
      <c r="AN116">
        <f>IF(AND($B116=Subj_OccCode,Subj_BldgSF&gt;0,ABS($J116-Subj_BldgSF)&lt;=Subj_BldgSF*Subj_SizeTol),ABS($J116-Subj_BldgSF),NA())</f>
        <v/>
      </c>
      <c r="AO116">
        <f>IF(ISNA(AN116),NA(),AN116+ROW()/10000000)</f>
        <v/>
      </c>
      <c r="AR116" s="233">
        <f>IF(B116="","",IFERROR(INDEX(OCC_TABLE_DESC,MATCH(B116,OCC_TABLE_CODE,0)),"Unrecognized code"))</f>
        <v/>
      </c>
    </row>
    <row r="117" ht="30" customHeight="1" s="518">
      <c r="A117" s="155" t="inlineStr">
        <is>
          <t>P056</t>
        </is>
      </c>
      <c r="B117" s="150" t="n">
        <v>407</v>
      </c>
      <c r="C117" s="155" t="inlineStr">
        <is>
          <t>R0210485</t>
        </is>
      </c>
      <c r="D117" s="269" t="inlineStr">
        <is>
          <t>1101 E 126th Ave (Bldg A)</t>
        </is>
      </c>
      <c r="E117" s="155" t="inlineStr">
        <is>
          <t>Thornton</t>
        </is>
      </c>
      <c r="F117" s="155" t="inlineStr">
        <is>
          <t>CO</t>
        </is>
      </c>
      <c r="G117" s="155" t="inlineStr">
        <is>
          <t>Industrial</t>
        </is>
      </c>
      <c r="H117" s="269" t="inlineStr">
        <is>
          <t>Industrial Warehouse NNN</t>
        </is>
      </c>
      <c r="I117" s="155" t="n">
        <v>2022</v>
      </c>
      <c r="J117" s="155" t="n"/>
      <c r="K117" s="155" t="n">
        <v>2024</v>
      </c>
      <c r="L117" s="160" t="n">
        <v>646186</v>
      </c>
      <c r="M117" s="155" t="n"/>
      <c r="N117" s="160" t="n">
        <v>839307</v>
      </c>
      <c r="O117" s="160" t="n">
        <v>11813</v>
      </c>
      <c r="P117" s="160" t="n">
        <v>47295</v>
      </c>
      <c r="Q117" s="155" t="n"/>
      <c r="R117" s="155" t="n"/>
      <c r="S117" s="155" t="n"/>
      <c r="T117" s="160" t="n">
        <v>9156</v>
      </c>
      <c r="U117" s="155" t="n"/>
      <c r="V117" s="155" t="n"/>
      <c r="W117" s="155" t="n"/>
      <c r="X117" s="160" t="n">
        <v>3898</v>
      </c>
      <c r="Y117" s="160" t="n">
        <v>13054</v>
      </c>
      <c r="Z117" s="155" t="n"/>
      <c r="AA117" s="160" t="n">
        <v>11343</v>
      </c>
      <c r="AB117" s="160" t="n">
        <v>24799</v>
      </c>
      <c r="AC117" s="160" t="n">
        <v>36142</v>
      </c>
      <c r="AD117" s="155" t="n"/>
      <c r="AE117" s="155" t="n"/>
      <c r="AF117" s="160" t="n">
        <v>27895</v>
      </c>
      <c r="AG117" s="155" t="n"/>
      <c r="AH117" s="160" t="n">
        <v>146517</v>
      </c>
      <c r="AI117" s="160" t="n">
        <v>558285</v>
      </c>
      <c r="AJ117" s="160" t="n">
        <v>705154</v>
      </c>
      <c r="AK117" s="160" t="n">
        <v>134153</v>
      </c>
      <c r="AL117" s="155" t="n"/>
      <c r="AM117" s="269" t="inlineStr">
        <is>
          <t>New (YOC ~2022); 2024 near-stabilized; 2023 excluded (lease-up, negative NOI)</t>
        </is>
      </c>
      <c r="AN117">
        <f>IF(AND($B117=Subj_OccCode,Subj_BldgSF&gt;0,ABS($J117-Subj_BldgSF)&lt;=Subj_BldgSF*Subj_SizeTol),ABS($J117-Subj_BldgSF),NA())</f>
        <v/>
      </c>
      <c r="AO117">
        <f>IF(ISNA(AN117),NA(),AN117+ROW()/10000000)</f>
        <v/>
      </c>
      <c r="AR117" s="233">
        <f>IF(B117="","",IFERROR(INDEX(OCC_TABLE_DESC,MATCH(B117,OCC_TABLE_CODE,0)),"Unrecognized code"))</f>
        <v/>
      </c>
    </row>
    <row r="118" ht="30" customHeight="1" s="518">
      <c r="A118" s="155" t="inlineStr">
        <is>
          <t>P057</t>
        </is>
      </c>
      <c r="B118" s="150" t="n">
        <v>407</v>
      </c>
      <c r="C118" s="155" t="inlineStr">
        <is>
          <t>R0210486</t>
        </is>
      </c>
      <c r="D118" s="269" t="inlineStr">
        <is>
          <t>12625 Lafayette St (Bldg B)</t>
        </is>
      </c>
      <c r="E118" s="155" t="inlineStr">
        <is>
          <t>Thornton</t>
        </is>
      </c>
      <c r="F118" s="155" t="inlineStr">
        <is>
          <t>CO</t>
        </is>
      </c>
      <c r="G118" s="155" t="inlineStr">
        <is>
          <t>Industrial</t>
        </is>
      </c>
      <c r="H118" s="269" t="inlineStr">
        <is>
          <t>Industrial Warehouse NNN</t>
        </is>
      </c>
      <c r="I118" s="155" t="n">
        <v>2022</v>
      </c>
      <c r="J118" s="155" t="n"/>
      <c r="K118" s="155" t="n">
        <v>2024</v>
      </c>
      <c r="L118" s="160" t="n">
        <v>898845</v>
      </c>
      <c r="M118" s="155" t="n"/>
      <c r="N118" s="160" t="n">
        <v>1373599</v>
      </c>
      <c r="O118" s="160" t="n">
        <v>21888</v>
      </c>
      <c r="P118" s="160" t="n">
        <v>72220</v>
      </c>
      <c r="Q118" s="155" t="n"/>
      <c r="R118" s="155" t="n"/>
      <c r="S118" s="155" t="n"/>
      <c r="T118" s="160" t="n">
        <v>8438</v>
      </c>
      <c r="U118" s="155" t="n"/>
      <c r="V118" s="155" t="n"/>
      <c r="W118" s="155" t="n"/>
      <c r="X118" s="160" t="n">
        <v>5773</v>
      </c>
      <c r="Y118" s="160" t="n">
        <v>14211</v>
      </c>
      <c r="Z118" s="155" t="n"/>
      <c r="AA118" s="160" t="n">
        <v>21287</v>
      </c>
      <c r="AB118" s="160" t="n">
        <v>29625</v>
      </c>
      <c r="AC118" s="160" t="n">
        <v>50912</v>
      </c>
      <c r="AD118" s="155" t="n"/>
      <c r="AE118" s="155" t="n"/>
      <c r="AF118" s="160" t="n">
        <v>51235</v>
      </c>
      <c r="AG118" s="155" t="n"/>
      <c r="AH118" s="160" t="n">
        <v>209004</v>
      </c>
      <c r="AI118" s="160" t="n">
        <v>762465</v>
      </c>
      <c r="AJ118" s="160" t="n">
        <v>971469</v>
      </c>
      <c r="AK118" s="160" t="n">
        <v>402131</v>
      </c>
      <c r="AL118" s="155" t="n"/>
      <c r="AM118" s="269" t="inlineStr">
        <is>
          <t>New (YOC ~2022); 2024 near-stabilized; 2023 excluded (lease-up, negative NOI)</t>
        </is>
      </c>
      <c r="AN118">
        <f>IF(AND($B118=Subj_OccCode,Subj_BldgSF&gt;0,ABS($J118-Subj_BldgSF)&lt;=Subj_BldgSF*Subj_SizeTol),ABS($J118-Subj_BldgSF),NA())</f>
        <v/>
      </c>
      <c r="AO118">
        <f>IF(ISNA(AN118),NA(),AN118+ROW()/10000000)</f>
        <v/>
      </c>
      <c r="AR118" s="233">
        <f>IF(B118="","",IFERROR(INDEX(OCC_TABLE_DESC,MATCH(B118,OCC_TABLE_CODE,0)),"Unrecognized code"))</f>
        <v/>
      </c>
    </row>
    <row r="119" ht="15" customHeight="1" s="518">
      <c r="A119" s="155" t="inlineStr">
        <is>
          <t>P058</t>
        </is>
      </c>
      <c r="B119" s="150" t="n">
        <v>407</v>
      </c>
      <c r="C119" s="155" t="inlineStr">
        <is>
          <t>R0091934</t>
        </is>
      </c>
      <c r="D119" s="269" t="inlineStr">
        <is>
          <t>350 Park Industrial (5759)</t>
        </is>
      </c>
      <c r="E119" s="155" t="inlineStr">
        <is>
          <t>Aurora</t>
        </is>
      </c>
      <c r="F119" s="155" t="inlineStr">
        <is>
          <t>CO</t>
        </is>
      </c>
      <c r="G119" s="155" t="inlineStr">
        <is>
          <t>Industrial</t>
        </is>
      </c>
      <c r="H119" s="269" t="inlineStr">
        <is>
          <t>Multi-Tenant Industrial 407</t>
        </is>
      </c>
      <c r="I119" s="155" t="n">
        <v>1995</v>
      </c>
      <c r="J119" s="155" t="n">
        <v>32600</v>
      </c>
      <c r="K119" s="155" t="n">
        <v>2023</v>
      </c>
      <c r="L119" s="160" t="n">
        <v>296766</v>
      </c>
      <c r="M119" s="155" t="n"/>
      <c r="N119" s="160" t="n">
        <v>449003</v>
      </c>
      <c r="O119" s="160" t="n">
        <v>5808</v>
      </c>
      <c r="P119" s="160" t="n">
        <v>16857</v>
      </c>
      <c r="Q119" s="160" t="n">
        <v>1204</v>
      </c>
      <c r="R119" s="155" t="n"/>
      <c r="S119" s="160" t="n">
        <v>10015</v>
      </c>
      <c r="T119" s="160" t="n">
        <v>500</v>
      </c>
      <c r="U119" s="155" t="n"/>
      <c r="V119" s="155" t="n"/>
      <c r="W119" s="155" t="n"/>
      <c r="X119" s="160" t="n">
        <v>7760</v>
      </c>
      <c r="Y119" s="160" t="n">
        <v>19479</v>
      </c>
      <c r="Z119" s="160" t="n">
        <v>1359</v>
      </c>
      <c r="AA119" s="155" t="n"/>
      <c r="AB119" s="155" t="n"/>
      <c r="AC119" s="160" t="n">
        <v>1359</v>
      </c>
      <c r="AD119" s="160" t="n">
        <v>6103</v>
      </c>
      <c r="AE119" s="155" t="n"/>
      <c r="AF119" s="160" t="n">
        <v>6103</v>
      </c>
      <c r="AG119" s="160" t="n">
        <v>7749</v>
      </c>
      <c r="AH119" s="160" t="n">
        <v>57071</v>
      </c>
      <c r="AI119" s="160" t="n">
        <v>102701</v>
      </c>
      <c r="AJ119" s="160" t="n">
        <v>159537</v>
      </c>
      <c r="AK119" s="160" t="n">
        <v>289466</v>
      </c>
      <c r="AL119" s="155" t="n"/>
      <c r="AM119" s="269" t="inlineStr">
        <is>
          <t>Actual accrual; 3 tenants; multi-tenant industrial</t>
        </is>
      </c>
      <c r="AN119">
        <f>IF(AND($B119=Subj_OccCode,Subj_BldgSF&gt;0,ABS($J119-Subj_BldgSF)&lt;=Subj_BldgSF*Subj_SizeTol),ABS($J119-Subj_BldgSF),NA())</f>
        <v/>
      </c>
      <c r="AO119">
        <f>IF(ISNA(AN119),NA(),AN119+ROW()/10000000)</f>
        <v/>
      </c>
      <c r="AR119" s="233">
        <f>IF(B119="","",IFERROR(INDEX(OCC_TABLE_DESC,MATCH(B119,OCC_TABLE_CODE,0)),"Unrecognized code"))</f>
        <v/>
      </c>
    </row>
    <row r="120" ht="15" customHeight="1" s="518">
      <c r="A120" s="155" t="inlineStr">
        <is>
          <t>P058</t>
        </is>
      </c>
      <c r="B120" s="150" t="n">
        <v>407</v>
      </c>
      <c r="C120" s="155" t="inlineStr">
        <is>
          <t>R0091934</t>
        </is>
      </c>
      <c r="D120" s="269" t="inlineStr">
        <is>
          <t>350 Park Industrial (5759)</t>
        </is>
      </c>
      <c r="E120" s="155" t="inlineStr">
        <is>
          <t>Aurora</t>
        </is>
      </c>
      <c r="F120" s="155" t="inlineStr">
        <is>
          <t>CO</t>
        </is>
      </c>
      <c r="G120" s="155" t="inlineStr">
        <is>
          <t>Industrial</t>
        </is>
      </c>
      <c r="H120" s="269" t="inlineStr">
        <is>
          <t>Multi-Tenant Industrial 407</t>
        </is>
      </c>
      <c r="I120" s="155" t="n">
        <v>1995</v>
      </c>
      <c r="J120" s="155" t="n">
        <v>32600</v>
      </c>
      <c r="K120" s="155" t="n">
        <v>2024</v>
      </c>
      <c r="L120" s="160" t="n">
        <v>312397</v>
      </c>
      <c r="M120" s="155" t="n"/>
      <c r="N120" s="160" t="n">
        <v>497987</v>
      </c>
      <c r="O120" s="160" t="n">
        <v>5897</v>
      </c>
      <c r="P120" s="160" t="n">
        <v>18574</v>
      </c>
      <c r="Q120" s="160" t="n">
        <v>1251</v>
      </c>
      <c r="R120" s="155" t="n"/>
      <c r="S120" s="160" t="n">
        <v>7535</v>
      </c>
      <c r="T120" s="160" t="n">
        <v>1222</v>
      </c>
      <c r="U120" s="155" t="n"/>
      <c r="V120" s="155" t="n"/>
      <c r="W120" s="155" t="n"/>
      <c r="X120" s="160" t="n">
        <v>7269</v>
      </c>
      <c r="Y120" s="160" t="n">
        <v>17277</v>
      </c>
      <c r="Z120" s="160" t="n">
        <v>1376</v>
      </c>
      <c r="AA120" s="155" t="n"/>
      <c r="AB120" s="155" t="n"/>
      <c r="AC120" s="160" t="n">
        <v>1376</v>
      </c>
      <c r="AD120" s="160" t="n">
        <v>6829</v>
      </c>
      <c r="AE120" s="155" t="n"/>
      <c r="AF120" s="160" t="n">
        <v>6829</v>
      </c>
      <c r="AG120" s="160" t="n">
        <v>25153</v>
      </c>
      <c r="AH120" s="160" t="n">
        <v>69242</v>
      </c>
      <c r="AI120" s="160" t="n">
        <v>105852</v>
      </c>
      <c r="AJ120" s="160" t="n">
        <v>172094</v>
      </c>
      <c r="AK120" s="160" t="n">
        <v>325893</v>
      </c>
      <c r="AL120" s="155" t="n"/>
      <c r="AM120" s="269" t="inlineStr">
        <is>
          <t>Actual accrual; 3 tenants</t>
        </is>
      </c>
      <c r="AN120">
        <f>IF(AND($B120=Subj_OccCode,Subj_BldgSF&gt;0,ABS($J120-Subj_BldgSF)&lt;=Subj_BldgSF*Subj_SizeTol),ABS($J120-Subj_BldgSF),NA())</f>
        <v/>
      </c>
      <c r="AO120">
        <f>IF(ISNA(AN120),NA(),AN120+ROW()/10000000)</f>
        <v/>
      </c>
      <c r="AR120" s="233">
        <f>IF(B120="","",IFERROR(INDEX(OCC_TABLE_DESC,MATCH(B120,OCC_TABLE_CODE,0)),"Unrecognized code"))</f>
        <v/>
      </c>
    </row>
    <row r="121" ht="15" customHeight="1" s="518">
      <c r="A121" s="155" t="inlineStr">
        <is>
          <t>P059</t>
        </is>
      </c>
      <c r="B121" s="150" t="n">
        <v>407</v>
      </c>
      <c r="C121" s="155" t="inlineStr">
        <is>
          <t>R0093111</t>
        </is>
      </c>
      <c r="D121" s="269" t="inlineStr">
        <is>
          <t>Industrial Property (R0093111)</t>
        </is>
      </c>
      <c r="E121" s="155" t="inlineStr">
        <is>
          <t>Aurora</t>
        </is>
      </c>
      <c r="F121" s="155" t="inlineStr">
        <is>
          <t>CO</t>
        </is>
      </c>
      <c r="G121" s="155" t="inlineStr">
        <is>
          <t>Industrial</t>
        </is>
      </c>
      <c r="H121" s="269" t="inlineStr">
        <is>
          <t>Multi-Tenant Industrial 407</t>
        </is>
      </c>
      <c r="I121" s="155" t="n"/>
      <c r="J121" s="155" t="n"/>
      <c r="K121" s="155" t="n">
        <v>2023</v>
      </c>
      <c r="L121" s="160" t="n">
        <v>340825</v>
      </c>
      <c r="M121" s="155" t="n"/>
      <c r="N121" s="160" t="n">
        <v>817280</v>
      </c>
      <c r="O121" s="160" t="n">
        <v>396</v>
      </c>
      <c r="P121" s="160" t="n">
        <v>24226</v>
      </c>
      <c r="Q121" s="160" t="n">
        <v>2790</v>
      </c>
      <c r="R121" s="155" t="n"/>
      <c r="S121" s="160" t="n">
        <v>17586</v>
      </c>
      <c r="T121" s="155" t="n"/>
      <c r="U121" s="155" t="n"/>
      <c r="V121" s="155" t="n"/>
      <c r="W121" s="155" t="n"/>
      <c r="X121" s="160" t="n">
        <v>1690</v>
      </c>
      <c r="Y121" s="160" t="n">
        <v>22066</v>
      </c>
      <c r="Z121" s="160" t="n">
        <v>1690</v>
      </c>
      <c r="AA121" s="160" t="n">
        <v>10029</v>
      </c>
      <c r="AB121" s="160" t="n">
        <v>13406</v>
      </c>
      <c r="AC121" s="160" t="n">
        <v>15096</v>
      </c>
      <c r="AD121" s="160" t="n">
        <v>8414</v>
      </c>
      <c r="AE121" s="155" t="n"/>
      <c r="AF121" s="160" t="n">
        <v>8414</v>
      </c>
      <c r="AG121" s="160" t="n">
        <v>7749</v>
      </c>
      <c r="AH121" s="160" t="n">
        <v>82990</v>
      </c>
      <c r="AI121" s="160" t="n">
        <v>262422</v>
      </c>
      <c r="AJ121" s="160" t="n">
        <v>345412</v>
      </c>
      <c r="AK121" s="160" t="n">
        <v>471868</v>
      </c>
      <c r="AL121" s="155" t="n"/>
      <c r="AM121" s="269" t="inlineStr">
        <is>
          <t>Actual; RE tax heavy due to NNN recovery; SF not confirmed</t>
        </is>
      </c>
      <c r="AN121">
        <f>IF(AND($B121=Subj_OccCode,Subj_BldgSF&gt;0,ABS($J121-Subj_BldgSF)&lt;=Subj_BldgSF*Subj_SizeTol),ABS($J121-Subj_BldgSF),NA())</f>
        <v/>
      </c>
      <c r="AO121">
        <f>IF(ISNA(AN121),NA(),AN121+ROW()/10000000)</f>
        <v/>
      </c>
      <c r="AR121" s="233">
        <f>IF(B121="","",IFERROR(INDEX(OCC_TABLE_DESC,MATCH(B121,OCC_TABLE_CODE,0)),"Unrecognized code"))</f>
        <v/>
      </c>
    </row>
    <row r="122" ht="15" customHeight="1" s="518">
      <c r="A122" s="155" t="inlineStr">
        <is>
          <t>P059</t>
        </is>
      </c>
      <c r="B122" s="150" t="n">
        <v>407</v>
      </c>
      <c r="C122" s="155" t="inlineStr">
        <is>
          <t>R0093111</t>
        </is>
      </c>
      <c r="D122" s="269" t="inlineStr">
        <is>
          <t>Industrial Property (R0093111)</t>
        </is>
      </c>
      <c r="E122" s="155" t="inlineStr">
        <is>
          <t>Aurora</t>
        </is>
      </c>
      <c r="F122" s="155" t="inlineStr">
        <is>
          <t>CO</t>
        </is>
      </c>
      <c r="G122" s="155" t="inlineStr">
        <is>
          <t>Industrial</t>
        </is>
      </c>
      <c r="H122" s="269" t="inlineStr">
        <is>
          <t>Multi-Tenant Industrial 407</t>
        </is>
      </c>
      <c r="I122" s="155" t="n"/>
      <c r="J122" s="155" t="n"/>
      <c r="K122" s="155" t="n">
        <v>2024</v>
      </c>
      <c r="L122" s="160" t="n">
        <v>343350</v>
      </c>
      <c r="M122" s="155" t="n"/>
      <c r="N122" s="160" t="n">
        <v>632272</v>
      </c>
      <c r="O122" s="160" t="n">
        <v>9737</v>
      </c>
      <c r="P122" s="155" t="n"/>
      <c r="Q122" s="155" t="n"/>
      <c r="R122" s="155" t="n"/>
      <c r="S122" s="155" t="n"/>
      <c r="T122" s="155" t="n"/>
      <c r="U122" s="155" t="n"/>
      <c r="V122" s="155" t="n"/>
      <c r="W122" s="155" t="n"/>
      <c r="X122" s="155" t="n"/>
      <c r="Y122" s="155" t="n"/>
      <c r="Z122" s="155" t="n"/>
      <c r="AA122" s="155" t="n"/>
      <c r="AB122" s="155" t="n"/>
      <c r="AC122" s="155" t="n"/>
      <c r="AD122" s="155" t="n"/>
      <c r="AE122" s="155" t="n"/>
      <c r="AF122" s="155" t="n"/>
      <c r="AG122" s="155" t="n"/>
      <c r="AH122" s="160" t="n">
        <v>119649</v>
      </c>
      <c r="AI122" s="160" t="n">
        <v>159461</v>
      </c>
      <c r="AJ122" s="160" t="n">
        <v>279110</v>
      </c>
      <c r="AK122" s="160" t="n">
        <v>353163</v>
      </c>
      <c r="AL122" s="155" t="n"/>
      <c r="AM122" s="269" t="inlineStr">
        <is>
          <t>2024 summary data; limited line-item detail; SF not confirmed</t>
        </is>
      </c>
      <c r="AN122">
        <f>IF(AND($B122=Subj_OccCode,Subj_BldgSF&gt;0,ABS($J122-Subj_BldgSF)&lt;=Subj_BldgSF*Subj_SizeTol),ABS($J122-Subj_BldgSF),NA())</f>
        <v/>
      </c>
      <c r="AO122">
        <f>IF(ISNA(AN122),NA(),AN122+ROW()/10000000)</f>
        <v/>
      </c>
      <c r="AR122" s="233">
        <f>IF(B122="","",IFERROR(INDEX(OCC_TABLE_DESC,MATCH(B122,OCC_TABLE_CODE,0)),"Unrecognized code"))</f>
        <v/>
      </c>
    </row>
    <row r="123" ht="15" customHeight="1" s="518">
      <c r="A123" s="155" t="inlineStr">
        <is>
          <t>P060</t>
        </is>
      </c>
      <c r="B123" s="150" t="n">
        <v>407</v>
      </c>
      <c r="C123" s="155" t="inlineStr">
        <is>
          <t>R0100104</t>
        </is>
      </c>
      <c r="D123" s="269" t="inlineStr">
        <is>
          <t>312 Kew West</t>
        </is>
      </c>
      <c r="E123" s="155" t="inlineStr">
        <is>
          <t>Aurora</t>
        </is>
      </c>
      <c r="F123" s="155" t="inlineStr">
        <is>
          <t>CO</t>
        </is>
      </c>
      <c r="G123" s="155" t="inlineStr">
        <is>
          <t>Industrial</t>
        </is>
      </c>
      <c r="H123" s="269" t="inlineStr">
        <is>
          <t>Multi-Tenant Industrial 407</t>
        </is>
      </c>
      <c r="I123" s="155" t="n"/>
      <c r="J123" s="155" t="n"/>
      <c r="K123" s="155" t="n">
        <v>2023</v>
      </c>
      <c r="L123" s="160" t="n">
        <v>246837</v>
      </c>
      <c r="M123" s="155" t="n"/>
      <c r="N123" s="160" t="n">
        <v>340193</v>
      </c>
      <c r="O123" s="160" t="n">
        <v>7355</v>
      </c>
      <c r="P123" s="160" t="n">
        <v>12734</v>
      </c>
      <c r="Q123" s="160" t="n">
        <v>1711</v>
      </c>
      <c r="R123" s="155" t="n"/>
      <c r="S123" s="160" t="n">
        <v>24740</v>
      </c>
      <c r="T123" s="160" t="n">
        <v>6577</v>
      </c>
      <c r="U123" s="155" t="n"/>
      <c r="V123" s="155" t="n"/>
      <c r="W123" s="155" t="n"/>
      <c r="X123" s="160" t="n">
        <v>10612</v>
      </c>
      <c r="Y123" s="160" t="n">
        <v>43640</v>
      </c>
      <c r="Z123" s="160" t="n">
        <v>2451</v>
      </c>
      <c r="AA123" s="160" t="n">
        <v>2474</v>
      </c>
      <c r="AB123" s="160" t="n">
        <v>9457</v>
      </c>
      <c r="AC123" s="160" t="n">
        <v>14382</v>
      </c>
      <c r="AD123" s="160" t="n">
        <v>4092</v>
      </c>
      <c r="AE123" s="155" t="n"/>
      <c r="AF123" s="160" t="n">
        <v>4092</v>
      </c>
      <c r="AG123" s="155" t="n"/>
      <c r="AH123" s="160" t="n">
        <v>68233</v>
      </c>
      <c r="AI123" s="160" t="n">
        <v>92861</v>
      </c>
      <c r="AJ123" s="160" t="n">
        <v>161094</v>
      </c>
      <c r="AK123" s="160" t="n">
        <v>179099</v>
      </c>
      <c r="AL123" s="155" t="n"/>
      <c r="AM123" s="269" t="inlineStr">
        <is>
          <t>Actual accrual; SF not confirmed</t>
        </is>
      </c>
      <c r="AN123">
        <f>IF(AND($B123=Subj_OccCode,Subj_BldgSF&gt;0,ABS($J123-Subj_BldgSF)&lt;=Subj_BldgSF*Subj_SizeTol),ABS($J123-Subj_BldgSF),NA())</f>
        <v/>
      </c>
      <c r="AO123">
        <f>IF(ISNA(AN123),NA(),AN123+ROW()/10000000)</f>
        <v/>
      </c>
      <c r="AR123" s="233">
        <f>IF(B123="","",IFERROR(INDEX(OCC_TABLE_DESC,MATCH(B123,OCC_TABLE_CODE,0)),"Unrecognized code"))</f>
        <v/>
      </c>
    </row>
    <row r="124" ht="15" customHeight="1" s="518">
      <c r="A124" s="155" t="inlineStr">
        <is>
          <t>P060</t>
        </is>
      </c>
      <c r="B124" s="150" t="n">
        <v>407</v>
      </c>
      <c r="C124" s="155" t="inlineStr">
        <is>
          <t>R0100104</t>
        </is>
      </c>
      <c r="D124" s="269" t="inlineStr">
        <is>
          <t>312 Kew West</t>
        </is>
      </c>
      <c r="E124" s="155" t="inlineStr">
        <is>
          <t>Aurora</t>
        </is>
      </c>
      <c r="F124" s="155" t="inlineStr">
        <is>
          <t>CO</t>
        </is>
      </c>
      <c r="G124" s="155" t="inlineStr">
        <is>
          <t>Industrial</t>
        </is>
      </c>
      <c r="H124" s="269" t="inlineStr">
        <is>
          <t>Multi-Tenant Industrial 407</t>
        </is>
      </c>
      <c r="I124" s="155" t="n"/>
      <c r="J124" s="155" t="n"/>
      <c r="K124" s="155" t="n">
        <v>2024</v>
      </c>
      <c r="L124" s="160" t="n">
        <v>239823</v>
      </c>
      <c r="M124" s="155" t="n"/>
      <c r="N124" s="160" t="n">
        <v>375845</v>
      </c>
      <c r="O124" s="160" t="n">
        <v>7287</v>
      </c>
      <c r="P124" s="160" t="n">
        <v>18575</v>
      </c>
      <c r="Q124" s="160" t="n">
        <v>816</v>
      </c>
      <c r="R124" s="155" t="n"/>
      <c r="S124" s="160" t="n">
        <v>25607</v>
      </c>
      <c r="T124" s="160" t="n">
        <v>7834</v>
      </c>
      <c r="U124" s="155" t="n"/>
      <c r="V124" s="155" t="n"/>
      <c r="W124" s="155" t="n"/>
      <c r="X124" s="160" t="n">
        <v>8752</v>
      </c>
      <c r="Y124" s="160" t="n">
        <v>42009</v>
      </c>
      <c r="Z124" s="160" t="n">
        <v>2982</v>
      </c>
      <c r="AA124" s="160" t="n">
        <v>2720</v>
      </c>
      <c r="AB124" s="160" t="n">
        <v>10994</v>
      </c>
      <c r="AC124" s="160" t="n">
        <v>16696</v>
      </c>
      <c r="AD124" s="160" t="n">
        <v>4502</v>
      </c>
      <c r="AE124" s="155" t="n"/>
      <c r="AF124" s="160" t="n">
        <v>4502</v>
      </c>
      <c r="AG124" s="155" t="n"/>
      <c r="AH124" s="160" t="n">
        <v>69570</v>
      </c>
      <c r="AI124" s="160" t="n">
        <v>102524</v>
      </c>
      <c r="AJ124" s="160" t="n">
        <v>172094</v>
      </c>
      <c r="AK124" s="160" t="n">
        <v>203752</v>
      </c>
      <c r="AL124" s="155" t="n"/>
      <c r="AM124" s="269" t="inlineStr">
        <is>
          <t>Actual accrual; SF not confirmed</t>
        </is>
      </c>
      <c r="AN124">
        <f>IF(AND($B124=Subj_OccCode,Subj_BldgSF&gt;0,ABS($J124-Subj_BldgSF)&lt;=Subj_BldgSF*Subj_SizeTol),ABS($J124-Subj_BldgSF),NA())</f>
        <v/>
      </c>
      <c r="AO124">
        <f>IF(ISNA(AN124),NA(),AN124+ROW()/10000000)</f>
        <v/>
      </c>
      <c r="AR124" s="233">
        <f>IF(B124="","",IFERROR(INDEX(OCC_TABLE_DESC,MATCH(B124,OCC_TABLE_CODE,0)),"Unrecognized code"))</f>
        <v/>
      </c>
    </row>
    <row r="125" ht="30" customHeight="1" s="518">
      <c r="A125" s="155" t="inlineStr">
        <is>
          <t>P061</t>
        </is>
      </c>
      <c r="B125" s="150" t="n">
        <v>584</v>
      </c>
      <c r="C125" s="155" t="inlineStr">
        <is>
          <t>R0083935</t>
        </is>
      </c>
      <c r="D125" s="269" t="inlineStr">
        <is>
          <t>20101 E 36th Ave</t>
        </is>
      </c>
      <c r="E125" s="155" t="inlineStr">
        <is>
          <t>Aurora</t>
        </is>
      </c>
      <c r="F125" s="155" t="inlineStr">
        <is>
          <t>CO</t>
        </is>
      </c>
      <c r="G125" s="155" t="inlineStr">
        <is>
          <t>Industrial</t>
        </is>
      </c>
      <c r="H125" s="269" t="inlineStr">
        <is>
          <t>Mega Warehouse NNN</t>
        </is>
      </c>
      <c r="I125" s="155" t="n"/>
      <c r="J125" s="155" t="n">
        <v>278538</v>
      </c>
      <c r="K125" s="155" t="n">
        <v>2024</v>
      </c>
      <c r="L125" s="160" t="n">
        <v>1242512</v>
      </c>
      <c r="M125" s="155" t="n"/>
      <c r="N125" s="160" t="n">
        <v>2952901</v>
      </c>
      <c r="O125" s="155" t="n"/>
      <c r="P125" s="155" t="n"/>
      <c r="Q125" s="155" t="n"/>
      <c r="R125" s="155" t="n"/>
      <c r="S125" s="155" t="n"/>
      <c r="T125" s="155" t="n"/>
      <c r="U125" s="155" t="n"/>
      <c r="V125" s="155" t="n"/>
      <c r="W125" s="155" t="n"/>
      <c r="X125" s="155" t="n"/>
      <c r="Y125" s="155" t="n"/>
      <c r="Z125" s="155" t="n"/>
      <c r="AA125" s="155" t="n"/>
      <c r="AB125" s="155" t="n"/>
      <c r="AC125" s="155" t="n"/>
      <c r="AD125" s="155" t="n"/>
      <c r="AE125" s="155" t="n"/>
      <c r="AF125" s="160" t="n">
        <v>195945</v>
      </c>
      <c r="AG125" s="155" t="n"/>
      <c r="AH125" s="155" t="n"/>
      <c r="AI125" s="155" t="n"/>
      <c r="AJ125" s="155" t="n"/>
      <c r="AK125" s="155" t="n"/>
      <c r="AL125" s="155" t="n"/>
      <c r="AM125" s="269" t="inlineStr">
        <is>
          <t>NNN; partial data; CBRE income statement; tenant RK Industries; rent $4.47/SF NNN; RE tax recovery ~$860k</t>
        </is>
      </c>
      <c r="AN125">
        <f>IF(AND($B125=Subj_OccCode,Subj_BldgSF&gt;0,ABS($J125-Subj_BldgSF)&lt;=Subj_BldgSF*Subj_SizeTol),ABS($J125-Subj_BldgSF),NA())</f>
        <v/>
      </c>
      <c r="AO125">
        <f>IF(ISNA(AN125),NA(),AN125+ROW()/10000000)</f>
        <v/>
      </c>
      <c r="AR125" s="233">
        <f>IF(B125="","",IFERROR(INDEX(OCC_TABLE_DESC,MATCH(B125,OCC_TABLE_CODE,0)),"Unrecognized code"))</f>
        <v/>
      </c>
    </row>
    <row r="126" ht="30" customHeight="1" s="518">
      <c r="A126" s="155" t="inlineStr">
        <is>
          <t>P062</t>
        </is>
      </c>
      <c r="B126" s="150" t="n">
        <v>407</v>
      </c>
      <c r="C126" s="155" t="inlineStr">
        <is>
          <t>R0200721</t>
        </is>
      </c>
      <c r="D126" s="269" t="inlineStr">
        <is>
          <t>3420 N Lisbon St</t>
        </is>
      </c>
      <c r="E126" s="155" t="inlineStr">
        <is>
          <t>Aurora</t>
        </is>
      </c>
      <c r="F126" s="155" t="inlineStr">
        <is>
          <t>CO</t>
        </is>
      </c>
      <c r="G126" s="155" t="inlineStr">
        <is>
          <t>Industrial</t>
        </is>
      </c>
      <c r="H126" s="269" t="inlineStr">
        <is>
          <t>Single-Tenant Industrial NNN</t>
        </is>
      </c>
      <c r="I126" s="155" t="n">
        <v>2019</v>
      </c>
      <c r="J126" s="155" t="n">
        <v>36212</v>
      </c>
      <c r="K126" s="155" t="n">
        <v>2023</v>
      </c>
      <c r="L126" s="160" t="n">
        <v>272278</v>
      </c>
      <c r="M126" s="155" t="n"/>
      <c r="N126" s="160" t="n">
        <v>272278</v>
      </c>
      <c r="O126" s="155" t="n"/>
      <c r="P126" s="155" t="n"/>
      <c r="Q126" s="155" t="n"/>
      <c r="R126" s="155" t="n"/>
      <c r="S126" s="155" t="n"/>
      <c r="T126" s="155" t="n"/>
      <c r="U126" s="155" t="n"/>
      <c r="V126" s="155" t="n"/>
      <c r="W126" s="155" t="n"/>
      <c r="X126" s="155" t="n"/>
      <c r="Y126" s="155" t="n"/>
      <c r="Z126" s="155" t="n"/>
      <c r="AA126" s="155" t="n"/>
      <c r="AB126" s="155" t="n"/>
      <c r="AC126" s="155" t="n"/>
      <c r="AD126" s="155" t="n"/>
      <c r="AE126" s="155" t="n"/>
      <c r="AF126" s="155" t="n"/>
      <c r="AG126" s="155" t="n"/>
      <c r="AH126" s="155" t="n"/>
      <c r="AI126" s="155" t="n"/>
      <c r="AJ126" s="155" t="n"/>
      <c r="AK126" s="155" t="n"/>
      <c r="AL126" s="155" t="n"/>
      <c r="AM126" s="269" t="inlineStr">
        <is>
          <t>NNN absolute; tenant pays all opex; owner income = rent only; $7.52/SF</t>
        </is>
      </c>
      <c r="AN126">
        <f>IF(AND($B126=Subj_OccCode,Subj_BldgSF&gt;0,ABS($J126-Subj_BldgSF)&lt;=Subj_BldgSF*Subj_SizeTol),ABS($J126-Subj_BldgSF),NA())</f>
        <v/>
      </c>
      <c r="AO126">
        <f>IF(ISNA(AN126),NA(),AN126+ROW()/10000000)</f>
        <v/>
      </c>
      <c r="AR126" s="233">
        <f>IF(B126="","",IFERROR(INDEX(OCC_TABLE_DESC,MATCH(B126,OCC_TABLE_CODE,0)),"Unrecognized code"))</f>
        <v/>
      </c>
    </row>
    <row r="127" ht="30" customHeight="1" s="518">
      <c r="A127" s="155" t="inlineStr">
        <is>
          <t>P062</t>
        </is>
      </c>
      <c r="B127" s="150" t="n">
        <v>407</v>
      </c>
      <c r="C127" s="155" t="inlineStr">
        <is>
          <t>R0200721</t>
        </is>
      </c>
      <c r="D127" s="269" t="inlineStr">
        <is>
          <t>3420 N Lisbon St</t>
        </is>
      </c>
      <c r="E127" s="155" t="inlineStr">
        <is>
          <t>Aurora</t>
        </is>
      </c>
      <c r="F127" s="155" t="inlineStr">
        <is>
          <t>CO</t>
        </is>
      </c>
      <c r="G127" s="155" t="inlineStr">
        <is>
          <t>Industrial</t>
        </is>
      </c>
      <c r="H127" s="269" t="inlineStr">
        <is>
          <t>Single-Tenant Industrial NNN</t>
        </is>
      </c>
      <c r="I127" s="155" t="n">
        <v>2019</v>
      </c>
      <c r="J127" s="155" t="n">
        <v>36212</v>
      </c>
      <c r="K127" s="155" t="n">
        <v>2024</v>
      </c>
      <c r="L127" s="160" t="n">
        <v>280448</v>
      </c>
      <c r="M127" s="155" t="n"/>
      <c r="N127" s="160" t="n">
        <v>280448</v>
      </c>
      <c r="O127" s="155" t="n"/>
      <c r="P127" s="155" t="n"/>
      <c r="Q127" s="155" t="n"/>
      <c r="R127" s="155" t="n"/>
      <c r="S127" s="155" t="n"/>
      <c r="T127" s="155" t="n"/>
      <c r="U127" s="155" t="n"/>
      <c r="V127" s="155" t="n"/>
      <c r="W127" s="155" t="n"/>
      <c r="X127" s="155" t="n"/>
      <c r="Y127" s="155" t="n"/>
      <c r="Z127" s="155" t="n"/>
      <c r="AA127" s="155" t="n"/>
      <c r="AB127" s="155" t="n"/>
      <c r="AC127" s="155" t="n"/>
      <c r="AD127" s="155" t="n"/>
      <c r="AE127" s="155" t="n"/>
      <c r="AF127" s="155" t="n"/>
      <c r="AG127" s="155" t="n"/>
      <c r="AH127" s="155" t="n"/>
      <c r="AI127" s="155" t="n"/>
      <c r="AJ127" s="155" t="n"/>
      <c r="AK127" s="155" t="n"/>
      <c r="AL127" s="155" t="n"/>
      <c r="AM127" s="269" t="inlineStr">
        <is>
          <t>NNN absolute; tenant pays all opex; owner income = rent only; $7.75/SF</t>
        </is>
      </c>
      <c r="AN127">
        <f>IF(AND($B127=Subj_OccCode,Subj_BldgSF&gt;0,ABS($J127-Subj_BldgSF)&lt;=Subj_BldgSF*Subj_SizeTol),ABS($J127-Subj_BldgSF),NA())</f>
        <v/>
      </c>
      <c r="AO127">
        <f>IF(ISNA(AN127),NA(),AN127+ROW()/10000000)</f>
        <v/>
      </c>
      <c r="AR127" s="233">
        <f>IF(B127="","",IFERROR(INDEX(OCC_TABLE_DESC,MATCH(B127,OCC_TABLE_CODE,0)),"Unrecognized code"))</f>
        <v/>
      </c>
    </row>
    <row r="128" ht="15" customHeight="1" s="518">
      <c r="A128" s="155" t="inlineStr">
        <is>
          <t>P063</t>
        </is>
      </c>
      <c r="B128" s="150" t="n">
        <v>344</v>
      </c>
      <c r="C128" s="155" t="inlineStr">
        <is>
          <t>R0040581</t>
        </is>
      </c>
      <c r="D128" s="269" t="inlineStr">
        <is>
          <t>2090 E 104th Ave</t>
        </is>
      </c>
      <c r="E128" s="155" t="inlineStr">
        <is>
          <t>Thornton</t>
        </is>
      </c>
      <c r="F128" s="155" t="inlineStr">
        <is>
          <t>CO</t>
        </is>
      </c>
      <c r="G128" s="155" t="inlineStr">
        <is>
          <t>Office</t>
        </is>
      </c>
      <c r="H128" s="269" t="inlineStr">
        <is>
          <t>Multi-Tenant Office</t>
        </is>
      </c>
      <c r="I128" s="155" t="n"/>
      <c r="J128" s="155" t="n">
        <v>19764</v>
      </c>
      <c r="K128" s="155" t="n">
        <v>2023</v>
      </c>
      <c r="L128" s="155" t="n"/>
      <c r="M128" s="155" t="n"/>
      <c r="N128" s="155" t="n"/>
      <c r="O128" s="160" t="n">
        <v>3132</v>
      </c>
      <c r="P128" s="160" t="n">
        <v>9187</v>
      </c>
      <c r="Q128" s="155" t="n"/>
      <c r="R128" s="155" t="n"/>
      <c r="S128" s="155" t="n"/>
      <c r="T128" s="155" t="n"/>
      <c r="U128" s="155" t="n"/>
      <c r="V128" s="155" t="n"/>
      <c r="W128" s="155" t="n"/>
      <c r="X128" s="160" t="n">
        <v>48128</v>
      </c>
      <c r="Y128" s="160" t="n">
        <v>48128</v>
      </c>
      <c r="Z128" s="155" t="n"/>
      <c r="AA128" s="160" t="n">
        <v>9835</v>
      </c>
      <c r="AB128" s="155" t="n"/>
      <c r="AC128" s="160" t="n">
        <v>9835</v>
      </c>
      <c r="AD128" s="155" t="n"/>
      <c r="AE128" s="155" t="n"/>
      <c r="AF128" s="160" t="n">
        <v>37547</v>
      </c>
      <c r="AG128" s="160" t="n">
        <v>8244</v>
      </c>
      <c r="AH128" s="160" t="n">
        <v>133351</v>
      </c>
      <c r="AI128" s="160" t="n">
        <v>40716</v>
      </c>
      <c r="AJ128" s="160" t="n">
        <v>174067</v>
      </c>
      <c r="AK128" s="160" t="n">
        <v>54413</v>
      </c>
      <c r="AL128" s="155" t="n"/>
      <c r="AM128" s="269" t="inlineStr">
        <is>
          <t>Office; expenses only; GRI est. ~$228k at $11.56/SF 100% occ</t>
        </is>
      </c>
      <c r="AN128">
        <f>IF(AND($B128=Subj_OccCode,Subj_BldgSF&gt;0,ABS($J128-Subj_BldgSF)&lt;=Subj_BldgSF*Subj_SizeTol),ABS($J128-Subj_BldgSF),NA())</f>
        <v/>
      </c>
      <c r="AO128">
        <f>IF(ISNA(AN128),NA(),AN128+ROW()/10000000)</f>
        <v/>
      </c>
      <c r="AR128" s="233">
        <f>IF(B128="","",IFERROR(INDEX(OCC_TABLE_DESC,MATCH(B128,OCC_TABLE_CODE,0)),"Unrecognized code"))</f>
        <v/>
      </c>
    </row>
    <row r="129" ht="15" customHeight="1" s="518">
      <c r="A129" s="155" t="inlineStr">
        <is>
          <t>P063</t>
        </is>
      </c>
      <c r="B129" s="150" t="n">
        <v>344</v>
      </c>
      <c r="C129" s="155" t="inlineStr">
        <is>
          <t>R0040581</t>
        </is>
      </c>
      <c r="D129" s="269" t="inlineStr">
        <is>
          <t>2090 E 104th Ave</t>
        </is>
      </c>
      <c r="E129" s="155" t="inlineStr">
        <is>
          <t>Thornton</t>
        </is>
      </c>
      <c r="F129" s="155" t="inlineStr">
        <is>
          <t>CO</t>
        </is>
      </c>
      <c r="G129" s="155" t="inlineStr">
        <is>
          <t>Office</t>
        </is>
      </c>
      <c r="H129" s="269" t="inlineStr">
        <is>
          <t>Multi-Tenant Office</t>
        </is>
      </c>
      <c r="I129" s="155" t="n"/>
      <c r="J129" s="155" t="n">
        <v>19764</v>
      </c>
      <c r="K129" s="155" t="n">
        <v>2024</v>
      </c>
      <c r="L129" s="155" t="n"/>
      <c r="M129" s="155" t="n"/>
      <c r="N129" s="155" t="n"/>
      <c r="O129" s="160" t="n">
        <v>11171</v>
      </c>
      <c r="P129" s="160" t="n">
        <v>9000</v>
      </c>
      <c r="Q129" s="155" t="n"/>
      <c r="R129" s="155" t="n"/>
      <c r="S129" s="155" t="n"/>
      <c r="T129" s="155" t="n"/>
      <c r="U129" s="155" t="n"/>
      <c r="V129" s="155" t="n"/>
      <c r="W129" s="155" t="n"/>
      <c r="X129" s="160" t="n">
        <v>48665</v>
      </c>
      <c r="Y129" s="160" t="n">
        <v>48665</v>
      </c>
      <c r="Z129" s="155" t="n"/>
      <c r="AA129" s="160" t="n">
        <v>11638</v>
      </c>
      <c r="AB129" s="155" t="n"/>
      <c r="AC129" s="160" t="n">
        <v>11638</v>
      </c>
      <c r="AD129" s="155" t="n"/>
      <c r="AE129" s="155" t="n"/>
      <c r="AF129" s="160" t="n">
        <v>47748</v>
      </c>
      <c r="AG129" s="160" t="n">
        <v>6178</v>
      </c>
      <c r="AH129" s="160" t="n">
        <v>134405</v>
      </c>
      <c r="AI129" s="160" t="n">
        <v>40064</v>
      </c>
      <c r="AJ129" s="160" t="n">
        <v>174469</v>
      </c>
      <c r="AK129" s="160" t="n">
        <v>54011</v>
      </c>
      <c r="AL129" s="155" t="n"/>
      <c r="AM129" s="269" t="inlineStr">
        <is>
          <t>Office; expenses only; GRI est. ~$228k</t>
        </is>
      </c>
      <c r="AN129">
        <f>IF(AND($B129=Subj_OccCode,Subj_BldgSF&gt;0,ABS($J129-Subj_BldgSF)&lt;=Subj_BldgSF*Subj_SizeTol),ABS($J129-Subj_BldgSF),NA())</f>
        <v/>
      </c>
      <c r="AO129">
        <f>IF(ISNA(AN129),NA(),AN129+ROW()/10000000)</f>
        <v/>
      </c>
      <c r="AR129" s="233">
        <f>IF(B129="","",IFERROR(INDEX(OCC_TABLE_DESC,MATCH(B129,OCC_TABLE_CODE,0)),"Unrecognized code"))</f>
        <v/>
      </c>
    </row>
    <row r="130" ht="30" customHeight="1" s="518">
      <c r="A130" s="155" t="inlineStr">
        <is>
          <t>P064</t>
        </is>
      </c>
      <c r="B130" s="150" t="n">
        <v>344</v>
      </c>
      <c r="C130" s="155" t="inlineStr">
        <is>
          <t>R0050977</t>
        </is>
      </c>
      <c r="D130" s="269" t="inlineStr">
        <is>
          <t>9351 Grant St</t>
        </is>
      </c>
      <c r="E130" s="155" t="inlineStr">
        <is>
          <t>Thornton</t>
        </is>
      </c>
      <c r="F130" s="155" t="inlineStr">
        <is>
          <t>CO</t>
        </is>
      </c>
      <c r="G130" s="155" t="inlineStr">
        <is>
          <t>Office</t>
        </is>
      </c>
      <c r="H130" s="269" t="inlineStr">
        <is>
          <t>Multi-Tenant Office</t>
        </is>
      </c>
      <c r="I130" s="155" t="n"/>
      <c r="J130" s="155" t="n"/>
      <c r="K130" s="155" t="n">
        <v>2023</v>
      </c>
      <c r="L130" s="160" t="n">
        <v>2011958</v>
      </c>
      <c r="M130" s="155" t="n"/>
      <c r="N130" s="160" t="n">
        <v>2239234</v>
      </c>
      <c r="O130" s="155" t="n"/>
      <c r="P130" s="155" t="n"/>
      <c r="Q130" s="155" t="n"/>
      <c r="R130" s="155" t="n"/>
      <c r="S130" s="155" t="n"/>
      <c r="T130" s="155" t="n"/>
      <c r="U130" s="155" t="n"/>
      <c r="V130" s="155" t="n"/>
      <c r="W130" s="155" t="n"/>
      <c r="X130" s="160" t="n">
        <v>144543</v>
      </c>
      <c r="Y130" s="160" t="n">
        <v>144543</v>
      </c>
      <c r="Z130" s="155" t="n"/>
      <c r="AA130" s="155" t="n"/>
      <c r="AB130" s="155" t="n"/>
      <c r="AC130" s="155" t="n"/>
      <c r="AD130" s="155" t="n"/>
      <c r="AE130" s="155" t="n"/>
      <c r="AF130" s="160" t="n">
        <v>240350</v>
      </c>
      <c r="AG130" s="160" t="n">
        <v>279549</v>
      </c>
      <c r="AH130" s="160" t="n">
        <v>719555</v>
      </c>
      <c r="AI130" s="160" t="n">
        <v>497852</v>
      </c>
      <c r="AJ130" s="160" t="n">
        <v>1217407</v>
      </c>
      <c r="AK130" s="160" t="n">
        <v>1021827</v>
      </c>
      <c r="AL130" s="155" t="n"/>
      <c r="AM130" s="269" t="inlineStr">
        <is>
          <t>Actual P&amp;L; Crown RE Group; RE Tax + Ins combined in $497,852 line; large office property</t>
        </is>
      </c>
      <c r="AN130">
        <f>IF(AND($B130=Subj_OccCode,Subj_BldgSF&gt;0,ABS($J130-Subj_BldgSF)&lt;=Subj_BldgSF*Subj_SizeTol),ABS($J130-Subj_BldgSF),NA())</f>
        <v/>
      </c>
      <c r="AO130">
        <f>IF(ISNA(AN130),NA(),AN130+ROW()/10000000)</f>
        <v/>
      </c>
      <c r="AR130" s="233">
        <f>IF(B130="","",IFERROR(INDEX(OCC_TABLE_DESC,MATCH(B130,OCC_TABLE_CODE,0)),"Unrecognized code"))</f>
        <v/>
      </c>
    </row>
    <row r="131" ht="30" customHeight="1" s="518">
      <c r="A131" s="155" t="inlineStr">
        <is>
          <t>P065</t>
        </is>
      </c>
      <c r="B131" s="150" t="n">
        <v>344</v>
      </c>
      <c r="C131" s="155" t="inlineStr">
        <is>
          <t>R0069041</t>
        </is>
      </c>
      <c r="D131" s="269" t="inlineStr">
        <is>
          <t>7475 Dakin St (Turnpike Tower)</t>
        </is>
      </c>
      <c r="E131" s="155" t="inlineStr">
        <is>
          <t>Denver</t>
        </is>
      </c>
      <c r="F131" s="155" t="inlineStr">
        <is>
          <t>CO</t>
        </is>
      </c>
      <c r="G131" s="155" t="inlineStr">
        <is>
          <t>Office</t>
        </is>
      </c>
      <c r="H131" s="269" t="inlineStr">
        <is>
          <t>Multi-Tenant Office</t>
        </is>
      </c>
      <c r="I131" s="155" t="n"/>
      <c r="J131" s="155" t="n">
        <v>114843</v>
      </c>
      <c r="K131" s="155" t="n">
        <v>2023</v>
      </c>
      <c r="L131" s="155" t="n"/>
      <c r="M131" s="155" t="n"/>
      <c r="N131" s="160" t="n">
        <v>618988</v>
      </c>
      <c r="O131" s="155" t="n"/>
      <c r="P131" s="155" t="n"/>
      <c r="Q131" s="155" t="n"/>
      <c r="R131" s="155" t="n"/>
      <c r="S131" s="155" t="n"/>
      <c r="T131" s="155" t="n"/>
      <c r="U131" s="155" t="n"/>
      <c r="V131" s="155" t="n"/>
      <c r="W131" s="155" t="n"/>
      <c r="X131" s="155" t="n"/>
      <c r="Y131" s="155" t="n"/>
      <c r="Z131" s="155" t="n"/>
      <c r="AA131" s="160" t="n">
        <v>10029</v>
      </c>
      <c r="AB131" s="155" t="n"/>
      <c r="AC131" s="155" t="n"/>
      <c r="AD131" s="155" t="n"/>
      <c r="AE131" s="155" t="n"/>
      <c r="AF131" s="155" t="n"/>
      <c r="AG131" s="155" t="n"/>
      <c r="AH131" s="160" t="n">
        <v>303578</v>
      </c>
      <c r="AI131" s="160" t="n">
        <v>262422</v>
      </c>
      <c r="AJ131" s="160" t="n">
        <v>566000</v>
      </c>
      <c r="AK131" s="160" t="n">
        <v>53141</v>
      </c>
      <c r="AL131" s="155" t="n"/>
      <c r="AM131" s="269" t="inlineStr">
        <is>
          <t>Actual; 87.7% occ; NNN/Modified leases; RE Tax heavy; approx figures</t>
        </is>
      </c>
      <c r="AN131">
        <f>IF(AND($B131=Subj_OccCode,Subj_BldgSF&gt;0,ABS($J131-Subj_BldgSF)&lt;=Subj_BldgSF*Subj_SizeTol),ABS($J131-Subj_BldgSF),NA())</f>
        <v/>
      </c>
      <c r="AO131">
        <f>IF(ISNA(AN131),NA(),AN131+ROW()/10000000)</f>
        <v/>
      </c>
      <c r="AR131" s="233">
        <f>IF(B131="","",IFERROR(INDEX(OCC_TABLE_DESC,MATCH(B131,OCC_TABLE_CODE,0)),"Unrecognized code"))</f>
        <v/>
      </c>
    </row>
    <row r="132" ht="15" customHeight="1" s="518">
      <c r="A132" s="155" t="inlineStr">
        <is>
          <t>P065</t>
        </is>
      </c>
      <c r="B132" s="150" t="n">
        <v>344</v>
      </c>
      <c r="C132" s="155" t="inlineStr">
        <is>
          <t>R0069041</t>
        </is>
      </c>
      <c r="D132" s="269" t="inlineStr">
        <is>
          <t>7475 Dakin St (Turnpike Tower)</t>
        </is>
      </c>
      <c r="E132" s="155" t="inlineStr">
        <is>
          <t>Denver</t>
        </is>
      </c>
      <c r="F132" s="155" t="inlineStr">
        <is>
          <t>CO</t>
        </is>
      </c>
      <c r="G132" s="155" t="inlineStr">
        <is>
          <t>Office</t>
        </is>
      </c>
      <c r="H132" s="269" t="inlineStr">
        <is>
          <t>Multi-Tenant Office</t>
        </is>
      </c>
      <c r="I132" s="155" t="n"/>
      <c r="J132" s="155" t="n">
        <v>114843</v>
      </c>
      <c r="K132" s="155" t="n">
        <v>2024</v>
      </c>
      <c r="L132" s="155" t="n"/>
      <c r="M132" s="155" t="n"/>
      <c r="N132" s="160" t="n">
        <v>1353745</v>
      </c>
      <c r="O132" s="155" t="n"/>
      <c r="P132" s="155" t="n"/>
      <c r="Q132" s="155" t="n"/>
      <c r="R132" s="155" t="n"/>
      <c r="S132" s="155" t="n"/>
      <c r="T132" s="155" t="n"/>
      <c r="U132" s="155" t="n"/>
      <c r="V132" s="155" t="n"/>
      <c r="W132" s="155" t="n"/>
      <c r="X132" s="155" t="n"/>
      <c r="Y132" s="155" t="n"/>
      <c r="Z132" s="155" t="n"/>
      <c r="AA132" s="155" t="n"/>
      <c r="AB132" s="155" t="n"/>
      <c r="AC132" s="155" t="n"/>
      <c r="AD132" s="155" t="n"/>
      <c r="AE132" s="155" t="n"/>
      <c r="AF132" s="155" t="n"/>
      <c r="AG132" s="155" t="n"/>
      <c r="AH132" s="160" t="n">
        <v>1025000</v>
      </c>
      <c r="AI132" s="155" t="n"/>
      <c r="AJ132" s="160" t="n">
        <v>1287000</v>
      </c>
      <c r="AK132" s="160" t="n">
        <v>66677</v>
      </c>
      <c r="AL132" s="155" t="n"/>
      <c r="AM132" s="269" t="inlineStr">
        <is>
          <t>Actual 2024; approx figures; RE Tax est. ~$262k</t>
        </is>
      </c>
      <c r="AN132">
        <f>IF(AND($B132=Subj_OccCode,Subj_BldgSF&gt;0,ABS($J132-Subj_BldgSF)&lt;=Subj_BldgSF*Subj_SizeTol),ABS($J132-Subj_BldgSF),NA())</f>
        <v/>
      </c>
      <c r="AO132">
        <f>IF(ISNA(AN132),NA(),AN132+ROW()/10000000)</f>
        <v/>
      </c>
      <c r="AR132" s="233">
        <f>IF(B132="","",IFERROR(INDEX(OCC_TABLE_DESC,MATCH(B132,OCC_TABLE_CODE,0)),"Unrecognized code"))</f>
        <v/>
      </c>
    </row>
    <row r="133" ht="30" customHeight="1" s="518">
      <c r="A133" s="155" t="inlineStr">
        <is>
          <t>P066</t>
        </is>
      </c>
      <c r="B133" s="150" t="n">
        <v>344</v>
      </c>
      <c r="C133" s="155" t="inlineStr">
        <is>
          <t>R0079409</t>
        </is>
      </c>
      <c r="D133" s="269" t="inlineStr">
        <is>
          <t>6401 E 72nd Ave</t>
        </is>
      </c>
      <c r="E133" s="155" t="inlineStr">
        <is>
          <t>Commerce City</t>
        </is>
      </c>
      <c r="F133" s="155" t="inlineStr">
        <is>
          <t>CO</t>
        </is>
      </c>
      <c r="G133" s="155" t="inlineStr">
        <is>
          <t>Office</t>
        </is>
      </c>
      <c r="H133" s="269" t="inlineStr">
        <is>
          <t>Multi-Tenant Office</t>
        </is>
      </c>
      <c r="I133" s="155" t="n"/>
      <c r="J133" s="155" t="n">
        <v>8218</v>
      </c>
      <c r="K133" s="155" t="n">
        <v>2023</v>
      </c>
      <c r="L133" s="160" t="n">
        <v>96674</v>
      </c>
      <c r="M133" s="155" t="n"/>
      <c r="N133" s="160" t="n">
        <v>109164</v>
      </c>
      <c r="O133" s="160" t="n">
        <v>2384</v>
      </c>
      <c r="P133" s="160" t="n">
        <v>5400</v>
      </c>
      <c r="Q133" s="155" t="n"/>
      <c r="R133" s="155" t="n"/>
      <c r="S133" s="155" t="n"/>
      <c r="T133" s="155" t="n"/>
      <c r="U133" s="155" t="n"/>
      <c r="V133" s="155" t="n"/>
      <c r="W133" s="155" t="n"/>
      <c r="X133" s="160" t="n">
        <v>18169</v>
      </c>
      <c r="Y133" s="160" t="n">
        <v>18169</v>
      </c>
      <c r="Z133" s="155" t="n"/>
      <c r="AA133" s="155" t="n"/>
      <c r="AB133" s="155" t="n"/>
      <c r="AC133" s="155" t="n"/>
      <c r="AD133" s="155" t="n"/>
      <c r="AE133" s="155" t="n"/>
      <c r="AF133" s="160" t="n">
        <v>12971</v>
      </c>
      <c r="AG133" s="160" t="n">
        <v>4012</v>
      </c>
      <c r="AH133" s="160" t="n">
        <v>39724</v>
      </c>
      <c r="AI133" s="160" t="n">
        <v>16276</v>
      </c>
      <c r="AJ133" s="160" t="n">
        <v>56000</v>
      </c>
      <c r="AK133" s="160" t="n">
        <v>53000</v>
      </c>
      <c r="AL133" s="155" t="n"/>
      <c r="AM133" s="269" t="inlineStr">
        <is>
          <t>Actual 2023; 9 tenants small multi-tenant office; approx total OPX/NOI</t>
        </is>
      </c>
      <c r="AN133">
        <f>IF(AND($B133=Subj_OccCode,Subj_BldgSF&gt;0,ABS($J133-Subj_BldgSF)&lt;=Subj_BldgSF*Subj_SizeTol),ABS($J133-Subj_BldgSF),NA())</f>
        <v/>
      </c>
      <c r="AO133">
        <f>IF(ISNA(AN133),NA(),AN133+ROW()/10000000)</f>
        <v/>
      </c>
      <c r="AR133" s="233">
        <f>IF(B133="","",IFERROR(INDEX(OCC_TABLE_DESC,MATCH(B133,OCC_TABLE_CODE,0)),"Unrecognized code"))</f>
        <v/>
      </c>
    </row>
    <row r="134" ht="15" customHeight="1" s="518">
      <c r="A134" s="155" t="inlineStr">
        <is>
          <t>P067</t>
        </is>
      </c>
      <c r="B134" s="150" t="n">
        <v>344</v>
      </c>
      <c r="C134" s="155" t="inlineStr">
        <is>
          <t>R0189338</t>
        </is>
      </c>
      <c r="D134" s="269" t="inlineStr">
        <is>
          <t>203 Telluride St</t>
        </is>
      </c>
      <c r="E134" s="155" t="inlineStr">
        <is>
          <t>Aurora</t>
        </is>
      </c>
      <c r="F134" s="155" t="inlineStr">
        <is>
          <t>CO</t>
        </is>
      </c>
      <c r="G134" s="155" t="inlineStr">
        <is>
          <t>Office</t>
        </is>
      </c>
      <c r="H134" s="269" t="inlineStr">
        <is>
          <t>Multi-Tenant Office</t>
        </is>
      </c>
      <c r="I134" s="155" t="n"/>
      <c r="J134" s="155" t="n"/>
      <c r="K134" s="155" t="n">
        <v>2023</v>
      </c>
      <c r="L134" s="160" t="n">
        <v>326779</v>
      </c>
      <c r="M134" s="155" t="n"/>
      <c r="N134" s="160" t="n">
        <v>315661</v>
      </c>
      <c r="O134" s="155" t="n"/>
      <c r="P134" s="155" t="n"/>
      <c r="Q134" s="155" t="n"/>
      <c r="R134" s="155" t="n"/>
      <c r="S134" s="155" t="n"/>
      <c r="T134" s="155" t="n"/>
      <c r="U134" s="155" t="n"/>
      <c r="V134" s="155" t="n"/>
      <c r="W134" s="155" t="n"/>
      <c r="X134" s="155" t="n"/>
      <c r="Y134" s="155" t="n"/>
      <c r="Z134" s="155" t="n"/>
      <c r="AA134" s="160" t="n">
        <v>16009</v>
      </c>
      <c r="AB134" s="155" t="n"/>
      <c r="AC134" s="155" t="n"/>
      <c r="AD134" s="155" t="n"/>
      <c r="AE134" s="155" t="n"/>
      <c r="AF134" s="155" t="n"/>
      <c r="AG134" s="155" t="n"/>
      <c r="AH134" s="160" t="n">
        <v>78034</v>
      </c>
      <c r="AI134" s="160" t="n">
        <v>66966</v>
      </c>
      <c r="AJ134" s="160" t="n">
        <v>145000</v>
      </c>
      <c r="AK134" s="160" t="n">
        <v>170661</v>
      </c>
      <c r="AL134" s="155" t="n"/>
      <c r="AM134" s="269" t="inlineStr">
        <is>
          <t>Actual 2023; SF not stated; approx total OPX</t>
        </is>
      </c>
      <c r="AN134">
        <f>IF(AND($B134=Subj_OccCode,Subj_BldgSF&gt;0,ABS($J134-Subj_BldgSF)&lt;=Subj_BldgSF*Subj_SizeTol),ABS($J134-Subj_BldgSF),NA())</f>
        <v/>
      </c>
      <c r="AO134">
        <f>IF(ISNA(AN134),NA(),AN134+ROW()/10000000)</f>
        <v/>
      </c>
      <c r="AR134" s="233">
        <f>IF(B134="","",IFERROR(INDEX(OCC_TABLE_DESC,MATCH(B134,OCC_TABLE_CODE,0)),"Unrecognized code"))</f>
        <v/>
      </c>
    </row>
    <row r="135" ht="15" customHeight="1" s="518">
      <c r="A135" s="155" t="inlineStr">
        <is>
          <t>P067</t>
        </is>
      </c>
      <c r="B135" s="150" t="n">
        <v>344</v>
      </c>
      <c r="C135" s="155" t="inlineStr">
        <is>
          <t>R0189338</t>
        </is>
      </c>
      <c r="D135" s="269" t="inlineStr">
        <is>
          <t>203 Telluride St</t>
        </is>
      </c>
      <c r="E135" s="155" t="inlineStr">
        <is>
          <t>Aurora</t>
        </is>
      </c>
      <c r="F135" s="155" t="inlineStr">
        <is>
          <t>CO</t>
        </is>
      </c>
      <c r="G135" s="155" t="inlineStr">
        <is>
          <t>Office</t>
        </is>
      </c>
      <c r="H135" s="269" t="inlineStr">
        <is>
          <t>Multi-Tenant Office</t>
        </is>
      </c>
      <c r="I135" s="155" t="n"/>
      <c r="J135" s="155" t="n"/>
      <c r="K135" s="155" t="n">
        <v>2024</v>
      </c>
      <c r="L135" s="160" t="n">
        <v>357674</v>
      </c>
      <c r="M135" s="155" t="n"/>
      <c r="N135" s="160" t="n">
        <v>335977</v>
      </c>
      <c r="O135" s="160" t="n">
        <v>9791</v>
      </c>
      <c r="P135" s="160" t="n">
        <v>7884</v>
      </c>
      <c r="Q135" s="155" t="n"/>
      <c r="R135" s="155" t="n"/>
      <c r="S135" s="155" t="n"/>
      <c r="T135" s="155" t="n"/>
      <c r="U135" s="155" t="n"/>
      <c r="V135" s="155" t="n"/>
      <c r="W135" s="155" t="n"/>
      <c r="X135" s="160" t="n">
        <v>41510</v>
      </c>
      <c r="Y135" s="160" t="n">
        <v>41510</v>
      </c>
      <c r="Z135" s="155" t="n"/>
      <c r="AA135" s="160" t="n">
        <v>12092</v>
      </c>
      <c r="AB135" s="155" t="n"/>
      <c r="AC135" s="155" t="n"/>
      <c r="AD135" s="155" t="n"/>
      <c r="AE135" s="155" t="n"/>
      <c r="AF135" s="160" t="n">
        <v>9302</v>
      </c>
      <c r="AG135" s="160" t="n">
        <v>10772</v>
      </c>
      <c r="AH135" s="160" t="n">
        <v>109544</v>
      </c>
      <c r="AI135" s="160" t="n">
        <v>68307</v>
      </c>
      <c r="AJ135" s="160" t="n">
        <v>177851</v>
      </c>
      <c r="AK135" s="160" t="n">
        <v>158126</v>
      </c>
      <c r="AL135" s="155" t="n"/>
      <c r="AM135" s="269" t="inlineStr">
        <is>
          <t>Actual 2024; SF not stated</t>
        </is>
      </c>
      <c r="AN135">
        <f>IF(AND($B135=Subj_OccCode,Subj_BldgSF&gt;0,ABS($J135-Subj_BldgSF)&lt;=Subj_BldgSF*Subj_SizeTol),ABS($J135-Subj_BldgSF),NA())</f>
        <v/>
      </c>
      <c r="AO135">
        <f>IF(ISNA(AN135),NA(),AN135+ROW()/10000000)</f>
        <v/>
      </c>
      <c r="AR135" s="233">
        <f>IF(B135="","",IFERROR(INDEX(OCC_TABLE_DESC,MATCH(B135,OCC_TABLE_CODE,0)),"Unrecognized code"))</f>
        <v/>
      </c>
    </row>
    <row r="136" ht="30" customHeight="1" s="518">
      <c r="A136" s="155" t="inlineStr">
        <is>
          <t>P068</t>
        </is>
      </c>
      <c r="B136" s="150" t="n">
        <v>344</v>
      </c>
      <c r="C136" s="155" t="inlineStr">
        <is>
          <t>R0193830</t>
        </is>
      </c>
      <c r="D136" s="269" t="inlineStr">
        <is>
          <t>Justice Center Office Plaza</t>
        </is>
      </c>
      <c r="E136" s="155" t="inlineStr">
        <is>
          <t>Denver</t>
        </is>
      </c>
      <c r="F136" s="155" t="inlineStr">
        <is>
          <t>CO</t>
        </is>
      </c>
      <c r="G136" s="155" t="inlineStr">
        <is>
          <t>Office</t>
        </is>
      </c>
      <c r="H136" s="269" t="inlineStr">
        <is>
          <t>Multi-Tenant Office NNN</t>
        </is>
      </c>
      <c r="I136" s="155" t="n"/>
      <c r="J136" s="155" t="n">
        <v>41979</v>
      </c>
      <c r="K136" s="155" t="n">
        <v>2023</v>
      </c>
      <c r="L136" s="160" t="n">
        <v>975573</v>
      </c>
      <c r="M136" s="155" t="n"/>
      <c r="N136" s="160" t="n">
        <v>1351329</v>
      </c>
      <c r="O136" s="160" t="n">
        <v>30649</v>
      </c>
      <c r="P136" s="160" t="n">
        <v>86480</v>
      </c>
      <c r="Q136" s="155" t="n"/>
      <c r="R136" s="155" t="n"/>
      <c r="S136" s="155" t="n"/>
      <c r="T136" s="155" t="n"/>
      <c r="U136" s="155" t="n"/>
      <c r="V136" s="155" t="n"/>
      <c r="W136" s="155" t="n"/>
      <c r="X136" s="160" t="n">
        <v>136077</v>
      </c>
      <c r="Y136" s="160" t="n">
        <v>136077</v>
      </c>
      <c r="Z136" s="155" t="n"/>
      <c r="AA136" s="155" t="n"/>
      <c r="AB136" s="155" t="n"/>
      <c r="AC136" s="155" t="n"/>
      <c r="AD136" s="155" t="n"/>
      <c r="AE136" s="155" t="n"/>
      <c r="AF136" s="160" t="n">
        <v>144650</v>
      </c>
      <c r="AG136" s="160" t="n">
        <v>24922</v>
      </c>
      <c r="AH136" s="160" t="n">
        <v>422677</v>
      </c>
      <c r="AI136" s="160" t="n">
        <v>86236</v>
      </c>
      <c r="AJ136" s="160" t="n">
        <v>508913</v>
      </c>
      <c r="AK136" s="160" t="n">
        <v>842416</v>
      </c>
      <c r="AL136" s="155" t="n"/>
      <c r="AM136" s="269" t="inlineStr">
        <is>
          <t>Actual accrual; govt tenants; 100% occ NNN; special assessments in Other</t>
        </is>
      </c>
      <c r="AN136">
        <f>IF(AND($B136=Subj_OccCode,Subj_BldgSF&gt;0,ABS($J136-Subj_BldgSF)&lt;=Subj_BldgSF*Subj_SizeTol),ABS($J136-Subj_BldgSF),NA())</f>
        <v/>
      </c>
      <c r="AO136">
        <f>IF(ISNA(AN136),NA(),AN136+ROW()/10000000)</f>
        <v/>
      </c>
      <c r="AR136" s="233">
        <f>IF(B136="","",IFERROR(INDEX(OCC_TABLE_DESC,MATCH(B136,OCC_TABLE_CODE,0)),"Unrecognized code"))</f>
        <v/>
      </c>
    </row>
    <row r="137" ht="30" customHeight="1" s="518">
      <c r="A137" s="155" t="inlineStr">
        <is>
          <t>P068</t>
        </is>
      </c>
      <c r="B137" s="150" t="n">
        <v>344</v>
      </c>
      <c r="C137" s="155" t="inlineStr">
        <is>
          <t>R0193830</t>
        </is>
      </c>
      <c r="D137" s="269" t="inlineStr">
        <is>
          <t>Justice Center Office Plaza</t>
        </is>
      </c>
      <c r="E137" s="155" t="inlineStr">
        <is>
          <t>Denver</t>
        </is>
      </c>
      <c r="F137" s="155" t="inlineStr">
        <is>
          <t>CO</t>
        </is>
      </c>
      <c r="G137" s="155" t="inlineStr">
        <is>
          <t>Office</t>
        </is>
      </c>
      <c r="H137" s="269" t="inlineStr">
        <is>
          <t>Multi-Tenant Office NNN</t>
        </is>
      </c>
      <c r="I137" s="155" t="n"/>
      <c r="J137" s="155" t="n">
        <v>41979</v>
      </c>
      <c r="K137" s="155" t="n">
        <v>2024</v>
      </c>
      <c r="L137" s="160" t="n">
        <v>858704</v>
      </c>
      <c r="M137" s="155" t="n"/>
      <c r="N137" s="160" t="n">
        <v>1393201</v>
      </c>
      <c r="O137" s="160" t="n">
        <v>34798</v>
      </c>
      <c r="P137" s="160" t="n">
        <v>89439</v>
      </c>
      <c r="Q137" s="155" t="n"/>
      <c r="R137" s="155" t="n"/>
      <c r="S137" s="155" t="n"/>
      <c r="T137" s="155" t="n"/>
      <c r="U137" s="155" t="n"/>
      <c r="V137" s="155" t="n"/>
      <c r="W137" s="155" t="n"/>
      <c r="X137" s="160" t="n">
        <v>116522</v>
      </c>
      <c r="Y137" s="160" t="n">
        <v>116522</v>
      </c>
      <c r="Z137" s="155" t="n"/>
      <c r="AA137" s="155" t="n"/>
      <c r="AB137" s="155" t="n"/>
      <c r="AC137" s="155" t="n"/>
      <c r="AD137" s="155" t="n"/>
      <c r="AE137" s="155" t="n"/>
      <c r="AF137" s="160" t="n">
        <v>150007</v>
      </c>
      <c r="AG137" s="160" t="n">
        <v>29708</v>
      </c>
      <c r="AH137" s="160" t="n">
        <v>425475</v>
      </c>
      <c r="AI137" s="160" t="n">
        <v>86738</v>
      </c>
      <c r="AJ137" s="160" t="n">
        <v>512213</v>
      </c>
      <c r="AK137" s="160" t="n">
        <v>880988</v>
      </c>
      <c r="AL137" s="155" t="n"/>
      <c r="AM137" s="269" t="inlineStr">
        <is>
          <t>Actual accrual; govt tenants; 100% occ NNN; special assessments in Other</t>
        </is>
      </c>
      <c r="AN137">
        <f>IF(AND($B137=Subj_OccCode,Subj_BldgSF&gt;0,ABS($J137-Subj_BldgSF)&lt;=Subj_BldgSF*Subj_SizeTol),ABS($J137-Subj_BldgSF),NA())</f>
        <v/>
      </c>
      <c r="AO137">
        <f>IF(ISNA(AN137),NA(),AN137+ROW()/10000000)</f>
        <v/>
      </c>
      <c r="AR137" s="233">
        <f>IF(B137="","",IFERROR(INDEX(OCC_TABLE_DESC,MATCH(B137,OCC_TABLE_CODE,0)),"Unrecognized code"))</f>
        <v/>
      </c>
    </row>
    <row r="138" ht="30" customHeight="1" s="518">
      <c r="A138" s="155" t="inlineStr">
        <is>
          <t>P069</t>
        </is>
      </c>
      <c r="B138" s="150" t="n">
        <v>210</v>
      </c>
      <c r="C138" s="155" t="inlineStr">
        <is>
          <t>R0098223</t>
        </is>
      </c>
      <c r="D138" s="269" t="inlineStr">
        <is>
          <t>Washington Commerce Center</t>
        </is>
      </c>
      <c r="E138" s="155" t="inlineStr">
        <is>
          <t>Commerce City</t>
        </is>
      </c>
      <c r="F138" s="155" t="inlineStr">
        <is>
          <t>CO</t>
        </is>
      </c>
      <c r="G138" s="155" t="inlineStr">
        <is>
          <t>Office/Industrial</t>
        </is>
      </c>
      <c r="H138" s="269" t="inlineStr">
        <is>
          <t>Multi-Tenant Office/Industrial</t>
        </is>
      </c>
      <c r="I138" s="155" t="n"/>
      <c r="J138" s="155" t="n">
        <v>278538</v>
      </c>
      <c r="K138" s="155" t="n">
        <v>2023</v>
      </c>
      <c r="L138" s="160" t="n">
        <v>1636029</v>
      </c>
      <c r="M138" s="155" t="n"/>
      <c r="N138" s="160" t="n">
        <v>1610567</v>
      </c>
      <c r="O138" s="160" t="n">
        <v>5093</v>
      </c>
      <c r="P138" s="160" t="n">
        <v>21945</v>
      </c>
      <c r="Q138" s="155" t="n"/>
      <c r="R138" s="155" t="n"/>
      <c r="S138" s="155" t="n"/>
      <c r="T138" s="155" t="n"/>
      <c r="U138" s="155" t="n"/>
      <c r="V138" s="155" t="n"/>
      <c r="W138" s="155" t="n"/>
      <c r="X138" s="160" t="n">
        <v>256338</v>
      </c>
      <c r="Y138" s="160" t="n">
        <v>256338</v>
      </c>
      <c r="Z138" s="155" t="n"/>
      <c r="AA138" s="160" t="n">
        <v>58025</v>
      </c>
      <c r="AB138" s="160" t="n">
        <v>3239</v>
      </c>
      <c r="AC138" s="160" t="n">
        <v>61264</v>
      </c>
      <c r="AD138" s="155" t="n"/>
      <c r="AE138" s="155" t="n"/>
      <c r="AF138" s="160" t="n">
        <v>31915</v>
      </c>
      <c r="AG138" s="155" t="n"/>
      <c r="AH138" s="160" t="n">
        <v>375619</v>
      </c>
      <c r="AI138" s="160" t="n">
        <v>0</v>
      </c>
      <c r="AJ138" s="160" t="n">
        <v>375619</v>
      </c>
      <c r="AK138" s="160" t="n">
        <v>76629</v>
      </c>
      <c r="AL138" s="155" t="n"/>
      <c r="AM138" s="269" t="inlineStr">
        <is>
          <t>Actual; tenants pay RE tax; high R&amp;M 2023 ($127k major maint); SF est.</t>
        </is>
      </c>
      <c r="AN138">
        <f>IF(AND($B138=Subj_OccCode,Subj_BldgSF&gt;0,ABS($J138-Subj_BldgSF)&lt;=Subj_BldgSF*Subj_SizeTol),ABS($J138-Subj_BldgSF),NA())</f>
        <v/>
      </c>
      <c r="AO138">
        <f>IF(ISNA(AN138),NA(),AN138+ROW()/10000000)</f>
        <v/>
      </c>
      <c r="AR138" s="233">
        <f>IF(B138="","",IFERROR(INDEX(OCC_TABLE_DESC,MATCH(B138,OCC_TABLE_CODE,0)),"Unrecognized code"))</f>
        <v/>
      </c>
    </row>
    <row r="139" ht="15" customHeight="1" s="518">
      <c r="A139" s="155" t="inlineStr">
        <is>
          <t>P069</t>
        </is>
      </c>
      <c r="B139" s="150" t="n">
        <v>210</v>
      </c>
      <c r="C139" s="155" t="inlineStr">
        <is>
          <t>R0098223</t>
        </is>
      </c>
      <c r="D139" s="269" t="inlineStr">
        <is>
          <t>Washington Commerce Center</t>
        </is>
      </c>
      <c r="E139" s="155" t="inlineStr">
        <is>
          <t>Commerce City</t>
        </is>
      </c>
      <c r="F139" s="155" t="inlineStr">
        <is>
          <t>CO</t>
        </is>
      </c>
      <c r="G139" s="155" t="inlineStr">
        <is>
          <t>Office/Industrial</t>
        </is>
      </c>
      <c r="H139" s="269" t="inlineStr">
        <is>
          <t>Multi-Tenant Office/Industrial</t>
        </is>
      </c>
      <c r="I139" s="155" t="n"/>
      <c r="J139" s="155" t="n">
        <v>278538</v>
      </c>
      <c r="K139" s="155" t="n">
        <v>2024</v>
      </c>
      <c r="L139" s="160" t="n">
        <v>1520916</v>
      </c>
      <c r="M139" s="155" t="n"/>
      <c r="N139" s="160" t="n">
        <v>1520916</v>
      </c>
      <c r="O139" s="160" t="n">
        <v>8912</v>
      </c>
      <c r="P139" s="160" t="n">
        <v>25573</v>
      </c>
      <c r="Q139" s="155" t="n"/>
      <c r="R139" s="155" t="n"/>
      <c r="S139" s="155" t="n"/>
      <c r="T139" s="155" t="n"/>
      <c r="U139" s="155" t="n"/>
      <c r="V139" s="155" t="n"/>
      <c r="W139" s="155" t="n"/>
      <c r="X139" s="160" t="n">
        <v>125263</v>
      </c>
      <c r="Y139" s="160" t="n">
        <v>125263</v>
      </c>
      <c r="Z139" s="155" t="n"/>
      <c r="AA139" s="160" t="n">
        <v>58025</v>
      </c>
      <c r="AB139" s="160" t="n">
        <v>9957</v>
      </c>
      <c r="AC139" s="160" t="n">
        <v>67982</v>
      </c>
      <c r="AD139" s="155" t="n"/>
      <c r="AE139" s="155" t="n"/>
      <c r="AF139" s="160" t="n">
        <v>31915</v>
      </c>
      <c r="AG139" s="155" t="n"/>
      <c r="AH139" s="160" t="n">
        <v>259645</v>
      </c>
      <c r="AI139" s="160" t="n">
        <v>0</v>
      </c>
      <c r="AJ139" s="160" t="n">
        <v>259645</v>
      </c>
      <c r="AK139" s="160" t="n">
        <v>93985</v>
      </c>
      <c r="AL139" s="155" t="n"/>
      <c r="AM139" s="269" t="inlineStr">
        <is>
          <t>Actual; tenants pay RE tax; lower R&amp;M 2024; SF est.</t>
        </is>
      </c>
      <c r="AN139">
        <f>IF(AND($B139=Subj_OccCode,Subj_BldgSF&gt;0,ABS($J139-Subj_BldgSF)&lt;=Subj_BldgSF*Subj_SizeTol),ABS($J139-Subj_BldgSF),NA())</f>
        <v/>
      </c>
      <c r="AO139">
        <f>IF(ISNA(AN139),NA(),AN139+ROW()/10000000)</f>
        <v/>
      </c>
      <c r="AR139" s="233">
        <f>IF(B139="","",IFERROR(INDEX(OCC_TABLE_DESC,MATCH(B139,OCC_TABLE_CODE,0)),"Unrecognized code"))</f>
        <v/>
      </c>
    </row>
    <row r="140" ht="30" customHeight="1" s="518">
      <c r="A140" s="155" t="inlineStr">
        <is>
          <t>P070</t>
        </is>
      </c>
      <c r="B140" s="150" t="n">
        <v>210</v>
      </c>
      <c r="C140" s="155" t="inlineStr">
        <is>
          <t>R0084242</t>
        </is>
      </c>
      <c r="D140" s="269" t="inlineStr">
        <is>
          <t>Upland Dist Ctr I (Bldg 1)</t>
        </is>
      </c>
      <c r="E140" s="155" t="inlineStr">
        <is>
          <t>Aurora</t>
        </is>
      </c>
      <c r="F140" s="155" t="inlineStr">
        <is>
          <t>CO</t>
        </is>
      </c>
      <c r="G140" s="155" t="inlineStr">
        <is>
          <t>Industrial</t>
        </is>
      </c>
      <c r="H140" s="269" t="inlineStr">
        <is>
          <t>Multi-Tenant Industrial NNN</t>
        </is>
      </c>
      <c r="I140" s="155" t="n"/>
      <c r="J140" s="155" t="n"/>
      <c r="K140" s="155" t="n">
        <v>2024</v>
      </c>
      <c r="L140" s="160" t="n">
        <v>693913</v>
      </c>
      <c r="M140" s="155" t="n"/>
      <c r="N140" s="160" t="n">
        <v>1038740</v>
      </c>
      <c r="O140" s="160" t="n">
        <v>10142</v>
      </c>
      <c r="P140" s="160" t="n">
        <v>11589</v>
      </c>
      <c r="Q140" s="155" t="n"/>
      <c r="R140" s="155" t="n"/>
      <c r="S140" s="160" t="n">
        <v>10801</v>
      </c>
      <c r="T140" s="160" t="n">
        <v>2121</v>
      </c>
      <c r="U140" s="155" t="n"/>
      <c r="V140" s="155" t="n"/>
      <c r="W140" s="155" t="n"/>
      <c r="X140" s="160" t="n">
        <v>1602</v>
      </c>
      <c r="Y140" s="160" t="n">
        <v>14524</v>
      </c>
      <c r="Z140" s="155" t="n"/>
      <c r="AA140" s="160" t="n">
        <v>10822</v>
      </c>
      <c r="AB140" s="160" t="n">
        <v>32162</v>
      </c>
      <c r="AC140" s="160" t="n">
        <v>3096</v>
      </c>
      <c r="AD140" s="160" t="n">
        <v>10863</v>
      </c>
      <c r="AE140" s="155" t="n"/>
      <c r="AF140" s="160" t="n">
        <v>10863</v>
      </c>
      <c r="AG140" s="155" t="n"/>
      <c r="AH140" s="160" t="n">
        <v>103843</v>
      </c>
      <c r="AI140" s="160" t="n">
        <v>285245</v>
      </c>
      <c r="AJ140" s="160" t="n">
        <v>389088</v>
      </c>
      <c r="AK140" s="160" t="n">
        <v>649652</v>
      </c>
      <c r="AL140" s="155" t="n"/>
      <c r="AM140" s="269" t="inlineStr">
        <is>
          <t>Link Logistics actual accrual; security $3,096 in contract; mgmt non-billable</t>
        </is>
      </c>
      <c r="AN140">
        <f>IF(AND($B140=Subj_OccCode,Subj_BldgSF&gt;0,ABS($J140-Subj_BldgSF)&lt;=Subj_BldgSF*Subj_SizeTol),ABS($J140-Subj_BldgSF),NA())</f>
        <v/>
      </c>
      <c r="AO140">
        <f>IF(ISNA(AN140),NA(),AN140+ROW()/10000000)</f>
        <v/>
      </c>
      <c r="AR140" s="233">
        <f>IF(B140="","",IFERROR(INDEX(OCC_TABLE_DESC,MATCH(B140,OCC_TABLE_CODE,0)),"Unrecognized code"))</f>
        <v/>
      </c>
    </row>
    <row r="141" ht="30" customHeight="1" s="518">
      <c r="A141" s="155" t="inlineStr">
        <is>
          <t>P070</t>
        </is>
      </c>
      <c r="B141" s="150" t="n">
        <v>210</v>
      </c>
      <c r="C141" s="155" t="inlineStr">
        <is>
          <t>R0084242</t>
        </is>
      </c>
      <c r="D141" s="269" t="inlineStr">
        <is>
          <t>Upland Dist Ctr I (Bldg 1)</t>
        </is>
      </c>
      <c r="E141" s="155" t="inlineStr">
        <is>
          <t>Aurora</t>
        </is>
      </c>
      <c r="F141" s="155" t="inlineStr">
        <is>
          <t>CO</t>
        </is>
      </c>
      <c r="G141" s="155" t="inlineStr">
        <is>
          <t>Industrial</t>
        </is>
      </c>
      <c r="H141" s="269" t="inlineStr">
        <is>
          <t>Multi-Tenant Industrial NNN</t>
        </is>
      </c>
      <c r="I141" s="155" t="n"/>
      <c r="J141" s="155" t="n"/>
      <c r="K141" s="155" t="n">
        <v>2023</v>
      </c>
      <c r="L141" s="160" t="n">
        <v>636291</v>
      </c>
      <c r="M141" s="155" t="n"/>
      <c r="N141" s="160" t="n">
        <v>1062200</v>
      </c>
      <c r="O141" s="160" t="n">
        <v>7751</v>
      </c>
      <c r="P141" s="160" t="n">
        <v>9831</v>
      </c>
      <c r="Q141" s="155" t="n"/>
      <c r="R141" s="155" t="n"/>
      <c r="S141" s="160" t="n">
        <v>6802</v>
      </c>
      <c r="T141" s="160" t="n">
        <v>2340</v>
      </c>
      <c r="U141" s="155" t="n"/>
      <c r="V141" s="155" t="n"/>
      <c r="W141" s="155" t="n"/>
      <c r="X141" s="160" t="n">
        <v>1498</v>
      </c>
      <c r="Y141" s="160" t="n">
        <v>10640</v>
      </c>
      <c r="Z141" s="155" t="n"/>
      <c r="AA141" s="160" t="n">
        <v>12695</v>
      </c>
      <c r="AB141" s="160" t="n">
        <v>15327</v>
      </c>
      <c r="AC141" s="160" t="n">
        <v>3871</v>
      </c>
      <c r="AD141" s="160" t="n">
        <v>18104</v>
      </c>
      <c r="AE141" s="155" t="n"/>
      <c r="AF141" s="160" t="n">
        <v>18104</v>
      </c>
      <c r="AG141" s="155" t="n"/>
      <c r="AH141" s="160" t="n">
        <v>93172</v>
      </c>
      <c r="AI141" s="160" t="n">
        <v>284308</v>
      </c>
      <c r="AJ141" s="160" t="n">
        <v>377480</v>
      </c>
      <c r="AK141" s="160" t="n">
        <v>684720</v>
      </c>
      <c r="AL141" s="155" t="n"/>
      <c r="AM141" s="269" t="inlineStr">
        <is>
          <t>Link Logistics actual accrual; security $3,871 in contract; mgmt non-billable</t>
        </is>
      </c>
      <c r="AN141">
        <f>IF(AND($B141=Subj_OccCode,Subj_BldgSF&gt;0,ABS($J141-Subj_BldgSF)&lt;=Subj_BldgSF*Subj_SizeTol),ABS($J141-Subj_BldgSF),NA())</f>
        <v/>
      </c>
      <c r="AO141">
        <f>IF(ISNA(AN141),NA(),AN141+ROW()/10000000)</f>
        <v/>
      </c>
      <c r="AR141" s="233">
        <f>IF(B141="","",IFERROR(INDEX(OCC_TABLE_DESC,MATCH(B141,OCC_TABLE_CODE,0)),"Unrecognized code"))</f>
        <v/>
      </c>
    </row>
    <row r="142" ht="15" customHeight="1" s="518">
      <c r="A142" s="155" t="inlineStr">
        <is>
          <t>P071</t>
        </is>
      </c>
      <c r="B142" s="150" t="n">
        <v>210</v>
      </c>
      <c r="C142" s="155" t="inlineStr">
        <is>
          <t>R0084243</t>
        </is>
      </c>
      <c r="D142" s="269" t="inlineStr">
        <is>
          <t>Upland Dist Ctr I (Bldg 2)</t>
        </is>
      </c>
      <c r="E142" s="155" t="inlineStr">
        <is>
          <t>Aurora</t>
        </is>
      </c>
      <c r="F142" s="155" t="inlineStr">
        <is>
          <t>CO</t>
        </is>
      </c>
      <c r="G142" s="155" t="inlineStr">
        <is>
          <t>Industrial</t>
        </is>
      </c>
      <c r="H142" s="269" t="inlineStr">
        <is>
          <t>Multi-Tenant Industrial NNN</t>
        </is>
      </c>
      <c r="I142" s="155" t="n"/>
      <c r="J142" s="155" t="n"/>
      <c r="K142" s="155" t="n">
        <v>2024</v>
      </c>
      <c r="L142" s="160" t="n">
        <v>559154</v>
      </c>
      <c r="M142" s="155" t="n"/>
      <c r="N142" s="160" t="n">
        <v>904777</v>
      </c>
      <c r="O142" s="160" t="n">
        <v>9318</v>
      </c>
      <c r="P142" s="160" t="n">
        <v>8966</v>
      </c>
      <c r="Q142" s="155" t="n"/>
      <c r="R142" s="155" t="n"/>
      <c r="S142" s="160" t="n">
        <v>5962</v>
      </c>
      <c r="T142" s="160" t="n">
        <v>2221</v>
      </c>
      <c r="U142" s="160" t="n">
        <v>2465</v>
      </c>
      <c r="V142" s="155" t="n"/>
      <c r="W142" s="155" t="n"/>
      <c r="X142" s="160" t="n">
        <v>1589</v>
      </c>
      <c r="Y142" s="160" t="n">
        <v>12237</v>
      </c>
      <c r="Z142" s="155" t="n"/>
      <c r="AA142" s="160" t="n">
        <v>11302</v>
      </c>
      <c r="AB142" s="160" t="n">
        <v>32413</v>
      </c>
      <c r="AC142" s="160" t="n">
        <v>3096</v>
      </c>
      <c r="AD142" s="160" t="n">
        <v>23773</v>
      </c>
      <c r="AE142" s="155" t="n"/>
      <c r="AF142" s="160" t="n">
        <v>23773</v>
      </c>
      <c r="AG142" s="155" t="n"/>
      <c r="AH142" s="160" t="n">
        <v>130296</v>
      </c>
      <c r="AI142" s="160" t="n">
        <v>265848</v>
      </c>
      <c r="AJ142" s="160" t="n">
        <v>396144</v>
      </c>
      <c r="AK142" s="160" t="n">
        <v>508633</v>
      </c>
      <c r="AL142" s="155" t="n"/>
      <c r="AM142" s="269" t="inlineStr">
        <is>
          <t>Link Logistics actual accrual</t>
        </is>
      </c>
      <c r="AN142">
        <f>IF(AND($B142=Subj_OccCode,Subj_BldgSF&gt;0,ABS($J142-Subj_BldgSF)&lt;=Subj_BldgSF*Subj_SizeTol),ABS($J142-Subj_BldgSF),NA())</f>
        <v/>
      </c>
      <c r="AO142">
        <f>IF(ISNA(AN142),NA(),AN142+ROW()/10000000)</f>
        <v/>
      </c>
      <c r="AR142" s="233">
        <f>IF(B142="","",IFERROR(INDEX(OCC_TABLE_DESC,MATCH(B142,OCC_TABLE_CODE,0)),"Unrecognized code"))</f>
        <v/>
      </c>
    </row>
    <row r="143" ht="15" customHeight="1" s="518">
      <c r="A143" s="155" t="inlineStr">
        <is>
          <t>P071</t>
        </is>
      </c>
      <c r="B143" s="150" t="n">
        <v>210</v>
      </c>
      <c r="C143" s="155" t="inlineStr">
        <is>
          <t>R0084243</t>
        </is>
      </c>
      <c r="D143" s="269" t="inlineStr">
        <is>
          <t>Upland Dist Ctr I (Bldg 2)</t>
        </is>
      </c>
      <c r="E143" s="155" t="inlineStr">
        <is>
          <t>Aurora</t>
        </is>
      </c>
      <c r="F143" s="155" t="inlineStr">
        <is>
          <t>CO</t>
        </is>
      </c>
      <c r="G143" s="155" t="inlineStr">
        <is>
          <t>Industrial</t>
        </is>
      </c>
      <c r="H143" s="269" t="inlineStr">
        <is>
          <t>Multi-Tenant Industrial NNN</t>
        </is>
      </c>
      <c r="I143" s="155" t="n"/>
      <c r="J143" s="155" t="n"/>
      <c r="K143" s="155" t="n">
        <v>2023</v>
      </c>
      <c r="L143" s="160" t="n">
        <v>671895</v>
      </c>
      <c r="M143" s="155" t="n"/>
      <c r="N143" s="160" t="n">
        <v>1034507</v>
      </c>
      <c r="O143" s="160" t="n">
        <v>7124</v>
      </c>
      <c r="P143" s="160" t="n">
        <v>9660</v>
      </c>
      <c r="Q143" s="155" t="n"/>
      <c r="R143" s="155" t="n"/>
      <c r="S143" s="160" t="n">
        <v>5338</v>
      </c>
      <c r="T143" s="160" t="n">
        <v>2480</v>
      </c>
      <c r="U143" s="160" t="n">
        <v>875</v>
      </c>
      <c r="V143" s="155" t="n"/>
      <c r="W143" s="155" t="n"/>
      <c r="X143" s="160" t="n">
        <v>1484</v>
      </c>
      <c r="Y143" s="160" t="n">
        <v>10177</v>
      </c>
      <c r="Z143" s="155" t="n"/>
      <c r="AA143" s="160" t="n">
        <v>8120</v>
      </c>
      <c r="AB143" s="160" t="n">
        <v>15088</v>
      </c>
      <c r="AC143" s="160" t="n">
        <v>3871</v>
      </c>
      <c r="AD143" s="160" t="n">
        <v>13983</v>
      </c>
      <c r="AE143" s="155" t="n"/>
      <c r="AF143" s="160" t="n">
        <v>13983</v>
      </c>
      <c r="AG143" s="155" t="n"/>
      <c r="AH143" s="160" t="n">
        <v>29277</v>
      </c>
      <c r="AI143" s="160" t="n">
        <v>265936</v>
      </c>
      <c r="AJ143" s="160" t="n">
        <v>295213</v>
      </c>
      <c r="AK143" s="160" t="n">
        <v>739294</v>
      </c>
      <c r="AL143" s="155" t="n"/>
      <c r="AM143" s="269" t="inlineStr">
        <is>
          <t>Link Logistics actual accrual</t>
        </is>
      </c>
      <c r="AN143">
        <f>IF(AND($B143=Subj_OccCode,Subj_BldgSF&gt;0,ABS($J143-Subj_BldgSF)&lt;=Subj_BldgSF*Subj_SizeTol),ABS($J143-Subj_BldgSF),NA())</f>
        <v/>
      </c>
      <c r="AO143">
        <f>IF(ISNA(AN143),NA(),AN143+ROW()/10000000)</f>
        <v/>
      </c>
      <c r="AR143" s="233">
        <f>IF(B143="","",IFERROR(INDEX(OCC_TABLE_DESC,MATCH(B143,OCC_TABLE_CODE,0)),"Unrecognized code"))</f>
        <v/>
      </c>
    </row>
    <row r="144" ht="30" customHeight="1" s="518">
      <c r="A144" s="155" t="inlineStr">
        <is>
          <t>P072</t>
        </is>
      </c>
      <c r="B144" s="150" t="n">
        <v>210</v>
      </c>
      <c r="C144" s="155" t="inlineStr">
        <is>
          <t>R0084244</t>
        </is>
      </c>
      <c r="D144" s="269" t="inlineStr">
        <is>
          <t>Upland Dist Ctr I (Bldg 3)</t>
        </is>
      </c>
      <c r="E144" s="155" t="inlineStr">
        <is>
          <t>Aurora</t>
        </is>
      </c>
      <c r="F144" s="155" t="inlineStr">
        <is>
          <t>CO</t>
        </is>
      </c>
      <c r="G144" s="155" t="inlineStr">
        <is>
          <t>Industrial</t>
        </is>
      </c>
      <c r="H144" s="269" t="inlineStr">
        <is>
          <t>Multi-Tenant Industrial NNN</t>
        </is>
      </c>
      <c r="I144" s="155" t="n"/>
      <c r="J144" s="155" t="n"/>
      <c r="K144" s="155" t="n">
        <v>2023</v>
      </c>
      <c r="L144" s="160" t="n">
        <v>633240</v>
      </c>
      <c r="M144" s="155" t="n"/>
      <c r="N144" s="160" t="n">
        <v>1026818</v>
      </c>
      <c r="O144" s="160" t="n">
        <v>6101</v>
      </c>
      <c r="P144" s="160" t="n">
        <v>8518</v>
      </c>
      <c r="Q144" s="155" t="n"/>
      <c r="R144" s="155" t="n"/>
      <c r="S144" s="160" t="n">
        <v>32990</v>
      </c>
      <c r="T144" s="160" t="n">
        <v>1965</v>
      </c>
      <c r="U144" s="155" t="n"/>
      <c r="V144" s="155" t="n"/>
      <c r="W144" s="155" t="n"/>
      <c r="X144" s="160" t="n">
        <v>1498</v>
      </c>
      <c r="Y144" s="160" t="n">
        <v>34453</v>
      </c>
      <c r="Z144" s="155" t="n"/>
      <c r="AA144" s="160" t="n">
        <v>11861</v>
      </c>
      <c r="AB144" s="160" t="n">
        <v>15620</v>
      </c>
      <c r="AC144" s="160" t="n">
        <v>3871</v>
      </c>
      <c r="AD144" s="160" t="n">
        <v>5672</v>
      </c>
      <c r="AE144" s="160" t="n">
        <v>3430</v>
      </c>
      <c r="AF144" s="160" t="n">
        <v>9102</v>
      </c>
      <c r="AG144" s="155" t="n"/>
      <c r="AH144" s="160" t="n">
        <v>107544</v>
      </c>
      <c r="AI144" s="160" t="n">
        <v>284308</v>
      </c>
      <c r="AJ144" s="160" t="n">
        <v>391852</v>
      </c>
      <c r="AK144" s="160" t="n">
        <v>634966</v>
      </c>
      <c r="AL144" s="155" t="n"/>
      <c r="AM144" s="269" t="inlineStr">
        <is>
          <t>Link Logistics 2023 only; large warehouse; notable free rent ($111k) and lease-up period</t>
        </is>
      </c>
      <c r="AN144">
        <f>IF(AND($B144=Subj_OccCode,Subj_BldgSF&gt;0,ABS($J144-Subj_BldgSF)&lt;=Subj_BldgSF*Subj_SizeTol),ABS($J144-Subj_BldgSF),NA())</f>
        <v/>
      </c>
      <c r="AO144">
        <f>IF(ISNA(AN144),NA(),AN144+ROW()/10000000)</f>
        <v/>
      </c>
      <c r="AR144" s="233">
        <f>IF(B144="","",IFERROR(INDEX(OCC_TABLE_DESC,MATCH(B144,OCC_TABLE_CODE,0)),"Unrecognized code"))</f>
        <v/>
      </c>
    </row>
    <row r="145" ht="15" customHeight="1" s="518">
      <c r="A145" s="155" t="inlineStr">
        <is>
          <t>P073</t>
        </is>
      </c>
      <c r="B145" s="150" t="n">
        <v>210</v>
      </c>
      <c r="C145" s="155" t="inlineStr">
        <is>
          <t>R0084247</t>
        </is>
      </c>
      <c r="D145" s="269" t="inlineStr">
        <is>
          <t>13802 E 33rd Place</t>
        </is>
      </c>
      <c r="E145" s="155" t="inlineStr">
        <is>
          <t>Aurora</t>
        </is>
      </c>
      <c r="F145" s="155" t="inlineStr">
        <is>
          <t>CO</t>
        </is>
      </c>
      <c r="G145" s="155" t="inlineStr">
        <is>
          <t>Industrial</t>
        </is>
      </c>
      <c r="H145" s="269" t="inlineStr">
        <is>
          <t>Multi-Tenant Industrial NNN</t>
        </is>
      </c>
      <c r="I145" s="155" t="n"/>
      <c r="J145" s="155" t="n"/>
      <c r="K145" s="155" t="n">
        <v>2024</v>
      </c>
      <c r="L145" s="160" t="n">
        <v>318721</v>
      </c>
      <c r="M145" s="155" t="n"/>
      <c r="N145" s="160" t="n">
        <v>578332</v>
      </c>
      <c r="O145" s="160" t="n">
        <v>7156</v>
      </c>
      <c r="P145" s="160" t="n">
        <v>5471</v>
      </c>
      <c r="Q145" s="155" t="n"/>
      <c r="R145" s="155" t="n"/>
      <c r="S145" s="160" t="n">
        <v>8874</v>
      </c>
      <c r="T145" s="160" t="n">
        <v>1655</v>
      </c>
      <c r="U145" s="155" t="n"/>
      <c r="V145" s="155" t="n"/>
      <c r="W145" s="155" t="n"/>
      <c r="X145" s="160" t="n">
        <v>1556</v>
      </c>
      <c r="Y145" s="160" t="n">
        <v>12085</v>
      </c>
      <c r="Z145" s="155" t="n"/>
      <c r="AA145" s="160" t="n">
        <v>9686</v>
      </c>
      <c r="AB145" s="160" t="n">
        <v>20653</v>
      </c>
      <c r="AC145" s="160" t="n">
        <v>6987</v>
      </c>
      <c r="AD145" s="160" t="n">
        <v>10547</v>
      </c>
      <c r="AE145" s="160" t="n">
        <v>1600</v>
      </c>
      <c r="AF145" s="160" t="n">
        <v>12147</v>
      </c>
      <c r="AG145" s="155" t="n"/>
      <c r="AH145" s="160" t="n">
        <v>91002</v>
      </c>
      <c r="AI145" s="160" t="n">
        <v>204010</v>
      </c>
      <c r="AJ145" s="160" t="n">
        <v>295012</v>
      </c>
      <c r="AK145" s="160" t="n">
        <v>283320</v>
      </c>
      <c r="AL145" s="155" t="n"/>
      <c r="AM145" s="269" t="inlineStr">
        <is>
          <t>Link Logistics actual accrual</t>
        </is>
      </c>
      <c r="AN145">
        <f>IF(AND($B145=Subj_OccCode,Subj_BldgSF&gt;0,ABS($J145-Subj_BldgSF)&lt;=Subj_BldgSF*Subj_SizeTol),ABS($J145-Subj_BldgSF),NA())</f>
        <v/>
      </c>
      <c r="AO145">
        <f>IF(ISNA(AN145),NA(),AN145+ROW()/10000000)</f>
        <v/>
      </c>
      <c r="AR145" s="233">
        <f>IF(B145="","",IFERROR(INDEX(OCC_TABLE_DESC,MATCH(B145,OCC_TABLE_CODE,0)),"Unrecognized code"))</f>
        <v/>
      </c>
    </row>
    <row r="146" ht="15" customHeight="1" s="518">
      <c r="A146" s="155" t="inlineStr">
        <is>
          <t>P073</t>
        </is>
      </c>
      <c r="B146" s="150" t="n">
        <v>210</v>
      </c>
      <c r="C146" s="155" t="inlineStr">
        <is>
          <t>R0084247</t>
        </is>
      </c>
      <c r="D146" s="269" t="inlineStr">
        <is>
          <t>13802 E 33rd Place</t>
        </is>
      </c>
      <c r="E146" s="155" t="inlineStr">
        <is>
          <t>Aurora</t>
        </is>
      </c>
      <c r="F146" s="155" t="inlineStr">
        <is>
          <t>CO</t>
        </is>
      </c>
      <c r="G146" s="155" t="inlineStr">
        <is>
          <t>Industrial</t>
        </is>
      </c>
      <c r="H146" s="269" t="inlineStr">
        <is>
          <t>Multi-Tenant Industrial NNN</t>
        </is>
      </c>
      <c r="I146" s="155" t="n"/>
      <c r="J146" s="155" t="n"/>
      <c r="K146" s="155" t="n">
        <v>2023</v>
      </c>
      <c r="L146" s="160" t="n">
        <v>394581</v>
      </c>
      <c r="M146" s="155" t="n"/>
      <c r="N146" s="160" t="n">
        <v>671481</v>
      </c>
      <c r="O146" s="160" t="n">
        <v>6075</v>
      </c>
      <c r="P146" s="160" t="n">
        <v>5987</v>
      </c>
      <c r="Q146" s="155" t="n"/>
      <c r="R146" s="155" t="n"/>
      <c r="S146" s="160" t="n">
        <v>7762</v>
      </c>
      <c r="T146" s="160" t="n">
        <v>1575</v>
      </c>
      <c r="U146" s="155" t="n"/>
      <c r="V146" s="155" t="n"/>
      <c r="W146" s="155" t="n"/>
      <c r="X146" s="160" t="n">
        <v>1452</v>
      </c>
      <c r="Y146" s="160" t="n">
        <v>10789</v>
      </c>
      <c r="Z146" s="155" t="n"/>
      <c r="AA146" s="160" t="n">
        <v>11249</v>
      </c>
      <c r="AB146" s="160" t="n">
        <v>12318</v>
      </c>
      <c r="AC146" s="160" t="n">
        <v>6967</v>
      </c>
      <c r="AD146" s="160" t="n">
        <v>11424</v>
      </c>
      <c r="AE146" s="160" t="n">
        <v>1898</v>
      </c>
      <c r="AF146" s="160" t="n">
        <v>13322</v>
      </c>
      <c r="AG146" s="155" t="n"/>
      <c r="AH146" s="160" t="n">
        <v>37127</v>
      </c>
      <c r="AI146" s="160" t="n">
        <v>204497</v>
      </c>
      <c r="AJ146" s="160" t="n">
        <v>241624</v>
      </c>
      <c r="AK146" s="160" t="n">
        <v>429857</v>
      </c>
      <c r="AL146" s="155" t="n"/>
      <c r="AM146" s="269" t="inlineStr">
        <is>
          <t>Link Logistics actual accrual</t>
        </is>
      </c>
      <c r="AN146">
        <f>IF(AND($B146=Subj_OccCode,Subj_BldgSF&gt;0,ABS($J146-Subj_BldgSF)&lt;=Subj_BldgSF*Subj_SizeTol),ABS($J146-Subj_BldgSF),NA())</f>
        <v/>
      </c>
      <c r="AO146">
        <f>IF(ISNA(AN146),NA(),AN146+ROW()/10000000)</f>
        <v/>
      </c>
      <c r="AR146" s="233">
        <f>IF(B146="","",IFERROR(INDEX(OCC_TABLE_DESC,MATCH(B146,OCC_TABLE_CODE,0)),"Unrecognized code"))</f>
        <v/>
      </c>
    </row>
    <row r="147" ht="30" customHeight="1" s="518">
      <c r="A147" s="155" t="inlineStr">
        <is>
          <t>P074</t>
        </is>
      </c>
      <c r="B147" s="150" t="n">
        <v>210</v>
      </c>
      <c r="C147" s="155" t="inlineStr">
        <is>
          <t>R0084248</t>
        </is>
      </c>
      <c r="D147" s="269" t="inlineStr">
        <is>
          <t>14002 E 33rd Place</t>
        </is>
      </c>
      <c r="E147" s="155" t="inlineStr">
        <is>
          <t>Aurora</t>
        </is>
      </c>
      <c r="F147" s="155" t="inlineStr">
        <is>
          <t>CO</t>
        </is>
      </c>
      <c r="G147" s="155" t="inlineStr">
        <is>
          <t>Industrial</t>
        </is>
      </c>
      <c r="H147" s="269" t="inlineStr">
        <is>
          <t>Multi-Tenant Industrial NNN</t>
        </is>
      </c>
      <c r="I147" s="155" t="n"/>
      <c r="J147" s="155" t="n"/>
      <c r="K147" s="155" t="n">
        <v>2024</v>
      </c>
      <c r="L147" s="160" t="n">
        <v>352733</v>
      </c>
      <c r="M147" s="155" t="n"/>
      <c r="N147" s="160" t="n">
        <v>649568</v>
      </c>
      <c r="O147" s="160" t="n">
        <v>6988</v>
      </c>
      <c r="P147" s="160" t="n">
        <v>6207</v>
      </c>
      <c r="Q147" s="155" t="n"/>
      <c r="R147" s="155" t="n"/>
      <c r="S147" s="160" t="n">
        <v>16981</v>
      </c>
      <c r="T147" s="160" t="n">
        <v>1800</v>
      </c>
      <c r="U147" s="155" t="n"/>
      <c r="V147" s="155" t="n"/>
      <c r="W147" s="155" t="n"/>
      <c r="X147" s="160" t="n">
        <v>1556</v>
      </c>
      <c r="Y147" s="160" t="n">
        <v>20337</v>
      </c>
      <c r="Z147" s="155" t="n"/>
      <c r="AA147" s="160" t="n">
        <v>8036</v>
      </c>
      <c r="AB147" s="160" t="n">
        <v>22795</v>
      </c>
      <c r="AC147" s="160" t="n">
        <v>6988</v>
      </c>
      <c r="AD147" s="160" t="n">
        <v>8875</v>
      </c>
      <c r="AE147" s="155" t="n"/>
      <c r="AF147" s="160" t="n">
        <v>8875</v>
      </c>
      <c r="AG147" s="155" t="n"/>
      <c r="AH147" s="160" t="n">
        <v>94654</v>
      </c>
      <c r="AI147" s="160" t="n">
        <v>204010</v>
      </c>
      <c r="AJ147" s="160" t="n">
        <v>298664</v>
      </c>
      <c r="AK147" s="160" t="n">
        <v>350904</v>
      </c>
      <c r="AL147" s="155" t="n"/>
      <c r="AM147" s="269" t="inlineStr">
        <is>
          <t>Link Logistics actual; 2023 RE tax net $53k refund; 2024 normal rate</t>
        </is>
      </c>
      <c r="AN147">
        <f>IF(AND($B147=Subj_OccCode,Subj_BldgSF&gt;0,ABS($J147-Subj_BldgSF)&lt;=Subj_BldgSF*Subj_SizeTol),ABS($J147-Subj_BldgSF),NA())</f>
        <v/>
      </c>
      <c r="AO147">
        <f>IF(ISNA(AN147),NA(),AN147+ROW()/10000000)</f>
        <v/>
      </c>
      <c r="AR147" s="233">
        <f>IF(B147="","",IFERROR(INDEX(OCC_TABLE_DESC,MATCH(B147,OCC_TABLE_CODE,0)),"Unrecognized code"))</f>
        <v/>
      </c>
    </row>
    <row r="148" ht="30" customHeight="1" s="518">
      <c r="A148" s="155" t="inlineStr">
        <is>
          <t>P074</t>
        </is>
      </c>
      <c r="B148" s="150" t="n">
        <v>210</v>
      </c>
      <c r="C148" s="155" t="inlineStr">
        <is>
          <t>R0084248</t>
        </is>
      </c>
      <c r="D148" s="269" t="inlineStr">
        <is>
          <t>14002 E 33rd Place</t>
        </is>
      </c>
      <c r="E148" s="155" t="inlineStr">
        <is>
          <t>Aurora</t>
        </is>
      </c>
      <c r="F148" s="155" t="inlineStr">
        <is>
          <t>CO</t>
        </is>
      </c>
      <c r="G148" s="155" t="inlineStr">
        <is>
          <t>Industrial</t>
        </is>
      </c>
      <c r="H148" s="269" t="inlineStr">
        <is>
          <t>Multi-Tenant Industrial NNN</t>
        </is>
      </c>
      <c r="I148" s="155" t="n"/>
      <c r="J148" s="155" t="n"/>
      <c r="K148" s="155" t="n">
        <v>2023</v>
      </c>
      <c r="L148" s="160" t="n">
        <v>345583</v>
      </c>
      <c r="M148" s="155" t="n"/>
      <c r="N148" s="160" t="n">
        <v>582999</v>
      </c>
      <c r="O148" s="160" t="n">
        <v>6051</v>
      </c>
      <c r="P148" s="160" t="n">
        <v>6115</v>
      </c>
      <c r="Q148" s="155" t="n"/>
      <c r="R148" s="155" t="n"/>
      <c r="S148" s="160" t="n">
        <v>4932</v>
      </c>
      <c r="T148" s="160" t="n">
        <v>1822</v>
      </c>
      <c r="U148" s="155" t="n"/>
      <c r="V148" s="155" t="n"/>
      <c r="W148" s="155" t="n"/>
      <c r="X148" s="160" t="n">
        <v>1452</v>
      </c>
      <c r="Y148" s="160" t="n">
        <v>8206</v>
      </c>
      <c r="Z148" s="155" t="n"/>
      <c r="AA148" s="160" t="n">
        <v>6275</v>
      </c>
      <c r="AB148" s="160" t="n">
        <v>13573</v>
      </c>
      <c r="AC148" s="160" t="n">
        <v>6967</v>
      </c>
      <c r="AD148" s="160" t="n">
        <v>11933</v>
      </c>
      <c r="AE148" s="155" t="n"/>
      <c r="AF148" s="160" t="n">
        <v>11933</v>
      </c>
      <c r="AG148" s="155" t="n"/>
      <c r="AH148" s="160" t="n">
        <v>71541</v>
      </c>
      <c r="AI148" s="160" t="n">
        <v>162088</v>
      </c>
      <c r="AJ148" s="160" t="n">
        <v>233629</v>
      </c>
      <c r="AK148" s="160" t="n">
        <v>349370</v>
      </c>
      <c r="AL148" s="155" t="n"/>
      <c r="AM148" s="269" t="inlineStr">
        <is>
          <t>Link Logistics actual; 2023 RE tax net $53k refund; 2024 normal rate</t>
        </is>
      </c>
      <c r="AN148">
        <f>IF(AND($B148=Subj_OccCode,Subj_BldgSF&gt;0,ABS($J148-Subj_BldgSF)&lt;=Subj_BldgSF*Subj_SizeTol),ABS($J148-Subj_BldgSF),NA())</f>
        <v/>
      </c>
      <c r="AO148">
        <f>IF(ISNA(AN148),NA(),AN148+ROW()/10000000)</f>
        <v/>
      </c>
      <c r="AR148" s="233">
        <f>IF(B148="","",IFERROR(INDEX(OCC_TABLE_DESC,MATCH(B148,OCC_TABLE_CODE,0)),"Unrecognized code"))</f>
        <v/>
      </c>
    </row>
    <row r="149" ht="30" customHeight="1" s="518">
      <c r="A149" s="155" t="inlineStr">
        <is>
          <t>P075</t>
        </is>
      </c>
      <c r="B149" s="150" t="n">
        <v>210</v>
      </c>
      <c r="C149" s="155" t="inlineStr">
        <is>
          <t>R0084250</t>
        </is>
      </c>
      <c r="D149" s="269" t="inlineStr">
        <is>
          <t>3250 Abilene Street</t>
        </is>
      </c>
      <c r="E149" s="155" t="inlineStr">
        <is>
          <t>Aurora</t>
        </is>
      </c>
      <c r="F149" s="155" t="inlineStr">
        <is>
          <t>CO</t>
        </is>
      </c>
      <c r="G149" s="155" t="inlineStr">
        <is>
          <t>Industrial</t>
        </is>
      </c>
      <c r="H149" s="269" t="inlineStr">
        <is>
          <t>Multi-Tenant Industrial NNN</t>
        </is>
      </c>
      <c r="I149" s="155" t="n"/>
      <c r="J149" s="155" t="n"/>
      <c r="K149" s="155" t="n">
        <v>2024</v>
      </c>
      <c r="L149" s="160" t="n">
        <v>406844</v>
      </c>
      <c r="M149" s="155" t="n"/>
      <c r="N149" s="160" t="n">
        <v>797212</v>
      </c>
      <c r="O149" s="160" t="n">
        <v>45992</v>
      </c>
      <c r="P149" s="160" t="n">
        <v>6921</v>
      </c>
      <c r="Q149" s="155" t="n"/>
      <c r="R149" s="155" t="n"/>
      <c r="S149" s="160" t="n">
        <v>10380</v>
      </c>
      <c r="T149" s="160" t="n">
        <v>3470</v>
      </c>
      <c r="U149" s="160" t="n">
        <v>2000</v>
      </c>
      <c r="V149" s="155" t="n"/>
      <c r="W149" s="155" t="n"/>
      <c r="X149" s="160" t="n">
        <v>1676</v>
      </c>
      <c r="Y149" s="160" t="n">
        <v>17526</v>
      </c>
      <c r="Z149" s="155" t="n"/>
      <c r="AA149" s="160" t="n">
        <v>8417</v>
      </c>
      <c r="AB149" s="160" t="n">
        <v>30101</v>
      </c>
      <c r="AC149" s="160" t="n">
        <v>8211</v>
      </c>
      <c r="AD149" s="160" t="n">
        <v>12042</v>
      </c>
      <c r="AE149" s="160" t="n">
        <v>3218</v>
      </c>
      <c r="AF149" s="160" t="n">
        <v>15260</v>
      </c>
      <c r="AG149" s="155" t="n"/>
      <c r="AH149" s="160" t="n">
        <v>180865</v>
      </c>
      <c r="AI149" s="160" t="n">
        <v>410137</v>
      </c>
      <c r="AJ149" s="160" t="n">
        <v>591002</v>
      </c>
      <c r="AK149" s="160" t="n">
        <v>206210</v>
      </c>
      <c r="AL149" s="155" t="n"/>
      <c r="AM149" s="269" t="inlineStr">
        <is>
          <t>Link Logistics actual; 2024 tenant turnover – NOI depressed; base rent $787k→$407k; 2024 ins inflated by $25k deductible</t>
        </is>
      </c>
      <c r="AN149">
        <f>IF(AND($B149=Subj_OccCode,Subj_BldgSF&gt;0,ABS($J149-Subj_BldgSF)&lt;=Subj_BldgSF*Subj_SizeTol),ABS($J149-Subj_BldgSF),NA())</f>
        <v/>
      </c>
      <c r="AO149">
        <f>IF(ISNA(AN149),NA(),AN149+ROW()/10000000)</f>
        <v/>
      </c>
      <c r="AR149" s="233">
        <f>IF(B149="","",IFERROR(INDEX(OCC_TABLE_DESC,MATCH(B149,OCC_TABLE_CODE,0)),"Unrecognized code"))</f>
        <v/>
      </c>
    </row>
    <row r="150" ht="30" customHeight="1" s="518">
      <c r="A150" s="155" t="inlineStr">
        <is>
          <t>P075</t>
        </is>
      </c>
      <c r="B150" s="150" t="n">
        <v>210</v>
      </c>
      <c r="C150" s="155" t="inlineStr">
        <is>
          <t>R0084250</t>
        </is>
      </c>
      <c r="D150" s="269" t="inlineStr">
        <is>
          <t>3250 Abilene Street</t>
        </is>
      </c>
      <c r="E150" s="155" t="inlineStr">
        <is>
          <t>Aurora</t>
        </is>
      </c>
      <c r="F150" s="155" t="inlineStr">
        <is>
          <t>CO</t>
        </is>
      </c>
      <c r="G150" s="155" t="inlineStr">
        <is>
          <t>Industrial</t>
        </is>
      </c>
      <c r="H150" s="269" t="inlineStr">
        <is>
          <t>Multi-Tenant Industrial NNN</t>
        </is>
      </c>
      <c r="I150" s="155" t="n"/>
      <c r="J150" s="155" t="n"/>
      <c r="K150" s="155" t="n">
        <v>2023</v>
      </c>
      <c r="L150" s="160" t="n">
        <v>787792</v>
      </c>
      <c r="M150" s="155" t="n"/>
      <c r="N150" s="160" t="n">
        <v>1333856</v>
      </c>
      <c r="O150" s="160" t="n">
        <v>12351</v>
      </c>
      <c r="P150" s="160" t="n">
        <v>13140</v>
      </c>
      <c r="Q150" s="155" t="n"/>
      <c r="R150" s="155" t="n"/>
      <c r="S150" s="160" t="n">
        <v>10370</v>
      </c>
      <c r="T150" s="160" t="n">
        <v>3061</v>
      </c>
      <c r="U150" s="160" t="n">
        <v>0</v>
      </c>
      <c r="V150" s="155" t="n"/>
      <c r="W150" s="155" t="n"/>
      <c r="X150" s="160" t="n">
        <v>1572</v>
      </c>
      <c r="Y150" s="160" t="n">
        <v>15003</v>
      </c>
      <c r="Z150" s="155" t="n"/>
      <c r="AA150" s="160" t="n">
        <v>24879</v>
      </c>
      <c r="AB150" s="160" t="n">
        <v>16871</v>
      </c>
      <c r="AC150" s="160" t="n">
        <v>7678</v>
      </c>
      <c r="AD150" s="160" t="n">
        <v>12785</v>
      </c>
      <c r="AE150" s="155" t="n"/>
      <c r="AF150" s="160" t="n">
        <v>12785</v>
      </c>
      <c r="AG150" s="155" t="n"/>
      <c r="AH150" s="160" t="n">
        <v>123031</v>
      </c>
      <c r="AI150" s="160" t="n">
        <v>409295</v>
      </c>
      <c r="AJ150" s="160" t="n">
        <v>532326</v>
      </c>
      <c r="AK150" s="160" t="n">
        <v>801530</v>
      </c>
      <c r="AL150" s="155" t="n"/>
      <c r="AM150" s="269" t="inlineStr">
        <is>
          <t>Link Logistics actual; 2023 stable; 2024 ins inflated by $25k deductible</t>
        </is>
      </c>
      <c r="AN150">
        <f>IF(AND($B150=Subj_OccCode,Subj_BldgSF&gt;0,ABS($J150-Subj_BldgSF)&lt;=Subj_BldgSF*Subj_SizeTol),ABS($J150-Subj_BldgSF),NA())</f>
        <v/>
      </c>
      <c r="AO150">
        <f>IF(ISNA(AN150),NA(),AN150+ROW()/10000000)</f>
        <v/>
      </c>
      <c r="AR150" s="233">
        <f>IF(B150="","",IFERROR(INDEX(OCC_TABLE_DESC,MATCH(B150,OCC_TABLE_CODE,0)),"Unrecognized code"))</f>
        <v/>
      </c>
    </row>
    <row r="151" ht="15" customHeight="1" s="518">
      <c r="A151" s="155" t="inlineStr">
        <is>
          <t>P076</t>
        </is>
      </c>
      <c r="B151" s="150" t="n">
        <v>210</v>
      </c>
      <c r="C151" s="155" t="inlineStr">
        <is>
          <t>R0084253</t>
        </is>
      </c>
      <c r="D151" s="269" t="inlineStr">
        <is>
          <t>14509 E 33rd Place</t>
        </is>
      </c>
      <c r="E151" s="155" t="inlineStr">
        <is>
          <t>Aurora</t>
        </is>
      </c>
      <c r="F151" s="155" t="inlineStr">
        <is>
          <t>CO</t>
        </is>
      </c>
      <c r="G151" s="155" t="inlineStr">
        <is>
          <t>Industrial</t>
        </is>
      </c>
      <c r="H151" s="269" t="inlineStr">
        <is>
          <t>Multi-Tenant Industrial NNN</t>
        </is>
      </c>
      <c r="I151" s="155" t="n"/>
      <c r="J151" s="155" t="n"/>
      <c r="K151" s="155" t="n">
        <v>2024</v>
      </c>
      <c r="L151" s="160" t="n">
        <v>987101</v>
      </c>
      <c r="M151" s="155" t="n"/>
      <c r="N151" s="160" t="n">
        <v>1613814</v>
      </c>
      <c r="O151" s="160" t="n">
        <v>26027</v>
      </c>
      <c r="P151" s="160" t="n">
        <v>17785</v>
      </c>
      <c r="Q151" s="155" t="n"/>
      <c r="R151" s="155" t="n"/>
      <c r="S151" s="160" t="n">
        <v>9496</v>
      </c>
      <c r="T151" s="160" t="n">
        <v>2104</v>
      </c>
      <c r="U151" s="155" t="n"/>
      <c r="V151" s="155" t="n"/>
      <c r="W151" s="155" t="n"/>
      <c r="X151" s="160" t="n">
        <v>1676</v>
      </c>
      <c r="Y151" s="160" t="n">
        <v>13276</v>
      </c>
      <c r="Z151" s="155" t="n"/>
      <c r="AA151" s="160" t="n">
        <v>11885</v>
      </c>
      <c r="AB151" s="160" t="n">
        <v>37419</v>
      </c>
      <c r="AC151" s="160" t="n">
        <v>5705</v>
      </c>
      <c r="AD151" s="160" t="n">
        <v>39182</v>
      </c>
      <c r="AE151" s="160" t="n">
        <v>1573</v>
      </c>
      <c r="AF151" s="160" t="n">
        <v>40755</v>
      </c>
      <c r="AG151" s="155" t="n"/>
      <c r="AH151" s="160" t="n">
        <v>178810</v>
      </c>
      <c r="AI151" s="160" t="n">
        <v>442744</v>
      </c>
      <c r="AJ151" s="160" t="n">
        <v>621554</v>
      </c>
      <c r="AK151" s="160" t="n">
        <v>992260</v>
      </c>
      <c r="AL151" s="155" t="n"/>
      <c r="AM151" s="269" t="inlineStr">
        <is>
          <t>Link Logistics actual; 2023 security includes one-time $54k</t>
        </is>
      </c>
      <c r="AN151">
        <f>IF(AND($B151=Subj_OccCode,Subj_BldgSF&gt;0,ABS($J151-Subj_BldgSF)&lt;=Subj_BldgSF*Subj_SizeTol),ABS($J151-Subj_BldgSF),NA())</f>
        <v/>
      </c>
      <c r="AO151">
        <f>IF(ISNA(AN151),NA(),AN151+ROW()/10000000)</f>
        <v/>
      </c>
      <c r="AR151" s="233">
        <f>IF(B151="","",IFERROR(INDEX(OCC_TABLE_DESC,MATCH(B151,OCC_TABLE_CODE,0)),"Unrecognized code"))</f>
        <v/>
      </c>
    </row>
    <row r="152" ht="15" customHeight="1" s="518">
      <c r="A152" s="155" t="inlineStr">
        <is>
          <t>P076</t>
        </is>
      </c>
      <c r="B152" s="150" t="n">
        <v>210</v>
      </c>
      <c r="C152" s="155" t="inlineStr">
        <is>
          <t>R0084253</t>
        </is>
      </c>
      <c r="D152" s="269" t="inlineStr">
        <is>
          <t>14509 E 33rd Place</t>
        </is>
      </c>
      <c r="E152" s="155" t="inlineStr">
        <is>
          <t>Aurora</t>
        </is>
      </c>
      <c r="F152" s="155" t="inlineStr">
        <is>
          <t>CO</t>
        </is>
      </c>
      <c r="G152" s="155" t="inlineStr">
        <is>
          <t>Industrial</t>
        </is>
      </c>
      <c r="H152" s="269" t="inlineStr">
        <is>
          <t>Multi-Tenant Industrial NNN</t>
        </is>
      </c>
      <c r="I152" s="155" t="n"/>
      <c r="J152" s="155" t="n"/>
      <c r="K152" s="155" t="n">
        <v>2023</v>
      </c>
      <c r="L152" s="160" t="n">
        <v>932587</v>
      </c>
      <c r="M152" s="155" t="n"/>
      <c r="N152" s="160" t="n">
        <v>1610926</v>
      </c>
      <c r="O152" s="160" t="n">
        <v>12903</v>
      </c>
      <c r="P152" s="160" t="n">
        <v>15271</v>
      </c>
      <c r="Q152" s="155" t="n"/>
      <c r="R152" s="155" t="n"/>
      <c r="S152" s="160" t="n">
        <v>16438</v>
      </c>
      <c r="T152" s="160" t="n">
        <v>17000</v>
      </c>
      <c r="U152" s="155" t="n"/>
      <c r="V152" s="155" t="n"/>
      <c r="W152" s="155" t="n"/>
      <c r="X152" s="160" t="n">
        <v>1572</v>
      </c>
      <c r="Y152" s="160" t="n">
        <v>35010</v>
      </c>
      <c r="Z152" s="155" t="n"/>
      <c r="AA152" s="160" t="n">
        <v>11941</v>
      </c>
      <c r="AB152" s="160" t="n">
        <v>21409</v>
      </c>
      <c r="AC152" s="160" t="n">
        <v>54490</v>
      </c>
      <c r="AD152" s="160" t="n">
        <v>34733</v>
      </c>
      <c r="AE152" s="160" t="n">
        <v>1638</v>
      </c>
      <c r="AF152" s="160" t="n">
        <v>36371</v>
      </c>
      <c r="AG152" s="155" t="n"/>
      <c r="AH152" s="160" t="n">
        <v>211012</v>
      </c>
      <c r="AI152" s="160" t="n">
        <v>441491</v>
      </c>
      <c r="AJ152" s="160" t="n">
        <v>652503</v>
      </c>
      <c r="AK152" s="160" t="n">
        <v>958423</v>
      </c>
      <c r="AL152" s="155" t="n"/>
      <c r="AM152" s="269" t="inlineStr">
        <is>
          <t>Link Logistics actual; 2023 security includes one-time $54k</t>
        </is>
      </c>
      <c r="AN152">
        <f>IF(AND($B152=Subj_OccCode,Subj_BldgSF&gt;0,ABS($J152-Subj_BldgSF)&lt;=Subj_BldgSF*Subj_SizeTol),ABS($J152-Subj_BldgSF),NA())</f>
        <v/>
      </c>
      <c r="AO152">
        <f>IF(ISNA(AN152),NA(),AN152+ROW()/10000000)</f>
        <v/>
      </c>
      <c r="AR152" s="233">
        <f>IF(B152="","",IFERROR(INDEX(OCC_TABLE_DESC,MATCH(B152,OCC_TABLE_CODE,0)),"Unrecognized code"))</f>
        <v/>
      </c>
    </row>
    <row r="153" ht="30" customHeight="1" s="518">
      <c r="A153" s="155" t="inlineStr">
        <is>
          <t>P077</t>
        </is>
      </c>
      <c r="B153" s="150" t="n">
        <v>210</v>
      </c>
      <c r="C153" s="155" t="inlineStr">
        <is>
          <t>R0084253</t>
        </is>
      </c>
      <c r="D153" s="269" t="inlineStr">
        <is>
          <t>14704 E 33rd Place</t>
        </is>
      </c>
      <c r="E153" s="155" t="inlineStr">
        <is>
          <t>Aurora</t>
        </is>
      </c>
      <c r="F153" s="155" t="inlineStr">
        <is>
          <t>CO</t>
        </is>
      </c>
      <c r="G153" s="155" t="inlineStr">
        <is>
          <t>Industrial</t>
        </is>
      </c>
      <c r="H153" s="269" t="inlineStr">
        <is>
          <t>Multi-Tenant Industrial NNN</t>
        </is>
      </c>
      <c r="I153" s="155" t="n"/>
      <c r="J153" s="155" t="n"/>
      <c r="K153" s="155" t="n">
        <v>2024</v>
      </c>
      <c r="L153" s="160" t="n">
        <v>977394</v>
      </c>
      <c r="M153" s="155" t="n"/>
      <c r="N153" s="160" t="n">
        <v>1537076</v>
      </c>
      <c r="O153" s="160" t="n">
        <v>12170</v>
      </c>
      <c r="P153" s="160" t="n">
        <v>17077</v>
      </c>
      <c r="Q153" s="155" t="n"/>
      <c r="R153" s="155" t="n"/>
      <c r="S153" s="160" t="n">
        <v>10377</v>
      </c>
      <c r="T153" s="160" t="n">
        <v>1760</v>
      </c>
      <c r="U153" s="160" t="n">
        <v>265</v>
      </c>
      <c r="V153" s="155" t="n"/>
      <c r="W153" s="155" t="n"/>
      <c r="X153" s="160" t="n">
        <v>1636</v>
      </c>
      <c r="Y153" s="160" t="n">
        <v>13036</v>
      </c>
      <c r="Z153" s="155" t="n"/>
      <c r="AA153" s="160" t="n">
        <v>10043</v>
      </c>
      <c r="AB153" s="160" t="n">
        <v>41626</v>
      </c>
      <c r="AC153" s="160" t="n">
        <v>5705</v>
      </c>
      <c r="AD153" s="160" t="n">
        <v>19336</v>
      </c>
      <c r="AE153" s="160" t="n">
        <v>2462</v>
      </c>
      <c r="AF153" s="160" t="n">
        <v>21798</v>
      </c>
      <c r="AG153" s="155" t="n"/>
      <c r="AH153" s="160" t="n">
        <v>228019</v>
      </c>
      <c r="AI153" s="160" t="n">
        <v>364330</v>
      </c>
      <c r="AJ153" s="160" t="n">
        <v>592349</v>
      </c>
      <c r="AK153" s="160" t="n">
        <v>944727</v>
      </c>
      <c r="AL153" s="155" t="n"/>
      <c r="AM153" s="269" t="inlineStr">
        <is>
          <t>Link Logistics 2024; partial vacancy (elec/gas $124k); NOI understated excl vacancy costs</t>
        </is>
      </c>
      <c r="AN153">
        <f>IF(AND($B153=Subj_OccCode,Subj_BldgSF&gt;0,ABS($J153-Subj_BldgSF)&lt;=Subj_BldgSF*Subj_SizeTol),ABS($J153-Subj_BldgSF),NA())</f>
        <v/>
      </c>
      <c r="AO153">
        <f>IF(ISNA(AN153),NA(),AN153+ROW()/10000000)</f>
        <v/>
      </c>
      <c r="AR153" s="233">
        <f>IF(B153="","",IFERROR(INDEX(OCC_TABLE_DESC,MATCH(B153,OCC_TABLE_CODE,0)),"Unrecognized code"))</f>
        <v/>
      </c>
    </row>
    <row r="154" ht="15" customHeight="1" s="518">
      <c r="A154" s="155" t="inlineStr">
        <is>
          <t>P078</t>
        </is>
      </c>
      <c r="B154" s="150" t="n">
        <v>210</v>
      </c>
      <c r="C154" s="155" t="inlineStr">
        <is>
          <t>R0084253</t>
        </is>
      </c>
      <c r="D154" s="269" t="inlineStr">
        <is>
          <t>14705 E 33rd Place</t>
        </is>
      </c>
      <c r="E154" s="155" t="inlineStr">
        <is>
          <t>Aurora</t>
        </is>
      </c>
      <c r="F154" s="155" t="inlineStr">
        <is>
          <t>CO</t>
        </is>
      </c>
      <c r="G154" s="155" t="inlineStr">
        <is>
          <t>Industrial</t>
        </is>
      </c>
      <c r="H154" s="269" t="inlineStr">
        <is>
          <t>Multi-Tenant Industrial NNN</t>
        </is>
      </c>
      <c r="I154" s="155" t="n"/>
      <c r="J154" s="155" t="n"/>
      <c r="K154" s="155" t="n">
        <v>2024</v>
      </c>
      <c r="L154" s="160" t="n">
        <v>436928</v>
      </c>
      <c r="M154" s="155" t="n"/>
      <c r="N154" s="160" t="n">
        <v>714461</v>
      </c>
      <c r="O154" s="160" t="n">
        <v>6456</v>
      </c>
      <c r="P154" s="160" t="n">
        <v>6962</v>
      </c>
      <c r="Q154" s="155" t="n"/>
      <c r="R154" s="155" t="n"/>
      <c r="S154" s="160" t="n">
        <v>6889</v>
      </c>
      <c r="T154" s="160" t="n">
        <v>1125</v>
      </c>
      <c r="U154" s="160" t="n">
        <v>285</v>
      </c>
      <c r="V154" s="155" t="n"/>
      <c r="W154" s="155" t="n"/>
      <c r="X154" s="160" t="n">
        <v>1546</v>
      </c>
      <c r="Y154" s="160" t="n">
        <v>9845</v>
      </c>
      <c r="Z154" s="155" t="n"/>
      <c r="AA154" s="160" t="n">
        <v>6931</v>
      </c>
      <c r="AB154" s="160" t="n">
        <v>27052</v>
      </c>
      <c r="AC154" s="160" t="n">
        <v>5705</v>
      </c>
      <c r="AD154" s="155" t="n"/>
      <c r="AE154" s="160" t="n">
        <v>929</v>
      </c>
      <c r="AF154" s="160" t="n">
        <v>929</v>
      </c>
      <c r="AG154" s="155" t="n"/>
      <c r="AH154" s="160" t="n">
        <v>77944</v>
      </c>
      <c r="AI154" s="160" t="n">
        <v>188633</v>
      </c>
      <c r="AJ154" s="160" t="n">
        <v>266577</v>
      </c>
      <c r="AK154" s="160" t="n">
        <v>447884</v>
      </c>
      <c r="AL154" s="155" t="n"/>
      <c r="AM154" s="269" t="inlineStr">
        <is>
          <t>Link Logistics 2024; partial free rent ($38k); lease-up period</t>
        </is>
      </c>
      <c r="AN154">
        <f>IF(AND($B154=Subj_OccCode,Subj_BldgSF&gt;0,ABS($J154-Subj_BldgSF)&lt;=Subj_BldgSF*Subj_SizeTol),ABS($J154-Subj_BldgSF),NA())</f>
        <v/>
      </c>
      <c r="AO154">
        <f>IF(ISNA(AN154),NA(),AN154+ROW()/10000000)</f>
        <v/>
      </c>
      <c r="AR154" s="233">
        <f>IF(B154="","",IFERROR(INDEX(OCC_TABLE_DESC,MATCH(B154,OCC_TABLE_CODE,0)),"Unrecognized code"))</f>
        <v/>
      </c>
    </row>
    <row r="155" ht="30" customHeight="1" s="518">
      <c r="A155" s="155" t="inlineStr">
        <is>
          <t>P079</t>
        </is>
      </c>
      <c r="B155" s="150" t="n">
        <v>584</v>
      </c>
      <c r="C155" s="155" t="inlineStr">
        <is>
          <t>R0086214</t>
        </is>
      </c>
      <c r="D155" s="269" t="inlineStr">
        <is>
          <t>Aurora Warehouse (Polar)</t>
        </is>
      </c>
      <c r="E155" s="155" t="inlineStr">
        <is>
          <t>Aurora</t>
        </is>
      </c>
      <c r="F155" s="155" t="inlineStr">
        <is>
          <t>CO</t>
        </is>
      </c>
      <c r="G155" s="155" t="inlineStr">
        <is>
          <t>Industrial</t>
        </is>
      </c>
      <c r="H155" s="269" t="inlineStr">
        <is>
          <t>Mega Warehouse NNN</t>
        </is>
      </c>
      <c r="I155" s="155" t="n"/>
      <c r="J155" s="155" t="n"/>
      <c r="K155" s="155" t="n">
        <v>2024</v>
      </c>
      <c r="L155" s="160" t="n">
        <v>3771986</v>
      </c>
      <c r="M155" s="155" t="n"/>
      <c r="N155" s="160" t="n">
        <v>7045455</v>
      </c>
      <c r="O155" s="160" t="n">
        <v>83764</v>
      </c>
      <c r="P155" s="160" t="n">
        <v>67999</v>
      </c>
      <c r="Q155" s="155" t="n"/>
      <c r="R155" s="155" t="n"/>
      <c r="S155" s="155" t="n"/>
      <c r="T155" s="155" t="n"/>
      <c r="U155" s="155" t="n"/>
      <c r="V155" s="155" t="n"/>
      <c r="W155" s="155" t="n"/>
      <c r="X155" s="160" t="n">
        <v>5829</v>
      </c>
      <c r="Y155" s="160" t="n">
        <v>5829</v>
      </c>
      <c r="Z155" s="155" t="n"/>
      <c r="AA155" s="155" t="n"/>
      <c r="AB155" s="155" t="n"/>
      <c r="AC155" s="155" t="n"/>
      <c r="AD155" s="155" t="n"/>
      <c r="AE155" s="155" t="n"/>
      <c r="AF155" s="155" t="n"/>
      <c r="AG155" s="155" t="n"/>
      <c r="AH155" s="160" t="n">
        <v>381011</v>
      </c>
      <c r="AI155" s="160" t="n">
        <v>2407392</v>
      </c>
      <c r="AJ155" s="160" t="n">
        <v>2788403</v>
      </c>
      <c r="AK155" s="160" t="n">
        <v>4257052</v>
      </c>
      <c r="AL155" s="155" t="n"/>
      <c r="AM155" s="269" t="inlineStr">
        <is>
          <t>Link Logistics; very large – RE tax $2.2-2.4M; minimal CAM (near-absolute NNN); SF not confirmed</t>
        </is>
      </c>
      <c r="AN155">
        <f>IF(AND($B155=Subj_OccCode,Subj_BldgSF&gt;0,ABS($J155-Subj_BldgSF)&lt;=Subj_BldgSF*Subj_SizeTol),ABS($J155-Subj_BldgSF),NA())</f>
        <v/>
      </c>
      <c r="AO155">
        <f>IF(ISNA(AN155),NA(),AN155+ROW()/10000000)</f>
        <v/>
      </c>
      <c r="AR155" s="233">
        <f>IF(B155="","",IFERROR(INDEX(OCC_TABLE_DESC,MATCH(B155,OCC_TABLE_CODE,0)),"Unrecognized code"))</f>
        <v/>
      </c>
    </row>
    <row r="156" ht="30" customHeight="1" s="518">
      <c r="A156" s="155" t="inlineStr">
        <is>
          <t>P079</t>
        </is>
      </c>
      <c r="B156" s="150" t="n">
        <v>584</v>
      </c>
      <c r="C156" s="155" t="inlineStr">
        <is>
          <t>R0086214</t>
        </is>
      </c>
      <c r="D156" s="269" t="inlineStr">
        <is>
          <t>Aurora Warehouse (Polar)</t>
        </is>
      </c>
      <c r="E156" s="155" t="inlineStr">
        <is>
          <t>Aurora</t>
        </is>
      </c>
      <c r="F156" s="155" t="inlineStr">
        <is>
          <t>CO</t>
        </is>
      </c>
      <c r="G156" s="155" t="inlineStr">
        <is>
          <t>Industrial</t>
        </is>
      </c>
      <c r="H156" s="269" t="inlineStr">
        <is>
          <t>Mega Warehouse NNN</t>
        </is>
      </c>
      <c r="I156" s="155" t="n"/>
      <c r="J156" s="155" t="n"/>
      <c r="K156" s="155" t="n">
        <v>2023</v>
      </c>
      <c r="L156" s="160" t="n">
        <v>3679986</v>
      </c>
      <c r="M156" s="155" t="n"/>
      <c r="N156" s="160" t="n">
        <v>6546351</v>
      </c>
      <c r="O156" s="160" t="n">
        <v>60105</v>
      </c>
      <c r="P156" s="160" t="n">
        <v>54144</v>
      </c>
      <c r="Q156" s="155" t="n"/>
      <c r="R156" s="155" t="n"/>
      <c r="S156" s="155" t="n"/>
      <c r="T156" s="155" t="n"/>
      <c r="U156" s="155" t="n"/>
      <c r="V156" s="155" t="n"/>
      <c r="W156" s="155" t="n"/>
      <c r="X156" s="160" t="n">
        <v>4184</v>
      </c>
      <c r="Y156" s="160" t="n">
        <v>4184</v>
      </c>
      <c r="Z156" s="155" t="n"/>
      <c r="AA156" s="155" t="n"/>
      <c r="AB156" s="155" t="n"/>
      <c r="AC156" s="155" t="n"/>
      <c r="AD156" s="155" t="n"/>
      <c r="AE156" s="155" t="n"/>
      <c r="AF156" s="155" t="n"/>
      <c r="AG156" s="155" t="n"/>
      <c r="AH156" s="160" t="n">
        <v>101213</v>
      </c>
      <c r="AI156" s="160" t="n">
        <v>2175995</v>
      </c>
      <c r="AJ156" s="160" t="n">
        <v>2277208</v>
      </c>
      <c r="AK156" s="160" t="n">
        <v>4269143</v>
      </c>
      <c r="AL156" s="155" t="n"/>
      <c r="AM156" s="269" t="inlineStr">
        <is>
          <t>Link Logistics; very large – RE tax $2.2-2.4M; minimal CAM (near-absolute NNN); SF not confirmed</t>
        </is>
      </c>
      <c r="AN156">
        <f>IF(AND($B156=Subj_OccCode,Subj_BldgSF&gt;0,ABS($J156-Subj_BldgSF)&lt;=Subj_BldgSF*Subj_SizeTol),ABS($J156-Subj_BldgSF),NA())</f>
        <v/>
      </c>
      <c r="AO156">
        <f>IF(ISNA(AN156),NA(),AN156+ROW()/10000000)</f>
        <v/>
      </c>
      <c r="AR156" s="233">
        <f>IF(B156="","",IFERROR(INDEX(OCC_TABLE_DESC,MATCH(B156,OCC_TABLE_CODE,0)),"Unrecognized code"))</f>
        <v/>
      </c>
    </row>
    <row r="157" ht="30" customHeight="1" s="518">
      <c r="A157" s="155" t="inlineStr">
        <is>
          <t>P080</t>
        </is>
      </c>
      <c r="B157" s="150" t="n">
        <v>407</v>
      </c>
      <c r="C157" s="155" t="inlineStr">
        <is>
          <t>R0194277</t>
        </is>
      </c>
      <c r="D157" s="269" t="inlineStr">
        <is>
          <t>8251 Quintero St</t>
        </is>
      </c>
      <c r="E157" s="155" t="inlineStr">
        <is>
          <t>Commerce City</t>
        </is>
      </c>
      <c r="F157" s="155" t="inlineStr">
        <is>
          <t>CO</t>
        </is>
      </c>
      <c r="G157" s="155" t="inlineStr">
        <is>
          <t>Industrial</t>
        </is>
      </c>
      <c r="H157" s="269" t="inlineStr">
        <is>
          <t>Industrial Warehouse NNN</t>
        </is>
      </c>
      <c r="I157" s="155" t="n"/>
      <c r="J157" s="155" t="n"/>
      <c r="K157" s="155" t="n">
        <v>2024</v>
      </c>
      <c r="L157" s="160" t="n">
        <v>2966529</v>
      </c>
      <c r="M157" s="155" t="n"/>
      <c r="N157" s="160" t="n">
        <v>7433451</v>
      </c>
      <c r="O157" s="160" t="n">
        <v>32539</v>
      </c>
      <c r="P157" s="160" t="n">
        <v>86633</v>
      </c>
      <c r="Q157" s="155" t="n"/>
      <c r="R157" s="155" t="n"/>
      <c r="S157" s="160" t="n">
        <v>21784</v>
      </c>
      <c r="T157" s="155" t="n"/>
      <c r="U157" s="155" t="n"/>
      <c r="V157" s="155" t="n"/>
      <c r="W157" s="155" t="n"/>
      <c r="X157" s="155" t="n"/>
      <c r="Y157" s="160" t="n">
        <v>21784</v>
      </c>
      <c r="Z157" s="155" t="n"/>
      <c r="AA157" s="160" t="n">
        <v>30810</v>
      </c>
      <c r="AB157" s="160" t="n">
        <v>188483</v>
      </c>
      <c r="AC157" s="155" t="n"/>
      <c r="AD157" s="160" t="n">
        <v>29080</v>
      </c>
      <c r="AE157" s="155" t="n"/>
      <c r="AF157" s="160" t="n">
        <v>29080</v>
      </c>
      <c r="AG157" s="155" t="n"/>
      <c r="AH157" s="160" t="n">
        <v>1433299</v>
      </c>
      <c r="AI157" s="160" t="n">
        <v>3137254</v>
      </c>
      <c r="AJ157" s="160" t="n">
        <v>4570553</v>
      </c>
      <c r="AK157" s="160" t="n">
        <v>2862898</v>
      </c>
      <c r="AL157" s="155" t="n"/>
      <c r="AM157" s="269" t="inlineStr">
        <is>
          <t>Becknell Industrial; 2024 EGI/OPX inflated by $967k PY RE tax true-up; normalized NOI ~$2.86M</t>
        </is>
      </c>
      <c r="AN157">
        <f>IF(AND($B157=Subj_OccCode,Subj_BldgSF&gt;0,ABS($J157-Subj_BldgSF)&lt;=Subj_BldgSF*Subj_SizeTol),ABS($J157-Subj_BldgSF),NA())</f>
        <v/>
      </c>
      <c r="AO157">
        <f>IF(ISNA(AN157),NA(),AN157+ROW()/10000000)</f>
        <v/>
      </c>
      <c r="AR157" s="233">
        <f>IF(B157="","",IFERROR(INDEX(OCC_TABLE_DESC,MATCH(B157,OCC_TABLE_CODE,0)),"Unrecognized code"))</f>
        <v/>
      </c>
    </row>
    <row r="158" ht="15" customHeight="1" s="518">
      <c r="A158" s="155" t="inlineStr">
        <is>
          <t>P080</t>
        </is>
      </c>
      <c r="B158" s="150" t="n">
        <v>407</v>
      </c>
      <c r="C158" s="155" t="inlineStr">
        <is>
          <t>R0194277</t>
        </is>
      </c>
      <c r="D158" s="269" t="inlineStr">
        <is>
          <t>8251 Quintero St</t>
        </is>
      </c>
      <c r="E158" s="155" t="inlineStr">
        <is>
          <t>Commerce City</t>
        </is>
      </c>
      <c r="F158" s="155" t="inlineStr">
        <is>
          <t>CO</t>
        </is>
      </c>
      <c r="G158" s="155" t="inlineStr">
        <is>
          <t>Industrial</t>
        </is>
      </c>
      <c r="H158" s="269" t="inlineStr">
        <is>
          <t>Industrial Warehouse NNN</t>
        </is>
      </c>
      <c r="I158" s="155" t="n"/>
      <c r="J158" s="155" t="n"/>
      <c r="K158" s="155" t="n">
        <v>2023</v>
      </c>
      <c r="L158" s="160" t="n">
        <v>2897673</v>
      </c>
      <c r="M158" s="155" t="n"/>
      <c r="N158" s="160" t="n">
        <v>5335437</v>
      </c>
      <c r="O158" s="160" t="n">
        <v>29390</v>
      </c>
      <c r="P158" s="160" t="n">
        <v>83488</v>
      </c>
      <c r="Q158" s="155" t="n"/>
      <c r="R158" s="155" t="n"/>
      <c r="S158" s="160" t="n">
        <v>35137</v>
      </c>
      <c r="T158" s="155" t="n"/>
      <c r="U158" s="155" t="n"/>
      <c r="V158" s="155" t="n"/>
      <c r="W158" s="155" t="n"/>
      <c r="X158" s="155" t="n"/>
      <c r="Y158" s="160" t="n">
        <v>35137</v>
      </c>
      <c r="Z158" s="155" t="n"/>
      <c r="AA158" s="160" t="n">
        <v>33419</v>
      </c>
      <c r="AB158" s="160" t="n">
        <v>151223</v>
      </c>
      <c r="AC158" s="155" t="n"/>
      <c r="AD158" s="160" t="n">
        <v>24034</v>
      </c>
      <c r="AE158" s="155" t="n"/>
      <c r="AF158" s="160" t="n">
        <v>24034</v>
      </c>
      <c r="AG158" s="155" t="n"/>
      <c r="AH158" s="160" t="n">
        <v>541522</v>
      </c>
      <c r="AI158" s="160" t="n">
        <v>2045093</v>
      </c>
      <c r="AJ158" s="160" t="n">
        <v>2586615</v>
      </c>
      <c r="AK158" s="160" t="n">
        <v>2748822</v>
      </c>
      <c r="AL158" s="155" t="n"/>
      <c r="AM158" s="269" t="inlineStr">
        <is>
          <t>Becknell Industrial; actual accrual</t>
        </is>
      </c>
      <c r="AN158">
        <f>IF(AND($B158=Subj_OccCode,Subj_BldgSF&gt;0,ABS($J158-Subj_BldgSF)&lt;=Subj_BldgSF*Subj_SizeTol),ABS($J158-Subj_BldgSF),NA())</f>
        <v/>
      </c>
      <c r="AO158">
        <f>IF(ISNA(AN158),NA(),AN158+ROW()/10000000)</f>
        <v/>
      </c>
      <c r="AR158" s="233">
        <f>IF(B158="","",IFERROR(INDEX(OCC_TABLE_DESC,MATCH(B158,OCC_TABLE_CODE,0)),"Unrecognized code"))</f>
        <v/>
      </c>
    </row>
    <row r="159" ht="30" customHeight="1" s="518">
      <c r="A159" s="155" t="inlineStr">
        <is>
          <t>P081</t>
        </is>
      </c>
      <c r="B159" s="150" t="n">
        <v>407</v>
      </c>
      <c r="C159" s="155" t="inlineStr">
        <is>
          <t>R0198176</t>
        </is>
      </c>
      <c r="D159" s="269" t="inlineStr">
        <is>
          <t>21800 E 19th Ave</t>
        </is>
      </c>
      <c r="E159" s="155" t="inlineStr">
        <is>
          <t>Aurora</t>
        </is>
      </c>
      <c r="F159" s="155" t="inlineStr">
        <is>
          <t>CO</t>
        </is>
      </c>
      <c r="G159" s="155" t="inlineStr">
        <is>
          <t>Industrial</t>
        </is>
      </c>
      <c r="H159" s="269" t="inlineStr">
        <is>
          <t>Industrial Warehouse NNN</t>
        </is>
      </c>
      <c r="I159" s="155" t="n"/>
      <c r="J159" s="155" t="n"/>
      <c r="K159" s="155" t="n">
        <v>2024</v>
      </c>
      <c r="L159" s="160" t="n">
        <v>1502445</v>
      </c>
      <c r="M159" s="155" t="n"/>
      <c r="N159" s="160" t="n">
        <v>1698847</v>
      </c>
      <c r="O159" s="160" t="n">
        <v>18279</v>
      </c>
      <c r="P159" s="160" t="n">
        <v>45073</v>
      </c>
      <c r="Q159" s="155" t="n"/>
      <c r="R159" s="155" t="n"/>
      <c r="S159" s="160" t="n">
        <v>14583</v>
      </c>
      <c r="T159" s="155" t="n"/>
      <c r="U159" s="155" t="n"/>
      <c r="V159" s="155" t="n"/>
      <c r="W159" s="155" t="n"/>
      <c r="X159" s="155" t="n"/>
      <c r="Y159" s="160" t="n">
        <v>14583</v>
      </c>
      <c r="Z159" s="155" t="n"/>
      <c r="AA159" s="160" t="n">
        <v>30156</v>
      </c>
      <c r="AB159" s="160" t="n">
        <v>117922</v>
      </c>
      <c r="AC159" s="155" t="n"/>
      <c r="AD159" s="155" t="n"/>
      <c r="AE159" s="155" t="n"/>
      <c r="AF159" s="155" t="n"/>
      <c r="AG159" s="155" t="n"/>
      <c r="AH159" s="160" t="n">
        <v>268829</v>
      </c>
      <c r="AI159" s="160" t="n">
        <v>0</v>
      </c>
      <c r="AJ159" s="160" t="n">
        <v>268829</v>
      </c>
      <c r="AK159" s="160" t="n">
        <v>1430018</v>
      </c>
      <c r="AL159" s="155" t="n"/>
      <c r="AM159" s="269" t="inlineStr">
        <is>
          <t>Becknell; absolute NNN – tenant pays RE taxes directly; opex = CAM only</t>
        </is>
      </c>
      <c r="AN159">
        <f>IF(AND($B159=Subj_OccCode,Subj_BldgSF&gt;0,ABS($J159-Subj_BldgSF)&lt;=Subj_BldgSF*Subj_SizeTol),ABS($J159-Subj_BldgSF),NA())</f>
        <v/>
      </c>
      <c r="AO159">
        <f>IF(ISNA(AN159),NA(),AN159+ROW()/10000000)</f>
        <v/>
      </c>
      <c r="AR159" s="233">
        <f>IF(B159="","",IFERROR(INDEX(OCC_TABLE_DESC,MATCH(B159,OCC_TABLE_CODE,0)),"Unrecognized code"))</f>
        <v/>
      </c>
    </row>
    <row r="160" ht="30" customHeight="1" s="518">
      <c r="A160" s="155" t="inlineStr">
        <is>
          <t>P081</t>
        </is>
      </c>
      <c r="B160" s="150" t="n">
        <v>407</v>
      </c>
      <c r="C160" s="155" t="inlineStr">
        <is>
          <t>R0198176</t>
        </is>
      </c>
      <c r="D160" s="269" t="inlineStr">
        <is>
          <t>21800 E 19th Ave</t>
        </is>
      </c>
      <c r="E160" s="155" t="inlineStr">
        <is>
          <t>Aurora</t>
        </is>
      </c>
      <c r="F160" s="155" t="inlineStr">
        <is>
          <t>CO</t>
        </is>
      </c>
      <c r="G160" s="155" t="inlineStr">
        <is>
          <t>Industrial</t>
        </is>
      </c>
      <c r="H160" s="269" t="inlineStr">
        <is>
          <t>Industrial Warehouse NNN</t>
        </is>
      </c>
      <c r="I160" s="155" t="n"/>
      <c r="J160" s="155" t="n"/>
      <c r="K160" s="155" t="n">
        <v>2023</v>
      </c>
      <c r="L160" s="160" t="n">
        <v>1458685</v>
      </c>
      <c r="M160" s="155" t="n"/>
      <c r="N160" s="160" t="n">
        <v>1647477</v>
      </c>
      <c r="O160" s="160" t="n">
        <v>15865</v>
      </c>
      <c r="P160" s="160" t="n">
        <v>43761</v>
      </c>
      <c r="Q160" s="155" t="n"/>
      <c r="R160" s="155" t="n"/>
      <c r="S160" s="160" t="n">
        <v>12850</v>
      </c>
      <c r="T160" s="155" t="n"/>
      <c r="U160" s="155" t="n"/>
      <c r="V160" s="155" t="n"/>
      <c r="W160" s="155" t="n"/>
      <c r="X160" s="155" t="n"/>
      <c r="Y160" s="160" t="n">
        <v>12850</v>
      </c>
      <c r="Z160" s="155" t="n"/>
      <c r="AA160" s="160" t="n">
        <v>31555</v>
      </c>
      <c r="AB160" s="160" t="n">
        <v>112261</v>
      </c>
      <c r="AC160" s="155" t="n"/>
      <c r="AD160" s="155" t="n"/>
      <c r="AE160" s="155" t="n"/>
      <c r="AF160" s="155" t="n"/>
      <c r="AG160" s="155" t="n"/>
      <c r="AH160" s="160" t="n">
        <v>238940</v>
      </c>
      <c r="AI160" s="160" t="n">
        <v>0</v>
      </c>
      <c r="AJ160" s="160" t="n">
        <v>238940</v>
      </c>
      <c r="AK160" s="160" t="n">
        <v>1408537</v>
      </c>
      <c r="AL160" s="155" t="n"/>
      <c r="AM160" s="269" t="inlineStr">
        <is>
          <t>Becknell; absolute NNN – tenant pays RE taxes directly; opex = CAM only</t>
        </is>
      </c>
      <c r="AN160">
        <f>IF(AND($B160=Subj_OccCode,Subj_BldgSF&gt;0,ABS($J160-Subj_BldgSF)&lt;=Subj_BldgSF*Subj_SizeTol),ABS($J160-Subj_BldgSF),NA())</f>
        <v/>
      </c>
      <c r="AO160">
        <f>IF(ISNA(AN160),NA(),AN160+ROW()/10000000)</f>
        <v/>
      </c>
      <c r="AR160" s="233">
        <f>IF(B160="","",IFERROR(INDEX(OCC_TABLE_DESC,MATCH(B160,OCC_TABLE_CODE,0)),"Unrecognized code"))</f>
        <v/>
      </c>
    </row>
    <row r="161" ht="30" customHeight="1" s="518">
      <c r="A161" s="155" t="inlineStr">
        <is>
          <t>P082</t>
        </is>
      </c>
      <c r="B161" s="150" t="n">
        <v>407</v>
      </c>
      <c r="C161" s="155" t="inlineStr">
        <is>
          <t>R0201311</t>
        </is>
      </c>
      <c r="D161" s="269" t="inlineStr">
        <is>
          <t>Ascent Commerce Center Bldg I</t>
        </is>
      </c>
      <c r="E161" s="155" t="inlineStr">
        <is>
          <t>Aurora</t>
        </is>
      </c>
      <c r="F161" s="155" t="inlineStr">
        <is>
          <t>CO</t>
        </is>
      </c>
      <c r="G161" s="155" t="inlineStr">
        <is>
          <t>Industrial</t>
        </is>
      </c>
      <c r="H161" s="269" t="inlineStr">
        <is>
          <t>Industrial Warehouse NNN</t>
        </is>
      </c>
      <c r="I161" s="155" t="n"/>
      <c r="J161" s="155" t="n"/>
      <c r="K161" s="155" t="n">
        <v>2024</v>
      </c>
      <c r="L161" s="160" t="n">
        <v>187536</v>
      </c>
      <c r="M161" s="155" t="n"/>
      <c r="N161" s="160" t="n">
        <v>335936</v>
      </c>
      <c r="O161" s="160" t="n">
        <v>185</v>
      </c>
      <c r="P161" s="160" t="n">
        <v>6539</v>
      </c>
      <c r="Q161" s="155" t="n"/>
      <c r="R161" s="155" t="n"/>
      <c r="S161" s="160" t="n">
        <v>6694</v>
      </c>
      <c r="T161" s="155" t="n"/>
      <c r="U161" s="155" t="n"/>
      <c r="V161" s="155" t="n"/>
      <c r="W161" s="155" t="n"/>
      <c r="X161" s="155" t="n"/>
      <c r="Y161" s="160" t="n">
        <v>6694</v>
      </c>
      <c r="Z161" s="155" t="n"/>
      <c r="AA161" s="160" t="n">
        <v>1378</v>
      </c>
      <c r="AB161" s="160" t="n">
        <v>13095</v>
      </c>
      <c r="AC161" s="155" t="n"/>
      <c r="AD161" s="160" t="n">
        <v>52</v>
      </c>
      <c r="AE161" s="160" t="n">
        <v>6714</v>
      </c>
      <c r="AF161" s="160" t="n">
        <v>6766</v>
      </c>
      <c r="AG161" s="155" t="n"/>
      <c r="AH161" s="160" t="n">
        <v>42252</v>
      </c>
      <c r="AI161" s="160" t="n">
        <v>100794</v>
      </c>
      <c r="AJ161" s="160" t="n">
        <v>143046</v>
      </c>
      <c r="AK161" s="160" t="n">
        <v>181918</v>
      </c>
      <c r="AL161" s="155" t="n"/>
      <c r="AM161" s="269" t="inlineStr">
        <is>
          <t>Ambrose; Q4 2024 ONLY (Oct–Dec, 3 months); lease-up/stabilizing; DO NOT use for annual PSF</t>
        </is>
      </c>
      <c r="AN161">
        <f>IF(AND($B161=Subj_OccCode,Subj_BldgSF&gt;0,ABS($J161-Subj_BldgSF)&lt;=Subj_BldgSF*Subj_SizeTol),ABS($J161-Subj_BldgSF),NA())</f>
        <v/>
      </c>
      <c r="AO161">
        <f>IF(ISNA(AN161),NA(),AN161+ROW()/10000000)</f>
        <v/>
      </c>
      <c r="AR161" s="233">
        <f>IF(B161="","",IFERROR(INDEX(OCC_TABLE_DESC,MATCH(B161,OCC_TABLE_CODE,0)),"Unrecognized code"))</f>
        <v/>
      </c>
    </row>
    <row r="162" ht="30" customHeight="1" s="518">
      <c r="A162" s="155" t="inlineStr">
        <is>
          <t>P083</t>
        </is>
      </c>
      <c r="B162" s="150" t="n">
        <v>407</v>
      </c>
      <c r="C162" s="155" t="inlineStr">
        <is>
          <t>R0201311</t>
        </is>
      </c>
      <c r="D162" s="269" t="inlineStr">
        <is>
          <t>Ascent Commerce Center Bldg II</t>
        </is>
      </c>
      <c r="E162" s="155" t="inlineStr">
        <is>
          <t>Aurora</t>
        </is>
      </c>
      <c r="F162" s="155" t="inlineStr">
        <is>
          <t>CO</t>
        </is>
      </c>
      <c r="G162" s="155" t="inlineStr">
        <is>
          <t>Industrial</t>
        </is>
      </c>
      <c r="H162" s="269" t="inlineStr">
        <is>
          <t>Industrial Warehouse NNN</t>
        </is>
      </c>
      <c r="I162" s="155" t="n"/>
      <c r="J162" s="155" t="n"/>
      <c r="K162" s="155" t="n">
        <v>2024</v>
      </c>
      <c r="L162" s="160" t="n">
        <v>143974</v>
      </c>
      <c r="M162" s="155" t="n"/>
      <c r="N162" s="160" t="n">
        <v>314952</v>
      </c>
      <c r="O162" s="160" t="n">
        <v>375</v>
      </c>
      <c r="P162" s="160" t="n">
        <v>6224</v>
      </c>
      <c r="Q162" s="155" t="n"/>
      <c r="R162" s="155" t="n"/>
      <c r="S162" s="160" t="n">
        <v>13434</v>
      </c>
      <c r="T162" s="155" t="n"/>
      <c r="U162" s="155" t="n"/>
      <c r="V162" s="155" t="n"/>
      <c r="W162" s="155" t="n"/>
      <c r="X162" s="155" t="n"/>
      <c r="Y162" s="160" t="n">
        <v>13434</v>
      </c>
      <c r="Z162" s="155" t="n"/>
      <c r="AA162" s="160" t="n">
        <v>1877</v>
      </c>
      <c r="AB162" s="160" t="n">
        <v>25288</v>
      </c>
      <c r="AC162" s="155" t="n"/>
      <c r="AD162" s="160" t="n">
        <v>104</v>
      </c>
      <c r="AE162" s="160" t="n">
        <v>11552</v>
      </c>
      <c r="AF162" s="160" t="n">
        <v>11656</v>
      </c>
      <c r="AG162" s="155" t="n"/>
      <c r="AH162" s="160" t="n">
        <v>70908</v>
      </c>
      <c r="AI162" s="160" t="n">
        <v>203797</v>
      </c>
      <c r="AJ162" s="160" t="n">
        <v>274705</v>
      </c>
      <c r="AK162" s="160" t="n">
        <v>22624</v>
      </c>
      <c r="AL162" s="155" t="n"/>
      <c r="AM162" s="269" t="inlineStr">
        <is>
          <t>Ambrose; Q4 2024 ONLY (Oct–Dec, 3 months); lease-up/stabilizing; DO NOT use for annual PSF</t>
        </is>
      </c>
      <c r="AN162">
        <f>IF(AND($B162=Subj_OccCode,Subj_BldgSF&gt;0,ABS($J162-Subj_BldgSF)&lt;=Subj_BldgSF*Subj_SizeTol),ABS($J162-Subj_BldgSF),NA())</f>
        <v/>
      </c>
      <c r="AO162">
        <f>IF(ISNA(AN162),NA(),AN162+ROW()/10000000)</f>
        <v/>
      </c>
      <c r="AR162" s="233">
        <f>IF(B162="","",IFERROR(INDEX(OCC_TABLE_DESC,MATCH(B162,OCC_TABLE_CODE,0)),"Unrecognized code"))</f>
        <v/>
      </c>
    </row>
    <row r="163" ht="30" customHeight="1" s="518">
      <c r="A163" s="155" t="inlineStr">
        <is>
          <t>P084</t>
        </is>
      </c>
      <c r="B163" s="150" t="n">
        <v>407</v>
      </c>
      <c r="C163" s="155" t="inlineStr">
        <is>
          <t>R0201311</t>
        </is>
      </c>
      <c r="D163" s="269" t="inlineStr">
        <is>
          <t>Ascent Commerce Center Bldg III</t>
        </is>
      </c>
      <c r="E163" s="155" t="inlineStr">
        <is>
          <t>Aurora</t>
        </is>
      </c>
      <c r="F163" s="155" t="inlineStr">
        <is>
          <t>CO</t>
        </is>
      </c>
      <c r="G163" s="155" t="inlineStr">
        <is>
          <t>Industrial</t>
        </is>
      </c>
      <c r="H163" s="269" t="inlineStr">
        <is>
          <t>Industrial Warehouse NNN</t>
        </is>
      </c>
      <c r="I163" s="155" t="n"/>
      <c r="J163" s="155" t="n"/>
      <c r="K163" s="155" t="n">
        <v>2024</v>
      </c>
      <c r="L163" s="160" t="n">
        <v>49334</v>
      </c>
      <c r="M163" s="155" t="n"/>
      <c r="N163" s="160" t="n">
        <v>85139</v>
      </c>
      <c r="O163" s="160" t="n">
        <v>153</v>
      </c>
      <c r="P163" s="160" t="n">
        <v>5032</v>
      </c>
      <c r="Q163" s="155" t="n"/>
      <c r="R163" s="155" t="n"/>
      <c r="S163" s="160" t="n">
        <v>10772</v>
      </c>
      <c r="T163" s="155" t="n"/>
      <c r="U163" s="155" t="n"/>
      <c r="V163" s="155" t="n"/>
      <c r="W163" s="155" t="n"/>
      <c r="X163" s="155" t="n"/>
      <c r="Y163" s="160" t="n">
        <v>10772</v>
      </c>
      <c r="Z163" s="155" t="n"/>
      <c r="AA163" s="160" t="n">
        <v>949</v>
      </c>
      <c r="AB163" s="160" t="n">
        <v>10894</v>
      </c>
      <c r="AC163" s="155" t="n"/>
      <c r="AD163" s="160" t="n">
        <v>207</v>
      </c>
      <c r="AE163" s="160" t="n">
        <v>8484</v>
      </c>
      <c r="AF163" s="160" t="n">
        <v>8691</v>
      </c>
      <c r="AG163" s="155" t="n"/>
      <c r="AH163" s="160" t="n">
        <v>57603</v>
      </c>
      <c r="AI163" s="160" t="n">
        <v>83077</v>
      </c>
      <c r="AJ163" s="160" t="n">
        <v>140680</v>
      </c>
      <c r="AK163" s="160" t="n">
        <v>-69674</v>
      </c>
      <c r="AL163" s="155" t="n"/>
      <c r="AM163" s="269" t="inlineStr">
        <is>
          <t>Ambrose; Q4 2024 ONLY (Oct–Dec, 3 months); lease-up/stabilizing; DO NOT use for annual PSF</t>
        </is>
      </c>
      <c r="AN163">
        <f>IF(AND($B163=Subj_OccCode,Subj_BldgSF&gt;0,ABS($J163-Subj_BldgSF)&lt;=Subj_BldgSF*Subj_SizeTol),ABS($J163-Subj_BldgSF),NA())</f>
        <v/>
      </c>
      <c r="AO163">
        <f>IF(ISNA(AN163),NA(),AN163+ROW()/10000000)</f>
        <v/>
      </c>
      <c r="AR163" s="233">
        <f>IF(B163="","",IFERROR(INDEX(OCC_TABLE_DESC,MATCH(B163,OCC_TABLE_CODE,0)),"Unrecognized code"))</f>
        <v/>
      </c>
    </row>
    <row r="164" ht="45" customHeight="1" s="518">
      <c r="A164" s="155" t="inlineStr">
        <is>
          <t>P085</t>
        </is>
      </c>
      <c r="B164" s="150" t="n">
        <v>210</v>
      </c>
      <c r="C164" s="155" t="inlineStr">
        <is>
          <t>R0093018</t>
        </is>
      </c>
      <c r="D164" s="269" t="inlineStr">
        <is>
          <t>3350 Peoria St</t>
        </is>
      </c>
      <c r="E164" s="155" t="inlineStr">
        <is>
          <t>Denver</t>
        </is>
      </c>
      <c r="F164" s="155" t="inlineStr">
        <is>
          <t>CO</t>
        </is>
      </c>
      <c r="G164" s="155" t="inlineStr">
        <is>
          <t>Industrial</t>
        </is>
      </c>
      <c r="H164" s="269" t="inlineStr">
        <is>
          <t>Office/Industrial Flex</t>
        </is>
      </c>
      <c r="I164" s="155" t="n"/>
      <c r="J164" s="155" t="n">
        <v>33057</v>
      </c>
      <c r="K164" s="155" t="n">
        <v>2024</v>
      </c>
      <c r="L164" s="155" t="n"/>
      <c r="M164" s="155" t="n"/>
      <c r="N164" s="160" t="n">
        <v>388335</v>
      </c>
      <c r="O164" s="160" t="n">
        <v>27979</v>
      </c>
      <c r="P164" s="160" t="n">
        <v>15595</v>
      </c>
      <c r="Q164" s="155" t="n"/>
      <c r="R164" s="155" t="n"/>
      <c r="S164" s="155" t="n"/>
      <c r="T164" s="155" t="n"/>
      <c r="U164" s="160" t="n">
        <v>8229</v>
      </c>
      <c r="V164" s="155" t="n"/>
      <c r="W164" s="155" t="n"/>
      <c r="X164" s="160" t="n">
        <v>91284</v>
      </c>
      <c r="Y164" s="155" t="n"/>
      <c r="Z164" s="155" t="n"/>
      <c r="AA164" s="160" t="n">
        <v>4573</v>
      </c>
      <c r="AB164" s="160" t="n">
        <v>2505</v>
      </c>
      <c r="AC164" s="160" t="n">
        <v>52966</v>
      </c>
      <c r="AD164" s="155" t="n"/>
      <c r="AE164" s="155" t="n"/>
      <c r="AF164" s="160" t="n">
        <v>53314</v>
      </c>
      <c r="AG164" s="155" t="n"/>
      <c r="AH164" s="160" t="n">
        <v>247389</v>
      </c>
      <c r="AI164" s="155" t="n"/>
      <c r="AJ164" s="160" t="n">
        <v>247389</v>
      </c>
      <c r="AK164" s="160" t="n">
        <v>140946</v>
      </c>
      <c r="AL164" s="155" t="n"/>
      <c r="AM164" s="269" t="inlineStr">
        <is>
          <t>Owner P&amp;L 2024; RE taxes not broken out separately; contracts incl HVAC $8,229/alarm $9,124/landscape $4,573/snow $2,505</t>
        </is>
      </c>
      <c r="AN164">
        <f>IF(AND($B164=Subj_OccCode,Subj_BldgSF&gt;0,ABS($J164-Subj_BldgSF)&lt;=Subj_BldgSF*Subj_SizeTol),ABS($J164-Subj_BldgSF),NA())</f>
        <v/>
      </c>
      <c r="AO164">
        <f>IF(ISNA(AN164),NA(),AN164+ROW()/10000000)</f>
        <v/>
      </c>
      <c r="AR164" s="233">
        <f>IF(B164="","",IFERROR(INDEX(OCC_TABLE_DESC,MATCH(B164,OCC_TABLE_CODE,0)),"Unrecognized code"))</f>
        <v/>
      </c>
    </row>
    <row r="165" ht="30" customHeight="1" s="518">
      <c r="A165" s="155" t="inlineStr">
        <is>
          <t>P086</t>
        </is>
      </c>
      <c r="B165" s="150" t="n">
        <v>406</v>
      </c>
      <c r="C165" s="155" t="inlineStr">
        <is>
          <t>R0210684</t>
        </is>
      </c>
      <c r="D165" s="269" t="inlineStr">
        <is>
          <t>14200 E Moncrieff Place</t>
        </is>
      </c>
      <c r="E165" s="155" t="inlineStr">
        <is>
          <t>Aurora</t>
        </is>
      </c>
      <c r="F165" s="155" t="inlineStr">
        <is>
          <t>CO</t>
        </is>
      </c>
      <c r="G165" s="155" t="inlineStr">
        <is>
          <t>Industrial</t>
        </is>
      </c>
      <c r="H165" s="269" t="inlineStr">
        <is>
          <t>Industrial Warehouse</t>
        </is>
      </c>
      <c r="I165" s="155" t="n">
        <v>1980</v>
      </c>
      <c r="J165" s="155" t="n">
        <v>233808</v>
      </c>
      <c r="K165" s="155" t="n">
        <v>2023</v>
      </c>
      <c r="L165" s="155" t="n"/>
      <c r="M165" s="155" t="n"/>
      <c r="N165" s="160" t="n">
        <v>2012921</v>
      </c>
      <c r="O165" s="160" t="n">
        <v>12170</v>
      </c>
      <c r="P165" s="160" t="n">
        <v>39036</v>
      </c>
      <c r="Q165" s="155" t="n"/>
      <c r="R165" s="155" t="n"/>
      <c r="S165" s="155" t="n"/>
      <c r="T165" s="155" t="n"/>
      <c r="U165" s="155" t="n"/>
      <c r="V165" s="155" t="n"/>
      <c r="W165" s="155" t="n"/>
      <c r="X165" s="160" t="n">
        <v>43894</v>
      </c>
      <c r="Y165" s="160" t="n">
        <v>43894</v>
      </c>
      <c r="Z165" s="155" t="n"/>
      <c r="AA165" s="160" t="n">
        <v>12324</v>
      </c>
      <c r="AB165" s="160" t="n">
        <v>32256</v>
      </c>
      <c r="AC165" s="160" t="n">
        <v>50799</v>
      </c>
      <c r="AD165" s="160" t="n">
        <v>28587</v>
      </c>
      <c r="AE165" s="155" t="n"/>
      <c r="AF165" s="160" t="n">
        <v>28587</v>
      </c>
      <c r="AG165" s="155" t="n"/>
      <c r="AH165" s="160" t="n">
        <v>184120</v>
      </c>
      <c r="AI165" s="160" t="n">
        <v>608865</v>
      </c>
      <c r="AJ165" s="160" t="n">
        <v>792985</v>
      </c>
      <c r="AK165" s="160" t="n">
        <v>1219936</v>
      </c>
      <c r="AL165" s="155" t="n"/>
      <c r="AM165" s="269" t="inlineStr">
        <is>
          <t>Owner P&amp;L 2023; large industrial 233,808 SF; 1980 YOC; landscape $12,324/snow $32,256 in CAM</t>
        </is>
      </c>
      <c r="AN165">
        <f>IF(AND($B165=Subj_OccCode,Subj_BldgSF&gt;0,ABS($J165-Subj_BldgSF)&lt;=Subj_BldgSF*Subj_SizeTol),ABS($J165-Subj_BldgSF),NA())</f>
        <v/>
      </c>
      <c r="AO165">
        <f>IF(ISNA(AN165),NA(),AN165+ROW()/10000000)</f>
        <v/>
      </c>
      <c r="AR165" s="233">
        <f>IF(B165="","",IFERROR(INDEX(OCC_TABLE_DESC,MATCH(B165,OCC_TABLE_CODE,0)),"Unrecognized code"))</f>
        <v/>
      </c>
    </row>
    <row r="166" ht="30" customHeight="1" s="518">
      <c r="A166" s="155" t="inlineStr">
        <is>
          <t>P086</t>
        </is>
      </c>
      <c r="B166" s="150" t="n">
        <v>406</v>
      </c>
      <c r="C166" s="155" t="inlineStr">
        <is>
          <t>R0210684</t>
        </is>
      </c>
      <c r="D166" s="269" t="inlineStr">
        <is>
          <t>14200 E Moncrieff Place</t>
        </is>
      </c>
      <c r="E166" s="155" t="inlineStr">
        <is>
          <t>Aurora</t>
        </is>
      </c>
      <c r="F166" s="155" t="inlineStr">
        <is>
          <t>CO</t>
        </is>
      </c>
      <c r="G166" s="155" t="inlineStr">
        <is>
          <t>Industrial</t>
        </is>
      </c>
      <c r="H166" s="269" t="inlineStr">
        <is>
          <t>Industrial Warehouse</t>
        </is>
      </c>
      <c r="I166" s="155" t="n">
        <v>1980</v>
      </c>
      <c r="J166" s="155" t="n">
        <v>233808</v>
      </c>
      <c r="K166" s="155" t="n">
        <v>2024</v>
      </c>
      <c r="L166" s="155" t="n"/>
      <c r="M166" s="155" t="n"/>
      <c r="N166" s="160" t="n">
        <v>2041933</v>
      </c>
      <c r="O166" s="155" t="n"/>
      <c r="P166" s="155" t="n"/>
      <c r="Q166" s="155" t="n"/>
      <c r="R166" s="155" t="n"/>
      <c r="S166" s="155" t="n"/>
      <c r="T166" s="155" t="n"/>
      <c r="U166" s="155" t="n"/>
      <c r="V166" s="155" t="n"/>
      <c r="W166" s="155" t="n"/>
      <c r="X166" s="155" t="n"/>
      <c r="Y166" s="155" t="n"/>
      <c r="Z166" s="155" t="n"/>
      <c r="AA166" s="155" t="n"/>
      <c r="AB166" s="155" t="n"/>
      <c r="AC166" s="155" t="n"/>
      <c r="AD166" s="155" t="n"/>
      <c r="AE166" s="155" t="n"/>
      <c r="AF166" s="155" t="n"/>
      <c r="AG166" s="155" t="n"/>
      <c r="AH166" s="155" t="n"/>
      <c r="AI166" s="155" t="n"/>
      <c r="AJ166" s="160" t="n">
        <v>835113</v>
      </c>
      <c r="AK166" s="160" t="n">
        <v>1206819</v>
      </c>
      <c r="AL166" s="155" t="n"/>
      <c r="AM166" s="269" t="inlineStr">
        <is>
          <t>Owner P&amp;L 2024; total OPX only – line items not fully detailed for 2024</t>
        </is>
      </c>
      <c r="AN166">
        <f>IF(AND($B166=Subj_OccCode,Subj_BldgSF&gt;0,ABS($J166-Subj_BldgSF)&lt;=Subj_BldgSF*Subj_SizeTol),ABS($J166-Subj_BldgSF),NA())</f>
        <v/>
      </c>
      <c r="AO166">
        <f>IF(ISNA(AN166),NA(),AN166+ROW()/10000000)</f>
        <v/>
      </c>
      <c r="AR166" s="233">
        <f>IF(B166="","",IFERROR(INDEX(OCC_TABLE_DESC,MATCH(B166,OCC_TABLE_CODE,0)),"Unrecognized code"))</f>
        <v/>
      </c>
    </row>
    <row r="167" ht="15" customHeight="1" s="518">
      <c r="A167" s="155" t="inlineStr">
        <is>
          <t>P087</t>
        </is>
      </c>
      <c r="B167" s="150" t="n">
        <v>407</v>
      </c>
      <c r="C167" s="155" t="inlineStr">
        <is>
          <t>R0102985</t>
        </is>
      </c>
      <c r="D167" s="269" t="inlineStr">
        <is>
          <t>5861 Tennyson St</t>
        </is>
      </c>
      <c r="E167" s="155" t="inlineStr">
        <is>
          <t>Arvada</t>
        </is>
      </c>
      <c r="F167" s="155" t="inlineStr">
        <is>
          <t>CO</t>
        </is>
      </c>
      <c r="G167" s="155" t="inlineStr">
        <is>
          <t>Industrial</t>
        </is>
      </c>
      <c r="H167" s="269" t="inlineStr">
        <is>
          <t>Industrial NNN</t>
        </is>
      </c>
      <c r="I167" s="155" t="n">
        <v>2000</v>
      </c>
      <c r="J167" s="155" t="n">
        <v>80640</v>
      </c>
      <c r="K167" s="155" t="n">
        <v>2023</v>
      </c>
      <c r="L167" s="160" t="n">
        <v>503016</v>
      </c>
      <c r="M167" s="155" t="n"/>
      <c r="N167" s="155" t="n"/>
      <c r="O167" s="155" t="n"/>
      <c r="P167" s="155" t="n"/>
      <c r="Q167" s="155" t="n"/>
      <c r="R167" s="155" t="n"/>
      <c r="S167" s="155" t="n"/>
      <c r="T167" s="155" t="n"/>
      <c r="U167" s="155" t="n"/>
      <c r="V167" s="155" t="n"/>
      <c r="W167" s="155" t="n"/>
      <c r="X167" s="155" t="n"/>
      <c r="Y167" s="155" t="n"/>
      <c r="Z167" s="155" t="n"/>
      <c r="AA167" s="155" t="n"/>
      <c r="AB167" s="155" t="n"/>
      <c r="AC167" s="155" t="n"/>
      <c r="AD167" s="155" t="n"/>
      <c r="AE167" s="155" t="n"/>
      <c r="AF167" s="155" t="n"/>
      <c r="AG167" s="155" t="n"/>
      <c r="AH167" s="160" t="n">
        <v>16587</v>
      </c>
      <c r="AI167" s="155" t="n"/>
      <c r="AJ167" s="160" t="n">
        <v>16587</v>
      </c>
      <c r="AK167" s="160" t="n">
        <v>486429</v>
      </c>
      <c r="AL167" s="155" t="n"/>
      <c r="AM167" s="269" t="inlineStr">
        <is>
          <t>NNN; landlord expenses only; tenant pays RE taxes; 2023</t>
        </is>
      </c>
      <c r="AN167">
        <f>IF(AND($B167=Subj_OccCode,Subj_BldgSF&gt;0,ABS($J167-Subj_BldgSF)&lt;=Subj_BldgSF*Subj_SizeTol),ABS($J167-Subj_BldgSF),NA())</f>
        <v/>
      </c>
      <c r="AO167">
        <f>IF(ISNA(AN167),NA(),AN167+ROW()/10000000)</f>
        <v/>
      </c>
      <c r="AR167" s="233">
        <f>IF(B167="","",IFERROR(INDEX(OCC_TABLE_DESC,MATCH(B167,OCC_TABLE_CODE,0)),"Unrecognized code"))</f>
        <v/>
      </c>
    </row>
    <row r="168" ht="15" customHeight="1" s="518">
      <c r="A168" s="155" t="inlineStr">
        <is>
          <t>P087</t>
        </is>
      </c>
      <c r="B168" s="150" t="n">
        <v>407</v>
      </c>
      <c r="C168" s="155" t="inlineStr">
        <is>
          <t>R0102985</t>
        </is>
      </c>
      <c r="D168" s="269" t="inlineStr">
        <is>
          <t>5861 Tennyson St</t>
        </is>
      </c>
      <c r="E168" s="155" t="inlineStr">
        <is>
          <t>Arvada</t>
        </is>
      </c>
      <c r="F168" s="155" t="inlineStr">
        <is>
          <t>CO</t>
        </is>
      </c>
      <c r="G168" s="155" t="inlineStr">
        <is>
          <t>Industrial</t>
        </is>
      </c>
      <c r="H168" s="269" t="inlineStr">
        <is>
          <t>Industrial NNN</t>
        </is>
      </c>
      <c r="I168" s="155" t="n">
        <v>2000</v>
      </c>
      <c r="J168" s="155" t="n">
        <v>80640</v>
      </c>
      <c r="K168" s="155" t="n">
        <v>2024</v>
      </c>
      <c r="L168" s="160" t="n">
        <v>513072</v>
      </c>
      <c r="M168" s="155" t="n"/>
      <c r="N168" s="155" t="n"/>
      <c r="O168" s="155" t="n"/>
      <c r="P168" s="155" t="n"/>
      <c r="Q168" s="155" t="n"/>
      <c r="R168" s="155" t="n"/>
      <c r="S168" s="155" t="n"/>
      <c r="T168" s="155" t="n"/>
      <c r="U168" s="155" t="n"/>
      <c r="V168" s="155" t="n"/>
      <c r="W168" s="155" t="n"/>
      <c r="X168" s="155" t="n"/>
      <c r="Y168" s="155" t="n"/>
      <c r="Z168" s="155" t="n"/>
      <c r="AA168" s="155" t="n"/>
      <c r="AB168" s="155" t="n"/>
      <c r="AC168" s="155" t="n"/>
      <c r="AD168" s="155" t="n"/>
      <c r="AE168" s="155" t="n"/>
      <c r="AF168" s="155" t="n"/>
      <c r="AG168" s="155" t="n"/>
      <c r="AH168" s="160" t="n">
        <v>15492</v>
      </c>
      <c r="AI168" s="155" t="n"/>
      <c r="AJ168" s="160" t="n">
        <v>15492</v>
      </c>
      <c r="AK168" s="160" t="n">
        <v>497580</v>
      </c>
      <c r="AL168" s="155" t="n"/>
      <c r="AM168" s="269" t="inlineStr">
        <is>
          <t>NNN; landlord expenses only; tenant pays RE taxes; 2024</t>
        </is>
      </c>
      <c r="AN168">
        <f>IF(AND($B168=Subj_OccCode,Subj_BldgSF&gt;0,ABS($J168-Subj_BldgSF)&lt;=Subj_BldgSF*Subj_SizeTol),ABS($J168-Subj_BldgSF),NA())</f>
        <v/>
      </c>
      <c r="AO168">
        <f>IF(ISNA(AN168),NA(),AN168+ROW()/10000000)</f>
        <v/>
      </c>
      <c r="AR168" s="233">
        <f>IF(B168="","",IFERROR(INDEX(OCC_TABLE_DESC,MATCH(B168,OCC_TABLE_CODE,0)),"Unrecognized code"))</f>
        <v/>
      </c>
    </row>
    <row r="169" ht="30" customHeight="1" s="518">
      <c r="A169" s="155" t="inlineStr">
        <is>
          <t>P088</t>
        </is>
      </c>
      <c r="B169" s="150" t="n">
        <v>210</v>
      </c>
      <c r="C169" s="155" t="inlineStr">
        <is>
          <t>R0090973</t>
        </is>
      </c>
      <c r="D169" s="269" t="inlineStr">
        <is>
          <t>3975 E 56th Ave</t>
        </is>
      </c>
      <c r="E169" s="155" t="inlineStr">
        <is>
          <t>Commerce City</t>
        </is>
      </c>
      <c r="F169" s="155" t="inlineStr">
        <is>
          <t>CO</t>
        </is>
      </c>
      <c r="G169" s="155" t="inlineStr">
        <is>
          <t>Industrial</t>
        </is>
      </c>
      <c r="H169" s="269" t="inlineStr">
        <is>
          <t>Multi-Tenant Industrial</t>
        </is>
      </c>
      <c r="I169" s="155" t="n"/>
      <c r="J169" s="155" t="n">
        <v>42299</v>
      </c>
      <c r="K169" s="155" t="n">
        <v>2024</v>
      </c>
      <c r="L169" s="155" t="n"/>
      <c r="M169" s="155" t="n"/>
      <c r="N169" s="160" t="n">
        <v>391669</v>
      </c>
      <c r="O169" s="155" t="n"/>
      <c r="P169" s="155" t="n"/>
      <c r="Q169" s="155" t="n"/>
      <c r="R169" s="155" t="n"/>
      <c r="S169" s="155" t="n"/>
      <c r="T169" s="155" t="n"/>
      <c r="U169" s="155" t="n"/>
      <c r="V169" s="155" t="n"/>
      <c r="W169" s="155" t="n"/>
      <c r="X169" s="155" t="n"/>
      <c r="Y169" s="155" t="n"/>
      <c r="Z169" s="155" t="n"/>
      <c r="AA169" s="155" t="n"/>
      <c r="AB169" s="155" t="n"/>
      <c r="AC169" s="155" t="n"/>
      <c r="AD169" s="155" t="n"/>
      <c r="AE169" s="155" t="n"/>
      <c r="AF169" s="155" t="n"/>
      <c r="AG169" s="155" t="n"/>
      <c r="AH169" s="160" t="n">
        <v>31334</v>
      </c>
      <c r="AI169" s="155" t="n"/>
      <c r="AJ169" s="160" t="n">
        <v>31334</v>
      </c>
      <c r="AK169" s="160" t="n">
        <v>360335</v>
      </c>
      <c r="AL169" s="155" t="n"/>
      <c r="AM169" s="269" t="inlineStr">
        <is>
          <t>Sand Creek Business Park; owner P&amp;L 2024; limited line-item detail</t>
        </is>
      </c>
      <c r="AN169">
        <f>IF(AND($B169=Subj_OccCode,Subj_BldgSF&gt;0,ABS($J169-Subj_BldgSF)&lt;=Subj_BldgSF*Subj_SizeTol),ABS($J169-Subj_BldgSF),NA())</f>
        <v/>
      </c>
      <c r="AO169">
        <f>IF(ISNA(AN169),NA(),AN169+ROW()/10000000)</f>
        <v/>
      </c>
      <c r="AR169" s="233">
        <f>IF(B169="","",IFERROR(INDEX(OCC_TABLE_DESC,MATCH(B169,OCC_TABLE_CODE,0)),"Unrecognized code"))</f>
        <v/>
      </c>
    </row>
    <row r="170" ht="45" customHeight="1" s="518">
      <c r="A170" s="155" t="inlineStr">
        <is>
          <t>P089</t>
        </is>
      </c>
      <c r="B170" s="150" t="n">
        <v>407</v>
      </c>
      <c r="C170" s="155" t="inlineStr">
        <is>
          <t>R0180951</t>
        </is>
      </c>
      <c r="D170" s="269" t="inlineStr">
        <is>
          <t>(Address TBD – R0180951)</t>
        </is>
      </c>
      <c r="E170" s="155" t="inlineStr">
        <is>
          <t>Adams County</t>
        </is>
      </c>
      <c r="F170" s="155" t="inlineStr">
        <is>
          <t>CO</t>
        </is>
      </c>
      <c r="G170" s="155" t="inlineStr">
        <is>
          <t>Industrial</t>
        </is>
      </c>
      <c r="H170" s="269" t="inlineStr">
        <is>
          <t>Industrial NNN</t>
        </is>
      </c>
      <c r="I170" s="155" t="n">
        <v>2016</v>
      </c>
      <c r="J170" s="155" t="n">
        <v>122106</v>
      </c>
      <c r="K170" s="155" t="n">
        <v>2023</v>
      </c>
      <c r="L170" s="155" t="n"/>
      <c r="M170" s="155" t="n"/>
      <c r="N170" s="155" t="n"/>
      <c r="O170" s="160" t="n">
        <v>7435</v>
      </c>
      <c r="P170" s="155" t="n"/>
      <c r="Q170" s="155" t="n"/>
      <c r="R170" s="155" t="n"/>
      <c r="S170" s="155" t="n"/>
      <c r="T170" s="155" t="n"/>
      <c r="U170" s="155" t="n"/>
      <c r="V170" s="155" t="n"/>
      <c r="W170" s="155" t="n"/>
      <c r="X170" s="155" t="n"/>
      <c r="Y170" s="155" t="n"/>
      <c r="Z170" s="155" t="n"/>
      <c r="AA170" s="155" t="n"/>
      <c r="AB170" s="155" t="n"/>
      <c r="AC170" s="160" t="n">
        <v>50680</v>
      </c>
      <c r="AD170" s="160" t="n">
        <v>58541</v>
      </c>
      <c r="AE170" s="155" t="n"/>
      <c r="AF170" s="160" t="n">
        <v>58541</v>
      </c>
      <c r="AG170" s="155" t="n"/>
      <c r="AH170" s="155" t="n"/>
      <c r="AI170" s="160" t="n">
        <v>394774</v>
      </c>
      <c r="AJ170" s="160" t="n">
        <v>511430</v>
      </c>
      <c r="AK170" s="155" t="n"/>
      <c r="AL170" s="155" t="n"/>
      <c r="AM170" s="269" t="inlineStr">
        <is>
          <t>NNN; landlord expenses only from WH Expenses 2026; 2016 YOC; 2023: RE Tax $394,774/Ins $7,435/Utils $58,541/CAM $50,680</t>
        </is>
      </c>
      <c r="AN170">
        <f>IF(AND($B170=Subj_OccCode,Subj_BldgSF&gt;0,ABS($J170-Subj_BldgSF)&lt;=Subj_BldgSF*Subj_SizeTol),ABS($J170-Subj_BldgSF),NA())</f>
        <v/>
      </c>
      <c r="AO170">
        <f>IF(ISNA(AN170),NA(),AN170+ROW()/10000000)</f>
        <v/>
      </c>
      <c r="AR170" s="233">
        <f>IF(B170="","",IFERROR(INDEX(OCC_TABLE_DESC,MATCH(B170,OCC_TABLE_CODE,0)),"Unrecognized code"))</f>
        <v/>
      </c>
    </row>
    <row r="171" ht="30" customHeight="1" s="518">
      <c r="A171" s="155" t="inlineStr">
        <is>
          <t>P089</t>
        </is>
      </c>
      <c r="B171" s="150" t="n">
        <v>407</v>
      </c>
      <c r="C171" s="155" t="inlineStr">
        <is>
          <t>R0180951</t>
        </is>
      </c>
      <c r="D171" s="269" t="inlineStr">
        <is>
          <t>(Address TBD – R0180951)</t>
        </is>
      </c>
      <c r="E171" s="155" t="inlineStr">
        <is>
          <t>Adams County</t>
        </is>
      </c>
      <c r="F171" s="155" t="inlineStr">
        <is>
          <t>CO</t>
        </is>
      </c>
      <c r="G171" s="155" t="inlineStr">
        <is>
          <t>Industrial</t>
        </is>
      </c>
      <c r="H171" s="269" t="inlineStr">
        <is>
          <t>Industrial NNN</t>
        </is>
      </c>
      <c r="I171" s="155" t="n">
        <v>2016</v>
      </c>
      <c r="J171" s="155" t="n">
        <v>122106</v>
      </c>
      <c r="K171" s="155" t="n">
        <v>2024</v>
      </c>
      <c r="L171" s="155" t="n"/>
      <c r="M171" s="155" t="n"/>
      <c r="N171" s="155" t="n"/>
      <c r="O171" s="160" t="n">
        <v>7635</v>
      </c>
      <c r="P171" s="155" t="n"/>
      <c r="Q171" s="155" t="n"/>
      <c r="R171" s="155" t="n"/>
      <c r="S171" s="155" t="n"/>
      <c r="T171" s="155" t="n"/>
      <c r="U171" s="155" t="n"/>
      <c r="V171" s="155" t="n"/>
      <c r="W171" s="155" t="n"/>
      <c r="X171" s="155" t="n"/>
      <c r="Y171" s="155" t="n"/>
      <c r="Z171" s="155" t="n"/>
      <c r="AA171" s="155" t="n"/>
      <c r="AB171" s="155" t="n"/>
      <c r="AC171" s="160" t="n">
        <v>64465</v>
      </c>
      <c r="AD171" s="160" t="n">
        <v>58541</v>
      </c>
      <c r="AE171" s="155" t="n"/>
      <c r="AF171" s="160" t="n">
        <v>58541</v>
      </c>
      <c r="AG171" s="155" t="n"/>
      <c r="AH171" s="155" t="n"/>
      <c r="AI171" s="160" t="n">
        <v>532140</v>
      </c>
      <c r="AJ171" s="160" t="n">
        <v>662781</v>
      </c>
      <c r="AK171" s="155" t="n"/>
      <c r="AL171" s="155" t="n"/>
      <c r="AM171" s="269" t="inlineStr">
        <is>
          <t>NNN; landlord expenses only from WH Expenses 2026; 2024: RE Tax $532,140/Ins $7,635/Utils $58,541/CAM $64,465</t>
        </is>
      </c>
      <c r="AN171">
        <f>IF(AND($B171=Subj_OccCode,Subj_BldgSF&gt;0,ABS($J171-Subj_BldgSF)&lt;=Subj_BldgSF*Subj_SizeTol),ABS($J171-Subj_BldgSF),NA())</f>
        <v/>
      </c>
      <c r="AO171">
        <f>IF(ISNA(AN171),NA(),AN171+ROW()/10000000)</f>
        <v/>
      </c>
      <c r="AR171" s="233">
        <f>IF(B171="","",IFERROR(INDEX(OCC_TABLE_DESC,MATCH(B171,OCC_TABLE_CODE,0)),"Unrecognized code"))</f>
        <v/>
      </c>
    </row>
    <row r="172" ht="30" customHeight="1" s="518">
      <c r="A172" s="155" t="inlineStr">
        <is>
          <t>P090</t>
        </is>
      </c>
      <c r="B172" s="150" t="n">
        <v>407</v>
      </c>
      <c r="C172" s="155" t="inlineStr">
        <is>
          <t>R0110351</t>
        </is>
      </c>
      <c r="D172" s="269" t="inlineStr">
        <is>
          <t>(Address TBD – R0110351)</t>
        </is>
      </c>
      <c r="E172" s="155" t="inlineStr">
        <is>
          <t>Adams County</t>
        </is>
      </c>
      <c r="F172" s="155" t="inlineStr">
        <is>
          <t>CO</t>
        </is>
      </c>
      <c r="G172" s="155" t="inlineStr">
        <is>
          <t>Industrial</t>
        </is>
      </c>
      <c r="H172" s="269" t="inlineStr">
        <is>
          <t>Industrial NNN</t>
        </is>
      </c>
      <c r="I172" s="155" t="n">
        <v>2000</v>
      </c>
      <c r="J172" s="155" t="n">
        <v>85200</v>
      </c>
      <c r="K172" s="155" t="n">
        <v>2023</v>
      </c>
      <c r="L172" s="155" t="n"/>
      <c r="M172" s="155" t="n"/>
      <c r="N172" s="155" t="n"/>
      <c r="O172" s="160" t="n">
        <v>20559</v>
      </c>
      <c r="P172" s="155" t="n"/>
      <c r="Q172" s="155" t="n"/>
      <c r="R172" s="155" t="n"/>
      <c r="S172" s="155" t="n"/>
      <c r="T172" s="155" t="n"/>
      <c r="U172" s="155" t="n"/>
      <c r="V172" s="155" t="n"/>
      <c r="W172" s="155" t="n"/>
      <c r="X172" s="155" t="n"/>
      <c r="Y172" s="155" t="n"/>
      <c r="Z172" s="155" t="n"/>
      <c r="AA172" s="155" t="n"/>
      <c r="AB172" s="155" t="n"/>
      <c r="AC172" s="160" t="n">
        <v>18539</v>
      </c>
      <c r="AD172" s="155" t="n"/>
      <c r="AE172" s="155" t="n"/>
      <c r="AF172" s="155" t="n"/>
      <c r="AG172" s="155" t="n"/>
      <c r="AH172" s="155" t="n"/>
      <c r="AI172" s="160" t="n">
        <v>305241</v>
      </c>
      <c r="AJ172" s="160" t="n">
        <v>344339</v>
      </c>
      <c r="AK172" s="155" t="n"/>
      <c r="AL172" s="155" t="n"/>
      <c r="AM172" s="269" t="inlineStr">
        <is>
          <t>NNN; landlord expenses only from WH Expenses 2026; 2000 YOC; 2023: RE Tax $305,241/Ins $20,559/CAM $18,539</t>
        </is>
      </c>
      <c r="AN172">
        <f>IF(AND($B172=Subj_OccCode,Subj_BldgSF&gt;0,ABS($J172-Subj_BldgSF)&lt;=Subj_BldgSF*Subj_SizeTol),ABS($J172-Subj_BldgSF),NA())</f>
        <v/>
      </c>
      <c r="AO172">
        <f>IF(ISNA(AN172),NA(),AN172+ROW()/10000000)</f>
        <v/>
      </c>
      <c r="AR172" s="233">
        <f>IF(B172="","",IFERROR(INDEX(OCC_TABLE_DESC,MATCH(B172,OCC_TABLE_CODE,0)),"Unrecognized code"))</f>
        <v/>
      </c>
    </row>
    <row r="173" ht="30" customHeight="1" s="518">
      <c r="A173" s="155" t="inlineStr">
        <is>
          <t>P090</t>
        </is>
      </c>
      <c r="B173" s="150" t="n">
        <v>407</v>
      </c>
      <c r="C173" s="155" t="inlineStr">
        <is>
          <t>R0110351</t>
        </is>
      </c>
      <c r="D173" s="269" t="inlineStr">
        <is>
          <t>(Address TBD – R0110351)</t>
        </is>
      </c>
      <c r="E173" s="155" t="inlineStr">
        <is>
          <t>Adams County</t>
        </is>
      </c>
      <c r="F173" s="155" t="inlineStr">
        <is>
          <t>CO</t>
        </is>
      </c>
      <c r="G173" s="155" t="inlineStr">
        <is>
          <t>Industrial</t>
        </is>
      </c>
      <c r="H173" s="269" t="inlineStr">
        <is>
          <t>Industrial NNN</t>
        </is>
      </c>
      <c r="I173" s="155" t="n">
        <v>2000</v>
      </c>
      <c r="J173" s="155" t="n">
        <v>85200</v>
      </c>
      <c r="K173" s="155" t="n">
        <v>2024</v>
      </c>
      <c r="L173" s="155" t="n"/>
      <c r="M173" s="155" t="n"/>
      <c r="N173" s="155" t="n"/>
      <c r="O173" s="160" t="n">
        <v>25578</v>
      </c>
      <c r="P173" s="155" t="n"/>
      <c r="Q173" s="155" t="n"/>
      <c r="R173" s="155" t="n"/>
      <c r="S173" s="155" t="n"/>
      <c r="T173" s="155" t="n"/>
      <c r="U173" s="155" t="n"/>
      <c r="V173" s="155" t="n"/>
      <c r="W173" s="155" t="n"/>
      <c r="X173" s="155" t="n"/>
      <c r="Y173" s="155" t="n"/>
      <c r="Z173" s="155" t="n"/>
      <c r="AA173" s="155" t="n"/>
      <c r="AB173" s="155" t="n"/>
      <c r="AC173" s="160" t="n">
        <v>21372</v>
      </c>
      <c r="AD173" s="155" t="n"/>
      <c r="AE173" s="155" t="n"/>
      <c r="AF173" s="155" t="n"/>
      <c r="AG173" s="155" t="n"/>
      <c r="AH173" s="155" t="n"/>
      <c r="AI173" s="160" t="n">
        <v>331811</v>
      </c>
      <c r="AJ173" s="160" t="n">
        <v>378761</v>
      </c>
      <c r="AK173" s="155" t="n"/>
      <c r="AL173" s="155" t="n"/>
      <c r="AM173" s="269" t="inlineStr">
        <is>
          <t>NNN; landlord expenses only from WH Expenses 2026; 2024: RE Tax $331,811/Ins $25,578/CAM $21,372</t>
        </is>
      </c>
      <c r="AN173">
        <f>IF(AND($B173=Subj_OccCode,Subj_BldgSF&gt;0,ABS($J173-Subj_BldgSF)&lt;=Subj_BldgSF*Subj_SizeTol),ABS($J173-Subj_BldgSF),NA())</f>
        <v/>
      </c>
      <c r="AO173">
        <f>IF(ISNA(AN173),NA(),AN173+ROW()/10000000)</f>
        <v/>
      </c>
      <c r="AR173" s="233">
        <f>IF(B173="","",IFERROR(INDEX(OCC_TABLE_DESC,MATCH(B173,OCC_TABLE_CODE,0)),"Unrecognized code"))</f>
        <v/>
      </c>
    </row>
    <row r="174" ht="30" customHeight="1" s="518">
      <c r="A174" s="155" t="inlineStr">
        <is>
          <t>P091</t>
        </is>
      </c>
      <c r="B174" s="150" t="n">
        <v>584</v>
      </c>
      <c r="C174" s="155" t="inlineStr">
        <is>
          <t>R0198530</t>
        </is>
      </c>
      <c r="D174" s="269" t="inlineStr">
        <is>
          <t>(Address TBD – R0198530)</t>
        </is>
      </c>
      <c r="E174" s="155" t="inlineStr">
        <is>
          <t>Adams County</t>
        </is>
      </c>
      <c r="F174" s="155" t="inlineStr">
        <is>
          <t>CO</t>
        </is>
      </c>
      <c r="G174" s="155" t="inlineStr">
        <is>
          <t>Industrial</t>
        </is>
      </c>
      <c r="H174" s="269" t="inlineStr">
        <is>
          <t>Industrial Mega-Warehouse NNN</t>
        </is>
      </c>
      <c r="I174" s="155" t="n">
        <v>2019</v>
      </c>
      <c r="J174" s="155" t="n">
        <v>555867</v>
      </c>
      <c r="K174" s="155" t="n">
        <v>2024</v>
      </c>
      <c r="L174" s="155" t="n"/>
      <c r="M174" s="155" t="n"/>
      <c r="N174" s="155" t="n"/>
      <c r="O174" s="160" t="n">
        <v>86084</v>
      </c>
      <c r="P174" s="160" t="n">
        <v>64029</v>
      </c>
      <c r="Q174" s="155" t="n"/>
      <c r="R174" s="155" t="n"/>
      <c r="S174" s="155" t="n"/>
      <c r="T174" s="155" t="n"/>
      <c r="U174" s="155" t="n"/>
      <c r="V174" s="155" t="n"/>
      <c r="W174" s="155" t="n"/>
      <c r="X174" s="155" t="n"/>
      <c r="Y174" s="155" t="n"/>
      <c r="Z174" s="155" t="n"/>
      <c r="AA174" s="155" t="n"/>
      <c r="AB174" s="155" t="n"/>
      <c r="AC174" s="155" t="n"/>
      <c r="AD174" s="155" t="n"/>
      <c r="AE174" s="155" t="n"/>
      <c r="AF174" s="155" t="n"/>
      <c r="AG174" s="155" t="n"/>
      <c r="AH174" s="155" t="n"/>
      <c r="AI174" s="160" t="n">
        <v>2160792</v>
      </c>
      <c r="AJ174" s="160" t="n">
        <v>2310905</v>
      </c>
      <c r="AK174" s="155" t="n"/>
      <c r="AL174" s="155" t="n"/>
      <c r="AM174" s="269" t="inlineStr">
        <is>
          <t>Mega-warehouse 555,867 SF; NNN; landlord only: RE Tax $2,160,792/Ins $86,084/Mgmt $64,029; 2019 YOC</t>
        </is>
      </c>
      <c r="AN174">
        <f>IF(AND($B174=Subj_OccCode,Subj_BldgSF&gt;0,ABS($J174-Subj_BldgSF)&lt;=Subj_BldgSF*Subj_SizeTol),ABS($J174-Subj_BldgSF),NA())</f>
        <v/>
      </c>
      <c r="AO174">
        <f>IF(ISNA(AN174),NA(),AN174+ROW()/10000000)</f>
        <v/>
      </c>
      <c r="AR174" s="233">
        <f>IF(B174="","",IFERROR(INDEX(OCC_TABLE_DESC,MATCH(B174,OCC_TABLE_CODE,0)),"Unrecognized code"))</f>
        <v/>
      </c>
    </row>
    <row r="175" ht="30" customHeight="1" s="518">
      <c r="A175" s="155" t="inlineStr">
        <is>
          <t>P092</t>
        </is>
      </c>
      <c r="B175" s="150" t="n">
        <v>447</v>
      </c>
      <c r="C175" s="155" t="inlineStr">
        <is>
          <t>R0180834</t>
        </is>
      </c>
      <c r="D175" s="269" t="inlineStr">
        <is>
          <t>(Address TBD – R0180834)</t>
        </is>
      </c>
      <c r="E175" s="155" t="inlineStr">
        <is>
          <t>Adams County</t>
        </is>
      </c>
      <c r="F175" s="155" t="inlineStr">
        <is>
          <t>CO</t>
        </is>
      </c>
      <c r="G175" s="155" t="inlineStr">
        <is>
          <t>Industrial</t>
        </is>
      </c>
      <c r="H175" s="269" t="inlineStr">
        <is>
          <t>Cold Storage/Mega-Warehouse NNN</t>
        </is>
      </c>
      <c r="I175" s="155" t="n">
        <v>2012</v>
      </c>
      <c r="J175" s="155" t="n">
        <v>550031</v>
      </c>
      <c r="K175" s="155" t="n">
        <v>2024</v>
      </c>
      <c r="L175" s="155" t="n"/>
      <c r="M175" s="155" t="n"/>
      <c r="N175" s="155" t="n"/>
      <c r="O175" s="160" t="n">
        <v>77117</v>
      </c>
      <c r="P175" s="160" t="n">
        <v>138053</v>
      </c>
      <c r="Q175" s="155" t="n"/>
      <c r="R175" s="155" t="n"/>
      <c r="S175" s="155" t="n"/>
      <c r="T175" s="155" t="n"/>
      <c r="U175" s="155" t="n"/>
      <c r="V175" s="155" t="n"/>
      <c r="W175" s="155" t="n"/>
      <c r="X175" s="155" t="n"/>
      <c r="Y175" s="155" t="n"/>
      <c r="Z175" s="155" t="n"/>
      <c r="AA175" s="155" t="n"/>
      <c r="AB175" s="155" t="n"/>
      <c r="AC175" s="155" t="n"/>
      <c r="AD175" s="155" t="n"/>
      <c r="AE175" s="155" t="n"/>
      <c r="AF175" s="155" t="n"/>
      <c r="AG175" s="155" t="n"/>
      <c r="AH175" s="155" t="n"/>
      <c r="AI175" s="160" t="n">
        <v>2118655</v>
      </c>
      <c r="AJ175" s="160" t="n">
        <v>2333825</v>
      </c>
      <c r="AK175" s="155" t="n"/>
      <c r="AL175" s="155" t="n"/>
      <c r="AM175" s="269" t="inlineStr">
        <is>
          <t>Cold storage/mega-WH 550,031 SF; NNN; landlord only: RE Tax $2,118,655/Ins $77,117/Mgmt $138,053; 2012 YOC</t>
        </is>
      </c>
      <c r="AN175">
        <f>IF(AND($B175=Subj_OccCode,Subj_BldgSF&gt;0,ABS($J175-Subj_BldgSF)&lt;=Subj_BldgSF*Subj_SizeTol),ABS($J175-Subj_BldgSF),NA())</f>
        <v/>
      </c>
      <c r="AO175">
        <f>IF(ISNA(AN175),NA(),AN175+ROW()/10000000)</f>
        <v/>
      </c>
      <c r="AR175" s="233">
        <f>IF(B175="","",IFERROR(INDEX(OCC_TABLE_DESC,MATCH(B175,OCC_TABLE_CODE,0)),"Unrecognized code"))</f>
        <v/>
      </c>
    </row>
    <row r="176" ht="30" customHeight="1" s="518">
      <c r="A176" s="155" t="inlineStr">
        <is>
          <t>P093</t>
        </is>
      </c>
      <c r="B176" s="150" t="n">
        <v>407</v>
      </c>
      <c r="C176" s="155" t="inlineStr">
        <is>
          <t>R0114792</t>
        </is>
      </c>
      <c r="D176" s="269" t="inlineStr">
        <is>
          <t>(Address TBD – R0114792)</t>
        </is>
      </c>
      <c r="E176" s="155" t="inlineStr">
        <is>
          <t>Adams County</t>
        </is>
      </c>
      <c r="F176" s="155" t="inlineStr">
        <is>
          <t>CO</t>
        </is>
      </c>
      <c r="G176" s="155" t="inlineStr">
        <is>
          <t>Industrial</t>
        </is>
      </c>
      <c r="H176" s="269" t="inlineStr">
        <is>
          <t>Industrial NNN</t>
        </is>
      </c>
      <c r="I176" s="155" t="n">
        <v>1998</v>
      </c>
      <c r="J176" s="155" t="n">
        <v>64501</v>
      </c>
      <c r="K176" s="155" t="n">
        <v>2023</v>
      </c>
      <c r="L176" s="155" t="n"/>
      <c r="M176" s="155" t="n"/>
      <c r="N176" s="155" t="n"/>
      <c r="O176" s="160" t="n">
        <v>9589</v>
      </c>
      <c r="P176" s="160" t="n">
        <v>23542</v>
      </c>
      <c r="Q176" s="155" t="n"/>
      <c r="R176" s="155" t="n"/>
      <c r="S176" s="155" t="n"/>
      <c r="T176" s="155" t="n"/>
      <c r="U176" s="155" t="n"/>
      <c r="V176" s="155" t="n"/>
      <c r="W176" s="155" t="n"/>
      <c r="X176" s="155" t="n"/>
      <c r="Y176" s="155" t="n"/>
      <c r="Z176" s="155" t="n"/>
      <c r="AA176" s="155" t="n"/>
      <c r="AB176" s="155" t="n"/>
      <c r="AC176" s="155" t="n"/>
      <c r="AD176" s="155" t="n"/>
      <c r="AE176" s="155" t="n"/>
      <c r="AF176" s="155" t="n"/>
      <c r="AG176" s="155" t="n"/>
      <c r="AH176" s="155" t="n"/>
      <c r="AI176" s="160" t="n">
        <v>201248</v>
      </c>
      <c r="AJ176" s="160" t="n">
        <v>234379</v>
      </c>
      <c r="AK176" s="155" t="n"/>
      <c r="AL176" s="155" t="n"/>
      <c r="AM176" s="269" t="inlineStr">
        <is>
          <t>NNN; landlord only: RE Tax $201,248/Ins $9,589/Mgmt $23,542; 1998 YOC</t>
        </is>
      </c>
      <c r="AN176">
        <f>IF(AND($B176=Subj_OccCode,Subj_BldgSF&gt;0,ABS($J176-Subj_BldgSF)&lt;=Subj_BldgSF*Subj_SizeTol),ABS($J176-Subj_BldgSF),NA())</f>
        <v/>
      </c>
      <c r="AO176">
        <f>IF(ISNA(AN176),NA(),AN176+ROW()/10000000)</f>
        <v/>
      </c>
      <c r="AR176" s="233">
        <f>IF(B176="","",IFERROR(INDEX(OCC_TABLE_DESC,MATCH(B176,OCC_TABLE_CODE,0)),"Unrecognized code"))</f>
        <v/>
      </c>
    </row>
    <row r="177" ht="30" customHeight="1" s="518">
      <c r="A177" s="155" t="inlineStr">
        <is>
          <t>P093</t>
        </is>
      </c>
      <c r="B177" s="150" t="n">
        <v>407</v>
      </c>
      <c r="C177" s="155" t="inlineStr">
        <is>
          <t>R0114792</t>
        </is>
      </c>
      <c r="D177" s="269" t="inlineStr">
        <is>
          <t>(Address TBD – R0114792)</t>
        </is>
      </c>
      <c r="E177" s="155" t="inlineStr">
        <is>
          <t>Adams County</t>
        </is>
      </c>
      <c r="F177" s="155" t="inlineStr">
        <is>
          <t>CO</t>
        </is>
      </c>
      <c r="G177" s="155" t="inlineStr">
        <is>
          <t>Industrial</t>
        </is>
      </c>
      <c r="H177" s="269" t="inlineStr">
        <is>
          <t>Industrial NNN</t>
        </is>
      </c>
      <c r="I177" s="155" t="n">
        <v>1998</v>
      </c>
      <c r="J177" s="155" t="n">
        <v>64501</v>
      </c>
      <c r="K177" s="155" t="n">
        <v>2024</v>
      </c>
      <c r="L177" s="155" t="n"/>
      <c r="M177" s="155" t="n"/>
      <c r="N177" s="155" t="n"/>
      <c r="O177" s="160" t="n">
        <v>7536</v>
      </c>
      <c r="P177" s="160" t="n">
        <v>23889</v>
      </c>
      <c r="Q177" s="155" t="n"/>
      <c r="R177" s="155" t="n"/>
      <c r="S177" s="155" t="n"/>
      <c r="T177" s="155" t="n"/>
      <c r="U177" s="155" t="n"/>
      <c r="V177" s="155" t="n"/>
      <c r="W177" s="155" t="n"/>
      <c r="X177" s="155" t="n"/>
      <c r="Y177" s="155" t="n"/>
      <c r="Z177" s="155" t="n"/>
      <c r="AA177" s="155" t="n"/>
      <c r="AB177" s="155" t="n"/>
      <c r="AC177" s="155" t="n"/>
      <c r="AD177" s="155" t="n"/>
      <c r="AE177" s="155" t="n"/>
      <c r="AF177" s="155" t="n"/>
      <c r="AG177" s="155" t="n"/>
      <c r="AH177" s="155" t="n"/>
      <c r="AI177" s="160" t="n">
        <v>244551</v>
      </c>
      <c r="AJ177" s="160" t="n">
        <v>275976</v>
      </c>
      <c r="AK177" s="155" t="n"/>
      <c r="AL177" s="155" t="n"/>
      <c r="AM177" s="269" t="inlineStr">
        <is>
          <t>NNN; landlord only: RE Tax $244,551/Ins $7,536/Mgmt $23,889</t>
        </is>
      </c>
      <c r="AN177">
        <f>IF(AND($B177=Subj_OccCode,Subj_BldgSF&gt;0,ABS($J177-Subj_BldgSF)&lt;=Subj_BldgSF*Subj_SizeTol),ABS($J177-Subj_BldgSF),NA())</f>
        <v/>
      </c>
      <c r="AO177">
        <f>IF(ISNA(AN177),NA(),AN177+ROW()/10000000)</f>
        <v/>
      </c>
      <c r="AR177" s="233">
        <f>IF(B177="","",IFERROR(INDEX(OCC_TABLE_DESC,MATCH(B177,OCC_TABLE_CODE,0)),"Unrecognized code"))</f>
        <v/>
      </c>
    </row>
    <row r="178" ht="30" customHeight="1" s="518">
      <c r="A178" s="155" t="inlineStr">
        <is>
          <t>P027</t>
        </is>
      </c>
      <c r="B178" s="150" t="n">
        <v>407</v>
      </c>
      <c r="C178" s="155" t="inlineStr">
        <is>
          <t>R0132030</t>
        </is>
      </c>
      <c r="D178" s="269" t="inlineStr">
        <is>
          <t>(R0132030)</t>
        </is>
      </c>
      <c r="E178" s="155" t="inlineStr">
        <is>
          <t>Adams County</t>
        </is>
      </c>
      <c r="F178" s="155" t="inlineStr">
        <is>
          <t>CO</t>
        </is>
      </c>
      <c r="G178" s="155" t="inlineStr">
        <is>
          <t>Industrial</t>
        </is>
      </c>
      <c r="H178" s="269" t="inlineStr">
        <is>
          <t>Industrial NNN</t>
        </is>
      </c>
      <c r="I178" s="155" t="n"/>
      <c r="J178" s="155" t="n">
        <v>200094</v>
      </c>
      <c r="K178" s="155" t="n">
        <v>2024</v>
      </c>
      <c r="L178" s="155" t="n"/>
      <c r="M178" s="155" t="n"/>
      <c r="N178" s="155" t="n"/>
      <c r="O178" s="160" t="n">
        <v>26308</v>
      </c>
      <c r="P178" s="160" t="n">
        <v>48882</v>
      </c>
      <c r="Q178" s="155" t="n"/>
      <c r="R178" s="155" t="n"/>
      <c r="S178" s="155" t="n"/>
      <c r="T178" s="155" t="n"/>
      <c r="U178" s="155" t="n"/>
      <c r="V178" s="155" t="n"/>
      <c r="W178" s="155" t="n"/>
      <c r="X178" s="155" t="n"/>
      <c r="Y178" s="155" t="n"/>
      <c r="Z178" s="155" t="n"/>
      <c r="AA178" s="155" t="n"/>
      <c r="AB178" s="155" t="n"/>
      <c r="AC178" s="160" t="n">
        <v>80298</v>
      </c>
      <c r="AD178" s="160" t="n">
        <v>64237</v>
      </c>
      <c r="AE178" s="155" t="n"/>
      <c r="AF178" s="160" t="n">
        <v>64237</v>
      </c>
      <c r="AG178" s="155" t="n"/>
      <c r="AH178" s="155" t="n"/>
      <c r="AI178" s="160" t="n">
        <v>440287</v>
      </c>
      <c r="AJ178" s="160" t="n">
        <v>659712</v>
      </c>
      <c r="AK178" s="155" t="n"/>
      <c r="AL178" s="155" t="n"/>
      <c r="AM178" s="269" t="inlineStr">
        <is>
          <t>NNN; WH Expenses 2026 landlord data: RE Tax $440,287/Ins $26,308/Utils $64,237/Mgmt $48,882/CAM $80,298</t>
        </is>
      </c>
      <c r="AN178">
        <f>IF(AND($B178=Subj_OccCode,Subj_BldgSF&gt;0,ABS($J178-Subj_BldgSF)&lt;=Subj_BldgSF*Subj_SizeTol),ABS($J178-Subj_BldgSF),NA())</f>
        <v/>
      </c>
      <c r="AO178">
        <f>IF(ISNA(AN178),NA(),AN178+ROW()/10000000)</f>
        <v/>
      </c>
      <c r="AR178" s="233">
        <f>IF(B178="","",IFERROR(INDEX(OCC_TABLE_DESC,MATCH(B178,OCC_TABLE_CODE,0)),"Unrecognized code"))</f>
        <v/>
      </c>
    </row>
    <row r="179" ht="30" customHeight="1" s="518">
      <c r="A179" s="155" t="inlineStr">
        <is>
          <t>P028</t>
        </is>
      </c>
      <c r="B179" s="150" t="n">
        <v>407</v>
      </c>
      <c r="C179" s="155" t="inlineStr">
        <is>
          <t>R0084040</t>
        </is>
      </c>
      <c r="D179" s="269" t="inlineStr">
        <is>
          <t>(R0084040)</t>
        </is>
      </c>
      <c r="E179" s="155" t="inlineStr">
        <is>
          <t>Adams County</t>
        </is>
      </c>
      <c r="F179" s="155" t="inlineStr">
        <is>
          <t>CO</t>
        </is>
      </c>
      <c r="G179" s="155" t="inlineStr">
        <is>
          <t>Industrial</t>
        </is>
      </c>
      <c r="H179" s="269" t="inlineStr">
        <is>
          <t>Industrial NNN</t>
        </is>
      </c>
      <c r="I179" s="155" t="n"/>
      <c r="J179" s="155" t="n"/>
      <c r="K179" s="155" t="n">
        <v>2024</v>
      </c>
      <c r="L179" s="155" t="n"/>
      <c r="M179" s="155" t="n"/>
      <c r="N179" s="155" t="n"/>
      <c r="O179" s="160" t="n">
        <v>24025</v>
      </c>
      <c r="P179" s="160" t="n">
        <v>65817</v>
      </c>
      <c r="Q179" s="155" t="n"/>
      <c r="R179" s="155" t="n"/>
      <c r="S179" s="155" t="n"/>
      <c r="T179" s="155" t="n"/>
      <c r="U179" s="155" t="n"/>
      <c r="V179" s="155" t="n"/>
      <c r="W179" s="155" t="n"/>
      <c r="X179" s="155" t="n"/>
      <c r="Y179" s="155" t="n"/>
      <c r="Z179" s="155" t="n"/>
      <c r="AA179" s="155" t="n"/>
      <c r="AB179" s="155" t="n"/>
      <c r="AC179" s="160" t="n">
        <v>128840</v>
      </c>
      <c r="AD179" s="160" t="n">
        <v>69481</v>
      </c>
      <c r="AE179" s="155" t="n"/>
      <c r="AF179" s="160" t="n">
        <v>69481</v>
      </c>
      <c r="AG179" s="155" t="n"/>
      <c r="AH179" s="155" t="n"/>
      <c r="AI179" s="160" t="n">
        <v>598274</v>
      </c>
      <c r="AJ179" s="160" t="n">
        <v>886437</v>
      </c>
      <c r="AK179" s="155" t="n"/>
      <c r="AL179" s="155" t="n"/>
      <c r="AM179" s="269" t="inlineStr">
        <is>
          <t>NNN; WH Expenses 2026 landlord data: RE Tax $598,274/Ins $24,025/Utils $69,481/Mgmt $65,817/CAM $128,840</t>
        </is>
      </c>
      <c r="AN179">
        <f>IF(AND($B179=Subj_OccCode,Subj_BldgSF&gt;0,ABS($J179-Subj_BldgSF)&lt;=Subj_BldgSF*Subj_SizeTol),ABS($J179-Subj_BldgSF),NA())</f>
        <v/>
      </c>
      <c r="AO179">
        <f>IF(ISNA(AN179),NA(),AN179+ROW()/10000000)</f>
        <v/>
      </c>
      <c r="AR179" s="233">
        <f>IF(B179="","",IFERROR(INDEX(OCC_TABLE_DESC,MATCH(B179,OCC_TABLE_CODE,0)),"Unrecognized code"))</f>
        <v/>
      </c>
    </row>
    <row r="180" ht="30" customHeight="1" s="518">
      <c r="A180" s="155" t="inlineStr">
        <is>
          <t>P034</t>
        </is>
      </c>
      <c r="B180" s="150" t="n">
        <v>407</v>
      </c>
      <c r="C180" s="155" t="inlineStr">
        <is>
          <t>R0172865</t>
        </is>
      </c>
      <c r="D180" s="269" t="inlineStr">
        <is>
          <t>(R0172865)</t>
        </is>
      </c>
      <c r="E180" s="155" t="inlineStr">
        <is>
          <t>Adams County</t>
        </is>
      </c>
      <c r="F180" s="155" t="inlineStr">
        <is>
          <t>CO</t>
        </is>
      </c>
      <c r="G180" s="155" t="inlineStr">
        <is>
          <t>Industrial</t>
        </is>
      </c>
      <c r="H180" s="269" t="inlineStr">
        <is>
          <t>Industrial NNN</t>
        </is>
      </c>
      <c r="I180" s="155" t="n"/>
      <c r="J180" s="155" t="n">
        <v>215461</v>
      </c>
      <c r="K180" s="155" t="n">
        <v>2024</v>
      </c>
      <c r="L180" s="155" t="n"/>
      <c r="M180" s="155" t="n"/>
      <c r="N180" s="155" t="n"/>
      <c r="O180" s="160" t="n">
        <v>30832</v>
      </c>
      <c r="P180" s="160" t="n">
        <v>71321</v>
      </c>
      <c r="Q180" s="155" t="n"/>
      <c r="R180" s="155" t="n"/>
      <c r="S180" s="155" t="n"/>
      <c r="T180" s="155" t="n"/>
      <c r="U180" s="155" t="n"/>
      <c r="V180" s="155" t="n"/>
      <c r="W180" s="155" t="n"/>
      <c r="X180" s="155" t="n"/>
      <c r="Y180" s="155" t="n"/>
      <c r="Z180" s="155" t="n"/>
      <c r="AA180" s="155" t="n"/>
      <c r="AB180" s="155" t="n"/>
      <c r="AC180" s="160" t="n">
        <v>127177</v>
      </c>
      <c r="AD180" s="160" t="n">
        <v>101924</v>
      </c>
      <c r="AE180" s="155" t="n"/>
      <c r="AF180" s="160" t="n">
        <v>101924</v>
      </c>
      <c r="AG180" s="155" t="n"/>
      <c r="AH180" s="155" t="n"/>
      <c r="AI180" s="160" t="n">
        <v>564450</v>
      </c>
      <c r="AJ180" s="160" t="n">
        <v>895704</v>
      </c>
      <c r="AK180" s="155" t="n"/>
      <c r="AL180" s="155" t="n"/>
      <c r="AM180" s="269" t="inlineStr">
        <is>
          <t>NNN; WH Expenses 2026 landlord data: RE Tax $564,450/Ins $30,832/Utils $101,924/Mgmt $71,321/CAM $127,177</t>
        </is>
      </c>
      <c r="AN180">
        <f>IF(AND($B180=Subj_OccCode,Subj_BldgSF&gt;0,ABS($J180-Subj_BldgSF)&lt;=Subj_BldgSF*Subj_SizeTol),ABS($J180-Subj_BldgSF),NA())</f>
        <v/>
      </c>
      <c r="AO180">
        <f>IF(ISNA(AN180),NA(),AN180+ROW()/10000000)</f>
        <v/>
      </c>
      <c r="AR180" s="233">
        <f>IF(B180="","",IFERROR(INDEX(OCC_TABLE_DESC,MATCH(B180,OCC_TABLE_CODE,0)),"Unrecognized code"))</f>
        <v/>
      </c>
    </row>
    <row r="181" ht="30" customHeight="1" s="518">
      <c r="A181" s="155" t="inlineStr">
        <is>
          <t>P036</t>
        </is>
      </c>
      <c r="B181" s="150" t="n">
        <v>407</v>
      </c>
      <c r="C181" s="155" t="inlineStr">
        <is>
          <t>R0172868</t>
        </is>
      </c>
      <c r="D181" s="269" t="inlineStr">
        <is>
          <t>(R0172868)</t>
        </is>
      </c>
      <c r="E181" s="155" t="inlineStr">
        <is>
          <t>Adams County</t>
        </is>
      </c>
      <c r="F181" s="155" t="inlineStr">
        <is>
          <t>CO</t>
        </is>
      </c>
      <c r="G181" s="155" t="inlineStr">
        <is>
          <t>Industrial</t>
        </is>
      </c>
      <c r="H181" s="269" t="inlineStr">
        <is>
          <t>Industrial NNN</t>
        </is>
      </c>
      <c r="I181" s="155" t="n"/>
      <c r="J181" s="155" t="n">
        <v>200000</v>
      </c>
      <c r="K181" s="155" t="n">
        <v>2024</v>
      </c>
      <c r="L181" s="155" t="n"/>
      <c r="M181" s="155" t="n"/>
      <c r="N181" s="155" t="n"/>
      <c r="O181" s="160" t="n">
        <v>30594</v>
      </c>
      <c r="P181" s="160" t="n">
        <v>36085</v>
      </c>
      <c r="Q181" s="155" t="n"/>
      <c r="R181" s="155" t="n"/>
      <c r="S181" s="155" t="n"/>
      <c r="T181" s="155" t="n"/>
      <c r="U181" s="155" t="n"/>
      <c r="V181" s="155" t="n"/>
      <c r="W181" s="155" t="n"/>
      <c r="X181" s="155" t="n"/>
      <c r="Y181" s="155" t="n"/>
      <c r="Z181" s="155" t="n"/>
      <c r="AA181" s="155" t="n"/>
      <c r="AB181" s="155" t="n"/>
      <c r="AC181" s="160" t="n">
        <v>95792</v>
      </c>
      <c r="AD181" s="155" t="n"/>
      <c r="AE181" s="155" t="n"/>
      <c r="AF181" s="155" t="n"/>
      <c r="AG181" s="155" t="n"/>
      <c r="AH181" s="155" t="n"/>
      <c r="AI181" s="160" t="n">
        <v>608209</v>
      </c>
      <c r="AJ181" s="160" t="n">
        <v>770680</v>
      </c>
      <c r="AK181" s="155" t="n"/>
      <c r="AL181" s="155" t="n"/>
      <c r="AM181" s="269" t="inlineStr">
        <is>
          <t>NNN; WH Expenses 2026 landlord data: RE Tax $608,209/Ins $30,594/Mgmt $36,085/CAM $95,792</t>
        </is>
      </c>
      <c r="AN181">
        <f>IF(AND($B181=Subj_OccCode,Subj_BldgSF&gt;0,ABS($J181-Subj_BldgSF)&lt;=Subj_BldgSF*Subj_SizeTol),ABS($J181-Subj_BldgSF),NA())</f>
        <v/>
      </c>
      <c r="AO181">
        <f>IF(ISNA(AN181),NA(),AN181+ROW()/10000000)</f>
        <v/>
      </c>
      <c r="AR181" s="233">
        <f>IF(B181="","",IFERROR(INDEX(OCC_TABLE_DESC,MATCH(B181,OCC_TABLE_CODE,0)),"Unrecognized code"))</f>
        <v/>
      </c>
    </row>
    <row r="182" ht="45" customHeight="1" s="518">
      <c r="A182" s="155" t="inlineStr">
        <is>
          <t>P061</t>
        </is>
      </c>
      <c r="B182" s="150" t="n">
        <v>584</v>
      </c>
      <c r="C182" s="155" t="inlineStr">
        <is>
          <t>R0083935</t>
        </is>
      </c>
      <c r="D182" s="269" t="inlineStr">
        <is>
          <t>(R0083935)</t>
        </is>
      </c>
      <c r="E182" s="155" t="inlineStr">
        <is>
          <t>Adams County</t>
        </is>
      </c>
      <c r="F182" s="155" t="inlineStr">
        <is>
          <t>CO</t>
        </is>
      </c>
      <c r="G182" s="155" t="inlineStr">
        <is>
          <t>Industrial</t>
        </is>
      </c>
      <c r="H182" s="269" t="inlineStr">
        <is>
          <t>Industrial NNN</t>
        </is>
      </c>
      <c r="I182" s="155" t="n"/>
      <c r="J182" s="155" t="n">
        <v>277690</v>
      </c>
      <c r="K182" s="155" t="n">
        <v>2024</v>
      </c>
      <c r="L182" s="155" t="n"/>
      <c r="M182" s="155" t="n"/>
      <c r="N182" s="155" t="n"/>
      <c r="O182" s="160" t="n">
        <v>80849</v>
      </c>
      <c r="P182" s="160" t="n">
        <v>172937</v>
      </c>
      <c r="Q182" s="155" t="n"/>
      <c r="R182" s="155" t="n"/>
      <c r="S182" s="155" t="n"/>
      <c r="T182" s="155" t="n"/>
      <c r="U182" s="155" t="n"/>
      <c r="V182" s="155" t="n"/>
      <c r="W182" s="155" t="n"/>
      <c r="X182" s="155" t="n"/>
      <c r="Y182" s="155" t="n"/>
      <c r="Z182" s="155" t="n"/>
      <c r="AA182" s="155" t="n"/>
      <c r="AB182" s="155" t="n"/>
      <c r="AC182" s="160" t="n">
        <v>282651</v>
      </c>
      <c r="AD182" s="160" t="n">
        <v>195945</v>
      </c>
      <c r="AE182" s="155" t="n"/>
      <c r="AF182" s="160" t="n">
        <v>195945</v>
      </c>
      <c r="AG182" s="155" t="n"/>
      <c r="AH182" s="155" t="n"/>
      <c r="AI182" s="160" t="n">
        <v>788195</v>
      </c>
      <c r="AJ182" s="160" t="n">
        <v>1520577</v>
      </c>
      <c r="AK182" s="155" t="n"/>
      <c r="AL182" s="155" t="n"/>
      <c r="AM182" s="269" t="inlineStr">
        <is>
          <t>NNN; WH Expenses 2026 landlord data 2024; ranges used (midpoints): RE Tax ~$788k/Ins ~$81k/Utils $195,945/Mgmt $172,937/CAM ~$283k</t>
        </is>
      </c>
      <c r="AN182">
        <f>IF(AND($B182=Subj_OccCode,Subj_BldgSF&gt;0,ABS($J182-Subj_BldgSF)&lt;=Subj_BldgSF*Subj_SizeTol),ABS($J182-Subj_BldgSF),NA())</f>
        <v/>
      </c>
      <c r="AO182">
        <f>IF(ISNA(AN182),NA(),AN182+ROW()/10000000)</f>
        <v/>
      </c>
      <c r="AR182" s="233">
        <f>IF(B182="","",IFERROR(INDEX(OCC_TABLE_DESC,MATCH(B182,OCC_TABLE_CODE,0)),"Unrecognized code"))</f>
        <v/>
      </c>
    </row>
    <row r="183" ht="30" customHeight="1" s="518">
      <c r="A183" s="155" t="inlineStr">
        <is>
          <t>P069</t>
        </is>
      </c>
      <c r="B183" s="150" t="n">
        <v>210</v>
      </c>
      <c r="C183" s="155" t="inlineStr">
        <is>
          <t>R0098223</t>
        </is>
      </c>
      <c r="D183" s="269" t="inlineStr">
        <is>
          <t>(R0098223)</t>
        </is>
      </c>
      <c r="E183" s="155" t="inlineStr">
        <is>
          <t>Adams County</t>
        </is>
      </c>
      <c r="F183" s="155" t="inlineStr">
        <is>
          <t>CO</t>
        </is>
      </c>
      <c r="G183" s="155" t="inlineStr">
        <is>
          <t>Industrial</t>
        </is>
      </c>
      <c r="H183" s="269" t="inlineStr">
        <is>
          <t>Industrial</t>
        </is>
      </c>
      <c r="I183" s="155" t="n"/>
      <c r="J183" s="155" t="n"/>
      <c r="K183" s="155" t="n">
        <v>2023</v>
      </c>
      <c r="L183" s="155" t="n"/>
      <c r="M183" s="155" t="n"/>
      <c r="N183" s="155" t="n"/>
      <c r="O183" s="155" t="n"/>
      <c r="P183" s="155" t="n"/>
      <c r="Q183" s="155" t="n"/>
      <c r="R183" s="155" t="n"/>
      <c r="S183" s="155" t="n"/>
      <c r="T183" s="155" t="n"/>
      <c r="U183" s="155" t="n"/>
      <c r="V183" s="155" t="n"/>
      <c r="W183" s="155" t="n"/>
      <c r="X183" s="155" t="n"/>
      <c r="Y183" s="155" t="n"/>
      <c r="Z183" s="155" t="n"/>
      <c r="AA183" s="155" t="n"/>
      <c r="AB183" s="155" t="n"/>
      <c r="AC183" s="155" t="n"/>
      <c r="AD183" s="155" t="n"/>
      <c r="AE183" s="155" t="n"/>
      <c r="AF183" s="155" t="n"/>
      <c r="AG183" s="155" t="n"/>
      <c r="AH183" s="155" t="n"/>
      <c r="AI183" s="155" t="n"/>
      <c r="AJ183" s="155" t="n"/>
      <c r="AK183" s="160" t="n">
        <v>951113</v>
      </c>
      <c r="AL183" s="155" t="n"/>
      <c r="AM183" s="269" t="inlineStr">
        <is>
          <t>CORRECTED: previous entry had wrong NOI ($76,629). Correct 2023 NOI = $951,113 per WH Expenses 2026</t>
        </is>
      </c>
      <c r="AN183">
        <f>IF(AND($B183=Subj_OccCode,Subj_BldgSF&gt;0,ABS($J183-Subj_BldgSF)&lt;=Subj_BldgSF*Subj_SizeTol),ABS($J183-Subj_BldgSF),NA())</f>
        <v/>
      </c>
      <c r="AO183">
        <f>IF(ISNA(AN183),NA(),AN183+ROW()/10000000)</f>
        <v/>
      </c>
      <c r="AR183" s="233">
        <f>IF(B183="","",IFERROR(INDEX(OCC_TABLE_DESC,MATCH(B183,OCC_TABLE_CODE,0)),"Unrecognized code"))</f>
        <v/>
      </c>
    </row>
    <row r="184" ht="15" customHeight="1" s="518">
      <c r="A184" s="155" t="inlineStr">
        <is>
          <t>P069</t>
        </is>
      </c>
      <c r="B184" s="150" t="n">
        <v>210</v>
      </c>
      <c r="C184" s="155" t="inlineStr">
        <is>
          <t>R0098223</t>
        </is>
      </c>
      <c r="D184" s="269" t="inlineStr">
        <is>
          <t>(R0098223)</t>
        </is>
      </c>
      <c r="E184" s="155" t="inlineStr">
        <is>
          <t>Adams County</t>
        </is>
      </c>
      <c r="F184" s="155" t="inlineStr">
        <is>
          <t>CO</t>
        </is>
      </c>
      <c r="G184" s="155" t="inlineStr">
        <is>
          <t>Industrial</t>
        </is>
      </c>
      <c r="H184" s="269" t="inlineStr">
        <is>
          <t>Industrial</t>
        </is>
      </c>
      <c r="I184" s="155" t="n"/>
      <c r="J184" s="155" t="n"/>
      <c r="K184" s="155" t="n">
        <v>2024</v>
      </c>
      <c r="L184" s="155" t="n"/>
      <c r="M184" s="155" t="n"/>
      <c r="N184" s="155" t="n"/>
      <c r="O184" s="155" t="n"/>
      <c r="P184" s="155" t="n"/>
      <c r="Q184" s="155" t="n"/>
      <c r="R184" s="155" t="n"/>
      <c r="S184" s="155" t="n"/>
      <c r="T184" s="155" t="n"/>
      <c r="U184" s="155" t="n"/>
      <c r="V184" s="155" t="n"/>
      <c r="W184" s="155" t="n"/>
      <c r="X184" s="155" t="n"/>
      <c r="Y184" s="155" t="n"/>
      <c r="Z184" s="155" t="n"/>
      <c r="AA184" s="155" t="n"/>
      <c r="AB184" s="155" t="n"/>
      <c r="AC184" s="155" t="n"/>
      <c r="AD184" s="155" t="n"/>
      <c r="AE184" s="155" t="n"/>
      <c r="AF184" s="155" t="n"/>
      <c r="AG184" s="155" t="n"/>
      <c r="AH184" s="155" t="n"/>
      <c r="AI184" s="155" t="n"/>
      <c r="AJ184" s="155" t="n"/>
      <c r="AK184" s="160" t="n">
        <v>1005999</v>
      </c>
      <c r="AL184" s="155" t="n"/>
      <c r="AM184" s="269" t="inlineStr">
        <is>
          <t>New 2024 row from WH Expenses 2026; NOI $1,005,999</t>
        </is>
      </c>
      <c r="AN184">
        <f>IF(AND($B184=Subj_OccCode,Subj_BldgSF&gt;0,ABS($J184-Subj_BldgSF)&lt;=Subj_BldgSF*Subj_SizeTol),ABS($J184-Subj_BldgSF),NA())</f>
        <v/>
      </c>
      <c r="AO184">
        <f>IF(ISNA(AN184),NA(),AN184+ROW()/10000000)</f>
        <v/>
      </c>
      <c r="AR184" s="233">
        <f>IF(B184="","",IFERROR(INDEX(OCC_TABLE_DESC,MATCH(B184,OCC_TABLE_CODE,0)),"Unrecognized code"))</f>
        <v/>
      </c>
    </row>
    <row r="185" ht="45" customHeight="1" s="518">
      <c r="A185" s="155" t="inlineStr">
        <is>
          <t>P094</t>
        </is>
      </c>
      <c r="B185" s="150" t="n">
        <v>407</v>
      </c>
      <c r="C185" s="155" t="inlineStr">
        <is>
          <t>R0104122</t>
        </is>
      </c>
      <c r="D185" s="269" t="inlineStr">
        <is>
          <t>550 W 53rd Pl</t>
        </is>
      </c>
      <c r="E185" s="155" t="inlineStr">
        <is>
          <t>Denver</t>
        </is>
      </c>
      <c r="F185" s="155" t="inlineStr">
        <is>
          <t>CO</t>
        </is>
      </c>
      <c r="G185" s="155" t="inlineStr">
        <is>
          <t>Industrial</t>
        </is>
      </c>
      <c r="H185" s="269" t="inlineStr">
        <is>
          <t>Distribution Warehouse</t>
        </is>
      </c>
      <c r="I185" s="155" t="n">
        <v>1971</v>
      </c>
      <c r="J185" s="155" t="n">
        <v>127900</v>
      </c>
      <c r="K185" s="155" t="n">
        <v>2024</v>
      </c>
      <c r="L185" s="160" t="n">
        <v>831350</v>
      </c>
      <c r="M185" s="155" t="n"/>
      <c r="N185" s="160" t="n">
        <v>781469</v>
      </c>
      <c r="O185" s="155" t="n"/>
      <c r="P185" s="155" t="n"/>
      <c r="Q185" s="155" t="n"/>
      <c r="R185" s="155" t="n"/>
      <c r="S185" s="155" t="n"/>
      <c r="T185" s="155" t="n"/>
      <c r="U185" s="155" t="n"/>
      <c r="V185" s="155" t="n"/>
      <c r="W185" s="155" t="n"/>
      <c r="X185" s="155" t="n"/>
      <c r="Y185" s="155" t="n"/>
      <c r="Z185" s="155" t="n"/>
      <c r="AA185" s="155" t="n"/>
      <c r="AB185" s="155" t="n"/>
      <c r="AC185" s="155" t="n"/>
      <c r="AD185" s="155" t="n"/>
      <c r="AE185" s="155" t="n"/>
      <c r="AF185" s="155" t="n"/>
      <c r="AG185" s="155" t="n"/>
      <c r="AH185" s="160" t="n">
        <v>62518</v>
      </c>
      <c r="AI185" s="155" t="n"/>
      <c r="AJ185" s="160" t="n">
        <v>62518</v>
      </c>
      <c r="AK185" s="160" t="n">
        <v>718951</v>
      </c>
      <c r="AL185" s="155" t="n"/>
      <c r="AM185" s="269" t="inlineStr">
        <is>
          <t>Appraiser income approach (CBOE 2024 abatement); market rent $6.50/SF; vac 6%; OPX 5% + reserves 3%; 6.00% OAR; value $11,985,000</t>
        </is>
      </c>
      <c r="AN185">
        <f>IF(AND($B185=Subj_OccCode,Subj_BldgSF&gt;0,ABS($J185-Subj_BldgSF)&lt;=Subj_BldgSF*Subj_SizeTol),ABS($J185-Subj_BldgSF),NA())</f>
        <v/>
      </c>
      <c r="AO185">
        <f>IF(ISNA(AN185),NA(),AN185+ROW()/10000000)</f>
        <v/>
      </c>
      <c r="AR185" s="233">
        <f>IF(B185="","",IFERROR(INDEX(OCC_TABLE_DESC,MATCH(B185,OCC_TABLE_CODE,0)),"Unrecognized code"))</f>
        <v/>
      </c>
    </row>
    <row r="186" ht="45" customHeight="1" s="518">
      <c r="A186" s="155" t="inlineStr">
        <is>
          <t>P095</t>
        </is>
      </c>
      <c r="B186" s="150" t="n">
        <v>386</v>
      </c>
      <c r="C186" s="155" t="inlineStr">
        <is>
          <t>R0086010</t>
        </is>
      </c>
      <c r="D186" s="269" t="inlineStr">
        <is>
          <t>15413 E 18th Ave</t>
        </is>
      </c>
      <c r="E186" s="155" t="inlineStr">
        <is>
          <t>Aurora</t>
        </is>
      </c>
      <c r="F186" s="155" t="inlineStr">
        <is>
          <t>CO</t>
        </is>
      </c>
      <c r="G186" s="155" t="inlineStr">
        <is>
          <t>Self-Storage</t>
        </is>
      </c>
      <c r="H186" s="269" t="inlineStr">
        <is>
          <t>Self-Storage</t>
        </is>
      </c>
      <c r="I186" s="155" t="n">
        <v>1984</v>
      </c>
      <c r="J186" s="155" t="n">
        <v>63989</v>
      </c>
      <c r="K186" s="155" t="n">
        <v>2024</v>
      </c>
      <c r="L186" s="160" t="n">
        <v>963336</v>
      </c>
      <c r="M186" s="160" t="n">
        <v>12500</v>
      </c>
      <c r="N186" s="160" t="n">
        <v>831336</v>
      </c>
      <c r="O186" s="155" t="n"/>
      <c r="P186" s="155" t="n"/>
      <c r="Q186" s="155" t="n"/>
      <c r="R186" s="155" t="n"/>
      <c r="S186" s="155" t="n"/>
      <c r="T186" s="155" t="n"/>
      <c r="U186" s="155" t="n"/>
      <c r="V186" s="155" t="n"/>
      <c r="W186" s="155" t="n"/>
      <c r="X186" s="155" t="n"/>
      <c r="Y186" s="155" t="n"/>
      <c r="Z186" s="155" t="n"/>
      <c r="AA186" s="155" t="n"/>
      <c r="AB186" s="155" t="n"/>
      <c r="AC186" s="155" t="n"/>
      <c r="AD186" s="155" t="n"/>
      <c r="AE186" s="155" t="n"/>
      <c r="AF186" s="155" t="n"/>
      <c r="AG186" s="155" t="n"/>
      <c r="AH186" s="160" t="n">
        <v>166267</v>
      </c>
      <c r="AI186" s="155" t="n"/>
      <c r="AJ186" s="160" t="n">
        <v>199520</v>
      </c>
      <c r="AK186" s="160" t="n">
        <v>631815</v>
      </c>
      <c r="AL186" s="160" t="n">
        <v>33253</v>
      </c>
      <c r="AM186" s="269" t="inlineStr">
        <is>
          <t>Appraiser pro forma (AXG CBOE 2024); NRA 57,754 SF; market rent $1.39/mo/SF NRA; vac 15%; OPX 20% EGI; reserves 4%; 7.90% loaded cap; value $8,000,000</t>
        </is>
      </c>
      <c r="AN186">
        <f>IF(AND($B186=Subj_OccCode,Subj_BldgSF&gt;0,ABS($J186-Subj_BldgSF)&lt;=Subj_BldgSF*Subj_SizeTol),ABS($J186-Subj_BldgSF),NA())</f>
        <v/>
      </c>
      <c r="AO186">
        <f>IF(ISNA(AN186),NA(),AN186+ROW()/10000000)</f>
        <v/>
      </c>
      <c r="AR186" s="233">
        <f>IF(B186="","",IFERROR(INDEX(OCC_TABLE_DESC,MATCH(B186,OCC_TABLE_CODE,0)),"Unrecognized code"))</f>
        <v/>
      </c>
    </row>
    <row r="187" ht="45" customHeight="1" s="518">
      <c r="A187" s="155" t="inlineStr">
        <is>
          <t>P096</t>
        </is>
      </c>
      <c r="B187" s="150" t="n">
        <v>407</v>
      </c>
      <c r="C187" s="155" t="inlineStr">
        <is>
          <t>R0083917</t>
        </is>
      </c>
      <c r="D187" s="269" t="inlineStr">
        <is>
          <t>14701 E 38th Ave</t>
        </is>
      </c>
      <c r="E187" s="155" t="inlineStr">
        <is>
          <t>Aurora</t>
        </is>
      </c>
      <c r="F187" s="155" t="inlineStr">
        <is>
          <t>CO</t>
        </is>
      </c>
      <c r="G187" s="155" t="inlineStr">
        <is>
          <t>Industrial</t>
        </is>
      </c>
      <c r="H187" s="269" t="inlineStr">
        <is>
          <t>Industrial Owner-User</t>
        </is>
      </c>
      <c r="I187" s="155" t="n"/>
      <c r="J187" s="155" t="n">
        <v>117280</v>
      </c>
      <c r="K187" s="155" t="n">
        <v>2024</v>
      </c>
      <c r="L187" s="155" t="n"/>
      <c r="M187" s="155" t="n"/>
      <c r="N187" s="155" t="n"/>
      <c r="O187" s="160" t="n">
        <v>56500</v>
      </c>
      <c r="P187" s="160" t="n">
        <v>452446</v>
      </c>
      <c r="Q187" s="155" t="n"/>
      <c r="R187" s="155" t="n"/>
      <c r="S187" s="155" t="n"/>
      <c r="T187" s="155" t="n"/>
      <c r="U187" s="155" t="n"/>
      <c r="V187" s="155" t="n"/>
      <c r="W187" s="155" t="n"/>
      <c r="X187" s="160" t="n">
        <v>219534</v>
      </c>
      <c r="Y187" s="160" t="n">
        <v>219534</v>
      </c>
      <c r="Z187" s="160" t="n">
        <v>13813</v>
      </c>
      <c r="AA187" s="160" t="n">
        <v>4696</v>
      </c>
      <c r="AB187" s="155" t="n"/>
      <c r="AC187" s="160" t="n">
        <v>18509</v>
      </c>
      <c r="AD187" s="155" t="n"/>
      <c r="AE187" s="155" t="n"/>
      <c r="AF187" s="160" t="n">
        <v>371508</v>
      </c>
      <c r="AG187" s="155" t="n"/>
      <c r="AH187" s="160" t="n">
        <v>1118497</v>
      </c>
      <c r="AI187" s="155" t="n"/>
      <c r="AJ187" s="160" t="n">
        <v>1118497</v>
      </c>
      <c r="AK187" s="155" t="n"/>
      <c r="AL187" s="155" t="n"/>
      <c r="AM187" s="269" t="inlineStr">
        <is>
          <t>I&amp;E Survey 2024; owner-user; CAUTION: expenses likely include non-RE business costs (mgmt $452k + utils $372k very high); 117,280 SF</t>
        </is>
      </c>
      <c r="AN187">
        <f>IF(AND($B187=Subj_OccCode,Subj_BldgSF&gt;0,ABS($J187-Subj_BldgSF)&lt;=Subj_BldgSF*Subj_SizeTol),ABS($J187-Subj_BldgSF),NA())</f>
        <v/>
      </c>
      <c r="AO187">
        <f>IF(ISNA(AN187),NA(),AN187+ROW()/10000000)</f>
        <v/>
      </c>
      <c r="AR187" s="233">
        <f>IF(B187="","",IFERROR(INDEX(OCC_TABLE_DESC,MATCH(B187,OCC_TABLE_CODE,0)),"Unrecognized code"))</f>
        <v/>
      </c>
    </row>
    <row r="188" ht="30" customHeight="1" s="518">
      <c r="A188" s="155" t="inlineStr">
        <is>
          <t>P097</t>
        </is>
      </c>
      <c r="B188" s="150" t="n">
        <v>210</v>
      </c>
      <c r="C188" s="155" t="inlineStr">
        <is>
          <t>R0137586</t>
        </is>
      </c>
      <c r="D188" s="269" t="inlineStr">
        <is>
          <t>7273-7285 E 96th Ave</t>
        </is>
      </c>
      <c r="E188" s="155" t="inlineStr">
        <is>
          <t>Commerce City</t>
        </is>
      </c>
      <c r="F188" s="155" t="inlineStr">
        <is>
          <t>CO</t>
        </is>
      </c>
      <c r="G188" s="155" t="inlineStr">
        <is>
          <t>Industrial</t>
        </is>
      </c>
      <c r="H188" s="269" t="inlineStr">
        <is>
          <t>Multi-Tenant Industrial</t>
        </is>
      </c>
      <c r="I188" s="155" t="n"/>
      <c r="J188" s="155" t="n">
        <v>57200</v>
      </c>
      <c r="K188" s="155" t="n">
        <v>2023</v>
      </c>
      <c r="L188" s="160" t="n">
        <v>803900</v>
      </c>
      <c r="M188" s="155" t="n"/>
      <c r="N188" s="155" t="n"/>
      <c r="O188" s="160" t="n">
        <v>12548</v>
      </c>
      <c r="P188" s="160" t="n">
        <v>56144</v>
      </c>
      <c r="Q188" s="155" t="n"/>
      <c r="R188" s="155" t="n"/>
      <c r="S188" s="155" t="n"/>
      <c r="T188" s="155" t="n"/>
      <c r="U188" s="155" t="n"/>
      <c r="V188" s="155" t="n"/>
      <c r="W188" s="155" t="n"/>
      <c r="X188" s="160" t="n">
        <v>39723</v>
      </c>
      <c r="Y188" s="160" t="n">
        <v>39723</v>
      </c>
      <c r="Z188" s="160" t="n">
        <v>22410</v>
      </c>
      <c r="AA188" s="160" t="n">
        <v>1470</v>
      </c>
      <c r="AB188" s="155" t="n"/>
      <c r="AC188" s="160" t="n">
        <v>23880</v>
      </c>
      <c r="AD188" s="155" t="n"/>
      <c r="AE188" s="160" t="n">
        <v>6687</v>
      </c>
      <c r="AF188" s="160" t="n">
        <v>6687</v>
      </c>
      <c r="AG188" s="155" t="n"/>
      <c r="AH188" s="160" t="n">
        <v>138802</v>
      </c>
      <c r="AI188" s="155" t="n"/>
      <c r="AJ188" s="160" t="n">
        <v>138802</v>
      </c>
      <c r="AK188" s="155" t="n"/>
      <c r="AL188" s="155" t="n"/>
      <c r="AM188" s="269" t="inlineStr">
        <is>
          <t>I&amp;E Survey 2023; modified lease; 57,200 SF; total expenses approx (excludes RE taxes not reported)</t>
        </is>
      </c>
      <c r="AN188">
        <f>IF(AND($B188=Subj_OccCode,Subj_BldgSF&gt;0,ABS($J188-Subj_BldgSF)&lt;=Subj_BldgSF*Subj_SizeTol),ABS($J188-Subj_BldgSF),NA())</f>
        <v/>
      </c>
      <c r="AO188">
        <f>IF(ISNA(AN188),NA(),AN188+ROW()/10000000)</f>
        <v/>
      </c>
      <c r="AR188" s="233">
        <f>IF(B188="","",IFERROR(INDEX(OCC_TABLE_DESC,MATCH(B188,OCC_TABLE_CODE,0)),"Unrecognized code"))</f>
        <v/>
      </c>
    </row>
    <row r="189" ht="45" customHeight="1" s="518">
      <c r="A189" s="155" t="inlineStr">
        <is>
          <t>P098</t>
        </is>
      </c>
      <c r="B189" s="150" t="n">
        <v>210</v>
      </c>
      <c r="C189" s="155" t="inlineStr">
        <is>
          <t>R0187010</t>
        </is>
      </c>
      <c r="D189" s="269" t="inlineStr">
        <is>
          <t>8020 Steele St</t>
        </is>
      </c>
      <c r="E189" s="155" t="inlineStr">
        <is>
          <t>Denver</t>
        </is>
      </c>
      <c r="F189" s="155" t="inlineStr">
        <is>
          <t>CO</t>
        </is>
      </c>
      <c r="G189" s="155" t="inlineStr">
        <is>
          <t>Industrial</t>
        </is>
      </c>
      <c r="H189" s="269" t="inlineStr">
        <is>
          <t>Industrial Modified Gross</t>
        </is>
      </c>
      <c r="I189" s="155" t="n"/>
      <c r="J189" s="155" t="n">
        <v>70000</v>
      </c>
      <c r="K189" s="155" t="n">
        <v>2024</v>
      </c>
      <c r="L189" s="160" t="n">
        <v>539000</v>
      </c>
      <c r="M189" s="155" t="n"/>
      <c r="N189" s="155" t="n"/>
      <c r="O189" s="155" t="n"/>
      <c r="P189" s="160" t="n">
        <v>16170</v>
      </c>
      <c r="Q189" s="155" t="n"/>
      <c r="R189" s="155" t="n"/>
      <c r="S189" s="155" t="n"/>
      <c r="T189" s="155" t="n"/>
      <c r="U189" s="155" t="n"/>
      <c r="V189" s="155" t="n"/>
      <c r="W189" s="155" t="n"/>
      <c r="X189" s="160" t="n">
        <v>3600</v>
      </c>
      <c r="Y189" s="160" t="n">
        <v>3600</v>
      </c>
      <c r="Z189" s="155" t="n"/>
      <c r="AA189" s="160" t="n">
        <v>4000</v>
      </c>
      <c r="AB189" s="155" t="n"/>
      <c r="AC189" s="160" t="n">
        <v>4000</v>
      </c>
      <c r="AD189" s="155" t="n"/>
      <c r="AE189" s="155" t="n"/>
      <c r="AF189" s="155" t="n"/>
      <c r="AG189" s="155" t="n"/>
      <c r="AH189" s="160" t="n">
        <v>23770</v>
      </c>
      <c r="AI189" s="155" t="n"/>
      <c r="AJ189" s="160" t="n">
        <v>23770</v>
      </c>
      <c r="AK189" s="155" t="n"/>
      <c r="AL189" s="155" t="n"/>
      <c r="AM189" s="269" t="inlineStr">
        <is>
          <t>I&amp;E Survey 2024; modified gross; owner pays ins/R&amp;M/mgmt only; tenant pays utils/trash; 70,000 SF; partial expense data</t>
        </is>
      </c>
      <c r="AN189">
        <f>IF(AND($B189=Subj_OccCode,Subj_BldgSF&gt;0,ABS($J189-Subj_BldgSF)&lt;=Subj_BldgSF*Subj_SizeTol),ABS($J189-Subj_BldgSF),NA())</f>
        <v/>
      </c>
      <c r="AO189">
        <f>IF(ISNA(AN189),NA(),AN189+ROW()/10000000)</f>
        <v/>
      </c>
      <c r="AR189" s="233">
        <f>IF(B189="","",IFERROR(INDEX(OCC_TABLE_DESC,MATCH(B189,OCC_TABLE_CODE,0)),"Unrecognized code"))</f>
        <v/>
      </c>
    </row>
    <row r="190" ht="30" customHeight="1" s="518">
      <c r="A190" s="155" t="inlineStr">
        <is>
          <t>P099</t>
        </is>
      </c>
      <c r="B190" s="150" t="n">
        <v>210</v>
      </c>
      <c r="C190" s="155" t="inlineStr">
        <is>
          <t>R0111914</t>
        </is>
      </c>
      <c r="D190" s="269" t="inlineStr">
        <is>
          <t>1963 Jasper St</t>
        </is>
      </c>
      <c r="E190" s="155" t="inlineStr">
        <is>
          <t>Aurora</t>
        </is>
      </c>
      <c r="F190" s="155" t="inlineStr">
        <is>
          <t>CO</t>
        </is>
      </c>
      <c r="G190" s="155" t="inlineStr">
        <is>
          <t>Industrial</t>
        </is>
      </c>
      <c r="H190" s="269" t="inlineStr">
        <is>
          <t>Multi-Tenant Industrial Gross</t>
        </is>
      </c>
      <c r="I190" s="155" t="n"/>
      <c r="J190" s="155" t="n">
        <v>33574</v>
      </c>
      <c r="K190" s="155" t="n">
        <v>2024</v>
      </c>
      <c r="L190" s="160" t="n">
        <v>330000</v>
      </c>
      <c r="M190" s="155" t="n"/>
      <c r="N190" s="160" t="n">
        <v>330000</v>
      </c>
      <c r="O190" s="160" t="n">
        <v>8310</v>
      </c>
      <c r="P190" s="160" t="n">
        <v>16500</v>
      </c>
      <c r="Q190" s="155" t="n"/>
      <c r="R190" s="155" t="n"/>
      <c r="S190" s="155" t="n"/>
      <c r="T190" s="155" t="n"/>
      <c r="U190" s="155" t="n"/>
      <c r="V190" s="155" t="n"/>
      <c r="W190" s="155" t="n"/>
      <c r="X190" s="160" t="n">
        <v>18881</v>
      </c>
      <c r="Y190" s="160" t="n">
        <v>18881</v>
      </c>
      <c r="Z190" s="160" t="n">
        <v>9900</v>
      </c>
      <c r="AA190" s="160" t="n">
        <v>11300</v>
      </c>
      <c r="AB190" s="155" t="n"/>
      <c r="AC190" s="160" t="n">
        <v>21200</v>
      </c>
      <c r="AD190" s="155" t="n"/>
      <c r="AE190" s="160" t="n">
        <v>11540</v>
      </c>
      <c r="AF190" s="160" t="n">
        <v>11540</v>
      </c>
      <c r="AG190" s="155" t="n"/>
      <c r="AH190" s="160" t="n">
        <v>76431</v>
      </c>
      <c r="AI190" s="155" t="n"/>
      <c r="AJ190" s="160" t="n">
        <v>76431</v>
      </c>
      <c r="AK190" s="160" t="n">
        <v>253569</v>
      </c>
      <c r="AL190" s="155" t="n"/>
      <c r="AM190" s="269" t="inlineStr">
        <is>
          <t>I&amp;E Survey 2024; gross lease (tenant pays gas/elec); approx NOI = GRI minus owner expenses; 33,574 SF</t>
        </is>
      </c>
      <c r="AN190">
        <f>IF(AND($B190=Subj_OccCode,Subj_BldgSF&gt;0,ABS($J190-Subj_BldgSF)&lt;=Subj_BldgSF*Subj_SizeTol),ABS($J190-Subj_BldgSF),NA())</f>
        <v/>
      </c>
      <c r="AO190">
        <f>IF(ISNA(AN190),NA(),AN190+ROW()/10000000)</f>
        <v/>
      </c>
      <c r="AR190" s="233">
        <f>IF(B190="","",IFERROR(INDEX(OCC_TABLE_DESC,MATCH(B190,OCC_TABLE_CODE,0)),"Unrecognized code"))</f>
        <v/>
      </c>
    </row>
    <row r="191" ht="60" customHeight="1" s="518">
      <c r="A191" s="155" t="inlineStr">
        <is>
          <t>P100</t>
        </is>
      </c>
      <c r="B191" s="150" t="n">
        <v>1332</v>
      </c>
      <c r="C191" s="155" t="inlineStr">
        <is>
          <t>R0111965</t>
        </is>
      </c>
      <c r="D191" s="269" t="inlineStr">
        <is>
          <t>12101 Grant St</t>
        </is>
      </c>
      <c r="E191" s="155" t="inlineStr">
        <is>
          <t>Thornton</t>
        </is>
      </c>
      <c r="F191" s="155" t="inlineStr">
        <is>
          <t>CO</t>
        </is>
      </c>
      <c r="G191" s="155" t="inlineStr">
        <is>
          <t>Hospitality</t>
        </is>
      </c>
      <c r="H191" s="269" t="inlineStr">
        <is>
          <t>Hotel Limited Service</t>
        </is>
      </c>
      <c r="I191" s="155" t="n">
        <v>1998</v>
      </c>
      <c r="J191" s="155" t="n"/>
      <c r="K191" s="155" t="n">
        <v>2024</v>
      </c>
      <c r="L191" s="160" t="n">
        <v>3007421</v>
      </c>
      <c r="M191" s="155" t="n"/>
      <c r="N191" s="160" t="n">
        <v>3007421</v>
      </c>
      <c r="O191" s="160" t="n">
        <v>45111</v>
      </c>
      <c r="P191" s="155" t="n"/>
      <c r="Q191" s="155" t="n"/>
      <c r="R191" s="155" t="n"/>
      <c r="S191" s="155" t="n"/>
      <c r="T191" s="155" t="n"/>
      <c r="U191" s="155" t="n"/>
      <c r="V191" s="155" t="n"/>
      <c r="W191" s="155" t="n"/>
      <c r="X191" s="155" t="n"/>
      <c r="Y191" s="155" t="n"/>
      <c r="Z191" s="155" t="n"/>
      <c r="AA191" s="155" t="n"/>
      <c r="AB191" s="155" t="n"/>
      <c r="AC191" s="155" t="n"/>
      <c r="AD191" s="155" t="n"/>
      <c r="AE191" s="155" t="n"/>
      <c r="AF191" s="155" t="n"/>
      <c r="AG191" s="160" t="n">
        <v>1975907</v>
      </c>
      <c r="AH191" s="160" t="n">
        <v>2143856</v>
      </c>
      <c r="AI191" s="155" t="n"/>
      <c r="AJ191" s="160" t="n">
        <v>2143856</v>
      </c>
      <c r="AK191" s="160" t="n">
        <v>863565</v>
      </c>
      <c r="AL191" s="155" t="n"/>
      <c r="AM191" s="269" t="inlineStr">
        <is>
          <t>Appraiser Rushmore income approach (AXG CBOE 2024); 100 rooms; ADR $115; occ 70%; RevPAR $80.50; loaded cap 11.30%; RE prop value ~$7.49M. Total Revenue breakout: Rooms+F&amp;B+Other</t>
        </is>
      </c>
      <c r="AN191">
        <f>IF(AND($B191=Subj_OccCode,Subj_BldgSF&gt;0,ABS($J191-Subj_BldgSF)&lt;=Subj_BldgSF*Subj_SizeTol),ABS($J191-Subj_BldgSF),NA())</f>
        <v/>
      </c>
      <c r="AO191">
        <f>IF(ISNA(AN191),NA(),AN191+ROW()/10000000)</f>
        <v/>
      </c>
      <c r="AR191" s="233">
        <f>IF(B191="","",IFERROR(INDEX(OCC_TABLE_DESC,MATCH(B191,OCC_TABLE_CODE,0)),"Unrecognized code"))</f>
        <v/>
      </c>
    </row>
    <row r="192" ht="45" customHeight="1" s="518">
      <c r="A192" s="155" t="inlineStr">
        <is>
          <t>P101</t>
        </is>
      </c>
      <c r="B192" s="150" t="n">
        <v>332</v>
      </c>
      <c r="C192" s="155" t="inlineStr">
        <is>
          <t>R0202410</t>
        </is>
      </c>
      <c r="D192" s="269" t="inlineStr">
        <is>
          <t>2556 Oswego St</t>
        </is>
      </c>
      <c r="E192" s="155" t="inlineStr">
        <is>
          <t>Aurora</t>
        </is>
      </c>
      <c r="F192" s="155" t="inlineStr">
        <is>
          <t>CO</t>
        </is>
      </c>
      <c r="G192" s="155" t="inlineStr">
        <is>
          <t>Hospitality</t>
        </is>
      </c>
      <c r="H192" s="269" t="inlineStr">
        <is>
          <t>Hotel Full Service</t>
        </is>
      </c>
      <c r="I192" s="155" t="n">
        <v>2023</v>
      </c>
      <c r="J192" s="155" t="n"/>
      <c r="K192" s="155" t="n">
        <v>2024</v>
      </c>
      <c r="L192" s="160" t="n">
        <v>11899487</v>
      </c>
      <c r="M192" s="155" t="n"/>
      <c r="N192" s="160" t="n">
        <v>11899487</v>
      </c>
      <c r="O192" s="160" t="n">
        <v>154693</v>
      </c>
      <c r="P192" s="155" t="n"/>
      <c r="Q192" s="155" t="n"/>
      <c r="R192" s="155" t="n"/>
      <c r="S192" s="155" t="n"/>
      <c r="T192" s="155" t="n"/>
      <c r="U192" s="155" t="n"/>
      <c r="V192" s="155" t="n"/>
      <c r="W192" s="155" t="n"/>
      <c r="X192" s="155" t="n"/>
      <c r="Y192" s="155" t="n"/>
      <c r="Z192" s="155" t="n"/>
      <c r="AA192" s="155" t="n"/>
      <c r="AB192" s="155" t="n"/>
      <c r="AC192" s="155" t="n"/>
      <c r="AD192" s="155" t="n"/>
      <c r="AE192" s="155" t="n"/>
      <c r="AF192" s="155" t="n"/>
      <c r="AG192" s="160" t="n">
        <v>8760469</v>
      </c>
      <c r="AH192" s="160" t="n">
        <v>8915468</v>
      </c>
      <c r="AI192" s="155" t="n"/>
      <c r="AJ192" s="160" t="n">
        <v>9391447</v>
      </c>
      <c r="AK192" s="160" t="n">
        <v>2984019</v>
      </c>
      <c r="AL192" s="160" t="n">
        <v>475979</v>
      </c>
      <c r="AM192" s="269" t="inlineStr">
        <is>
          <t>Appraiser Rushmore income approach (AXG CBOE 2024); 227 rooms; built 2023; ADR $140; occ 70%; RevPAR $98; loaded cap 12.45%; RE value ~$23.47M (less FF&amp;E)</t>
        </is>
      </c>
      <c r="AN192">
        <f>IF(AND($B192=Subj_OccCode,Subj_BldgSF&gt;0,ABS($J192-Subj_BldgSF)&lt;=Subj_BldgSF*Subj_SizeTol),ABS($J192-Subj_BldgSF),NA())</f>
        <v/>
      </c>
      <c r="AO192">
        <f>IF(ISNA(AN192),NA(),AN192+ROW()/10000000)</f>
        <v/>
      </c>
      <c r="AR192" s="233">
        <f>IF(B192="","",IFERROR(INDEX(OCC_TABLE_DESC,MATCH(B192,OCC_TABLE_CODE,0)),"Unrecognized code"))</f>
        <v/>
      </c>
    </row>
    <row r="193" ht="60" customHeight="1" s="518">
      <c r="A193" s="155" t="inlineStr">
        <is>
          <t>P102</t>
        </is>
      </c>
      <c r="B193" s="150" t="n">
        <v>332</v>
      </c>
      <c r="C193" s="155" t="inlineStr">
        <is>
          <t>R0024498</t>
        </is>
      </c>
      <c r="D193" s="269" t="inlineStr">
        <is>
          <t>83 E 120th Ave</t>
        </is>
      </c>
      <c r="E193" s="155" t="inlineStr">
        <is>
          <t>Thornton</t>
        </is>
      </c>
      <c r="F193" s="155" t="inlineStr">
        <is>
          <t>CO</t>
        </is>
      </c>
      <c r="G193" s="155" t="inlineStr">
        <is>
          <t>Hospitality</t>
        </is>
      </c>
      <c r="H193" s="269" t="inlineStr">
        <is>
          <t>Hotel Full Service</t>
        </is>
      </c>
      <c r="I193" s="155" t="n">
        <v>1984</v>
      </c>
      <c r="J193" s="155" t="n">
        <v>114796</v>
      </c>
      <c r="K193" s="155" t="n">
        <v>2024</v>
      </c>
      <c r="L193" s="160" t="n">
        <v>7626796</v>
      </c>
      <c r="M193" s="155" t="n"/>
      <c r="N193" s="160" t="n">
        <v>7626796</v>
      </c>
      <c r="O193" s="160" t="n">
        <v>99148</v>
      </c>
      <c r="P193" s="155" t="n"/>
      <c r="Q193" s="155" t="n"/>
      <c r="R193" s="155" t="n"/>
      <c r="S193" s="155" t="n"/>
      <c r="T193" s="155" t="n"/>
      <c r="U193" s="155" t="n"/>
      <c r="V193" s="155" t="n"/>
      <c r="W193" s="155" t="n"/>
      <c r="X193" s="155" t="n"/>
      <c r="Y193" s="155" t="n"/>
      <c r="Z193" s="155" t="n"/>
      <c r="AA193" s="155" t="n"/>
      <c r="AB193" s="155" t="n"/>
      <c r="AC193" s="155" t="n"/>
      <c r="AD193" s="155" t="n"/>
      <c r="AE193" s="155" t="n"/>
      <c r="AF193" s="155" t="n"/>
      <c r="AG193" s="160" t="n">
        <v>5596452</v>
      </c>
      <c r="AH193" s="160" t="n">
        <v>5901380</v>
      </c>
      <c r="AI193" s="155" t="n"/>
      <c r="AJ193" s="160" t="n">
        <v>6206452</v>
      </c>
      <c r="AK193" s="160" t="n">
        <v>1725416</v>
      </c>
      <c r="AL193" s="160" t="n">
        <v>305072</v>
      </c>
      <c r="AM193" s="269" t="inlineStr">
        <is>
          <t>Appraiser Rushmore income approach (AXG CBOE 2024); 137 rooms; 114,796 SF; 2 bldgs; 1984 YOC; ADR $142; occ 70%; loaded cap 10.56%; RE value $15.78M (less FF&amp;E); STR data: occ ~73%, ADR ~$147-161</t>
        </is>
      </c>
      <c r="AN193">
        <f>IF(AND($B193=Subj_OccCode,Subj_BldgSF&gt;0,ABS($J193-Subj_BldgSF)&lt;=Subj_BldgSF*Subj_SizeTol),ABS($J193-Subj_BldgSF),NA())</f>
        <v/>
      </c>
      <c r="AO193">
        <f>IF(ISNA(AN193),NA(),AN193+ROW()/10000000)</f>
        <v/>
      </c>
      <c r="AR193" s="233">
        <f>IF(B193="","",IFERROR(INDEX(OCC_TABLE_DESC,MATCH(B193,OCC_TABLE_CODE,0)),"Unrecognized code"))</f>
        <v/>
      </c>
    </row>
    <row r="194" ht="30" customHeight="1" s="518">
      <c r="A194" s="155" t="inlineStr">
        <is>
          <t>P103</t>
        </is>
      </c>
      <c r="B194" s="150" t="n">
        <v>407</v>
      </c>
      <c r="C194" s="155" t="inlineStr">
        <is>
          <t>R0075212</t>
        </is>
      </c>
      <c r="D194" s="269" t="inlineStr">
        <is>
          <t>10500 Havana Ct</t>
        </is>
      </c>
      <c r="E194" s="155" t="inlineStr">
        <is>
          <t>Commerce City</t>
        </is>
      </c>
      <c r="F194" s="155" t="inlineStr">
        <is>
          <t>CO</t>
        </is>
      </c>
      <c r="G194" s="155" t="inlineStr">
        <is>
          <t>Industrial</t>
        </is>
      </c>
      <c r="H194" s="269" t="inlineStr">
        <is>
          <t>Industrial NNN</t>
        </is>
      </c>
      <c r="I194" s="155" t="n"/>
      <c r="J194" s="155" t="n">
        <v>30000</v>
      </c>
      <c r="K194" s="155" t="n">
        <v>2024</v>
      </c>
      <c r="L194" s="160" t="n">
        <v>252000</v>
      </c>
      <c r="M194" s="155" t="n"/>
      <c r="N194" s="155" t="n"/>
      <c r="O194" s="160" t="n">
        <v>22704</v>
      </c>
      <c r="P194" s="160" t="n">
        <v>9500</v>
      </c>
      <c r="Q194" s="155" t="n"/>
      <c r="R194" s="155" t="n"/>
      <c r="S194" s="155" t="n"/>
      <c r="T194" s="155" t="n"/>
      <c r="U194" s="155" t="n"/>
      <c r="V194" s="155" t="n"/>
      <c r="W194" s="155" t="n"/>
      <c r="X194" s="160" t="n">
        <v>10941</v>
      </c>
      <c r="Y194" s="160" t="n">
        <v>10941</v>
      </c>
      <c r="Z194" s="160" t="n">
        <v>3493</v>
      </c>
      <c r="AA194" s="160" t="n">
        <v>6910</v>
      </c>
      <c r="AB194" s="155" t="n"/>
      <c r="AC194" s="160" t="n">
        <v>10403</v>
      </c>
      <c r="AD194" s="155" t="n"/>
      <c r="AE194" s="160" t="n">
        <v>1956</v>
      </c>
      <c r="AF194" s="160" t="n">
        <v>1956</v>
      </c>
      <c r="AG194" s="155" t="n"/>
      <c r="AH194" s="160" t="n">
        <v>55504</v>
      </c>
      <c r="AI194" s="155" t="n"/>
      <c r="AJ194" s="160" t="n">
        <v>55504</v>
      </c>
      <c r="AK194" s="155" t="n"/>
      <c r="AL194" s="155" t="n"/>
      <c r="AM194" s="269" t="inlineStr">
        <is>
          <t>I&amp;E Survey 2024; NNN lease; owner-reported; 30,000 SF; no NOI computed (no EGI reported)</t>
        </is>
      </c>
      <c r="AN194">
        <f>IF(AND($B194=Subj_OccCode,Subj_BldgSF&gt;0,ABS($J194-Subj_BldgSF)&lt;=Subj_BldgSF*Subj_SizeTol),ABS($J194-Subj_BldgSF),NA())</f>
        <v/>
      </c>
      <c r="AO194">
        <f>IF(ISNA(AN194),NA(),AN194+ROW()/10000000)</f>
        <v/>
      </c>
      <c r="AR194" s="233">
        <f>IF(B194="","",IFERROR(INDEX(OCC_TABLE_DESC,MATCH(B194,OCC_TABLE_CODE,0)),"Unrecognized code"))</f>
        <v/>
      </c>
    </row>
    <row r="195" ht="45" customHeight="1" s="518">
      <c r="A195" s="155" t="inlineStr">
        <is>
          <t>P089</t>
        </is>
      </c>
      <c r="B195" s="150" t="n">
        <v>407</v>
      </c>
      <c r="C195" s="155" t="inlineStr">
        <is>
          <t>R0180951</t>
        </is>
      </c>
      <c r="D195" s="269" t="inlineStr">
        <is>
          <t>21200 E 36th Dr</t>
        </is>
      </c>
      <c r="E195" s="155" t="inlineStr">
        <is>
          <t>Aurora</t>
        </is>
      </c>
      <c r="F195" s="155" t="inlineStr">
        <is>
          <t>CO</t>
        </is>
      </c>
      <c r="G195" s="155" t="inlineStr">
        <is>
          <t>Industrial</t>
        </is>
      </c>
      <c r="H195" s="269" t="inlineStr">
        <is>
          <t>Industrial NNN</t>
        </is>
      </c>
      <c r="I195" s="155" t="n">
        <v>2016</v>
      </c>
      <c r="J195" s="155" t="n">
        <v>122106</v>
      </c>
      <c r="K195" s="155" t="n">
        <v>2024</v>
      </c>
      <c r="L195" s="155" t="n"/>
      <c r="M195" s="155" t="n"/>
      <c r="N195" s="155" t="n"/>
      <c r="O195" s="160" t="n">
        <v>7635</v>
      </c>
      <c r="P195" s="155" t="n"/>
      <c r="Q195" s="155" t="n"/>
      <c r="R195" s="155" t="n"/>
      <c r="S195" s="155" t="n"/>
      <c r="T195" s="155" t="n"/>
      <c r="U195" s="155" t="n"/>
      <c r="V195" s="155" t="n"/>
      <c r="W195" s="155" t="n"/>
      <c r="X195" s="160" t="n">
        <v>38871</v>
      </c>
      <c r="Y195" s="160" t="n">
        <v>38871</v>
      </c>
      <c r="Z195" s="160" t="n">
        <v>13785</v>
      </c>
      <c r="AA195" s="160" t="n">
        <v>11809</v>
      </c>
      <c r="AB195" s="155" t="n"/>
      <c r="AC195" s="160" t="n">
        <v>25594</v>
      </c>
      <c r="AD195" s="160" t="n">
        <v>58541</v>
      </c>
      <c r="AE195" s="155" t="n"/>
      <c r="AF195" s="160" t="n">
        <v>58541</v>
      </c>
      <c r="AG195" s="155" t="n"/>
      <c r="AH195" s="155" t="n"/>
      <c r="AI195" s="160" t="n">
        <v>532140</v>
      </c>
      <c r="AJ195" s="160" t="n">
        <v>662781</v>
      </c>
      <c r="AK195" s="155" t="n"/>
      <c r="AL195" s="155" t="n"/>
      <c r="AM195" s="269" t="inlineStr">
        <is>
          <t>MT.xlsx 2024 survey — DETAIL UPDATE for R0180951; R&amp;M $38,871/Grd Maint $11,809/Snow-Trash $13,785 additional breakdown (matches WH Expenses totals)</t>
        </is>
      </c>
      <c r="AN195">
        <f>IF(AND($B195=Subj_OccCode,Subj_BldgSF&gt;0,ABS($J195-Subj_BldgSF)&lt;=Subj_BldgSF*Subj_SizeTol),ABS($J195-Subj_BldgSF),NA())</f>
        <v/>
      </c>
      <c r="AO195">
        <f>IF(ISNA(AN195),NA(),AN195+ROW()/10000000)</f>
        <v/>
      </c>
      <c r="AR195" s="233">
        <f>IF(B195="","",IFERROR(INDEX(OCC_TABLE_DESC,MATCH(B195,OCC_TABLE_CODE,0)),"Unrecognized code"))</f>
        <v/>
      </c>
    </row>
    <row r="196" ht="65" customHeight="1" s="518">
      <c r="A196" t="inlineStr">
        <is>
          <t>P104</t>
        </is>
      </c>
      <c r="B196" s="150" t="n">
        <v>210</v>
      </c>
      <c r="C196" t="inlineStr">
        <is>
          <t>R0226379</t>
        </is>
      </c>
      <c r="D196" s="575" t="inlineStr">
        <is>
          <t>26100 E 68th Ave</t>
        </is>
      </c>
      <c r="E196" t="inlineStr">
        <is>
          <t>Aurora</t>
        </is>
      </c>
      <c r="F196" t="inlineStr">
        <is>
          <t>CO</t>
        </is>
      </c>
      <c r="G196" t="inlineStr">
        <is>
          <t>Industrial</t>
        </is>
      </c>
      <c r="H196" s="575" t="inlineStr">
        <is>
          <t>Industrial Multi-Tenant</t>
        </is>
      </c>
      <c r="J196" t="n">
        <v>187720</v>
      </c>
      <c r="K196" t="n">
        <v>2024</v>
      </c>
      <c r="L196" t="n">
        <v>1379735.79</v>
      </c>
      <c r="M196" t="n">
        <v>1145329.3</v>
      </c>
      <c r="N196" t="n">
        <v>2525065.09</v>
      </c>
      <c r="O196" t="n">
        <v>176616.01</v>
      </c>
      <c r="P196" t="n">
        <v>113481.13</v>
      </c>
      <c r="S196" t="n">
        <v>17075.9</v>
      </c>
      <c r="T196" t="n">
        <v>2503.95</v>
      </c>
      <c r="V196" t="n">
        <v>5930.82</v>
      </c>
      <c r="W196" t="n">
        <v>13699.17</v>
      </c>
      <c r="X196" t="n">
        <v>16241.98</v>
      </c>
      <c r="Y196" t="n">
        <v>55451.82</v>
      </c>
      <c r="AA196" t="n">
        <v>9292.15</v>
      </c>
      <c r="AB196" t="n">
        <v>32179.95</v>
      </c>
      <c r="AC196" t="n">
        <v>68623.09999999999</v>
      </c>
      <c r="AD196" t="n">
        <v>29263.75</v>
      </c>
      <c r="AE196" t="n">
        <v>11425.16</v>
      </c>
      <c r="AF196" t="n">
        <v>40688.91</v>
      </c>
      <c r="AG196" t="n">
        <v>4476.68</v>
      </c>
      <c r="AH196" t="n">
        <v>592603.42</v>
      </c>
      <c r="AI196" t="n">
        <v>681745.35</v>
      </c>
      <c r="AJ196" t="n">
        <v>1274348.77</v>
      </c>
      <c r="AK196" t="n">
        <v>1250716.32</v>
      </c>
      <c r="AM196" s="575" t="inlineStr">
        <is>
          <t>2024 actuals; CAM reimb + TBB structure; TBBs (178,730.57) included in Total OPX; RE Taxes include Metro District (179,316.74); Mgmt = CAM Mgmt + non-recov mgmt; Landscape+Snow+Security+Sweeping in Contract Svcs; SF unknown</t>
        </is>
      </c>
      <c r="AN196">
        <f>IF(AND($B196=Subj_OccCode,Subj_BldgSF&gt;0,ABS($J196-Subj_BldgSF)&lt;=Subj_BldgSF*Subj_SizeTol),ABS($J196-Subj_BldgSF),NA())</f>
        <v/>
      </c>
      <c r="AO196">
        <f>IF(ISNA(AN196),NA(),AN196+ROW()/10000000)</f>
        <v/>
      </c>
      <c r="AR196" s="233">
        <f>IF(B196="","",IFERROR(INDEX(OCC_TABLE_DESC,MATCH(B196,OCC_TABLE_CODE,0)),"Unrecognized code"))</f>
        <v/>
      </c>
    </row>
    <row r="197" ht="65" customHeight="1" s="518">
      <c r="A197" t="inlineStr">
        <is>
          <t>P104</t>
        </is>
      </c>
      <c r="B197" s="150" t="n">
        <v>210</v>
      </c>
      <c r="C197" t="inlineStr">
        <is>
          <t>R0226379</t>
        </is>
      </c>
      <c r="D197" s="575" t="inlineStr">
        <is>
          <t>26100 E 68th Ave</t>
        </is>
      </c>
      <c r="E197" t="inlineStr">
        <is>
          <t>Aurora</t>
        </is>
      </c>
      <c r="F197" t="inlineStr">
        <is>
          <t>CO</t>
        </is>
      </c>
      <c r="G197" t="inlineStr">
        <is>
          <t>Industrial</t>
        </is>
      </c>
      <c r="H197" s="575" t="inlineStr">
        <is>
          <t>Industrial Multi-Tenant</t>
        </is>
      </c>
      <c r="J197" t="n">
        <v>187720</v>
      </c>
      <c r="K197" t="n">
        <v>2023</v>
      </c>
      <c r="L197" t="n">
        <v>1185113.75</v>
      </c>
      <c r="M197" t="n">
        <v>1132267.35</v>
      </c>
      <c r="N197" t="n">
        <v>2317381.1</v>
      </c>
      <c r="O197" t="n">
        <v>116967.52</v>
      </c>
      <c r="P197" t="n">
        <v>106274.14</v>
      </c>
      <c r="S197" t="n">
        <v>3365.97</v>
      </c>
      <c r="T197" t="n">
        <v>4470.25</v>
      </c>
      <c r="V197" t="n">
        <v>27567.8</v>
      </c>
      <c r="W197" t="n">
        <v>17386.24</v>
      </c>
      <c r="X197" t="n">
        <v>15567.46</v>
      </c>
      <c r="Y197" t="n">
        <v>68357.72</v>
      </c>
      <c r="AA197" t="n">
        <v>10701.13</v>
      </c>
      <c r="AB197" t="n">
        <v>28242.53</v>
      </c>
      <c r="AC197" t="n">
        <v>91036.76999999999</v>
      </c>
      <c r="AD197" t="n">
        <v>25899.28</v>
      </c>
      <c r="AE197" t="n">
        <v>11031.13</v>
      </c>
      <c r="AF197" t="n">
        <v>36930.41</v>
      </c>
      <c r="AG197" t="n">
        <v>9341.34</v>
      </c>
      <c r="AH197" t="n">
        <v>540838.58</v>
      </c>
      <c r="AI197" t="n">
        <v>659137.36</v>
      </c>
      <c r="AJ197" t="n">
        <v>1199975.94</v>
      </c>
      <c r="AK197" t="n">
        <v>1117405.16</v>
      </c>
      <c r="AM197" s="575" t="inlineStr">
        <is>
          <t>2023 actuals; CAM reimb + TBB structure; TBBs (171,359.08) included in Total OPX; RE Taxes include Metro District (172,730.34); Int Unit R&amp;M includes R&amp;M-Other (23,055.03); Other/Admin includes Personal Prop Tax (1,206.89); SF unknown</t>
        </is>
      </c>
      <c r="AN197">
        <f>IF(AND($B197=Subj_OccCode,Subj_BldgSF&gt;0,ABS($J197-Subj_BldgSF)&lt;=Subj_BldgSF*Subj_SizeTol),ABS($J197-Subj_BldgSF),NA())</f>
        <v/>
      </c>
      <c r="AO197">
        <f>IF(ISNA(AN197),NA(),AN197+ROW()/10000000)</f>
        <v/>
      </c>
      <c r="AR197" s="233">
        <f>IF(B197="","",IFERROR(INDEX(OCC_TABLE_DESC,MATCH(B197,OCC_TABLE_CODE,0)),"Unrecognized code"))</f>
        <v/>
      </c>
    </row>
  </sheetData>
  <mergeCells count="2">
    <mergeCell ref="A2:AH2"/>
    <mergeCell ref="A1:AH1"/>
  </mergeCells>
  <dataValidations count="4">
    <dataValidation sqref="B4:B197" showDropDown="0" showInputMessage="0" showErrorMessage="1" allowBlank="1" error="Pick a valid OCC code from the Occ Codes tab." type="list">
      <formula1>OCC_TABLE_CODE</formula1>
    </dataValidation>
    <dataValidation sqref="E4:E197" showDropDown="0" showInputMessage="0" showErrorMessage="0" allowBlank="1" type="list">
      <formula1>"Adams County,Arvada,Aurora,Commerce City,Denver,Henderson,Northglenn,Thornton,Westminster"</formula1>
    </dataValidation>
    <dataValidation sqref="F4:F197" showDropDown="0" showInputMessage="0" showErrorMessage="0" allowBlank="1" type="list">
      <formula1>"CO,Other"</formula1>
    </dataValidation>
    <dataValidation sqref="G4:G197" showDropDown="0" showInputMessage="0" showErrorMessage="0" allowBlank="1" type="list">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2.xml><?xml version="1.0" encoding="utf-8"?>
<worksheet xmlns="http://schemas.openxmlformats.org/spreadsheetml/2006/main">
  <sheetPr>
    <tabColor rgb="FFD97706"/>
    <outlinePr summaryBelow="1" summaryRight="1"/>
    <pageSetUpPr/>
  </sheetPr>
  <dimension ref="A1:AM197"/>
  <sheetViews>
    <sheetView workbookViewId="0">
      <pane ySplit="3" topLeftCell="A4" activePane="bottomLeft" state="frozen"/>
      <selection pane="bottomLeft" activeCell="A4" sqref="A4"/>
    </sheetView>
  </sheetViews>
  <sheetFormatPr baseColWidth="10" defaultColWidth="9" defaultRowHeight="12"/>
  <cols>
    <col width="8" customWidth="1" style="518" min="1" max="1"/>
    <col width="10" customWidth="1" style="518" min="2" max="2"/>
    <col width="28" customWidth="1" style="518" min="3" max="3"/>
    <col width="52" customWidth="1" style="518" min="4" max="4"/>
    <col width="15" customWidth="1" style="518" min="5" max="5"/>
    <col width="7" customWidth="1" style="518" min="6" max="6"/>
    <col width="25" customWidth="1" style="518" min="7" max="7"/>
    <col width="52" customWidth="1" style="518" min="8" max="8"/>
    <col width="12" customWidth="1" style="518" min="9" max="9"/>
    <col width="9" customWidth="1" style="518" min="10" max="10"/>
    <col width="6" customWidth="1" style="518" min="11" max="11"/>
    <col width="21" customWidth="1" style="518" min="12" max="12"/>
    <col width="14" customWidth="1" style="518" min="13" max="13"/>
    <col width="11.19921875" customWidth="1" style="518" min="14" max="14"/>
    <col width="11" customWidth="1" style="518" min="15" max="15"/>
    <col width="13" customWidth="1" style="518" min="16" max="17"/>
    <col width="16" customWidth="1" style="518" min="18" max="18"/>
    <col width="13" customWidth="1" style="518" min="19" max="19"/>
    <col width="22" customWidth="1" style="518" min="20" max="20"/>
    <col width="10" customWidth="1" style="518" min="21" max="21"/>
    <col width="19" customWidth="1" style="518" min="22" max="22"/>
    <col width="21" customWidth="1" style="518" min="23" max="23"/>
    <col width="25" customWidth="1" style="518" min="24" max="24"/>
    <col width="11" customWidth="1" style="518" min="25" max="25"/>
    <col width="7" customWidth="1" style="518" min="26" max="26"/>
    <col width="11" customWidth="1" style="518" min="27" max="27"/>
    <col width="13" customWidth="1" style="518" min="28" max="28"/>
    <col width="21" customWidth="1" style="518" min="29" max="29"/>
    <col width="15" customWidth="1" style="518" min="30" max="30"/>
    <col width="10" customWidth="1" style="518" min="31" max="31"/>
    <col width="17" customWidth="1" style="518" min="32" max="32"/>
    <col width="20" customWidth="1" style="518" min="33" max="33"/>
    <col width="25" customWidth="1" style="518" min="34" max="34"/>
    <col width="19" customWidth="1" style="518" min="35" max="35"/>
    <col width="25" customWidth="1" style="518" min="36" max="36"/>
    <col width="11" customWidth="1" style="518" min="37" max="37"/>
    <col width="16" customWidth="1" style="518" min="38" max="38"/>
    <col width="52" customWidth="1" style="518" min="39" max="39"/>
  </cols>
  <sheetData>
    <row r="1" ht="20" customHeight="1" s="518">
      <c r="A1" s="729" t="inlineStr">
        <is>
          <t>COMMERCIAL PROPERTY EXPENSE DATABASE - PSF SUMMARY  ($/SF)</t>
        </is>
      </c>
    </row>
    <row r="2" ht="14" customHeight="1" s="518">
      <c r="A2" s="730" t="inlineStr">
        <is>
          <t>Figures in $/SF of building area  |  Rows with no BldgSF show raw dollar amounts flagged [NO SF]  |  Text/ID fields copied from Expense Database</t>
        </is>
      </c>
    </row>
    <row r="3" ht="32" customHeight="1" s="518">
      <c r="A3" s="240" t="inlineStr">
        <is>
          <t>Prop ID</t>
        </is>
      </c>
      <c r="B3" s="232" t="inlineStr">
        <is>
          <t>Occ Code</t>
        </is>
      </c>
      <c r="C3" s="240" t="inlineStr">
        <is>
          <t>Account #</t>
        </is>
      </c>
      <c r="D3" s="270" t="inlineStr">
        <is>
          <t>Address</t>
        </is>
      </c>
      <c r="E3" s="240" t="inlineStr">
        <is>
          <t>City</t>
        </is>
      </c>
      <c r="F3" s="240" t="inlineStr">
        <is>
          <t>State</t>
        </is>
      </c>
      <c r="G3" s="240" t="inlineStr">
        <is>
          <t>Prop Type</t>
        </is>
      </c>
      <c r="H3" s="270" t="inlineStr">
        <is>
          <t>Subtype</t>
        </is>
      </c>
      <c r="I3" s="240" t="inlineStr">
        <is>
          <t>Year Built</t>
        </is>
      </c>
      <c r="J3" s="240" t="inlineStr">
        <is>
          <t>Bldg SF</t>
        </is>
      </c>
      <c r="K3" s="240" t="inlineStr">
        <is>
          <t>Year</t>
        </is>
      </c>
      <c r="L3" s="240" t="inlineStr">
        <is>
          <t>Gross Rental Income</t>
        </is>
      </c>
      <c r="M3" s="240" t="inlineStr">
        <is>
          <t>Other Income</t>
        </is>
      </c>
      <c r="N3" s="240" t="inlineStr">
        <is>
          <t>EGI</t>
        </is>
      </c>
      <c r="O3" s="240" t="inlineStr">
        <is>
          <t>Insurance</t>
        </is>
      </c>
      <c r="P3" s="240" t="inlineStr">
        <is>
          <t>Mgmt/Admin</t>
        </is>
      </c>
      <c r="Q3" s="240" t="inlineStr">
        <is>
          <t>Plumbing R&amp;M</t>
        </is>
      </c>
      <c r="R3" s="240" t="inlineStr">
        <is>
          <t>Electrical R&amp;M</t>
        </is>
      </c>
      <c r="S3" s="240" t="inlineStr">
        <is>
          <t>Exterior R&amp;M</t>
        </is>
      </c>
      <c r="T3" s="240" t="inlineStr">
        <is>
          <t>Fire/Life Safety R&amp;M</t>
        </is>
      </c>
      <c r="U3" s="240" t="inlineStr">
        <is>
          <t>HVAC R&amp;M</t>
        </is>
      </c>
      <c r="V3" s="240" t="inlineStr">
        <is>
          <t>Interior Unit R&amp;M</t>
        </is>
      </c>
      <c r="W3" s="240" t="inlineStr">
        <is>
          <t>Interior Common R&amp;M</t>
        </is>
      </c>
      <c r="X3" s="240" t="inlineStr">
        <is>
          <t>General Maint &amp; Repairs</t>
        </is>
      </c>
      <c r="Y3" s="240" t="inlineStr">
        <is>
          <t>Total R&amp;M</t>
        </is>
      </c>
      <c r="Z3" s="240" t="inlineStr">
        <is>
          <t>Trash</t>
        </is>
      </c>
      <c r="AA3" s="240" t="inlineStr">
        <is>
          <t>Landscape</t>
        </is>
      </c>
      <c r="AB3" s="240" t="inlineStr">
        <is>
          <t>Snow Removal</t>
        </is>
      </c>
      <c r="AC3" s="240" t="inlineStr">
        <is>
          <t>Total Contract Svcs</t>
        </is>
      </c>
      <c r="AD3" s="240" t="inlineStr">
        <is>
          <t>Water &amp; Sewer</t>
        </is>
      </c>
      <c r="AE3" s="240" t="inlineStr">
        <is>
          <t>Electric</t>
        </is>
      </c>
      <c r="AF3" s="240" t="inlineStr">
        <is>
          <t>Total Utilities</t>
        </is>
      </c>
      <c r="AG3" s="240" t="inlineStr">
        <is>
          <t>Other/Admin (Misc)</t>
        </is>
      </c>
      <c r="AH3" s="240" t="inlineStr">
        <is>
          <t>Total OPX excl RE Taxes</t>
        </is>
      </c>
      <c r="AI3" s="240" t="inlineStr">
        <is>
          <t>Real Estate Taxes</t>
        </is>
      </c>
      <c r="AJ3" s="240" t="inlineStr">
        <is>
          <t>Total OPX incl RE Taxes</t>
        </is>
      </c>
      <c r="AK3" s="240" t="inlineStr">
        <is>
          <t>NOI</t>
        </is>
      </c>
      <c r="AL3" s="240" t="inlineStr">
        <is>
          <t>CapEx (non-op)</t>
        </is>
      </c>
      <c r="AM3" s="270" t="inlineStr">
        <is>
          <t>Notes</t>
        </is>
      </c>
    </row>
    <row r="4" ht="14" customHeight="1" s="518">
      <c r="A4" s="285" t="inlineStr">
        <is>
          <t>P001</t>
        </is>
      </c>
      <c r="B4" s="150" t="n">
        <v>407</v>
      </c>
      <c r="C4" s="285" t="inlineStr">
        <is>
          <t>R0157664</t>
        </is>
      </c>
      <c r="D4" s="286" t="inlineStr">
        <is>
          <t>6045 E. 76th Avenue</t>
        </is>
      </c>
      <c r="E4" s="285" t="inlineStr">
        <is>
          <t>Commerce City</t>
        </is>
      </c>
      <c r="F4" s="285" t="inlineStr">
        <is>
          <t>CO</t>
        </is>
      </c>
      <c r="G4" s="285" t="inlineStr">
        <is>
          <t>Light Industrial</t>
        </is>
      </c>
      <c r="H4" s="286" t="inlineStr">
        <is>
          <t>Distribution Warehouse</t>
        </is>
      </c>
      <c r="I4" s="287" t="n">
        <v>1988</v>
      </c>
      <c r="J4" s="287" t="n">
        <v>21000</v>
      </c>
      <c r="K4" s="287" t="n">
        <v>2021</v>
      </c>
      <c r="L4" s="731" t="n">
        <v>13.465</v>
      </c>
      <c r="M4" s="731" t="n">
        <v>0.3034</v>
      </c>
      <c r="N4" s="731" t="n">
        <v>13.7684</v>
      </c>
      <c r="O4" s="731" t="n">
        <v>0.233</v>
      </c>
      <c r="P4" s="731" t="n">
        <v>0</v>
      </c>
      <c r="Q4" s="731" t="n">
        <v>0.0545</v>
      </c>
      <c r="R4" s="731" t="n">
        <v>0</v>
      </c>
      <c r="S4" s="731" t="n">
        <v>0.0095</v>
      </c>
      <c r="T4" s="731" t="n">
        <v>0</v>
      </c>
      <c r="U4" s="731" t="n">
        <v>0.0133</v>
      </c>
      <c r="V4" s="731" t="n">
        <v>0.0403</v>
      </c>
      <c r="W4" s="731" t="n">
        <v>0.1392</v>
      </c>
      <c r="X4" s="731" t="n">
        <v>0</v>
      </c>
      <c r="Y4" s="731" t="n">
        <v>0.2567</v>
      </c>
      <c r="Z4" s="731" t="n">
        <v>0.3195</v>
      </c>
      <c r="AA4" s="731" t="n">
        <v>0.1845</v>
      </c>
      <c r="AB4" s="731" t="n">
        <v>0.0414</v>
      </c>
      <c r="AC4" s="731" t="n">
        <v>0.5455</v>
      </c>
      <c r="AD4" s="731" t="n">
        <v>0.1593</v>
      </c>
      <c r="AE4" s="731" t="n">
        <v>0.0309</v>
      </c>
      <c r="AF4" s="731" t="n">
        <v>0.1901</v>
      </c>
      <c r="AG4" s="731" t="n">
        <v>0.0363</v>
      </c>
      <c r="AH4" s="731" t="n">
        <v>1.2626</v>
      </c>
      <c r="AI4" s="731" t="n">
        <v>2.2983</v>
      </c>
      <c r="AJ4" s="731" t="n">
        <v>3.5609</v>
      </c>
      <c r="AK4" s="731" t="n">
        <v>10.2075</v>
      </c>
      <c r="AL4" s="731" t="n">
        <v>0.1258</v>
      </c>
      <c r="AM4" s="286" t="inlineStr">
        <is>
          <t>2021: other income = damages $2,392 + misc $3,863 + interest $117</t>
        </is>
      </c>
    </row>
    <row r="5" ht="14" customHeight="1" s="518">
      <c r="A5" s="151" t="inlineStr">
        <is>
          <t>P001</t>
        </is>
      </c>
      <c r="B5" s="150" t="n">
        <v>407</v>
      </c>
      <c r="C5" s="151" t="inlineStr">
        <is>
          <t>R0157664</t>
        </is>
      </c>
      <c r="D5" s="269" t="inlineStr">
        <is>
          <t>6045 E. 76th Avenue</t>
        </is>
      </c>
      <c r="E5" s="151" t="inlineStr">
        <is>
          <t>Commerce City</t>
        </is>
      </c>
      <c r="F5" s="151" t="inlineStr">
        <is>
          <t>CO</t>
        </is>
      </c>
      <c r="G5" s="151" t="inlineStr">
        <is>
          <t>Light Industrial</t>
        </is>
      </c>
      <c r="H5" s="269" t="inlineStr">
        <is>
          <t>Distribution Warehouse</t>
        </is>
      </c>
      <c r="I5" s="161" t="n">
        <v>1988</v>
      </c>
      <c r="J5" s="161" t="n">
        <v>21000</v>
      </c>
      <c r="K5" s="161" t="n">
        <v>2022</v>
      </c>
      <c r="L5" s="732" t="n">
        <v>12.1901</v>
      </c>
      <c r="M5" s="732" t="n">
        <v>0.1429</v>
      </c>
      <c r="N5" s="732" t="n">
        <v>12.333</v>
      </c>
      <c r="O5" s="732" t="n">
        <v>0.2512</v>
      </c>
      <c r="P5" s="732" t="n">
        <v>0</v>
      </c>
      <c r="Q5" s="732" t="n">
        <v>0.196</v>
      </c>
      <c r="R5" s="732" t="n">
        <v>0.0291</v>
      </c>
      <c r="S5" s="732" t="n">
        <v>0.1111</v>
      </c>
      <c r="T5" s="732" t="n">
        <v>0</v>
      </c>
      <c r="U5" s="732" t="n">
        <v>0</v>
      </c>
      <c r="V5" s="732" t="n">
        <v>0</v>
      </c>
      <c r="W5" s="732" t="n">
        <v>0.0371</v>
      </c>
      <c r="X5" s="732" t="n">
        <v>0</v>
      </c>
      <c r="Y5" s="732" t="n">
        <v>0.3733</v>
      </c>
      <c r="Z5" s="732" t="n">
        <v>0.3954</v>
      </c>
      <c r="AA5" s="732" t="n">
        <v>0.2038</v>
      </c>
      <c r="AB5" s="732" t="n">
        <v>0</v>
      </c>
      <c r="AC5" s="732" t="n">
        <v>0.5992</v>
      </c>
      <c r="AD5" s="732" t="n">
        <v>0.1449</v>
      </c>
      <c r="AE5" s="732" t="n">
        <v>0.0423</v>
      </c>
      <c r="AF5" s="732" t="n">
        <v>0.1872</v>
      </c>
      <c r="AG5" s="732" t="n">
        <v>0.0314</v>
      </c>
      <c r="AH5" s="732" t="n">
        <v>1.4423</v>
      </c>
      <c r="AI5" s="732" t="n">
        <v>3.1478</v>
      </c>
      <c r="AJ5" s="732" t="n">
        <v>4.5902</v>
      </c>
      <c r="AK5" s="732" t="n">
        <v>7.7428</v>
      </c>
      <c r="AL5" s="732" t="n">
        <v>0.2758</v>
      </c>
      <c r="AM5" s="269" t="inlineStr">
        <is>
          <t>2022: other income = damages $500 + misc $2,500; CapEx unit interior</t>
        </is>
      </c>
    </row>
    <row r="6" ht="14" customHeight="1" s="518">
      <c r="A6" s="285" t="inlineStr">
        <is>
          <t>P001</t>
        </is>
      </c>
      <c r="B6" s="150" t="n">
        <v>407</v>
      </c>
      <c r="C6" s="285" t="inlineStr">
        <is>
          <t>R0157664</t>
        </is>
      </c>
      <c r="D6" s="286" t="inlineStr">
        <is>
          <t>6045 E. 76th Avenue</t>
        </is>
      </c>
      <c r="E6" s="285" t="inlineStr">
        <is>
          <t>Commerce City</t>
        </is>
      </c>
      <c r="F6" s="285" t="inlineStr">
        <is>
          <t>CO</t>
        </is>
      </c>
      <c r="G6" s="285" t="inlineStr">
        <is>
          <t>Light Industrial</t>
        </is>
      </c>
      <c r="H6" s="286" t="inlineStr">
        <is>
          <t>Distribution Warehouse</t>
        </is>
      </c>
      <c r="I6" s="287" t="n">
        <v>1988</v>
      </c>
      <c r="J6" s="287" t="n">
        <v>21000</v>
      </c>
      <c r="K6" s="287" t="n">
        <v>2023</v>
      </c>
      <c r="L6" s="731" t="n">
        <v>12.2</v>
      </c>
      <c r="M6" s="731" t="n">
        <v>0</v>
      </c>
      <c r="N6" s="731" t="n">
        <v>12.2</v>
      </c>
      <c r="O6" s="731" t="n">
        <v>0.2794</v>
      </c>
      <c r="P6" s="731" t="n">
        <v>0.0381</v>
      </c>
      <c r="Q6" s="731" t="n">
        <v>0.0521</v>
      </c>
      <c r="R6" s="731" t="n">
        <v>0.0471</v>
      </c>
      <c r="S6" s="731" t="n">
        <v>0</v>
      </c>
      <c r="T6" s="731" t="n">
        <v>0.1843</v>
      </c>
      <c r="U6" s="731" t="n">
        <v>0.0229</v>
      </c>
      <c r="V6" s="731" t="n">
        <v>0.0294</v>
      </c>
      <c r="W6" s="731" t="n">
        <v>0</v>
      </c>
      <c r="X6" s="731" t="n">
        <v>0.0229</v>
      </c>
      <c r="Y6" s="731" t="n">
        <v>0.3587</v>
      </c>
      <c r="Z6" s="731" t="n">
        <v>0.4553</v>
      </c>
      <c r="AA6" s="731" t="n">
        <v>0.1048</v>
      </c>
      <c r="AB6" s="731" t="n">
        <v>0.1333</v>
      </c>
      <c r="AC6" s="731" t="n">
        <v>0.6934</v>
      </c>
      <c r="AD6" s="731" t="n">
        <v>0.3387</v>
      </c>
      <c r="AE6" s="731" t="n">
        <v>0.0362</v>
      </c>
      <c r="AF6" s="731" t="n">
        <v>0.3749</v>
      </c>
      <c r="AG6" s="731" t="n">
        <v>0.0285</v>
      </c>
      <c r="AH6" s="731" t="n">
        <v>1.5216</v>
      </c>
      <c r="AI6" s="731" t="n">
        <v>2.8565</v>
      </c>
      <c r="AJ6" s="731" t="n">
        <v>4.378</v>
      </c>
      <c r="AK6" s="731" t="n">
        <v>7.822</v>
      </c>
      <c r="AL6" s="731" t="n">
        <v>0</v>
      </c>
      <c r="AM6" s="289" t="n"/>
    </row>
    <row r="7" ht="14" customHeight="1" s="518">
      <c r="A7" s="151" t="inlineStr">
        <is>
          <t>P001</t>
        </is>
      </c>
      <c r="B7" s="150" t="n">
        <v>407</v>
      </c>
      <c r="C7" s="151" t="inlineStr">
        <is>
          <t>R0157664</t>
        </is>
      </c>
      <c r="D7" s="269" t="inlineStr">
        <is>
          <t>6045 E. 76th Avenue</t>
        </is>
      </c>
      <c r="E7" s="151" t="inlineStr">
        <is>
          <t>Commerce City</t>
        </is>
      </c>
      <c r="F7" s="151" t="inlineStr">
        <is>
          <t>CO</t>
        </is>
      </c>
      <c r="G7" s="151" t="inlineStr">
        <is>
          <t>Light Industrial</t>
        </is>
      </c>
      <c r="H7" s="269" t="inlineStr">
        <is>
          <t>Distribution Warehouse</t>
        </is>
      </c>
      <c r="I7" s="161" t="n">
        <v>1988</v>
      </c>
      <c r="J7" s="161" t="n">
        <v>21000</v>
      </c>
      <c r="K7" s="161" t="n">
        <v>2024</v>
      </c>
      <c r="L7" s="732" t="n">
        <v>10.93</v>
      </c>
      <c r="M7" s="732" t="n">
        <v>0</v>
      </c>
      <c r="N7" s="732" t="n">
        <v>10.93</v>
      </c>
      <c r="O7" s="732" t="n">
        <v>0.08740000000000001</v>
      </c>
      <c r="P7" s="732" t="n">
        <v>0.07480000000000001</v>
      </c>
      <c r="Q7" s="732" t="n">
        <v>0</v>
      </c>
      <c r="R7" s="732" t="n">
        <v>0</v>
      </c>
      <c r="S7" s="732" t="n">
        <v>0.381</v>
      </c>
      <c r="T7" s="732" t="n">
        <v>0.3952</v>
      </c>
      <c r="U7" s="732" t="n">
        <v>0</v>
      </c>
      <c r="V7" s="732" t="n">
        <v>0.0083</v>
      </c>
      <c r="W7" s="732" t="n">
        <v>0</v>
      </c>
      <c r="X7" s="732" t="n">
        <v>0.039</v>
      </c>
      <c r="Y7" s="732" t="n">
        <v>0.8236</v>
      </c>
      <c r="Z7" s="732" t="n">
        <v>0.4048</v>
      </c>
      <c r="AA7" s="732" t="n">
        <v>0.1595</v>
      </c>
      <c r="AB7" s="732" t="n">
        <v>0.05</v>
      </c>
      <c r="AC7" s="732" t="n">
        <v>0.6143</v>
      </c>
      <c r="AD7" s="732" t="n">
        <v>0.1638</v>
      </c>
      <c r="AE7" s="732" t="n">
        <v>0.0339</v>
      </c>
      <c r="AF7" s="732" t="n">
        <v>0.1977</v>
      </c>
      <c r="AG7" s="732" t="n">
        <v>0.0286</v>
      </c>
      <c r="AH7" s="732" t="n">
        <v>1.8167</v>
      </c>
      <c r="AI7" s="732" t="n">
        <v>3.3048</v>
      </c>
      <c r="AJ7" s="732" t="n">
        <v>5.1216</v>
      </c>
      <c r="AK7" s="732" t="n">
        <v>5.8085</v>
      </c>
      <c r="AL7" s="732" t="n">
        <v>0</v>
      </c>
      <c r="AM7" s="163" t="n"/>
    </row>
    <row r="8" ht="14" customHeight="1" s="518">
      <c r="A8" s="241" t="inlineStr">
        <is>
          <t>P002</t>
        </is>
      </c>
      <c r="B8" s="150" t="n">
        <v>344</v>
      </c>
      <c r="C8" s="241" t="inlineStr">
        <is>
          <t>Unknown</t>
        </is>
      </c>
      <c r="D8" s="271" t="inlineStr">
        <is>
          <t>13659 E. 104th Ave</t>
        </is>
      </c>
      <c r="E8" s="241" t="inlineStr">
        <is>
          <t>Adams County</t>
        </is>
      </c>
      <c r="F8" s="241" t="inlineStr">
        <is>
          <t>CO</t>
        </is>
      </c>
      <c r="G8" s="241" t="inlineStr">
        <is>
          <t>Office/Commercial</t>
        </is>
      </c>
      <c r="H8" s="271" t="inlineStr">
        <is>
          <t>Multi-tenant</t>
        </is>
      </c>
      <c r="I8" s="242" t="n"/>
      <c r="J8" s="242" t="n"/>
      <c r="K8" s="242" t="n">
        <v>2023</v>
      </c>
      <c r="L8" s="241" t="n"/>
      <c r="M8" s="241" t="n"/>
      <c r="N8" s="243" t="n">
        <v>258808</v>
      </c>
      <c r="O8" s="243" t="n">
        <v>3292</v>
      </c>
      <c r="P8" s="243" t="n">
        <v>18539</v>
      </c>
      <c r="Q8" s="241" t="n"/>
      <c r="R8" s="241" t="n"/>
      <c r="S8" s="241" t="n"/>
      <c r="T8" s="241" t="n"/>
      <c r="U8" s="241" t="n"/>
      <c r="V8" s="241" t="n"/>
      <c r="W8" s="241" t="n"/>
      <c r="X8" s="243" t="n">
        <v>24750</v>
      </c>
      <c r="Y8" s="243" t="n">
        <v>24750</v>
      </c>
      <c r="Z8" s="241" t="n"/>
      <c r="AA8" s="243" t="n">
        <v>13331</v>
      </c>
      <c r="AB8" s="241" t="n"/>
      <c r="AC8" s="243" t="n">
        <v>13331</v>
      </c>
      <c r="AD8" s="241" t="n"/>
      <c r="AE8" s="241" t="n"/>
      <c r="AF8" s="243" t="n">
        <v>3990</v>
      </c>
      <c r="AG8" s="243" t="n">
        <v>11264</v>
      </c>
      <c r="AH8" s="243" t="n">
        <v>75327</v>
      </c>
      <c r="AI8" s="243" t="n">
        <v>51707</v>
      </c>
      <c r="AJ8" s="243" t="n">
        <v>127034</v>
      </c>
      <c r="AK8" s="243" t="n">
        <v>131774</v>
      </c>
      <c r="AL8" s="241" t="n"/>
      <c r="AM8" s="271" t="inlineStr">
        <is>
          <t>[NO SF] Insurance: $3,292; Mgmt fee $13,242 + asset mgmt $5,297; Professional svcs $11,264; actuals from BAA operating statement</t>
        </is>
      </c>
    </row>
    <row r="9" ht="14" customHeight="1" s="518">
      <c r="A9" s="241" t="inlineStr">
        <is>
          <t>P002</t>
        </is>
      </c>
      <c r="B9" s="150" t="n">
        <v>344</v>
      </c>
      <c r="C9" s="241" t="inlineStr">
        <is>
          <t>Unknown</t>
        </is>
      </c>
      <c r="D9" s="271" t="inlineStr">
        <is>
          <t>13659 E. 104th Ave</t>
        </is>
      </c>
      <c r="E9" s="241" t="inlineStr">
        <is>
          <t>Adams County</t>
        </is>
      </c>
      <c r="F9" s="241" t="inlineStr">
        <is>
          <t>CO</t>
        </is>
      </c>
      <c r="G9" s="241" t="inlineStr">
        <is>
          <t>Office/Commercial</t>
        </is>
      </c>
      <c r="H9" s="271" t="inlineStr">
        <is>
          <t>Multi-tenant</t>
        </is>
      </c>
      <c r="I9" s="242" t="n"/>
      <c r="J9" s="242" t="n"/>
      <c r="K9" s="242" t="n">
        <v>2024</v>
      </c>
      <c r="L9" s="241" t="n"/>
      <c r="M9" s="241" t="n"/>
      <c r="N9" s="243" t="n">
        <v>264959</v>
      </c>
      <c r="O9" s="243" t="n">
        <v>7442</v>
      </c>
      <c r="P9" s="243" t="n">
        <v>18228</v>
      </c>
      <c r="Q9" s="241" t="n"/>
      <c r="R9" s="241" t="n"/>
      <c r="S9" s="241" t="n"/>
      <c r="T9" s="241" t="n"/>
      <c r="U9" s="241" t="n"/>
      <c r="V9" s="241" t="n"/>
      <c r="W9" s="241" t="n"/>
      <c r="X9" s="243" t="n">
        <v>37394</v>
      </c>
      <c r="Y9" s="243" t="n">
        <v>37394</v>
      </c>
      <c r="Z9" s="241" t="n"/>
      <c r="AA9" s="243" t="n">
        <v>11888</v>
      </c>
      <c r="AB9" s="241" t="n"/>
      <c r="AC9" s="243" t="n">
        <v>11888</v>
      </c>
      <c r="AD9" s="241" t="n"/>
      <c r="AE9" s="241" t="n"/>
      <c r="AF9" s="243" t="n">
        <v>5290</v>
      </c>
      <c r="AG9" s="243" t="n">
        <v>13341</v>
      </c>
      <c r="AH9" s="243" t="n">
        <v>93583</v>
      </c>
      <c r="AI9" s="243" t="n">
        <v>44649</v>
      </c>
      <c r="AJ9" s="243" t="n">
        <v>138232</v>
      </c>
      <c r="AK9" s="243" t="n">
        <v>126727</v>
      </c>
      <c r="AL9" s="241" t="n"/>
      <c r="AM9" s="271" t="inlineStr">
        <is>
          <t>[NO SF] Insurance $7,442; Mgmt fee $13,020 + asset mgmt $5,208; Prof svcs $13,341; Utilities: gas/elec $1,091 + water/sewer $4,199</t>
        </is>
      </c>
    </row>
    <row r="10" ht="14" customHeight="1" s="518">
      <c r="A10" s="241" t="inlineStr">
        <is>
          <t>P003</t>
        </is>
      </c>
      <c r="B10" s="150" t="n">
        <v>344</v>
      </c>
      <c r="C10" s="241" t="inlineStr">
        <is>
          <t>R0024063</t>
        </is>
      </c>
      <c r="D10" s="271" t="inlineStr">
        <is>
          <t>Park Centre - Wells Fargo Bldg</t>
        </is>
      </c>
      <c r="E10" s="241" t="inlineStr">
        <is>
          <t>Westminster</t>
        </is>
      </c>
      <c r="F10" s="241" t="inlineStr">
        <is>
          <t>CO</t>
        </is>
      </c>
      <c r="G10" s="241" t="inlineStr">
        <is>
          <t>Office</t>
        </is>
      </c>
      <c r="H10" s="271" t="inlineStr">
        <is>
          <t>Class B Multi-tenant</t>
        </is>
      </c>
      <c r="I10" s="242" t="n"/>
      <c r="J10" s="242" t="n">
        <v>49479</v>
      </c>
      <c r="K10" s="242" t="n">
        <v>2023</v>
      </c>
      <c r="L10" s="733" t="n">
        <v>20.5729</v>
      </c>
      <c r="M10" s="733" t="n">
        <v>1.8912</v>
      </c>
      <c r="N10" s="733" t="n">
        <v>22.4641</v>
      </c>
      <c r="O10" s="241" t="n"/>
      <c r="P10" s="241" t="n"/>
      <c r="Q10" s="241" t="n"/>
      <c r="R10" s="241" t="n"/>
      <c r="S10" s="241" t="n"/>
      <c r="T10" s="241" t="n"/>
      <c r="U10" s="241" t="n"/>
      <c r="V10" s="241" t="n"/>
      <c r="W10" s="241" t="n"/>
      <c r="X10" s="241" t="n"/>
      <c r="Y10" s="241" t="n"/>
      <c r="Z10" s="241" t="n"/>
      <c r="AA10" s="241" t="n"/>
      <c r="AB10" s="241" t="n"/>
      <c r="AC10" s="241" t="n"/>
      <c r="AD10" s="241" t="n"/>
      <c r="AE10" s="241" t="n"/>
      <c r="AF10" s="241" t="n"/>
      <c r="AG10" s="241" t="n"/>
      <c r="AH10" s="733" t="n">
        <v>9.165100000000001</v>
      </c>
      <c r="AI10" s="733" t="n">
        <v>3.7364</v>
      </c>
      <c r="AJ10" s="733" t="n">
        <v>12.9015</v>
      </c>
      <c r="AK10" s="733" t="n">
        <v>9.5626</v>
      </c>
      <c r="AL10" s="241" t="n"/>
      <c r="AM10" s="271" t="inlineStr">
        <is>
          <t>Westfield managed; recoveries $49,658 + other $43,917 = $93,575; OpEx BT per PROFORMA REVISED.xlsx</t>
        </is>
      </c>
    </row>
    <row r="11" ht="14" customHeight="1" s="518">
      <c r="A11" s="241" t="inlineStr">
        <is>
          <t>P003</t>
        </is>
      </c>
      <c r="B11" s="150" t="n">
        <v>344</v>
      </c>
      <c r="C11" s="241" t="inlineStr">
        <is>
          <t>R0024063</t>
        </is>
      </c>
      <c r="D11" s="271" t="inlineStr">
        <is>
          <t>Park Centre - Wells Fargo Bldg</t>
        </is>
      </c>
      <c r="E11" s="241" t="inlineStr">
        <is>
          <t>Westminster</t>
        </is>
      </c>
      <c r="F11" s="241" t="inlineStr">
        <is>
          <t>CO</t>
        </is>
      </c>
      <c r="G11" s="241" t="inlineStr">
        <is>
          <t>Office</t>
        </is>
      </c>
      <c r="H11" s="271" t="inlineStr">
        <is>
          <t>Class B Multi-tenant</t>
        </is>
      </c>
      <c r="I11" s="242" t="n"/>
      <c r="J11" s="242" t="n">
        <v>49479</v>
      </c>
      <c r="K11" s="242" t="n">
        <v>2024</v>
      </c>
      <c r="L11" s="733" t="n">
        <v>19.0796</v>
      </c>
      <c r="M11" s="733" t="n">
        <v>1.5757</v>
      </c>
      <c r="N11" s="733" t="n">
        <v>20.6553</v>
      </c>
      <c r="O11" s="241" t="n"/>
      <c r="P11" s="241" t="n"/>
      <c r="Q11" s="241" t="n"/>
      <c r="R11" s="241" t="n"/>
      <c r="S11" s="241" t="n"/>
      <c r="T11" s="241" t="n"/>
      <c r="U11" s="241" t="n"/>
      <c r="V11" s="241" t="n"/>
      <c r="W11" s="241" t="n"/>
      <c r="X11" s="241" t="n"/>
      <c r="Y11" s="241" t="n"/>
      <c r="Z11" s="241" t="n"/>
      <c r="AA11" s="241" t="n"/>
      <c r="AB11" s="241" t="n"/>
      <c r="AC11" s="241" t="n"/>
      <c r="AD11" s="241" t="n"/>
      <c r="AE11" s="241" t="n"/>
      <c r="AF11" s="241" t="n"/>
      <c r="AG11" s="241" t="n"/>
      <c r="AH11" s="733" t="n">
        <v>9.867599999999999</v>
      </c>
      <c r="AI11" s="733" t="n">
        <v>3.6292</v>
      </c>
      <c r="AJ11" s="733" t="n">
        <v>13.4968</v>
      </c>
      <c r="AK11" s="733" t="n">
        <v>7.1585</v>
      </c>
      <c r="AL11" s="241" t="n"/>
      <c r="AM11" s="271" t="inlineStr">
        <is>
          <t>Recoveries $21,696 + other $56,266; OpEx BT per PROFORMA REVISED.xlsx; NOI decline reflects higher vacancy</t>
        </is>
      </c>
    </row>
    <row r="12" ht="14" customHeight="1" s="518">
      <c r="A12" s="285" t="inlineStr">
        <is>
          <t>P004</t>
        </is>
      </c>
      <c r="B12" s="150" t="n">
        <v>412</v>
      </c>
      <c r="C12" s="285" t="inlineStr">
        <is>
          <t>R0050221</t>
        </is>
      </c>
      <c r="D12" s="286" t="inlineStr">
        <is>
          <t>8860 Federal Blvd</t>
        </is>
      </c>
      <c r="E12" s="285" t="inlineStr">
        <is>
          <t>Adams County</t>
        </is>
      </c>
      <c r="F12" s="285" t="inlineStr">
        <is>
          <t>CO</t>
        </is>
      </c>
      <c r="G12" s="285" t="inlineStr">
        <is>
          <t>Retail</t>
        </is>
      </c>
      <c r="H12" s="286" t="inlineStr">
        <is>
          <t>Strip/Multi-tenant</t>
        </is>
      </c>
      <c r="I12" s="287" t="n"/>
      <c r="J12" s="287" t="n">
        <v>65850</v>
      </c>
      <c r="K12" s="287" t="n">
        <v>2023</v>
      </c>
      <c r="L12" s="285" t="n"/>
      <c r="M12" s="285" t="n"/>
      <c r="N12" s="731" t="n">
        <v>8.6678</v>
      </c>
      <c r="O12" s="285" t="n"/>
      <c r="P12" s="285" t="n"/>
      <c r="Q12" s="285" t="n"/>
      <c r="R12" s="285" t="n"/>
      <c r="S12" s="285" t="n"/>
      <c r="T12" s="285" t="n"/>
      <c r="U12" s="285" t="n"/>
      <c r="V12" s="285" t="n"/>
      <c r="W12" s="285" t="n"/>
      <c r="X12" s="285" t="n"/>
      <c r="Y12" s="285" t="n"/>
      <c r="Z12" s="285" t="n"/>
      <c r="AA12" s="285" t="n"/>
      <c r="AB12" s="285" t="n"/>
      <c r="AC12" s="285" t="n"/>
      <c r="AD12" s="285" t="n"/>
      <c r="AE12" s="285" t="n"/>
      <c r="AF12" s="285" t="n"/>
      <c r="AG12" s="285" t="n"/>
      <c r="AH12" s="285" t="n"/>
      <c r="AI12" s="731" t="n">
        <v>1.1238</v>
      </c>
      <c r="AJ12" s="731" t="n">
        <v>4.0992</v>
      </c>
      <c r="AK12" s="731" t="n">
        <v>4.5686</v>
      </c>
      <c r="AL12" s="285" t="n"/>
      <c r="AM12" s="286" t="inlineStr">
        <is>
          <t>RE Tax estimated ~$74k (2023 not detailed); Total OpEx per actuals submission; NOI confirmed</t>
        </is>
      </c>
    </row>
    <row r="13" ht="14" customHeight="1" s="518">
      <c r="A13" s="151" t="inlineStr">
        <is>
          <t>P004</t>
        </is>
      </c>
      <c r="B13" s="150" t="n">
        <v>412</v>
      </c>
      <c r="C13" s="151" t="inlineStr">
        <is>
          <t>R0050221</t>
        </is>
      </c>
      <c r="D13" s="269" t="inlineStr">
        <is>
          <t>8860 Federal Blvd</t>
        </is>
      </c>
      <c r="E13" s="151" t="inlineStr">
        <is>
          <t>Adams County</t>
        </is>
      </c>
      <c r="F13" s="151" t="inlineStr">
        <is>
          <t>CO</t>
        </is>
      </c>
      <c r="G13" s="151" t="inlineStr">
        <is>
          <t>Retail</t>
        </is>
      </c>
      <c r="H13" s="269" t="inlineStr">
        <is>
          <t>Strip/Multi-tenant</t>
        </is>
      </c>
      <c r="I13" s="161" t="n"/>
      <c r="J13" s="161" t="n">
        <v>65850</v>
      </c>
      <c r="K13" s="161" t="n">
        <v>2024</v>
      </c>
      <c r="L13" s="151" t="n"/>
      <c r="M13" s="151" t="n"/>
      <c r="N13" s="732" t="n">
        <v>8.926600000000001</v>
      </c>
      <c r="O13" s="732" t="n">
        <v>0.7779</v>
      </c>
      <c r="P13" s="151" t="n"/>
      <c r="Q13" s="151" t="n"/>
      <c r="R13" s="151" t="n"/>
      <c r="S13" s="151" t="n"/>
      <c r="T13" s="151" t="n"/>
      <c r="U13" s="151" t="n"/>
      <c r="V13" s="151" t="n"/>
      <c r="W13" s="151" t="n"/>
      <c r="X13" s="732" t="n">
        <v>0.4392</v>
      </c>
      <c r="Y13" s="732" t="n">
        <v>0.4392</v>
      </c>
      <c r="Z13" s="732" t="n">
        <v>0.2667</v>
      </c>
      <c r="AA13" s="732" t="n">
        <v>0.0304</v>
      </c>
      <c r="AB13" s="732" t="n">
        <v>0.0529</v>
      </c>
      <c r="AC13" s="732" t="n">
        <v>0.35</v>
      </c>
      <c r="AD13" s="732" t="n">
        <v>0.1958</v>
      </c>
      <c r="AE13" s="732" t="n">
        <v>0.1081</v>
      </c>
      <c r="AF13" s="732" t="n">
        <v>0.3039</v>
      </c>
      <c r="AG13" s="732" t="n">
        <v>0.1667</v>
      </c>
      <c r="AH13" s="732" t="n">
        <v>2.4196</v>
      </c>
      <c r="AI13" s="732" t="n">
        <v>1.6016</v>
      </c>
      <c r="AJ13" s="732" t="n">
        <v>4.0212</v>
      </c>
      <c r="AK13" s="732" t="n">
        <v>4.9054</v>
      </c>
      <c r="AL13" s="151" t="n"/>
      <c r="AM13" s="269" t="inlineStr">
        <is>
          <t>Detailed 2024 actuals; R&amp;M includes CAM component $261; insurance unusually high at $51,223; drainage/lighting included in Other</t>
        </is>
      </c>
    </row>
    <row r="14" ht="14" customHeight="1" s="518">
      <c r="A14" s="241" t="inlineStr">
        <is>
          <t>P005</t>
        </is>
      </c>
      <c r="B14" s="150" t="n">
        <v>344</v>
      </c>
      <c r="C14" s="241" t="inlineStr">
        <is>
          <t>R0050977</t>
        </is>
      </c>
      <c r="D14" s="271" t="inlineStr">
        <is>
          <t>9351 Grant St (Horizon Terrace)</t>
        </is>
      </c>
      <c r="E14" s="241" t="inlineStr">
        <is>
          <t>Thornton</t>
        </is>
      </c>
      <c r="F14" s="241" t="inlineStr">
        <is>
          <t>CO</t>
        </is>
      </c>
      <c r="G14" s="241" t="inlineStr">
        <is>
          <t>Office</t>
        </is>
      </c>
      <c r="H14" s="271" t="inlineStr">
        <is>
          <t>Class B Multi-story</t>
        </is>
      </c>
      <c r="I14" s="242" t="n"/>
      <c r="J14" s="242" t="n">
        <v>91646</v>
      </c>
      <c r="K14" s="242" t="n">
        <v>2023</v>
      </c>
      <c r="L14" s="733" t="n">
        <v>21.9536</v>
      </c>
      <c r="M14" s="733" t="n">
        <v>2.4799</v>
      </c>
      <c r="N14" s="733" t="n">
        <v>24.4335</v>
      </c>
      <c r="O14" s="733" t="n">
        <v>0.2665</v>
      </c>
      <c r="P14" s="733" t="n">
        <v>1.4405</v>
      </c>
      <c r="Q14" s="241" t="n"/>
      <c r="R14" s="241" t="n"/>
      <c r="S14" s="241" t="n"/>
      <c r="T14" s="241" t="n"/>
      <c r="U14" s="241" t="n"/>
      <c r="V14" s="241" t="n"/>
      <c r="W14" s="241" t="n"/>
      <c r="X14" s="733" t="n">
        <v>1.5772</v>
      </c>
      <c r="Y14" s="733" t="n">
        <v>1.5772</v>
      </c>
      <c r="Z14" s="241" t="n"/>
      <c r="AA14" s="733" t="n">
        <v>1.1869</v>
      </c>
      <c r="AB14" s="733" t="n">
        <v>0.7112000000000001</v>
      </c>
      <c r="AC14" s="733" t="n">
        <v>2.9825</v>
      </c>
      <c r="AD14" s="733" t="n">
        <v>0.1611</v>
      </c>
      <c r="AE14" s="733" t="n">
        <v>2.4615</v>
      </c>
      <c r="AF14" s="733" t="n">
        <v>2.6226</v>
      </c>
      <c r="AG14" s="733" t="n">
        <v>0.3593</v>
      </c>
      <c r="AH14" s="733" t="n">
        <v>9.229100000000001</v>
      </c>
      <c r="AI14" s="733" t="n">
        <v>4.0592</v>
      </c>
      <c r="AJ14" s="733" t="n">
        <v>13.2884</v>
      </c>
      <c r="AK14" s="733" t="n">
        <v>11.1451</v>
      </c>
      <c r="AL14" s="241" t="n"/>
      <c r="AM14" s="271" t="inlineStr">
        <is>
          <t>Full-service office: janitorial $164,559 in contract total; security/life safety $29,726 in Other; landscape incl snow $65,183; 2023 actuals confirmed</t>
        </is>
      </c>
    </row>
    <row r="15" ht="14" customHeight="1" s="518">
      <c r="A15" s="241" t="inlineStr">
        <is>
          <t>P005</t>
        </is>
      </c>
      <c r="B15" s="150" t="n">
        <v>344</v>
      </c>
      <c r="C15" s="241" t="inlineStr">
        <is>
          <t>R0050977</t>
        </is>
      </c>
      <c r="D15" s="271" t="inlineStr">
        <is>
          <t>9351 Grant St (Horizon Terrace)</t>
        </is>
      </c>
      <c r="E15" s="241" t="inlineStr">
        <is>
          <t>Thornton</t>
        </is>
      </c>
      <c r="F15" s="241" t="inlineStr">
        <is>
          <t>CO</t>
        </is>
      </c>
      <c r="G15" s="241" t="inlineStr">
        <is>
          <t>Office</t>
        </is>
      </c>
      <c r="H15" s="271" t="inlineStr">
        <is>
          <t>Class B Multi-story</t>
        </is>
      </c>
      <c r="I15" s="242" t="n"/>
      <c r="J15" s="242" t="n">
        <v>91646</v>
      </c>
      <c r="K15" s="242" t="n">
        <v>2024</v>
      </c>
      <c r="L15" s="733" t="n">
        <v>22.3966</v>
      </c>
      <c r="M15" s="733" t="n">
        <v>2.9417</v>
      </c>
      <c r="N15" s="733" t="n">
        <v>25.3383</v>
      </c>
      <c r="O15" s="733" t="n">
        <v>0.2648</v>
      </c>
      <c r="P15" s="733" t="n">
        <v>1.6305</v>
      </c>
      <c r="Q15" s="241" t="n"/>
      <c r="R15" s="241" t="n"/>
      <c r="S15" s="241" t="n"/>
      <c r="T15" s="241" t="n"/>
      <c r="U15" s="241" t="n"/>
      <c r="V15" s="241" t="n"/>
      <c r="W15" s="241" t="n"/>
      <c r="X15" s="733" t="n">
        <v>1.6418</v>
      </c>
      <c r="Y15" s="733" t="n">
        <v>1.6418</v>
      </c>
      <c r="Z15" s="241" t="n"/>
      <c r="AA15" s="733" t="n">
        <v>1.1913</v>
      </c>
      <c r="AB15" s="241" t="n"/>
      <c r="AC15" s="733" t="n">
        <v>2.8658</v>
      </c>
      <c r="AD15" s="241" t="n"/>
      <c r="AE15" s="241" t="n"/>
      <c r="AF15" s="733" t="n">
        <v>2.5334</v>
      </c>
      <c r="AG15" s="733" t="n">
        <v>0.4083</v>
      </c>
      <c r="AH15" s="733" t="n">
        <v>9.3445</v>
      </c>
      <c r="AI15" s="733" t="n">
        <v>4.5128</v>
      </c>
      <c r="AJ15" s="733" t="n">
        <v>13.8574</v>
      </c>
      <c r="AK15" s="733" t="n">
        <v>11.4809</v>
      </c>
      <c r="AL15" s="241" t="n"/>
      <c r="AM15" s="271" t="inlineStr">
        <is>
          <t>2024 actuals; janitorial $153,462 in contract total; security $32,603 in Other; sales/use tax $4,813 in Other</t>
        </is>
      </c>
    </row>
    <row r="16" ht="14" customHeight="1" s="518">
      <c r="A16" s="241" t="inlineStr">
        <is>
          <t>P006</t>
        </is>
      </c>
      <c r="B16" s="150" t="n">
        <v>210</v>
      </c>
      <c r="C16" s="241" t="inlineStr">
        <is>
          <t>R0062937</t>
        </is>
      </c>
      <c r="D16" s="271" t="inlineStr">
        <is>
          <t>8670 Wolff Ct (Sheridan Park 8)</t>
        </is>
      </c>
      <c r="E16" s="241" t="inlineStr">
        <is>
          <t>Westminster</t>
        </is>
      </c>
      <c r="F16" s="241" t="inlineStr">
        <is>
          <t>CO</t>
        </is>
      </c>
      <c r="G16" s="241" t="inlineStr">
        <is>
          <t>Office/Flex</t>
        </is>
      </c>
      <c r="H16" s="271" t="inlineStr">
        <is>
          <t>Multi-tenant</t>
        </is>
      </c>
      <c r="I16" s="242" t="n"/>
      <c r="J16" s="242" t="n">
        <v>37078</v>
      </c>
      <c r="K16" s="242" t="n">
        <v>2020</v>
      </c>
      <c r="L16" s="241" t="n"/>
      <c r="M16" s="241" t="n"/>
      <c r="N16" s="241" t="n"/>
      <c r="O16" s="733" t="n">
        <v>0.1558</v>
      </c>
      <c r="P16" s="733" t="n">
        <v>0.5259</v>
      </c>
      <c r="Q16" s="241" t="n"/>
      <c r="R16" s="241" t="n"/>
      <c r="S16" s="241" t="n"/>
      <c r="T16" s="241" t="n"/>
      <c r="U16" s="241" t="n"/>
      <c r="V16" s="241" t="n"/>
      <c r="W16" s="241" t="n"/>
      <c r="X16" s="241" t="n"/>
      <c r="Y16" s="241" t="n"/>
      <c r="Z16" s="241" t="n"/>
      <c r="AA16" s="241" t="n"/>
      <c r="AB16" s="241" t="n"/>
      <c r="AC16" s="733" t="n">
        <v>3.6056</v>
      </c>
      <c r="AD16" s="241" t="n"/>
      <c r="AE16" s="241" t="n"/>
      <c r="AF16" s="733" t="n">
        <v>3.1372</v>
      </c>
      <c r="AG16" s="241" t="n"/>
      <c r="AH16" s="733" t="n">
        <v>7.4245</v>
      </c>
      <c r="AI16" s="733" t="n">
        <v>2.3924</v>
      </c>
      <c r="AJ16" s="733" t="n">
        <v>9.8169</v>
      </c>
      <c r="AK16" s="241" t="n"/>
      <c r="AL16" s="241" t="n"/>
      <c r="AM16" s="271" t="inlineStr">
        <is>
          <t>Income not available; expense-only from DYCO CAM history; CAM in contract total</t>
        </is>
      </c>
    </row>
    <row r="17" ht="14" customHeight="1" s="518">
      <c r="A17" s="241" t="inlineStr">
        <is>
          <t>P006</t>
        </is>
      </c>
      <c r="B17" s="150" t="n">
        <v>210</v>
      </c>
      <c r="C17" s="241" t="inlineStr">
        <is>
          <t>R0062937</t>
        </is>
      </c>
      <c r="D17" s="271" t="inlineStr">
        <is>
          <t>8670 Wolff Ct (Sheridan Park 8)</t>
        </is>
      </c>
      <c r="E17" s="241" t="inlineStr">
        <is>
          <t>Westminster</t>
        </is>
      </c>
      <c r="F17" s="241" t="inlineStr">
        <is>
          <t>CO</t>
        </is>
      </c>
      <c r="G17" s="241" t="inlineStr">
        <is>
          <t>Office/Flex</t>
        </is>
      </c>
      <c r="H17" s="271" t="inlineStr">
        <is>
          <t>Multi-tenant</t>
        </is>
      </c>
      <c r="I17" s="242" t="n"/>
      <c r="J17" s="242" t="n">
        <v>37078</v>
      </c>
      <c r="K17" s="242" t="n">
        <v>2021</v>
      </c>
      <c r="L17" s="241" t="n"/>
      <c r="M17" s="241" t="n"/>
      <c r="N17" s="241" t="n"/>
      <c r="O17" s="733" t="n">
        <v>0.1841</v>
      </c>
      <c r="P17" s="733" t="n">
        <v>0.4855</v>
      </c>
      <c r="Q17" s="241" t="n"/>
      <c r="R17" s="241" t="n"/>
      <c r="S17" s="241" t="n"/>
      <c r="T17" s="241" t="n"/>
      <c r="U17" s="241" t="n"/>
      <c r="V17" s="241" t="n"/>
      <c r="W17" s="241" t="n"/>
      <c r="X17" s="241" t="n"/>
      <c r="Y17" s="241" t="n"/>
      <c r="Z17" s="241" t="n"/>
      <c r="AA17" s="241" t="n"/>
      <c r="AB17" s="241" t="n"/>
      <c r="AC17" s="733" t="n">
        <v>2.8189</v>
      </c>
      <c r="AD17" s="241" t="n"/>
      <c r="AE17" s="241" t="n"/>
      <c r="AF17" s="733" t="n">
        <v>2.9359</v>
      </c>
      <c r="AG17" s="241" t="n"/>
      <c r="AH17" s="733" t="n">
        <v>6.4243</v>
      </c>
      <c r="AI17" s="733" t="n">
        <v>2.2709</v>
      </c>
      <c r="AJ17" s="733" t="n">
        <v>8.6952</v>
      </c>
      <c r="AK17" s="241" t="n"/>
      <c r="AL17" s="241" t="n"/>
      <c r="AM17" s="271" t="inlineStr">
        <is>
          <t>Income not available; expense-only from DYCO CAM history</t>
        </is>
      </c>
    </row>
    <row r="18" ht="14" customHeight="1" s="518">
      <c r="A18" s="241" t="inlineStr">
        <is>
          <t>P006</t>
        </is>
      </c>
      <c r="B18" s="150" t="n">
        <v>210</v>
      </c>
      <c r="C18" s="241" t="inlineStr">
        <is>
          <t>R0062937</t>
        </is>
      </c>
      <c r="D18" s="271" t="inlineStr">
        <is>
          <t>8670 Wolff Ct (Sheridan Park 8)</t>
        </is>
      </c>
      <c r="E18" s="241" t="inlineStr">
        <is>
          <t>Westminster</t>
        </is>
      </c>
      <c r="F18" s="241" t="inlineStr">
        <is>
          <t>CO</t>
        </is>
      </c>
      <c r="G18" s="241" t="inlineStr">
        <is>
          <t>Office/Flex</t>
        </is>
      </c>
      <c r="H18" s="271" t="inlineStr">
        <is>
          <t>Multi-tenant</t>
        </is>
      </c>
      <c r="I18" s="242" t="n"/>
      <c r="J18" s="242" t="n">
        <v>37078</v>
      </c>
      <c r="K18" s="242" t="n">
        <v>2022</v>
      </c>
      <c r="L18" s="241" t="n"/>
      <c r="M18" s="241" t="n"/>
      <c r="N18" s="241" t="n"/>
      <c r="O18" s="733" t="n">
        <v>0.2122</v>
      </c>
      <c r="P18" s="733" t="n">
        <v>0.5651</v>
      </c>
      <c r="Q18" s="241" t="n"/>
      <c r="R18" s="241" t="n"/>
      <c r="S18" s="241" t="n"/>
      <c r="T18" s="241" t="n"/>
      <c r="U18" s="241" t="n"/>
      <c r="V18" s="241" t="n"/>
      <c r="W18" s="241" t="n"/>
      <c r="X18" s="241" t="n"/>
      <c r="Y18" s="241" t="n"/>
      <c r="Z18" s="241" t="n"/>
      <c r="AA18" s="241" t="n"/>
      <c r="AB18" s="241" t="n"/>
      <c r="AC18" s="733" t="n">
        <v>3.0261</v>
      </c>
      <c r="AD18" s="241" t="n"/>
      <c r="AE18" s="241" t="n"/>
      <c r="AF18" s="733" t="n">
        <v>3.0198</v>
      </c>
      <c r="AG18" s="241" t="n"/>
      <c r="AH18" s="733" t="n">
        <v>6.8231</v>
      </c>
      <c r="AI18" s="733" t="n">
        <v>3.6987</v>
      </c>
      <c r="AJ18" s="733" t="n">
        <v>10.5219</v>
      </c>
      <c r="AK18" s="241" t="n"/>
      <c r="AL18" s="241" t="n"/>
      <c r="AM18" s="271" t="inlineStr">
        <is>
          <t>Income not available; expense-only from DYCO CAM history; RE Tax jumped from $84k to $137k (reval year)</t>
        </is>
      </c>
    </row>
    <row r="19" ht="14" customHeight="1" s="518">
      <c r="A19" s="241" t="inlineStr">
        <is>
          <t>P006</t>
        </is>
      </c>
      <c r="B19" s="150" t="n">
        <v>210</v>
      </c>
      <c r="C19" s="241" t="inlineStr">
        <is>
          <t>R0062937</t>
        </is>
      </c>
      <c r="D19" s="271" t="inlineStr">
        <is>
          <t>8670 Wolff Ct (Sheridan Park 8)</t>
        </is>
      </c>
      <c r="E19" s="241" t="inlineStr">
        <is>
          <t>Westminster</t>
        </is>
      </c>
      <c r="F19" s="241" t="inlineStr">
        <is>
          <t>CO</t>
        </is>
      </c>
      <c r="G19" s="241" t="inlineStr">
        <is>
          <t>Office/Flex</t>
        </is>
      </c>
      <c r="H19" s="271" t="inlineStr">
        <is>
          <t>Multi-tenant</t>
        </is>
      </c>
      <c r="I19" s="242" t="n"/>
      <c r="J19" s="242" t="n">
        <v>37078</v>
      </c>
      <c r="K19" s="242" t="n">
        <v>2023</v>
      </c>
      <c r="L19" s="241" t="n"/>
      <c r="M19" s="241" t="n"/>
      <c r="N19" s="241" t="n"/>
      <c r="O19" s="733" t="n">
        <v>0.2334</v>
      </c>
      <c r="P19" s="733" t="n">
        <v>0.4855</v>
      </c>
      <c r="Q19" s="241" t="n"/>
      <c r="R19" s="241" t="n"/>
      <c r="S19" s="241" t="n"/>
      <c r="T19" s="241" t="n"/>
      <c r="U19" s="241" t="n"/>
      <c r="V19" s="241" t="n"/>
      <c r="W19" s="241" t="n"/>
      <c r="X19" s="241" t="n"/>
      <c r="Y19" s="241" t="n"/>
      <c r="Z19" s="241" t="n"/>
      <c r="AA19" s="241" t="n"/>
      <c r="AB19" s="241" t="n"/>
      <c r="AC19" s="733" t="n">
        <v>3.1419</v>
      </c>
      <c r="AD19" s="241" t="n"/>
      <c r="AE19" s="241" t="n"/>
      <c r="AF19" s="733" t="n">
        <v>3.018</v>
      </c>
      <c r="AG19" s="241" t="n"/>
      <c r="AH19" s="733" t="n">
        <v>6.8788</v>
      </c>
      <c r="AI19" s="733" t="n">
        <v>3.554</v>
      </c>
      <c r="AJ19" s="733" t="n">
        <v>10.4328</v>
      </c>
      <c r="AK19" s="241" t="n"/>
      <c r="AL19" s="241" t="n"/>
      <c r="AM19" s="271" t="inlineStr">
        <is>
          <t>Income not available; 2023 YTD annualized per DYCO</t>
        </is>
      </c>
    </row>
    <row r="20" ht="14" customHeight="1" s="518">
      <c r="A20" s="241" t="inlineStr">
        <is>
          <t>P006</t>
        </is>
      </c>
      <c r="B20" s="150" t="n">
        <v>210</v>
      </c>
      <c r="C20" s="241" t="inlineStr">
        <is>
          <t>R0062937</t>
        </is>
      </c>
      <c r="D20" s="271" t="inlineStr">
        <is>
          <t>8670 Wolff Ct (Sheridan Park 8)</t>
        </is>
      </c>
      <c r="E20" s="241" t="inlineStr">
        <is>
          <t>Westminster</t>
        </is>
      </c>
      <c r="F20" s="241" t="inlineStr">
        <is>
          <t>CO</t>
        </is>
      </c>
      <c r="G20" s="241" t="inlineStr">
        <is>
          <t>Office/Flex</t>
        </is>
      </c>
      <c r="H20" s="271" t="inlineStr">
        <is>
          <t>Multi-tenant</t>
        </is>
      </c>
      <c r="I20" s="242" t="n"/>
      <c r="J20" s="242" t="n">
        <v>37078</v>
      </c>
      <c r="K20" s="242" t="n">
        <v>2024</v>
      </c>
      <c r="L20" s="241" t="n"/>
      <c r="M20" s="241" t="n"/>
      <c r="N20" s="241" t="n"/>
      <c r="O20" s="733" t="n">
        <v>0.2334</v>
      </c>
      <c r="P20" s="733" t="n">
        <v>0.5826</v>
      </c>
      <c r="Q20" s="241" t="n"/>
      <c r="R20" s="241" t="n"/>
      <c r="S20" s="241" t="n"/>
      <c r="T20" s="241" t="n"/>
      <c r="U20" s="241" t="n"/>
      <c r="V20" s="241" t="n"/>
      <c r="W20" s="241" t="n"/>
      <c r="X20" s="241" t="n"/>
      <c r="Y20" s="241" t="n"/>
      <c r="Z20" s="241" t="n"/>
      <c r="AA20" s="241" t="n"/>
      <c r="AB20" s="241" t="n"/>
      <c r="AC20" s="733" t="n">
        <v>3.7703</v>
      </c>
      <c r="AD20" s="241" t="n"/>
      <c r="AE20" s="241" t="n"/>
      <c r="AF20" s="733" t="n">
        <v>3.6217</v>
      </c>
      <c r="AG20" s="241" t="n"/>
      <c r="AH20" s="733" t="n">
        <v>8.2079</v>
      </c>
      <c r="AI20" s="733" t="n">
        <v>3.554</v>
      </c>
      <c r="AJ20" s="733" t="n">
        <v>11.7619</v>
      </c>
      <c r="AK20" s="241" t="n"/>
      <c r="AL20" s="241" t="n"/>
      <c r="AM20" s="271" t="inlineStr">
        <is>
          <t>Income not available; 2024 actuals per DYCO CAM history</t>
        </is>
      </c>
    </row>
    <row r="21" ht="14" customHeight="1" s="518">
      <c r="A21" s="241" t="inlineStr">
        <is>
          <t>P007</t>
        </is>
      </c>
      <c r="B21" s="150" t="n">
        <v>341</v>
      </c>
      <c r="C21" s="241" t="inlineStr">
        <is>
          <t>R0062944</t>
        </is>
      </c>
      <c r="D21" s="271" t="inlineStr">
        <is>
          <t>8787 (medical office complex)</t>
        </is>
      </c>
      <c r="E21" s="241" t="inlineStr">
        <is>
          <t>Adams County</t>
        </is>
      </c>
      <c r="F21" s="241" t="inlineStr">
        <is>
          <t>CO</t>
        </is>
      </c>
      <c r="G21" s="241" t="inlineStr">
        <is>
          <t>Medical Office</t>
        </is>
      </c>
      <c r="H21" s="271" t="inlineStr">
        <is>
          <t>Multi-tenant</t>
        </is>
      </c>
      <c r="I21" s="242" t="n"/>
      <c r="J21" s="242" t="n">
        <v>19430</v>
      </c>
      <c r="K21" s="242" t="n">
        <v>2023</v>
      </c>
      <c r="L21" s="241" t="n"/>
      <c r="M21" s="241" t="n"/>
      <c r="N21" s="733" t="n">
        <v>20.2681</v>
      </c>
      <c r="O21" s="733" t="n">
        <v>0.4882</v>
      </c>
      <c r="P21" s="733" t="n">
        <v>0.525</v>
      </c>
      <c r="Q21" s="241" t="n"/>
      <c r="R21" s="241" t="n"/>
      <c r="S21" s="241" t="n"/>
      <c r="T21" s="241" t="n"/>
      <c r="U21" s="733" t="n">
        <v>1.1125</v>
      </c>
      <c r="V21" s="241" t="n"/>
      <c r="W21" s="241" t="n"/>
      <c r="X21" s="733" t="n">
        <v>1.365</v>
      </c>
      <c r="Y21" s="733" t="n">
        <v>1.365</v>
      </c>
      <c r="Z21" s="733" t="n">
        <v>0.1046</v>
      </c>
      <c r="AA21" s="733" t="n">
        <v>0.6014</v>
      </c>
      <c r="AB21" s="733" t="n">
        <v>0.3262</v>
      </c>
      <c r="AC21" s="733" t="n">
        <v>1.0322</v>
      </c>
      <c r="AD21" s="733" t="n">
        <v>0.3942</v>
      </c>
      <c r="AE21" s="733" t="n">
        <v>1.9391</v>
      </c>
      <c r="AF21" s="733" t="n">
        <v>2.3333</v>
      </c>
      <c r="AG21" s="733" t="n">
        <v>0.9338</v>
      </c>
      <c r="AH21" s="733" t="n">
        <v>7.7898</v>
      </c>
      <c r="AI21" s="733" t="n">
        <v>2.7482</v>
      </c>
      <c r="AJ21" s="733" t="n">
        <v>10.5379</v>
      </c>
      <c r="AK21" s="733" t="n">
        <v>9.7302</v>
      </c>
      <c r="AL21" s="241" t="n"/>
      <c r="AM21" s="271" t="inlineStr">
        <is>
          <t>HVAC maint $21,615 included in R&amp;M; janitorial $16,418 in Other; professional svcs $1,726 in Other; 2023 actuals</t>
        </is>
      </c>
    </row>
    <row r="22" ht="14" customHeight="1" s="518">
      <c r="A22" s="241" t="inlineStr">
        <is>
          <t>P007</t>
        </is>
      </c>
      <c r="B22" s="150" t="n">
        <v>341</v>
      </c>
      <c r="C22" s="241" t="inlineStr">
        <is>
          <t>R0062944</t>
        </is>
      </c>
      <c r="D22" s="271" t="inlineStr">
        <is>
          <t>8787 (medical office complex)</t>
        </is>
      </c>
      <c r="E22" s="241" t="inlineStr">
        <is>
          <t>Adams County</t>
        </is>
      </c>
      <c r="F22" s="241" t="inlineStr">
        <is>
          <t>CO</t>
        </is>
      </c>
      <c r="G22" s="241" t="inlineStr">
        <is>
          <t>Medical Office</t>
        </is>
      </c>
      <c r="H22" s="271" t="inlineStr">
        <is>
          <t>Multi-tenant</t>
        </is>
      </c>
      <c r="I22" s="242" t="n"/>
      <c r="J22" s="242" t="n">
        <v>19430</v>
      </c>
      <c r="K22" s="242" t="n">
        <v>2024</v>
      </c>
      <c r="L22" s="241" t="n"/>
      <c r="M22" s="241" t="n"/>
      <c r="N22" s="733" t="n">
        <v>20.0976</v>
      </c>
      <c r="O22" s="733" t="n">
        <v>0.7185</v>
      </c>
      <c r="P22" s="733" t="n">
        <v>1.9878</v>
      </c>
      <c r="Q22" s="241" t="n"/>
      <c r="R22" s="241" t="n"/>
      <c r="S22" s="241" t="n"/>
      <c r="T22" s="241" t="n"/>
      <c r="U22" s="733" t="n">
        <v>0.6725</v>
      </c>
      <c r="V22" s="241" t="n"/>
      <c r="W22" s="241" t="n"/>
      <c r="X22" s="733" t="n">
        <v>1.3296</v>
      </c>
      <c r="Y22" s="733" t="n">
        <v>1.3296</v>
      </c>
      <c r="Z22" s="733" t="n">
        <v>0.1008</v>
      </c>
      <c r="AA22" s="733" t="n">
        <v>0.8078</v>
      </c>
      <c r="AB22" s="733" t="n">
        <v>0.3029</v>
      </c>
      <c r="AC22" s="733" t="n">
        <v>1.2115</v>
      </c>
      <c r="AD22" s="733" t="n">
        <v>0.3305</v>
      </c>
      <c r="AE22" s="733" t="n">
        <v>1.7022</v>
      </c>
      <c r="AF22" s="733" t="n">
        <v>2.0327</v>
      </c>
      <c r="AG22" s="733" t="n">
        <v>0.8246</v>
      </c>
      <c r="AH22" s="733" t="n">
        <v>8.777100000000001</v>
      </c>
      <c r="AI22" s="733" t="n">
        <v>3.2527</v>
      </c>
      <c r="AJ22" s="733" t="n">
        <v>12.0299</v>
      </c>
      <c r="AK22" s="733" t="n">
        <v>8.0678</v>
      </c>
      <c r="AL22" s="241" t="n"/>
      <c r="AM22" s="271" t="inlineStr">
        <is>
          <t>Mgmt = CAM portion $10,600 + non-CAM $28,022; janitorial $16,022 in Other; HVAC $13,067 in R&amp;M; 2024 actuals</t>
        </is>
      </c>
    </row>
    <row r="23" ht="14" customHeight="1" s="518">
      <c r="A23" s="151" t="inlineStr">
        <is>
          <t>P008</t>
        </is>
      </c>
      <c r="B23" s="150" t="n">
        <v>210</v>
      </c>
      <c r="C23" s="151" t="inlineStr">
        <is>
          <t>R0070622</t>
        </is>
      </c>
      <c r="D23" s="269" t="inlineStr">
        <is>
          <t>460-550 E. 76th Ave (WPC Corporate)</t>
        </is>
      </c>
      <c r="E23" s="151" t="inlineStr">
        <is>
          <t>Adams County</t>
        </is>
      </c>
      <c r="F23" s="151" t="inlineStr">
        <is>
          <t>CO</t>
        </is>
      </c>
      <c r="G23" s="151" t="inlineStr">
        <is>
          <t>Industrial</t>
        </is>
      </c>
      <c r="H23" s="269" t="inlineStr">
        <is>
          <t>Distribution/Flex Multi-tenant</t>
        </is>
      </c>
      <c r="I23" s="161" t="n"/>
      <c r="J23" s="161" t="n">
        <v>330935</v>
      </c>
      <c r="K23" s="161" t="n">
        <v>2024</v>
      </c>
      <c r="L23" s="151" t="n"/>
      <c r="M23" s="151" t="n"/>
      <c r="N23" s="732" t="n">
        <v>8.311400000000001</v>
      </c>
      <c r="O23" s="151" t="n"/>
      <c r="P23" s="151" t="n"/>
      <c r="Q23" s="151" t="n"/>
      <c r="R23" s="151" t="n"/>
      <c r="S23" s="151" t="n"/>
      <c r="T23" s="151" t="n"/>
      <c r="U23" s="151" t="n"/>
      <c r="V23" s="151" t="n"/>
      <c r="W23" s="151" t="n"/>
      <c r="X23" s="151" t="n"/>
      <c r="Y23" s="151" t="n"/>
      <c r="Z23" s="151" t="n"/>
      <c r="AA23" s="151" t="n"/>
      <c r="AB23" s="151" t="n"/>
      <c r="AC23" s="151" t="n"/>
      <c r="AD23" s="151" t="n"/>
      <c r="AE23" s="151" t="n"/>
      <c r="AF23" s="151" t="n"/>
      <c r="AG23" s="151" t="n"/>
      <c r="AH23" s="151" t="n"/>
      <c r="AI23" s="151" t="n"/>
      <c r="AJ23" s="732" t="n">
        <v>4.0444</v>
      </c>
      <c r="AK23" s="732" t="n">
        <v>4.267</v>
      </c>
      <c r="AL23" s="151" t="n"/>
      <c r="AM23" s="269" t="inlineStr">
        <is>
          <t>2024 only; total OPX derived (EGI - NOI); limited line-item detail from scanned actuals; large multi-tenant industrial complex</t>
        </is>
      </c>
    </row>
    <row r="24" ht="14" customHeight="1" s="518">
      <c r="A24" s="285" t="inlineStr">
        <is>
          <t>P009</t>
        </is>
      </c>
      <c r="B24" s="150" t="n">
        <v>407</v>
      </c>
      <c r="C24" s="285" t="inlineStr">
        <is>
          <t>R0075212</t>
        </is>
      </c>
      <c r="D24" s="286" t="inlineStr">
        <is>
          <t>10500 Havana Court</t>
        </is>
      </c>
      <c r="E24" s="285" t="inlineStr">
        <is>
          <t>Adams County</t>
        </is>
      </c>
      <c r="F24" s="285" t="inlineStr">
        <is>
          <t>CO</t>
        </is>
      </c>
      <c r="G24" s="285" t="inlineStr">
        <is>
          <t>Industrial</t>
        </is>
      </c>
      <c r="H24" s="286" t="inlineStr">
        <is>
          <t>NNN Single-tenant</t>
        </is>
      </c>
      <c r="I24" s="287" t="n"/>
      <c r="J24" s="287" t="n"/>
      <c r="K24" s="287" t="n">
        <v>2023</v>
      </c>
      <c r="L24" s="285" t="n"/>
      <c r="M24" s="285" t="n"/>
      <c r="N24" s="290" t="n">
        <v>332759</v>
      </c>
      <c r="O24" s="290" t="n">
        <v>22784</v>
      </c>
      <c r="P24" s="290" t="n">
        <v>4000</v>
      </c>
      <c r="Q24" s="285" t="n"/>
      <c r="R24" s="285" t="n"/>
      <c r="S24" s="285" t="n"/>
      <c r="T24" s="285" t="n"/>
      <c r="U24" s="285" t="n"/>
      <c r="V24" s="285" t="n"/>
      <c r="W24" s="285" t="n"/>
      <c r="X24" s="290" t="n">
        <v>12804</v>
      </c>
      <c r="Y24" s="290" t="n">
        <v>12804</v>
      </c>
      <c r="Z24" s="285" t="n"/>
      <c r="AA24" s="290" t="n">
        <v>6910</v>
      </c>
      <c r="AB24" s="290" t="n">
        <v>1800</v>
      </c>
      <c r="AC24" s="290" t="n">
        <v>8710</v>
      </c>
      <c r="AD24" s="290" t="n">
        <v>2209</v>
      </c>
      <c r="AE24" s="290" t="n">
        <v>1956</v>
      </c>
      <c r="AF24" s="290" t="n">
        <v>4165</v>
      </c>
      <c r="AG24" s="290" t="n">
        <v>8397</v>
      </c>
      <c r="AH24" s="290" t="n">
        <v>127005</v>
      </c>
      <c r="AI24" s="290" t="n">
        <v>60552</v>
      </c>
      <c r="AJ24" s="290" t="n">
        <v>187557</v>
      </c>
      <c r="AK24" s="290" t="n">
        <v>265550</v>
      </c>
      <c r="AL24" s="285" t="n"/>
      <c r="AM24" s="286" t="inlineStr">
        <is>
          <t>[NO SF] NNN; P&amp;L excludes depreciation ($68,209) and mortgage interest ($60,714) from NOI calc; acctg/legal/bank/dues in Other; 2023 actuals</t>
        </is>
      </c>
    </row>
    <row r="25" ht="14" customHeight="1" s="518">
      <c r="A25" s="151" t="inlineStr">
        <is>
          <t>P009</t>
        </is>
      </c>
      <c r="B25" s="150" t="n">
        <v>407</v>
      </c>
      <c r="C25" s="151" t="inlineStr">
        <is>
          <t>R0075212</t>
        </is>
      </c>
      <c r="D25" s="269" t="inlineStr">
        <is>
          <t>10500 Havana Court</t>
        </is>
      </c>
      <c r="E25" s="151" t="inlineStr">
        <is>
          <t>Adams County</t>
        </is>
      </c>
      <c r="F25" s="151" t="inlineStr">
        <is>
          <t>CO</t>
        </is>
      </c>
      <c r="G25" s="151" t="inlineStr">
        <is>
          <t>Industrial</t>
        </is>
      </c>
      <c r="H25" s="269" t="inlineStr">
        <is>
          <t>NNN Single-tenant</t>
        </is>
      </c>
      <c r="I25" s="161" t="n"/>
      <c r="J25" s="161" t="n"/>
      <c r="K25" s="161" t="n">
        <v>2024</v>
      </c>
      <c r="L25" s="151" t="n"/>
      <c r="M25" s="151" t="n"/>
      <c r="N25" s="164" t="n">
        <v>359583</v>
      </c>
      <c r="O25" s="164" t="n">
        <v>27489</v>
      </c>
      <c r="P25" s="164" t="n">
        <v>6000</v>
      </c>
      <c r="Q25" s="151" t="n"/>
      <c r="R25" s="151" t="n"/>
      <c r="S25" s="151" t="n"/>
      <c r="T25" s="151" t="n"/>
      <c r="U25" s="151" t="n"/>
      <c r="V25" s="151" t="n"/>
      <c r="W25" s="151" t="n"/>
      <c r="X25" s="164" t="n">
        <v>9601</v>
      </c>
      <c r="Y25" s="164" t="n">
        <v>9601</v>
      </c>
      <c r="Z25" s="151" t="n"/>
      <c r="AA25" s="164" t="n">
        <v>3045</v>
      </c>
      <c r="AB25" s="164" t="n">
        <v>1960</v>
      </c>
      <c r="AC25" s="164" t="n">
        <v>5005</v>
      </c>
      <c r="AD25" s="164" t="n">
        <v>3555</v>
      </c>
      <c r="AE25" s="164" t="n">
        <v>1567</v>
      </c>
      <c r="AF25" s="164" t="n">
        <v>5122</v>
      </c>
      <c r="AG25" s="164" t="n">
        <v>10035</v>
      </c>
      <c r="AH25" s="164" t="n">
        <v>69350</v>
      </c>
      <c r="AI25" s="164" t="n">
        <v>101114</v>
      </c>
      <c r="AJ25" s="164" t="n">
        <v>170464</v>
      </c>
      <c r="AK25" s="164" t="n">
        <v>290993</v>
      </c>
      <c r="AL25" s="151" t="n"/>
      <c r="AM25" s="269" t="inlineStr">
        <is>
          <t>[NO SF] NNN; depreciation ($52,109) and mortgage interest ($58,574) excluded from NOI; Other includes acctg, dues, inspections; 2024 actuals</t>
        </is>
      </c>
    </row>
    <row r="26" ht="14" customHeight="1" s="518">
      <c r="A26" s="285" t="inlineStr">
        <is>
          <t>P010</t>
        </is>
      </c>
      <c r="B26" s="150" t="n">
        <v>210</v>
      </c>
      <c r="C26" s="285" t="inlineStr">
        <is>
          <t>R0098225</t>
        </is>
      </c>
      <c r="D26" s="286" t="inlineStr">
        <is>
          <t>Broadway Business Center (7040B Broadway)</t>
        </is>
      </c>
      <c r="E26" s="285" t="inlineStr">
        <is>
          <t>Denver</t>
        </is>
      </c>
      <c r="F26" s="285" t="inlineStr">
        <is>
          <t>CO</t>
        </is>
      </c>
      <c r="G26" s="285" t="inlineStr">
        <is>
          <t>Flex/Industrial</t>
        </is>
      </c>
      <c r="H26" s="286" t="inlineStr">
        <is>
          <t>Multi-tenant CAM</t>
        </is>
      </c>
      <c r="I26" s="287" t="n"/>
      <c r="J26" s="287" t="n">
        <v>105000</v>
      </c>
      <c r="K26" s="287" t="n">
        <v>2023</v>
      </c>
      <c r="L26" s="731" t="n">
        <v>7.0284</v>
      </c>
      <c r="M26" s="731" t="n">
        <v>4.8451</v>
      </c>
      <c r="N26" s="731" t="n">
        <v>11.8736</v>
      </c>
      <c r="O26" s="731" t="n">
        <v>0.4657</v>
      </c>
      <c r="P26" s="731" t="n">
        <v>0.9933999999999999</v>
      </c>
      <c r="Q26" s="285" t="n"/>
      <c r="R26" s="285" t="n"/>
      <c r="S26" s="285" t="n"/>
      <c r="T26" s="285" t="n"/>
      <c r="U26" s="285" t="n"/>
      <c r="V26" s="285" t="n"/>
      <c r="W26" s="285" t="n"/>
      <c r="X26" s="731" t="n">
        <v>0.6328</v>
      </c>
      <c r="Y26" s="731" t="n">
        <v>0.6328</v>
      </c>
      <c r="Z26" s="731" t="n">
        <v>0.4669</v>
      </c>
      <c r="AA26" s="731" t="n">
        <v>0.2172</v>
      </c>
      <c r="AB26" s="731" t="n">
        <v>0.5585</v>
      </c>
      <c r="AC26" s="731" t="n">
        <v>1.2425</v>
      </c>
      <c r="AD26" s="731" t="n">
        <v>0.5097</v>
      </c>
      <c r="AE26" s="285" t="n"/>
      <c r="AF26" s="731" t="n">
        <v>0.7223000000000001</v>
      </c>
      <c r="AG26" s="285" t="n"/>
      <c r="AH26" s="731" t="n">
        <v>4.6141</v>
      </c>
      <c r="AI26" s="731" t="n">
        <v>2.1859</v>
      </c>
      <c r="AJ26" s="731" t="n">
        <v>6.8</v>
      </c>
      <c r="AK26" s="731" t="n">
        <v>5.0762</v>
      </c>
      <c r="AL26" s="285" t="n"/>
      <c r="AM26" s="286" t="inlineStr">
        <is>
          <t>CAM recovery structure; mgmt = prop mgmt fee $50,590 + recoverable mgmt $53,721; snow in contract; 2023 actuals; NOI estimated</t>
        </is>
      </c>
    </row>
    <row r="27" ht="14" customHeight="1" s="518">
      <c r="A27" s="151" t="inlineStr">
        <is>
          <t>P010</t>
        </is>
      </c>
      <c r="B27" s="150" t="n">
        <v>210</v>
      </c>
      <c r="C27" s="151" t="inlineStr">
        <is>
          <t>R0098225</t>
        </is>
      </c>
      <c r="D27" s="269" t="inlineStr">
        <is>
          <t>Broadway Business Center (7040B Broadway)</t>
        </is>
      </c>
      <c r="E27" s="151" t="inlineStr">
        <is>
          <t>Denver</t>
        </is>
      </c>
      <c r="F27" s="151" t="inlineStr">
        <is>
          <t>CO</t>
        </is>
      </c>
      <c r="G27" s="151" t="inlineStr">
        <is>
          <t>Flex/Industrial</t>
        </is>
      </c>
      <c r="H27" s="269" t="inlineStr">
        <is>
          <t>Multi-tenant CAM</t>
        </is>
      </c>
      <c r="I27" s="161" t="n"/>
      <c r="J27" s="161" t="n">
        <v>105000</v>
      </c>
      <c r="K27" s="161" t="n">
        <v>2024</v>
      </c>
      <c r="L27" s="732" t="n">
        <v>8.597899999999999</v>
      </c>
      <c r="M27" s="732" t="n">
        <v>7.4693</v>
      </c>
      <c r="N27" s="732" t="n">
        <v>16.0672</v>
      </c>
      <c r="O27" s="732" t="n">
        <v>0.481</v>
      </c>
      <c r="P27" s="732" t="n">
        <v>1.1752</v>
      </c>
      <c r="Q27" s="151" t="n"/>
      <c r="R27" s="151" t="n"/>
      <c r="S27" s="151" t="n"/>
      <c r="T27" s="151" t="n"/>
      <c r="U27" s="151" t="n"/>
      <c r="V27" s="151" t="n"/>
      <c r="W27" s="151" t="n"/>
      <c r="X27" s="732" t="n">
        <v>0.7155</v>
      </c>
      <c r="Y27" s="732" t="n">
        <v>0.7155</v>
      </c>
      <c r="Z27" s="732" t="n">
        <v>0.5619</v>
      </c>
      <c r="AA27" s="732" t="n">
        <v>0.1728</v>
      </c>
      <c r="AB27" s="732" t="n">
        <v>0.4984</v>
      </c>
      <c r="AC27" s="732" t="n">
        <v>1.233</v>
      </c>
      <c r="AD27" s="732" t="n">
        <v>0.8304</v>
      </c>
      <c r="AE27" s="151" t="n"/>
      <c r="AF27" s="732" t="n">
        <v>0.9542</v>
      </c>
      <c r="AG27" s="151" t="n"/>
      <c r="AH27" s="732" t="n">
        <v>4.7875</v>
      </c>
      <c r="AI27" s="732" t="n">
        <v>5.1839</v>
      </c>
      <c r="AJ27" s="732" t="n">
        <v>9.971399999999999</v>
      </c>
      <c r="AK27" s="732" t="n">
        <v>6.0952</v>
      </c>
      <c r="AL27" s="151" t="n"/>
      <c r="AM27" s="269" t="inlineStr">
        <is>
          <t>2024 RE Tax inflated by $111,314 prior-yr catchup; normalized tax ~$425k; parking lot $52,328 in snow/contract; NOI estimated</t>
        </is>
      </c>
    </row>
    <row r="28" ht="14" customHeight="1" s="518">
      <c r="A28" s="285" t="inlineStr">
        <is>
          <t>P011</t>
        </is>
      </c>
      <c r="B28" s="150" t="n">
        <v>210</v>
      </c>
      <c r="C28" s="285" t="inlineStr">
        <is>
          <t>R0103767</t>
        </is>
      </c>
      <c r="D28" s="286" t="inlineStr">
        <is>
          <t>5650 Washington St (Washington Business Park)</t>
        </is>
      </c>
      <c r="E28" s="285" t="inlineStr">
        <is>
          <t>Adams County</t>
        </is>
      </c>
      <c r="F28" s="285" t="inlineStr">
        <is>
          <t>CO</t>
        </is>
      </c>
      <c r="G28" s="285" t="inlineStr">
        <is>
          <t>Industrial/Flex</t>
        </is>
      </c>
      <c r="H28" s="286" t="inlineStr">
        <is>
          <t>Multi-tenant</t>
        </is>
      </c>
      <c r="I28" s="287" t="n"/>
      <c r="J28" s="287" t="n"/>
      <c r="K28" s="287" t="n">
        <v>2022</v>
      </c>
      <c r="L28" s="285" t="n"/>
      <c r="M28" s="285" t="n"/>
      <c r="N28" s="290" t="n">
        <v>502006</v>
      </c>
      <c r="O28" s="290" t="n">
        <v>16872</v>
      </c>
      <c r="P28" s="290" t="n">
        <v>54025</v>
      </c>
      <c r="Q28" s="285" t="n"/>
      <c r="R28" s="285" t="n"/>
      <c r="S28" s="285" t="n"/>
      <c r="T28" s="285" t="n"/>
      <c r="U28" s="285" t="n"/>
      <c r="V28" s="285" t="n"/>
      <c r="W28" s="285" t="n"/>
      <c r="X28" s="290" t="n">
        <v>71762</v>
      </c>
      <c r="Y28" s="290" t="n">
        <v>71762</v>
      </c>
      <c r="Z28" s="285" t="n"/>
      <c r="AA28" s="290" t="n">
        <v>6528</v>
      </c>
      <c r="AB28" s="285" t="n"/>
      <c r="AC28" s="290" t="n">
        <v>6528</v>
      </c>
      <c r="AD28" s="290" t="n">
        <v>4858</v>
      </c>
      <c r="AE28" s="290" t="n">
        <v>525</v>
      </c>
      <c r="AF28" s="290" t="n">
        <v>5383</v>
      </c>
      <c r="AG28" s="285" t="n"/>
      <c r="AH28" s="290" t="n">
        <v>209625</v>
      </c>
      <c r="AI28" s="290" t="n">
        <v>64792</v>
      </c>
      <c r="AJ28" s="290" t="n">
        <v>274417</v>
      </c>
      <c r="AK28" s="290" t="n">
        <v>227649</v>
      </c>
      <c r="AL28" s="285" t="n"/>
      <c r="AM28" s="286" t="inlineStr">
        <is>
          <t>[NO SF] Mgmt fee $54,025 (2022 only ? not in later years); R&amp;M = bldg maint + repairs + HVAC + plumbing; water/gas from operating stmt</t>
        </is>
      </c>
    </row>
    <row r="29" ht="14" customHeight="1" s="518">
      <c r="A29" s="151" t="inlineStr">
        <is>
          <t>P011</t>
        </is>
      </c>
      <c r="B29" s="150" t="n">
        <v>210</v>
      </c>
      <c r="C29" s="151" t="inlineStr">
        <is>
          <t>R0103767</t>
        </is>
      </c>
      <c r="D29" s="269" t="inlineStr">
        <is>
          <t>5650 Washington St (Washington Business Park)</t>
        </is>
      </c>
      <c r="E29" s="151" t="inlineStr">
        <is>
          <t>Adams County</t>
        </is>
      </c>
      <c r="F29" s="151" t="inlineStr">
        <is>
          <t>CO</t>
        </is>
      </c>
      <c r="G29" s="151" t="inlineStr">
        <is>
          <t>Industrial/Flex</t>
        </is>
      </c>
      <c r="H29" s="269" t="inlineStr">
        <is>
          <t>Multi-tenant</t>
        </is>
      </c>
      <c r="I29" s="161" t="n"/>
      <c r="J29" s="161" t="n"/>
      <c r="K29" s="161" t="n">
        <v>2023</v>
      </c>
      <c r="L29" s="151" t="n"/>
      <c r="M29" s="151" t="n"/>
      <c r="N29" s="164" t="n">
        <v>532468</v>
      </c>
      <c r="O29" s="164" t="n">
        <v>15442</v>
      </c>
      <c r="P29" s="151" t="n"/>
      <c r="Q29" s="151" t="n"/>
      <c r="R29" s="151" t="n"/>
      <c r="S29" s="151" t="n"/>
      <c r="T29" s="151" t="n"/>
      <c r="U29" s="151" t="n"/>
      <c r="V29" s="151" t="n"/>
      <c r="W29" s="151" t="n"/>
      <c r="X29" s="164" t="n">
        <v>83293</v>
      </c>
      <c r="Y29" s="164" t="n">
        <v>83293</v>
      </c>
      <c r="Z29" s="151" t="n"/>
      <c r="AA29" s="164" t="n">
        <v>6029</v>
      </c>
      <c r="AB29" s="151" t="n"/>
      <c r="AC29" s="164" t="n">
        <v>6029</v>
      </c>
      <c r="AD29" s="164" t="n">
        <v>6487</v>
      </c>
      <c r="AE29" s="151" t="n"/>
      <c r="AF29" s="164" t="n">
        <v>6487</v>
      </c>
      <c r="AG29" s="151" t="n"/>
      <c r="AH29" s="164" t="n">
        <v>141304</v>
      </c>
      <c r="AI29" s="164" t="n">
        <v>63133</v>
      </c>
      <c r="AJ29" s="164" t="n">
        <v>204437</v>
      </c>
      <c r="AK29" s="164" t="n">
        <v>328030</v>
      </c>
      <c r="AL29" s="151" t="n"/>
      <c r="AM29" s="269" t="inlineStr">
        <is>
          <t>[NO SF] No mgmt fee in 2023; R&amp;M higher due to building repairs; gas negligible per statement; 2023 actuals</t>
        </is>
      </c>
    </row>
    <row r="30" ht="14" customHeight="1" s="518">
      <c r="A30" s="285" t="inlineStr">
        <is>
          <t>P011</t>
        </is>
      </c>
      <c r="B30" s="150" t="n">
        <v>210</v>
      </c>
      <c r="C30" s="285" t="inlineStr">
        <is>
          <t>R0103767</t>
        </is>
      </c>
      <c r="D30" s="286" t="inlineStr">
        <is>
          <t>5650 Washington St (Washington Business Park)</t>
        </is>
      </c>
      <c r="E30" s="285" t="inlineStr">
        <is>
          <t>Adams County</t>
        </is>
      </c>
      <c r="F30" s="285" t="inlineStr">
        <is>
          <t>CO</t>
        </is>
      </c>
      <c r="G30" s="285" t="inlineStr">
        <is>
          <t>Industrial/Flex</t>
        </is>
      </c>
      <c r="H30" s="286" t="inlineStr">
        <is>
          <t>Multi-tenant</t>
        </is>
      </c>
      <c r="I30" s="287" t="n"/>
      <c r="J30" s="287" t="n"/>
      <c r="K30" s="287" t="n">
        <v>2024</v>
      </c>
      <c r="L30" s="285" t="n"/>
      <c r="M30" s="285" t="n"/>
      <c r="N30" s="290" t="n">
        <v>517234</v>
      </c>
      <c r="O30" s="290" t="n">
        <v>20795</v>
      </c>
      <c r="P30" s="285" t="n"/>
      <c r="Q30" s="285" t="n"/>
      <c r="R30" s="285" t="n"/>
      <c r="S30" s="285" t="n"/>
      <c r="T30" s="285" t="n"/>
      <c r="U30" s="285" t="n"/>
      <c r="V30" s="285" t="n"/>
      <c r="W30" s="285" t="n"/>
      <c r="X30" s="290" t="n">
        <v>32385</v>
      </c>
      <c r="Y30" s="290" t="n">
        <v>32385</v>
      </c>
      <c r="Z30" s="285" t="n"/>
      <c r="AA30" s="290" t="n">
        <v>4814</v>
      </c>
      <c r="AB30" s="285" t="n"/>
      <c r="AC30" s="290" t="n">
        <v>4814</v>
      </c>
      <c r="AD30" s="290" t="n">
        <v>5690</v>
      </c>
      <c r="AE30" s="285" t="n"/>
      <c r="AF30" s="290" t="n">
        <v>5690</v>
      </c>
      <c r="AG30" s="285" t="n"/>
      <c r="AH30" s="285" t="n"/>
      <c r="AI30" s="285" t="n"/>
      <c r="AJ30" s="290" t="n">
        <v>331645</v>
      </c>
      <c r="AK30" s="290" t="n">
        <v>185389</v>
      </c>
      <c r="AL30" s="285" t="n"/>
      <c r="AM30" s="286" t="inlineStr">
        <is>
          <t>[NO SF] RE Tax not separately identified in 2024 column of operating stmt; total OPX from actuals; NOI confirmed</t>
        </is>
      </c>
    </row>
    <row r="31" ht="14" customHeight="1" s="518">
      <c r="A31" s="241" t="inlineStr">
        <is>
          <t>P012</t>
        </is>
      </c>
      <c r="B31" s="150" t="n">
        <v>344</v>
      </c>
      <c r="C31" s="241" t="inlineStr">
        <is>
          <t>R0124385</t>
        </is>
      </c>
      <c r="D31" s="271" t="inlineStr">
        <is>
          <t>Unknown (Tax District 555)</t>
        </is>
      </c>
      <c r="E31" s="241" t="inlineStr">
        <is>
          <t>Adams County</t>
        </is>
      </c>
      <c r="F31" s="241" t="inlineStr">
        <is>
          <t>CO</t>
        </is>
      </c>
      <c r="G31" s="241" t="inlineStr">
        <is>
          <t>Office</t>
        </is>
      </c>
      <c r="H31" s="271" t="inlineStr">
        <is>
          <t>Multi-tenant</t>
        </is>
      </c>
      <c r="I31" s="242" t="n"/>
      <c r="J31" s="242" t="n">
        <v>20170</v>
      </c>
      <c r="K31" s="242" t="n">
        <v>2023</v>
      </c>
      <c r="L31" s="241" t="n"/>
      <c r="M31" s="241" t="n"/>
      <c r="N31" s="733" t="n">
        <v>13.6708</v>
      </c>
      <c r="O31" s="241" t="n"/>
      <c r="P31" s="241" t="n"/>
      <c r="Q31" s="241" t="n"/>
      <c r="R31" s="241" t="n"/>
      <c r="S31" s="241" t="n"/>
      <c r="T31" s="241" t="n"/>
      <c r="U31" s="241" t="n"/>
      <c r="V31" s="241" t="n"/>
      <c r="W31" s="241" t="n"/>
      <c r="X31" s="241" t="n"/>
      <c r="Y31" s="241" t="n"/>
      <c r="Z31" s="241" t="n"/>
      <c r="AA31" s="241" t="n"/>
      <c r="AB31" s="241" t="n"/>
      <c r="AC31" s="241" t="n"/>
      <c r="AD31" s="241" t="n"/>
      <c r="AE31" s="241" t="n"/>
      <c r="AF31" s="241" t="n"/>
      <c r="AG31" s="241" t="n"/>
      <c r="AH31" s="733" t="n">
        <v>5.3592</v>
      </c>
      <c r="AI31" s="733" t="n">
        <v>2.2399</v>
      </c>
      <c r="AJ31" s="733" t="n">
        <v>7.5992</v>
      </c>
      <c r="AK31" s="733" t="n">
        <v>8.3116</v>
      </c>
      <c r="AL31" s="241" t="n"/>
      <c r="AM31" s="271" t="inlineStr">
        <is>
          <t>Limited line-item detail; totals from PROFORMA BASIS FOR OFFER.xlsx actuals section</t>
        </is>
      </c>
    </row>
    <row r="32" ht="14" customHeight="1" s="518">
      <c r="A32" s="241" t="inlineStr">
        <is>
          <t>P012</t>
        </is>
      </c>
      <c r="B32" s="150" t="n">
        <v>344</v>
      </c>
      <c r="C32" s="241" t="inlineStr">
        <is>
          <t>R0124385</t>
        </is>
      </c>
      <c r="D32" s="271" t="inlineStr">
        <is>
          <t>Unknown (Tax District 555)</t>
        </is>
      </c>
      <c r="E32" s="241" t="inlineStr">
        <is>
          <t>Adams County</t>
        </is>
      </c>
      <c r="F32" s="241" t="inlineStr">
        <is>
          <t>CO</t>
        </is>
      </c>
      <c r="G32" s="241" t="inlineStr">
        <is>
          <t>Office</t>
        </is>
      </c>
      <c r="H32" s="271" t="inlineStr">
        <is>
          <t>Multi-tenant</t>
        </is>
      </c>
      <c r="I32" s="242" t="n"/>
      <c r="J32" s="242" t="n">
        <v>20170</v>
      </c>
      <c r="K32" s="242" t="n">
        <v>2024</v>
      </c>
      <c r="L32" s="241" t="n"/>
      <c r="M32" s="241" t="n"/>
      <c r="N32" s="733" t="n">
        <v>14.802</v>
      </c>
      <c r="O32" s="241" t="n"/>
      <c r="P32" s="241" t="n"/>
      <c r="Q32" s="241" t="n"/>
      <c r="R32" s="241" t="n"/>
      <c r="S32" s="241" t="n"/>
      <c r="T32" s="241" t="n"/>
      <c r="U32" s="241" t="n"/>
      <c r="V32" s="241" t="n"/>
      <c r="W32" s="241" t="n"/>
      <c r="X32" s="241" t="n"/>
      <c r="Y32" s="241" t="n"/>
      <c r="Z32" s="241" t="n"/>
      <c r="AA32" s="241" t="n"/>
      <c r="AB32" s="241" t="n"/>
      <c r="AC32" s="241" t="n"/>
      <c r="AD32" s="241" t="n"/>
      <c r="AE32" s="241" t="n"/>
      <c r="AF32" s="241" t="n"/>
      <c r="AG32" s="241" t="n"/>
      <c r="AH32" s="733" t="n">
        <v>6.3208</v>
      </c>
      <c r="AI32" s="733" t="n">
        <v>2.1665</v>
      </c>
      <c r="AJ32" s="733" t="n">
        <v>9.1814</v>
      </c>
      <c r="AK32" s="733" t="n">
        <v>8.481199999999999</v>
      </c>
      <c r="AL32" s="241" t="n"/>
      <c r="AM32" s="271" t="inlineStr">
        <is>
          <t>CapEx $14,000 non-recurring excluded from OPX; limited line-item detail</t>
        </is>
      </c>
    </row>
    <row r="33" ht="14" customHeight="1" s="518">
      <c r="A33" s="241" t="inlineStr">
        <is>
          <t>P013</t>
        </is>
      </c>
      <c r="B33" s="150" t="n">
        <v>353</v>
      </c>
      <c r="C33" s="241" t="inlineStr">
        <is>
          <t>R0169176</t>
        </is>
      </c>
      <c r="D33" s="271" t="inlineStr">
        <is>
          <t>Unknown (new const., opened Oct 2023)</t>
        </is>
      </c>
      <c r="E33" s="241" t="inlineStr">
        <is>
          <t>Adams County</t>
        </is>
      </c>
      <c r="F33" s="241" t="inlineStr">
        <is>
          <t>CO</t>
        </is>
      </c>
      <c r="G33" s="241" t="inlineStr">
        <is>
          <t>Retail/Office</t>
        </is>
      </c>
      <c r="H33" s="271" t="inlineStr">
        <is>
          <t>Multi-tenant</t>
        </is>
      </c>
      <c r="I33" s="242" t="n">
        <v>2023</v>
      </c>
      <c r="J33" s="242" t="n"/>
      <c r="K33" s="242" t="n">
        <v>2023</v>
      </c>
      <c r="L33" s="243" t="n">
        <v>270793</v>
      </c>
      <c r="M33" s="243" t="n">
        <v>258323</v>
      </c>
      <c r="N33" s="243" t="n">
        <v>524533</v>
      </c>
      <c r="O33" s="243" t="n">
        <v>16865</v>
      </c>
      <c r="P33" s="243" t="n">
        <v>26496</v>
      </c>
      <c r="Q33" s="241" t="n"/>
      <c r="R33" s="241" t="n"/>
      <c r="S33" s="241" t="n"/>
      <c r="T33" s="241" t="n"/>
      <c r="U33" s="241" t="n"/>
      <c r="V33" s="241" t="n"/>
      <c r="W33" s="241" t="n"/>
      <c r="X33" s="243" t="n">
        <v>50972</v>
      </c>
      <c r="Y33" s="243" t="n">
        <v>50972</v>
      </c>
      <c r="Z33" s="241" t="n"/>
      <c r="AA33" s="243" t="n">
        <v>7543</v>
      </c>
      <c r="AB33" s="241" t="n"/>
      <c r="AC33" s="243" t="n">
        <v>7543</v>
      </c>
      <c r="AD33" s="243" t="n">
        <v>4602</v>
      </c>
      <c r="AE33" s="243" t="n">
        <v>51467</v>
      </c>
      <c r="AF33" s="243" t="n">
        <v>56069</v>
      </c>
      <c r="AG33" s="241" t="n"/>
      <c r="AH33" s="243" t="n">
        <v>157946</v>
      </c>
      <c r="AI33" s="243" t="n">
        <v>125577</v>
      </c>
      <c r="AJ33" s="243" t="n">
        <v>283523</v>
      </c>
      <c r="AK33" s="243" t="n">
        <v>241009</v>
      </c>
      <c r="AL33" s="241" t="n"/>
      <c r="AM33" s="271" t="inlineStr">
        <is>
          <t>[NO SF] 2023 partial year (opened Oct 2023); RE Tax high for new construction; gas $3,877 + elec $47,590 in utilities</t>
        </is>
      </c>
    </row>
    <row r="34" ht="14" customHeight="1" s="518">
      <c r="A34" s="241" t="inlineStr">
        <is>
          <t>P013</t>
        </is>
      </c>
      <c r="B34" s="150" t="n">
        <v>353</v>
      </c>
      <c r="C34" s="241" t="inlineStr">
        <is>
          <t>R0169176</t>
        </is>
      </c>
      <c r="D34" s="271" t="inlineStr">
        <is>
          <t>Unknown (new const., opened Oct 2023)</t>
        </is>
      </c>
      <c r="E34" s="241" t="inlineStr">
        <is>
          <t>Adams County</t>
        </is>
      </c>
      <c r="F34" s="241" t="inlineStr">
        <is>
          <t>CO</t>
        </is>
      </c>
      <c r="G34" s="241" t="inlineStr">
        <is>
          <t>Retail/Office</t>
        </is>
      </c>
      <c r="H34" s="271" t="inlineStr">
        <is>
          <t>Multi-tenant</t>
        </is>
      </c>
      <c r="I34" s="242" t="n">
        <v>2023</v>
      </c>
      <c r="J34" s="242" t="n"/>
      <c r="K34" s="242" t="n">
        <v>2024</v>
      </c>
      <c r="L34" s="243" t="n">
        <v>260040</v>
      </c>
      <c r="M34" s="243" t="n">
        <v>337015</v>
      </c>
      <c r="N34" s="243" t="n">
        <v>597056</v>
      </c>
      <c r="O34" s="243" t="n">
        <v>12437</v>
      </c>
      <c r="P34" s="243" t="n">
        <v>26717</v>
      </c>
      <c r="Q34" s="241" t="n"/>
      <c r="R34" s="241" t="n"/>
      <c r="S34" s="241" t="n"/>
      <c r="T34" s="241" t="n"/>
      <c r="U34" s="241" t="n"/>
      <c r="V34" s="241" t="n"/>
      <c r="W34" s="241" t="n"/>
      <c r="X34" s="243" t="n">
        <v>36931</v>
      </c>
      <c r="Y34" s="243" t="n">
        <v>36931</v>
      </c>
      <c r="Z34" s="241" t="n"/>
      <c r="AA34" s="243" t="n">
        <v>27159</v>
      </c>
      <c r="AB34" s="241" t="n"/>
      <c r="AC34" s="243" t="n">
        <v>27159</v>
      </c>
      <c r="AD34" s="243" t="n">
        <v>5043</v>
      </c>
      <c r="AE34" s="243" t="n">
        <v>54230</v>
      </c>
      <c r="AF34" s="243" t="n">
        <v>59273</v>
      </c>
      <c r="AG34" s="241" t="n"/>
      <c r="AH34" s="243" t="n">
        <v>162518</v>
      </c>
      <c r="AI34" s="243" t="n">
        <v>156074</v>
      </c>
      <c r="AJ34" s="243" t="n">
        <v>318592</v>
      </c>
      <c r="AK34" s="243" t="n">
        <v>278464</v>
      </c>
      <c r="AL34" s="241" t="n"/>
      <c r="AM34" s="271" t="inlineStr">
        <is>
          <t>[NO SF] Tax consultant $11,515 added to RE Tax line; HOA/exterior maint $27,159 in landscape; recoveries $336,319 + other $696</t>
        </is>
      </c>
    </row>
    <row r="35" ht="14" customHeight="1" s="518">
      <c r="A35" s="151" t="inlineStr">
        <is>
          <t>P014</t>
        </is>
      </c>
      <c r="B35" s="150" t="n">
        <v>407</v>
      </c>
      <c r="C35" s="151" t="inlineStr">
        <is>
          <t>R0198530</t>
        </is>
      </c>
      <c r="D35" s="269" t="inlineStr">
        <is>
          <t>Amazon DEN7 Distribution Center</t>
        </is>
      </c>
      <c r="E35" s="151" t="inlineStr">
        <is>
          <t>Aurora</t>
        </is>
      </c>
      <c r="F35" s="151" t="inlineStr">
        <is>
          <t>CO</t>
        </is>
      </c>
      <c r="G35" s="151" t="inlineStr">
        <is>
          <t>Industrial/Distribution</t>
        </is>
      </c>
      <c r="H35" s="269" t="inlineStr">
        <is>
          <t>Single-tenant NNN</t>
        </is>
      </c>
      <c r="I35" s="161" t="n"/>
      <c r="J35" s="161" t="n">
        <v>555840</v>
      </c>
      <c r="K35" s="161" t="n">
        <v>2023</v>
      </c>
      <c r="L35" s="732" t="n">
        <v>5.6192</v>
      </c>
      <c r="M35" s="151" t="n"/>
      <c r="N35" s="732" t="n">
        <v>5.6192</v>
      </c>
      <c r="O35" s="732" t="n">
        <v>0.1549</v>
      </c>
      <c r="P35" s="732" t="n">
        <v>0.1124</v>
      </c>
      <c r="Q35" s="151" t="n"/>
      <c r="R35" s="151" t="n"/>
      <c r="S35" s="151" t="n"/>
      <c r="T35" s="151" t="n"/>
      <c r="U35" s="151" t="n"/>
      <c r="V35" s="151" t="n"/>
      <c r="W35" s="151" t="n"/>
      <c r="X35" s="151" t="n"/>
      <c r="Y35" s="151" t="n"/>
      <c r="Z35" s="151" t="n"/>
      <c r="AA35" s="151" t="n"/>
      <c r="AB35" s="151" t="n"/>
      <c r="AC35" s="732" t="n">
        <v>0.0402</v>
      </c>
      <c r="AD35" s="151" t="n"/>
      <c r="AE35" s="151" t="n"/>
      <c r="AF35" s="732" t="n">
        <v>0.002</v>
      </c>
      <c r="AG35" s="151" t="n"/>
      <c r="AH35" s="732" t="n">
        <v>0.3551</v>
      </c>
      <c r="AI35" s="732" t="n">
        <v>2.9096</v>
      </c>
      <c r="AJ35" s="732" t="n">
        <v>3.2647</v>
      </c>
      <c r="AK35" s="151" t="n"/>
      <c r="AL35" s="151" t="n"/>
      <c r="AM35" s="269" t="inlineStr">
        <is>
          <t>NNN ? expenses = LL CAM billed to Amazon tenant; RE Tax $1.617M dominates; base rent $3.12M; 2023 CAM reconciliation</t>
        </is>
      </c>
    </row>
    <row r="36" ht="14" customHeight="1" s="518">
      <c r="A36" s="285" t="inlineStr">
        <is>
          <t>P014</t>
        </is>
      </c>
      <c r="B36" s="150" t="n">
        <v>407</v>
      </c>
      <c r="C36" s="285" t="inlineStr">
        <is>
          <t>R0198530</t>
        </is>
      </c>
      <c r="D36" s="286" t="inlineStr">
        <is>
          <t>Amazon DEN7 Distribution Center</t>
        </is>
      </c>
      <c r="E36" s="285" t="inlineStr">
        <is>
          <t>Aurora</t>
        </is>
      </c>
      <c r="F36" s="285" t="inlineStr">
        <is>
          <t>CO</t>
        </is>
      </c>
      <c r="G36" s="285" t="inlineStr">
        <is>
          <t>Industrial/Distribution</t>
        </is>
      </c>
      <c r="H36" s="286" t="inlineStr">
        <is>
          <t>Single-tenant NNN</t>
        </is>
      </c>
      <c r="I36" s="287" t="n"/>
      <c r="J36" s="287" t="n">
        <v>555840</v>
      </c>
      <c r="K36" s="287" t="n">
        <v>2024</v>
      </c>
      <c r="L36" s="731" t="n">
        <v>5.7597</v>
      </c>
      <c r="M36" s="285" t="n"/>
      <c r="N36" s="731" t="n">
        <v>5.7597</v>
      </c>
      <c r="O36" s="731" t="n">
        <v>0.1616</v>
      </c>
      <c r="P36" s="731" t="n">
        <v>0.1152</v>
      </c>
      <c r="Q36" s="285" t="n"/>
      <c r="R36" s="285" t="n"/>
      <c r="S36" s="285" t="n"/>
      <c r="T36" s="285" t="n"/>
      <c r="U36" s="285" t="n"/>
      <c r="V36" s="285" t="n"/>
      <c r="W36" s="285" t="n"/>
      <c r="X36" s="285" t="n"/>
      <c r="Y36" s="285" t="n"/>
      <c r="Z36" s="285" t="n"/>
      <c r="AA36" s="285" t="n"/>
      <c r="AB36" s="731" t="n">
        <v>0.0038</v>
      </c>
      <c r="AC36" s="731" t="n">
        <v>0.0314</v>
      </c>
      <c r="AD36" s="285" t="n"/>
      <c r="AE36" s="285" t="n"/>
      <c r="AF36" s="731" t="n">
        <v>0.0036</v>
      </c>
      <c r="AG36" s="285" t="n"/>
      <c r="AH36" s="731" t="n">
        <v>0.2783</v>
      </c>
      <c r="AI36" s="731" t="n">
        <v>3.8893</v>
      </c>
      <c r="AJ36" s="731" t="n">
        <v>4.1677</v>
      </c>
      <c r="AK36" s="285" t="n"/>
      <c r="AL36" s="285" t="n"/>
      <c r="AM36" s="286" t="inlineStr">
        <is>
          <t>NNN; RE Tax $2.162M = $3.89/SF reflecting Adams County assessment increase (+34% YOY); 2024 CAM reconciliation</t>
        </is>
      </c>
    </row>
    <row r="37" ht="14" customHeight="1" s="518">
      <c r="A37" s="151" t="inlineStr">
        <is>
          <t>P015</t>
        </is>
      </c>
      <c r="B37" s="150" t="n">
        <v>407</v>
      </c>
      <c r="C37" s="151" t="inlineStr">
        <is>
          <t>R0180894</t>
        </is>
      </c>
      <c r="D37" s="269" t="inlineStr">
        <is>
          <t>1910 N Gun Club Rd</t>
        </is>
      </c>
      <c r="E37" s="151" t="inlineStr">
        <is>
          <t>Aurora</t>
        </is>
      </c>
      <c r="F37" s="151" t="inlineStr">
        <is>
          <t>CO</t>
        </is>
      </c>
      <c r="G37" s="151" t="inlineStr">
        <is>
          <t>Industrial</t>
        </is>
      </c>
      <c r="H37" s="269" t="inlineStr">
        <is>
          <t>Distribution Warehouse Multi-Tenant NNN</t>
        </is>
      </c>
      <c r="I37" s="161" t="n">
        <v>2019</v>
      </c>
      <c r="J37" s="161" t="n">
        <v>163386</v>
      </c>
      <c r="K37" s="161" t="n">
        <v>2023</v>
      </c>
      <c r="L37" s="732" t="n">
        <v>12.829</v>
      </c>
      <c r="M37" s="151" t="n"/>
      <c r="N37" s="732" t="n">
        <v>12.829</v>
      </c>
      <c r="O37" s="732" t="n">
        <v>0.2491</v>
      </c>
      <c r="P37" s="732" t="n">
        <v>0.3371</v>
      </c>
      <c r="Q37" s="151" t="n"/>
      <c r="R37" s="151" t="n"/>
      <c r="S37" s="151" t="n"/>
      <c r="T37" s="151" t="n"/>
      <c r="U37" s="151" t="n"/>
      <c r="V37" s="151" t="n"/>
      <c r="W37" s="151" t="n"/>
      <c r="X37" s="151" t="n"/>
      <c r="Y37" s="732" t="n">
        <v>0.0395</v>
      </c>
      <c r="Z37" s="151" t="n"/>
      <c r="AA37" s="732" t="n">
        <v>0.0888</v>
      </c>
      <c r="AB37" s="732" t="n">
        <v>0.3394</v>
      </c>
      <c r="AC37" s="151" t="n"/>
      <c r="AD37" s="151" t="n"/>
      <c r="AE37" s="151" t="n"/>
      <c r="AF37" s="732" t="n">
        <v>0.2688</v>
      </c>
      <c r="AG37" s="732" t="n">
        <v>0.9762</v>
      </c>
      <c r="AH37" s="732" t="n">
        <v>2.3251</v>
      </c>
      <c r="AI37" s="732" t="n">
        <v>5.6528</v>
      </c>
      <c r="AJ37" s="732" t="n">
        <v>7.9779</v>
      </c>
      <c r="AK37" s="732" t="n">
        <v>4.8512</v>
      </c>
      <c r="AL37" s="151" t="n"/>
      <c r="AM37" s="269" t="inlineStr">
        <is>
          <t>Actual accrual; security $159,500 in Other</t>
        </is>
      </c>
    </row>
    <row r="38" ht="14" customHeight="1" s="518">
      <c r="A38" s="285" t="inlineStr">
        <is>
          <t>P015</t>
        </is>
      </c>
      <c r="B38" s="150" t="n">
        <v>407</v>
      </c>
      <c r="C38" s="285" t="inlineStr">
        <is>
          <t>R0180894</t>
        </is>
      </c>
      <c r="D38" s="286" t="inlineStr">
        <is>
          <t>1910 N Gun Club Rd</t>
        </is>
      </c>
      <c r="E38" s="285" t="inlineStr">
        <is>
          <t>Aurora</t>
        </is>
      </c>
      <c r="F38" s="285" t="inlineStr">
        <is>
          <t>CO</t>
        </is>
      </c>
      <c r="G38" s="285" t="inlineStr">
        <is>
          <t>Industrial</t>
        </is>
      </c>
      <c r="H38" s="286" t="inlineStr">
        <is>
          <t>Distribution Warehouse Multi-Tenant NNN</t>
        </is>
      </c>
      <c r="I38" s="287" t="n">
        <v>2019</v>
      </c>
      <c r="J38" s="287" t="n">
        <v>163386</v>
      </c>
      <c r="K38" s="287" t="n">
        <v>2024</v>
      </c>
      <c r="L38" s="731" t="n">
        <v>13.1836</v>
      </c>
      <c r="M38" s="285" t="n"/>
      <c r="N38" s="731" t="n">
        <v>13.1836</v>
      </c>
      <c r="O38" s="731" t="n">
        <v>0.2943</v>
      </c>
      <c r="P38" s="731" t="n">
        <v>0.4581</v>
      </c>
      <c r="Q38" s="285" t="n"/>
      <c r="R38" s="285" t="n"/>
      <c r="S38" s="285" t="n"/>
      <c r="T38" s="285" t="n"/>
      <c r="U38" s="285" t="n"/>
      <c r="V38" s="285" t="n"/>
      <c r="W38" s="285" t="n"/>
      <c r="X38" s="285" t="n"/>
      <c r="Y38" s="731" t="n">
        <v>0.0322</v>
      </c>
      <c r="Z38" s="285" t="n"/>
      <c r="AA38" s="731" t="n">
        <v>0.0822</v>
      </c>
      <c r="AB38" s="731" t="n">
        <v>0.2856</v>
      </c>
      <c r="AC38" s="285" t="n"/>
      <c r="AD38" s="285" t="n"/>
      <c r="AE38" s="285" t="n"/>
      <c r="AF38" s="731" t="n">
        <v>0.3299</v>
      </c>
      <c r="AG38" s="731" t="n">
        <v>0.8113</v>
      </c>
      <c r="AH38" s="731" t="n">
        <v>2.4145</v>
      </c>
      <c r="AI38" s="731" t="n">
        <v>5.5843</v>
      </c>
      <c r="AJ38" s="731" t="n">
        <v>7.9988</v>
      </c>
      <c r="AK38" s="731" t="n">
        <v>5.1848</v>
      </c>
      <c r="AL38" s="285" t="n"/>
      <c r="AM38" s="286" t="inlineStr">
        <is>
          <t>Actual accrual; security $132,552 in Other</t>
        </is>
      </c>
    </row>
    <row r="39" ht="14" customHeight="1" s="518">
      <c r="A39" s="151" t="inlineStr">
        <is>
          <t>P016</t>
        </is>
      </c>
      <c r="B39" s="150" t="n">
        <v>584</v>
      </c>
      <c r="C39" s="151" t="inlineStr">
        <is>
          <t>R0212546/R0212547</t>
        </is>
      </c>
      <c r="D39" s="269" t="inlineStr">
        <is>
          <t>2780 N Tower Rd</t>
        </is>
      </c>
      <c r="E39" s="151" t="inlineStr">
        <is>
          <t>Aurora</t>
        </is>
      </c>
      <c r="F39" s="151" t="inlineStr">
        <is>
          <t>CO</t>
        </is>
      </c>
      <c r="G39" s="151" t="inlineStr">
        <is>
          <t>Industrial</t>
        </is>
      </c>
      <c r="H39" s="269" t="inlineStr">
        <is>
          <t>Mega Warehouse NNN</t>
        </is>
      </c>
      <c r="I39" s="161" t="n">
        <v>1983</v>
      </c>
      <c r="J39" s="161" t="n">
        <v>384953</v>
      </c>
      <c r="K39" s="161" t="n">
        <v>2024</v>
      </c>
      <c r="L39" s="151" t="n"/>
      <c r="M39" s="151" t="n"/>
      <c r="N39" s="151" t="n"/>
      <c r="O39" s="151" t="n"/>
      <c r="P39" s="151" t="n"/>
      <c r="Q39" s="151" t="n"/>
      <c r="R39" s="151" t="n"/>
      <c r="S39" s="151" t="n"/>
      <c r="T39" s="151" t="n"/>
      <c r="U39" s="151" t="n"/>
      <c r="V39" s="151" t="n"/>
      <c r="W39" s="151" t="n"/>
      <c r="X39" s="151" t="n"/>
      <c r="Y39" s="151" t="n"/>
      <c r="Z39" s="151" t="n"/>
      <c r="AA39" s="151" t="n"/>
      <c r="AB39" s="151" t="n"/>
      <c r="AC39" s="151" t="n"/>
      <c r="AD39" s="151" t="n"/>
      <c r="AE39" s="151" t="n"/>
      <c r="AF39" s="151" t="n"/>
      <c r="AG39" s="151" t="n"/>
      <c r="AH39" s="151" t="n"/>
      <c r="AI39" s="151" t="n"/>
      <c r="AJ39" s="151" t="n"/>
      <c r="AK39" s="151" t="n"/>
      <c r="AL39" s="151" t="n"/>
      <c r="AM39" s="269" t="inlineStr">
        <is>
          <t>County proforma only; limited line-item detail available</t>
        </is>
      </c>
    </row>
    <row r="40" ht="14" customHeight="1" s="518">
      <c r="A40" s="285" t="inlineStr">
        <is>
          <t>P017</t>
        </is>
      </c>
      <c r="B40" s="150" t="n">
        <v>210</v>
      </c>
      <c r="C40" s="285" t="inlineStr">
        <is>
          <t>R0098098</t>
        </is>
      </c>
      <c r="D40" s="286" t="inlineStr">
        <is>
          <t>1445 E 68th Ave</t>
        </is>
      </c>
      <c r="E40" s="285" t="inlineStr">
        <is>
          <t>Denver</t>
        </is>
      </c>
      <c r="F40" s="285" t="inlineStr">
        <is>
          <t>CO</t>
        </is>
      </c>
      <c r="G40" s="285" t="inlineStr">
        <is>
          <t>Industrial</t>
        </is>
      </c>
      <c r="H40" s="286" t="inlineStr">
        <is>
          <t>Industrial Office Mix</t>
        </is>
      </c>
      <c r="I40" s="287" t="n">
        <v>1972</v>
      </c>
      <c r="J40" s="287" t="n">
        <v>63348</v>
      </c>
      <c r="K40" s="287" t="n">
        <v>2024</v>
      </c>
      <c r="L40" s="285" t="n"/>
      <c r="M40" s="285" t="n"/>
      <c r="N40" s="285" t="n"/>
      <c r="O40" s="285" t="n"/>
      <c r="P40" s="285" t="n"/>
      <c r="Q40" s="285" t="n"/>
      <c r="R40" s="285" t="n"/>
      <c r="S40" s="285" t="n"/>
      <c r="T40" s="285" t="n"/>
      <c r="U40" s="285" t="n"/>
      <c r="V40" s="285" t="n"/>
      <c r="W40" s="285" t="n"/>
      <c r="X40" s="285" t="n"/>
      <c r="Y40" s="285" t="n"/>
      <c r="Z40" s="285" t="n"/>
      <c r="AA40" s="285" t="n"/>
      <c r="AB40" s="285" t="n"/>
      <c r="AC40" s="285" t="n"/>
      <c r="AD40" s="285" t="n"/>
      <c r="AE40" s="285" t="n"/>
      <c r="AF40" s="285" t="n"/>
      <c r="AG40" s="285" t="n"/>
      <c r="AH40" s="285" t="n"/>
      <c r="AI40" s="285" t="n"/>
      <c r="AJ40" s="285" t="n"/>
      <c r="AK40" s="285" t="n"/>
      <c r="AL40" s="285" t="n"/>
      <c r="AM40" s="286" t="inlineStr">
        <is>
          <t>County proforma 2024; YOC 1972/2006/2023 additions</t>
        </is>
      </c>
    </row>
    <row r="41" ht="14" customHeight="1" s="518">
      <c r="A41" s="151" t="inlineStr">
        <is>
          <t>P018</t>
        </is>
      </c>
      <c r="B41" s="150" t="n">
        <v>406</v>
      </c>
      <c r="C41" s="151" t="inlineStr">
        <is>
          <t>R0103783</t>
        </is>
      </c>
      <c r="D41" s="269" t="inlineStr">
        <is>
          <t>2031 E 58th Ave</t>
        </is>
      </c>
      <c r="E41" s="151" t="inlineStr">
        <is>
          <t>Denver</t>
        </is>
      </c>
      <c r="F41" s="151" t="inlineStr">
        <is>
          <t>CO</t>
        </is>
      </c>
      <c r="G41" s="151" t="inlineStr">
        <is>
          <t>Industrial</t>
        </is>
      </c>
      <c r="H41" s="269" t="inlineStr">
        <is>
          <t>Storage Warehouse / Mod Office NNN</t>
        </is>
      </c>
      <c r="I41" s="161" t="n">
        <v>2004</v>
      </c>
      <c r="J41" s="161" t="n">
        <v>18720</v>
      </c>
      <c r="K41" s="161" t="n">
        <v>2024</v>
      </c>
      <c r="L41" s="732" t="n">
        <v>13.2904</v>
      </c>
      <c r="M41" s="151" t="n"/>
      <c r="N41" s="732" t="n">
        <v>16.0225</v>
      </c>
      <c r="O41" s="732" t="n">
        <v>0.2061</v>
      </c>
      <c r="P41" s="151" t="n"/>
      <c r="Q41" s="151" t="n"/>
      <c r="R41" s="151" t="n"/>
      <c r="S41" s="151" t="n"/>
      <c r="T41" s="151" t="n"/>
      <c r="U41" s="151" t="n"/>
      <c r="V41" s="151" t="n"/>
      <c r="W41" s="151" t="n"/>
      <c r="X41" s="151" t="n"/>
      <c r="Y41" s="151" t="n"/>
      <c r="Z41" s="151" t="n"/>
      <c r="AA41" s="151" t="n"/>
      <c r="AB41" s="151" t="n"/>
      <c r="AC41" s="732" t="n">
        <v>0.1296</v>
      </c>
      <c r="AD41" s="151" t="n"/>
      <c r="AE41" s="151" t="n"/>
      <c r="AF41" s="151" t="n"/>
      <c r="AG41" s="151" t="n"/>
      <c r="AH41" s="732" t="n">
        <v>0.3357</v>
      </c>
      <c r="AI41" s="732" t="n">
        <v>2.3964</v>
      </c>
      <c r="AJ41" s="732" t="n">
        <v>2.7321</v>
      </c>
      <c r="AK41" s="732" t="n">
        <v>13.2904</v>
      </c>
      <c r="AL41" s="151" t="n"/>
      <c r="AM41" s="269" t="inlineStr">
        <is>
          <t>NNN billed charges; EGI = base rent + NNN pass-throughs</t>
        </is>
      </c>
    </row>
    <row r="42" ht="14" customHeight="1" s="518">
      <c r="A42" s="285" t="inlineStr">
        <is>
          <t>P018</t>
        </is>
      </c>
      <c r="B42" s="150" t="n">
        <v>406</v>
      </c>
      <c r="C42" s="285" t="inlineStr">
        <is>
          <t>R0103783</t>
        </is>
      </c>
      <c r="D42" s="286" t="inlineStr">
        <is>
          <t>2031 E 58th Ave</t>
        </is>
      </c>
      <c r="E42" s="285" t="inlineStr">
        <is>
          <t>Denver</t>
        </is>
      </c>
      <c r="F42" s="285" t="inlineStr">
        <is>
          <t>CO</t>
        </is>
      </c>
      <c r="G42" s="285" t="inlineStr">
        <is>
          <t>Industrial</t>
        </is>
      </c>
      <c r="H42" s="286" t="inlineStr">
        <is>
          <t>Storage Warehouse / Mod Office NNN</t>
        </is>
      </c>
      <c r="I42" s="287" t="n">
        <v>2004</v>
      </c>
      <c r="J42" s="287" t="n">
        <v>18720</v>
      </c>
      <c r="K42" s="287" t="n">
        <v>2023</v>
      </c>
      <c r="L42" s="731" t="n">
        <v>13.0298</v>
      </c>
      <c r="M42" s="285" t="n"/>
      <c r="N42" s="731" t="n">
        <v>15.7619</v>
      </c>
      <c r="O42" s="731" t="n">
        <v>0.2061</v>
      </c>
      <c r="P42" s="285" t="n"/>
      <c r="Q42" s="285" t="n"/>
      <c r="R42" s="285" t="n"/>
      <c r="S42" s="285" t="n"/>
      <c r="T42" s="285" t="n"/>
      <c r="U42" s="285" t="n"/>
      <c r="V42" s="285" t="n"/>
      <c r="W42" s="285" t="n"/>
      <c r="X42" s="285" t="n"/>
      <c r="Y42" s="285" t="n"/>
      <c r="Z42" s="285" t="n"/>
      <c r="AA42" s="285" t="n"/>
      <c r="AB42" s="285" t="n"/>
      <c r="AC42" s="731" t="n">
        <v>0.1296</v>
      </c>
      <c r="AD42" s="285" t="n"/>
      <c r="AE42" s="285" t="n"/>
      <c r="AF42" s="285" t="n"/>
      <c r="AG42" s="285" t="n"/>
      <c r="AH42" s="731" t="n">
        <v>0.3357</v>
      </c>
      <c r="AI42" s="731" t="n">
        <v>2.3964</v>
      </c>
      <c r="AJ42" s="731" t="n">
        <v>2.7321</v>
      </c>
      <c r="AK42" s="731" t="n">
        <v>13.0298</v>
      </c>
      <c r="AL42" s="285" t="n"/>
      <c r="AM42" s="286" t="inlineStr">
        <is>
          <t>NNN billed charges; EGI = base rent + NNN pass-throughs</t>
        </is>
      </c>
    </row>
    <row r="43" ht="14" customHeight="1" s="518">
      <c r="A43" s="151" t="inlineStr">
        <is>
          <t>P019</t>
        </is>
      </c>
      <c r="B43" s="150" t="n">
        <v>407</v>
      </c>
      <c r="C43" s="151" t="inlineStr">
        <is>
          <t>R0210402/R0210403</t>
        </is>
      </c>
      <c r="D43" s="269" t="inlineStr">
        <is>
          <t>17190 E 85th Ave</t>
        </is>
      </c>
      <c r="E43" s="151" t="inlineStr">
        <is>
          <t>Commerce City</t>
        </is>
      </c>
      <c r="F43" s="151" t="inlineStr">
        <is>
          <t>CO</t>
        </is>
      </c>
      <c r="G43" s="151" t="inlineStr">
        <is>
          <t>Industrial</t>
        </is>
      </c>
      <c r="H43" s="269" t="inlineStr">
        <is>
          <t>Industrial Warehouse NNN</t>
        </is>
      </c>
      <c r="I43" s="161" t="n">
        <v>2021</v>
      </c>
      <c r="J43" s="161" t="n">
        <v>329940</v>
      </c>
      <c r="K43" s="161" t="n">
        <v>2024</v>
      </c>
      <c r="L43" s="151" t="n"/>
      <c r="M43" s="151" t="n"/>
      <c r="N43" s="151" t="n"/>
      <c r="O43" s="151" t="n"/>
      <c r="P43" s="151" t="n"/>
      <c r="Q43" s="151" t="n"/>
      <c r="R43" s="151" t="n"/>
      <c r="S43" s="151" t="n"/>
      <c r="T43" s="151" t="n"/>
      <c r="U43" s="151" t="n"/>
      <c r="V43" s="151" t="n"/>
      <c r="W43" s="151" t="n"/>
      <c r="X43" s="151" t="n"/>
      <c r="Y43" s="151" t="n"/>
      <c r="Z43" s="151" t="n"/>
      <c r="AA43" s="151" t="n"/>
      <c r="AB43" s="151" t="n"/>
      <c r="AC43" s="151" t="n"/>
      <c r="AD43" s="151" t="n"/>
      <c r="AE43" s="151" t="n"/>
      <c r="AF43" s="151" t="n"/>
      <c r="AG43" s="151" t="n"/>
      <c r="AH43" s="151" t="n"/>
      <c r="AI43" s="151" t="n"/>
      <c r="AJ43" s="151" t="n"/>
      <c r="AK43" s="151" t="n"/>
      <c r="AL43" s="151" t="n"/>
      <c r="AM43" s="269" t="inlineStr">
        <is>
          <t>Petitioner proforma 2024/25; limited line-item detail</t>
        </is>
      </c>
    </row>
    <row r="44" ht="14" customHeight="1" s="518">
      <c r="A44" s="285" t="inlineStr">
        <is>
          <t>P020</t>
        </is>
      </c>
      <c r="B44" s="150" t="n">
        <v>584</v>
      </c>
      <c r="C44" s="285" t="inlineStr">
        <is>
          <t>R0209679</t>
        </is>
      </c>
      <c r="D44" s="286" t="inlineStr">
        <is>
          <t>17501 E 84th Ave</t>
        </is>
      </c>
      <c r="E44" s="285" t="inlineStr">
        <is>
          <t>Commerce City</t>
        </is>
      </c>
      <c r="F44" s="285" t="inlineStr">
        <is>
          <t>CO</t>
        </is>
      </c>
      <c r="G44" s="285" t="inlineStr">
        <is>
          <t>Industrial</t>
        </is>
      </c>
      <c r="H44" s="286" t="inlineStr">
        <is>
          <t>Mega Warehouse / Distribution Center NNN (Lowe's)</t>
        </is>
      </c>
      <c r="I44" s="287" t="n">
        <v>2021</v>
      </c>
      <c r="J44" s="287" t="n">
        <v>999780</v>
      </c>
      <c r="K44" s="287" t="n">
        <v>2023</v>
      </c>
      <c r="L44" s="731" t="n">
        <v>12.3992</v>
      </c>
      <c r="M44" s="285" t="n"/>
      <c r="N44" s="731" t="n">
        <v>12.3992</v>
      </c>
      <c r="O44" s="731" t="n">
        <v>0.1505</v>
      </c>
      <c r="P44" s="731" t="n">
        <v>0.1005</v>
      </c>
      <c r="Q44" s="285" t="n"/>
      <c r="R44" s="285" t="n"/>
      <c r="S44" s="285" t="n"/>
      <c r="T44" s="285" t="n"/>
      <c r="U44" s="285" t="n"/>
      <c r="V44" s="285" t="n"/>
      <c r="W44" s="285" t="n"/>
      <c r="X44" s="285" t="n"/>
      <c r="Y44" s="731" t="n">
        <v>0.0533</v>
      </c>
      <c r="Z44" s="285" t="n"/>
      <c r="AA44" s="731" t="n">
        <v>0.0508</v>
      </c>
      <c r="AB44" s="731" t="n">
        <v>0.1178</v>
      </c>
      <c r="AC44" s="285" t="n"/>
      <c r="AD44" s="285" t="n"/>
      <c r="AE44" s="285" t="n"/>
      <c r="AF44" s="285" t="n"/>
      <c r="AG44" s="731" t="n">
        <v>0.008399999999999999</v>
      </c>
      <c r="AH44" s="731" t="n">
        <v>1.355</v>
      </c>
      <c r="AI44" s="731" t="n">
        <v>4.9234</v>
      </c>
      <c r="AJ44" s="731" t="n">
        <v>8.2796</v>
      </c>
      <c r="AK44" s="731" t="n">
        <v>4.1196</v>
      </c>
      <c r="AL44" s="285" t="n"/>
      <c r="AM44" s="286" t="inlineStr">
        <is>
          <t>Actual accrual; 2023 NOI inflated ~$2.8M by prior-yr RE tax adj; security in Other</t>
        </is>
      </c>
    </row>
    <row r="45" ht="14" customHeight="1" s="518">
      <c r="A45" s="151" t="inlineStr">
        <is>
          <t>P020</t>
        </is>
      </c>
      <c r="B45" s="150" t="n">
        <v>584</v>
      </c>
      <c r="C45" s="151" t="inlineStr">
        <is>
          <t>R0209679</t>
        </is>
      </c>
      <c r="D45" s="269" t="inlineStr">
        <is>
          <t>17501 E 84th Ave</t>
        </is>
      </c>
      <c r="E45" s="151" t="inlineStr">
        <is>
          <t>Commerce City</t>
        </is>
      </c>
      <c r="F45" s="151" t="inlineStr">
        <is>
          <t>CO</t>
        </is>
      </c>
      <c r="G45" s="151" t="inlineStr">
        <is>
          <t>Industrial</t>
        </is>
      </c>
      <c r="H45" s="269" t="inlineStr">
        <is>
          <t>Mega Warehouse / Distribution Center NNN (Lowe's)</t>
        </is>
      </c>
      <c r="I45" s="161" t="n">
        <v>2021</v>
      </c>
      <c r="J45" s="161" t="n">
        <v>999780</v>
      </c>
      <c r="K45" s="161" t="n">
        <v>2024</v>
      </c>
      <c r="L45" s="732" t="n">
        <v>10.003</v>
      </c>
      <c r="M45" s="151" t="n"/>
      <c r="N45" s="732" t="n">
        <v>10.003</v>
      </c>
      <c r="O45" s="732" t="n">
        <v>0.172</v>
      </c>
      <c r="P45" s="732" t="n">
        <v>0.1016</v>
      </c>
      <c r="Q45" s="151" t="n"/>
      <c r="R45" s="151" t="n"/>
      <c r="S45" s="151" t="n"/>
      <c r="T45" s="151" t="n"/>
      <c r="U45" s="151" t="n"/>
      <c r="V45" s="151" t="n"/>
      <c r="W45" s="151" t="n"/>
      <c r="X45" s="151" t="n"/>
      <c r="Y45" s="732" t="n">
        <v>0.1205</v>
      </c>
      <c r="Z45" s="151" t="n"/>
      <c r="AA45" s="732" t="n">
        <v>0.0378</v>
      </c>
      <c r="AB45" s="732" t="n">
        <v>0.1319</v>
      </c>
      <c r="AC45" s="151" t="n"/>
      <c r="AD45" s="151" t="n"/>
      <c r="AE45" s="151" t="n"/>
      <c r="AF45" s="151" t="n"/>
      <c r="AG45" s="732" t="n">
        <v>0.0308</v>
      </c>
      <c r="AH45" s="732" t="n">
        <v>0.7976</v>
      </c>
      <c r="AI45" s="732" t="n">
        <v>4.9977</v>
      </c>
      <c r="AJ45" s="732" t="n">
        <v>5.7953</v>
      </c>
      <c r="AK45" s="732" t="n">
        <v>4.2077</v>
      </c>
      <c r="AL45" s="151" t="n"/>
      <c r="AM45" s="269" t="inlineStr">
        <is>
          <t>Actual accrual; security $30,799 in Other</t>
        </is>
      </c>
    </row>
    <row r="46" ht="14" customHeight="1" s="518">
      <c r="A46" s="285" t="inlineStr">
        <is>
          <t>P021</t>
        </is>
      </c>
      <c r="B46" s="150" t="n">
        <v>210</v>
      </c>
      <c r="C46" s="285" t="inlineStr">
        <is>
          <t>R0091931</t>
        </is>
      </c>
      <c r="D46" s="286" t="inlineStr">
        <is>
          <t>6300 E. 58th Ave</t>
        </is>
      </c>
      <c r="E46" s="285" t="inlineStr">
        <is>
          <t>Commerce City</t>
        </is>
      </c>
      <c r="F46" s="285" t="inlineStr">
        <is>
          <t>CO</t>
        </is>
      </c>
      <c r="G46" s="285" t="inlineStr">
        <is>
          <t>Industrial</t>
        </is>
      </c>
      <c r="H46" s="286" t="inlineStr">
        <is>
          <t>Multi-Tenant Industrial/Flex</t>
        </is>
      </c>
      <c r="I46" s="287" t="n">
        <v>1999</v>
      </c>
      <c r="J46" s="287" t="n">
        <v>90000</v>
      </c>
      <c r="K46" s="287" t="n">
        <v>2023</v>
      </c>
      <c r="L46" s="731" t="n">
        <v>10.5459</v>
      </c>
      <c r="M46" s="285" t="n"/>
      <c r="N46" s="731" t="n">
        <v>13.7594</v>
      </c>
      <c r="O46" s="731" t="n">
        <v>0.176</v>
      </c>
      <c r="P46" s="731" t="n">
        <v>0.516</v>
      </c>
      <c r="Q46" s="731" t="n">
        <v>0.0441</v>
      </c>
      <c r="R46" s="285" t="n"/>
      <c r="S46" s="731" t="n">
        <v>0.3032</v>
      </c>
      <c r="T46" s="731" t="n">
        <v>0.0731</v>
      </c>
      <c r="U46" s="285" t="n"/>
      <c r="V46" s="285" t="n"/>
      <c r="W46" s="285" t="n"/>
      <c r="X46" s="731" t="n">
        <v>0.2579</v>
      </c>
      <c r="Y46" s="731" t="n">
        <v>0.6783</v>
      </c>
      <c r="Z46" s="731" t="n">
        <v>0.0103</v>
      </c>
      <c r="AA46" s="731" t="n">
        <v>0.0531</v>
      </c>
      <c r="AB46" s="731" t="n">
        <v>0.1252</v>
      </c>
      <c r="AC46" s="731" t="n">
        <v>0.1886</v>
      </c>
      <c r="AD46" s="731" t="n">
        <v>0.1574</v>
      </c>
      <c r="AE46" s="731" t="n">
        <v>0.0621</v>
      </c>
      <c r="AF46" s="731" t="n">
        <v>0.2196</v>
      </c>
      <c r="AG46" s="285" t="n"/>
      <c r="AH46" s="731" t="n">
        <v>1.8054</v>
      </c>
      <c r="AI46" s="731" t="n">
        <v>3.1511</v>
      </c>
      <c r="AJ46" s="731" t="n">
        <v>4.9565</v>
      </c>
      <c r="AK46" s="731" t="n">
        <v>8.802899999999999</v>
      </c>
      <c r="AL46" s="285" t="n"/>
      <c r="AM46" s="286" t="inlineStr">
        <is>
          <t>Actual accrual; parking sweep in Trash; admin fees in Mgmt</t>
        </is>
      </c>
    </row>
    <row r="47" ht="14" customHeight="1" s="518">
      <c r="A47" s="151" t="inlineStr">
        <is>
          <t>P021</t>
        </is>
      </c>
      <c r="B47" s="150" t="n">
        <v>210</v>
      </c>
      <c r="C47" s="151" t="inlineStr">
        <is>
          <t>R0091931</t>
        </is>
      </c>
      <c r="D47" s="269" t="inlineStr">
        <is>
          <t>6300 E. 58th Ave</t>
        </is>
      </c>
      <c r="E47" s="151" t="inlineStr">
        <is>
          <t>Commerce City</t>
        </is>
      </c>
      <c r="F47" s="151" t="inlineStr">
        <is>
          <t>CO</t>
        </is>
      </c>
      <c r="G47" s="151" t="inlineStr">
        <is>
          <t>Industrial</t>
        </is>
      </c>
      <c r="H47" s="269" t="inlineStr">
        <is>
          <t>Multi-Tenant Industrial/Flex</t>
        </is>
      </c>
      <c r="I47" s="161" t="n">
        <v>1999</v>
      </c>
      <c r="J47" s="161" t="n">
        <v>90000</v>
      </c>
      <c r="K47" s="161" t="n">
        <v>2024</v>
      </c>
      <c r="L47" s="732" t="n">
        <v>10.1323</v>
      </c>
      <c r="M47" s="151" t="n"/>
      <c r="N47" s="732" t="n">
        <v>14.5242</v>
      </c>
      <c r="O47" s="732" t="n">
        <v>0.1757</v>
      </c>
      <c r="P47" s="732" t="n">
        <v>0.725</v>
      </c>
      <c r="Q47" s="732" t="n">
        <v>0.0069</v>
      </c>
      <c r="R47" s="151" t="n"/>
      <c r="S47" s="732" t="n">
        <v>0.3996</v>
      </c>
      <c r="T47" s="732" t="n">
        <v>0.08699999999999999</v>
      </c>
      <c r="U47" s="151" t="n"/>
      <c r="V47" s="151" t="n"/>
      <c r="W47" s="151" t="n"/>
      <c r="X47" s="732" t="n">
        <v>0.2445</v>
      </c>
      <c r="Y47" s="732" t="n">
        <v>0.738</v>
      </c>
      <c r="Z47" s="732" t="n">
        <v>0.0131</v>
      </c>
      <c r="AA47" s="732" t="n">
        <v>0.0496</v>
      </c>
      <c r="AB47" s="732" t="n">
        <v>0.1661</v>
      </c>
      <c r="AC47" s="732" t="n">
        <v>0.2288</v>
      </c>
      <c r="AD47" s="732" t="n">
        <v>0.1748</v>
      </c>
      <c r="AE47" s="732" t="n">
        <v>0.06370000000000001</v>
      </c>
      <c r="AF47" s="732" t="n">
        <v>0.2385</v>
      </c>
      <c r="AG47" s="151" t="n"/>
      <c r="AH47" s="732" t="n">
        <v>1.7609</v>
      </c>
      <c r="AI47" s="732" t="n">
        <v>3.2332</v>
      </c>
      <c r="AJ47" s="732" t="n">
        <v>4.9941</v>
      </c>
      <c r="AK47" s="732" t="n">
        <v>9.3636</v>
      </c>
      <c r="AL47" s="151" t="n"/>
      <c r="AM47" s="269" t="inlineStr">
        <is>
          <t>Actual accrual; snow $14,953 also listed under ext R&amp;M; security/admin in ext maint</t>
        </is>
      </c>
    </row>
    <row r="48" ht="14" customHeight="1" s="518">
      <c r="A48" s="285" t="inlineStr">
        <is>
          <t>P022</t>
        </is>
      </c>
      <c r="B48" s="150" t="n">
        <v>210</v>
      </c>
      <c r="C48" s="285" t="inlineStr">
        <is>
          <t>R0111559</t>
        </is>
      </c>
      <c r="D48" s="286" t="inlineStr">
        <is>
          <t>3590 N. Himalaya Rd (Bldg 6)</t>
        </is>
      </c>
      <c r="E48" s="285" t="inlineStr">
        <is>
          <t>Aurora</t>
        </is>
      </c>
      <c r="F48" s="285" t="inlineStr">
        <is>
          <t>CO</t>
        </is>
      </c>
      <c r="G48" s="285" t="inlineStr">
        <is>
          <t>Industrial</t>
        </is>
      </c>
      <c r="H48" s="286" t="inlineStr">
        <is>
          <t>Multi-Tenant Industrial/Flex NNN</t>
        </is>
      </c>
      <c r="I48" s="287" t="n"/>
      <c r="J48" s="287" t="n"/>
      <c r="K48" s="287" t="n">
        <v>2024</v>
      </c>
      <c r="L48" s="290" t="n">
        <v>548918</v>
      </c>
      <c r="M48" s="285" t="n"/>
      <c r="N48" s="290" t="n">
        <v>766859</v>
      </c>
      <c r="O48" s="290" t="n">
        <v>23025</v>
      </c>
      <c r="P48" s="285" t="n"/>
      <c r="Q48" s="285" t="n"/>
      <c r="R48" s="285" t="n"/>
      <c r="S48" s="285" t="n"/>
      <c r="T48" s="285" t="n"/>
      <c r="U48" s="285" t="n"/>
      <c r="V48" s="285" t="n"/>
      <c r="W48" s="285" t="n"/>
      <c r="X48" s="285" t="n"/>
      <c r="Y48" s="285" t="n"/>
      <c r="Z48" s="285" t="n"/>
      <c r="AA48" s="285" t="n"/>
      <c r="AB48" s="285" t="n"/>
      <c r="AC48" s="285" t="n"/>
      <c r="AD48" s="290" t="n">
        <v>7986</v>
      </c>
      <c r="AE48" s="290" t="n">
        <v>33669</v>
      </c>
      <c r="AF48" s="290" t="n">
        <v>41655</v>
      </c>
      <c r="AG48" s="285" t="n"/>
      <c r="AH48" s="285" t="n"/>
      <c r="AI48" s="290" t="n">
        <v>129107</v>
      </c>
      <c r="AJ48" s="290" t="n">
        <v>250157</v>
      </c>
      <c r="AK48" s="290" t="n">
        <v>374789</v>
      </c>
      <c r="AL48" s="285" t="n"/>
      <c r="AM48" s="286" t="inlineStr">
        <is>
          <t>[NO SF] 2024 only – 2023 was transitional vacancy year; SF not confirmed; approx figures</t>
        </is>
      </c>
    </row>
    <row r="49" ht="14" customHeight="1" s="518">
      <c r="A49" s="151" t="inlineStr">
        <is>
          <t>P023</t>
        </is>
      </c>
      <c r="B49" s="150" t="n">
        <v>407</v>
      </c>
      <c r="C49" s="151" t="inlineStr">
        <is>
          <t>R0191098</t>
        </is>
      </c>
      <c r="D49" s="269" t="inlineStr">
        <is>
          <t>19754 E. 35th Dr (Bldg 4)</t>
        </is>
      </c>
      <c r="E49" s="151" t="inlineStr">
        <is>
          <t>Aurora</t>
        </is>
      </c>
      <c r="F49" s="151" t="inlineStr">
        <is>
          <t>CO</t>
        </is>
      </c>
      <c r="G49" s="151" t="inlineStr">
        <is>
          <t>Industrial</t>
        </is>
      </c>
      <c r="H49" s="269" t="inlineStr">
        <is>
          <t>Single-Tenant Industrial NNN</t>
        </is>
      </c>
      <c r="I49" s="161" t="n"/>
      <c r="J49" s="161" t="n">
        <v>155033</v>
      </c>
      <c r="K49" s="161" t="n">
        <v>2023</v>
      </c>
      <c r="L49" s="732" t="n">
        <v>6.2562</v>
      </c>
      <c r="M49" s="151" t="n"/>
      <c r="N49" s="732" t="n">
        <v>6.246</v>
      </c>
      <c r="O49" s="732" t="n">
        <v>0.1319</v>
      </c>
      <c r="P49" s="732" t="n">
        <v>0.1932</v>
      </c>
      <c r="Q49" s="151" t="n"/>
      <c r="R49" s="151" t="n"/>
      <c r="S49" s="151" t="n"/>
      <c r="T49" s="151" t="n"/>
      <c r="U49" s="151" t="n"/>
      <c r="V49" s="151" t="n"/>
      <c r="W49" s="151" t="n"/>
      <c r="X49" s="151" t="n"/>
      <c r="Y49" s="151" t="n"/>
      <c r="Z49" s="151" t="n"/>
      <c r="AA49" s="732" t="n">
        <v>0.0257</v>
      </c>
      <c r="AB49" s="151" t="n"/>
      <c r="AC49" s="151" t="n"/>
      <c r="AD49" s="732" t="n">
        <v>0.2449</v>
      </c>
      <c r="AE49" s="732" t="n">
        <v>0.0885</v>
      </c>
      <c r="AF49" s="732" t="n">
        <v>0.3334</v>
      </c>
      <c r="AG49" s="151" t="n"/>
      <c r="AH49" s="732" t="n">
        <v>1.9053</v>
      </c>
      <c r="AI49" s="732" t="n">
        <v>0.5968</v>
      </c>
      <c r="AJ49" s="732" t="n">
        <v>2.5021</v>
      </c>
      <c r="AK49" s="732" t="n">
        <v>3.7439</v>
      </c>
      <c r="AL49" s="151" t="n"/>
      <c r="AM49" s="269" t="inlineStr">
        <is>
          <t>NNN; tenant pays most R&amp;M directly; Quality Custom Distribution lease thru 12/31/2029</t>
        </is>
      </c>
    </row>
    <row r="50" ht="14" customHeight="1" s="518">
      <c r="A50" s="285" t="inlineStr">
        <is>
          <t>P023</t>
        </is>
      </c>
      <c r="B50" s="150" t="n">
        <v>407</v>
      </c>
      <c r="C50" s="285" t="inlineStr">
        <is>
          <t>R0191098</t>
        </is>
      </c>
      <c r="D50" s="286" t="inlineStr">
        <is>
          <t>19754 E. 35th Dr (Bldg 4)</t>
        </is>
      </c>
      <c r="E50" s="285" t="inlineStr">
        <is>
          <t>Aurora</t>
        </is>
      </c>
      <c r="F50" s="285" t="inlineStr">
        <is>
          <t>CO</t>
        </is>
      </c>
      <c r="G50" s="285" t="inlineStr">
        <is>
          <t>Industrial</t>
        </is>
      </c>
      <c r="H50" s="286" t="inlineStr">
        <is>
          <t>Single-Tenant Industrial NNN</t>
        </is>
      </c>
      <c r="I50" s="287" t="n"/>
      <c r="J50" s="287" t="n">
        <v>155033</v>
      </c>
      <c r="K50" s="287" t="n">
        <v>2024</v>
      </c>
      <c r="L50" s="731" t="n">
        <v>6.5223</v>
      </c>
      <c r="M50" s="285" t="n"/>
      <c r="N50" s="731" t="n">
        <v>6.5223</v>
      </c>
      <c r="O50" s="731" t="n">
        <v>0.183</v>
      </c>
      <c r="P50" s="731" t="n">
        <v>0.1894</v>
      </c>
      <c r="Q50" s="285" t="n"/>
      <c r="R50" s="285" t="n"/>
      <c r="S50" s="285" t="n"/>
      <c r="T50" s="285" t="n"/>
      <c r="U50" s="285" t="n"/>
      <c r="V50" s="285" t="n"/>
      <c r="W50" s="285" t="n"/>
      <c r="X50" s="285" t="n"/>
      <c r="Y50" s="285" t="n"/>
      <c r="Z50" s="285" t="n"/>
      <c r="AA50" s="285" t="n"/>
      <c r="AB50" s="285" t="n"/>
      <c r="AC50" s="285" t="n"/>
      <c r="AD50" s="731" t="n">
        <v>0.2365</v>
      </c>
      <c r="AE50" s="731" t="n">
        <v>0.1764</v>
      </c>
      <c r="AF50" s="731" t="n">
        <v>0.4129</v>
      </c>
      <c r="AG50" s="285" t="n"/>
      <c r="AH50" s="731" t="n">
        <v>1.7082</v>
      </c>
      <c r="AI50" s="731" t="n">
        <v>0.7799</v>
      </c>
      <c r="AJ50" s="731" t="n">
        <v>2.4881</v>
      </c>
      <c r="AK50" s="731" t="n">
        <v>4.0342</v>
      </c>
      <c r="AL50" s="285" t="n"/>
      <c r="AM50" s="286" t="inlineStr">
        <is>
          <t>NNN; tenant pays most R&amp;M directly</t>
        </is>
      </c>
    </row>
    <row r="51" ht="14" customHeight="1" s="518">
      <c r="A51" s="151" t="inlineStr">
        <is>
          <t>P024</t>
        </is>
      </c>
      <c r="B51" s="150" t="n">
        <v>407</v>
      </c>
      <c r="C51" s="151" t="inlineStr">
        <is>
          <t>R0111560</t>
        </is>
      </c>
      <c r="D51" s="269" t="inlineStr">
        <is>
          <t>20320 E. 36th Dr (Bldg 7)</t>
        </is>
      </c>
      <c r="E51" s="151" t="inlineStr">
        <is>
          <t>Aurora</t>
        </is>
      </c>
      <c r="F51" s="151" t="inlineStr">
        <is>
          <t>CO</t>
        </is>
      </c>
      <c r="G51" s="151" t="inlineStr">
        <is>
          <t>Industrial</t>
        </is>
      </c>
      <c r="H51" s="269" t="inlineStr">
        <is>
          <t>Single-Tenant Industrial NNN</t>
        </is>
      </c>
      <c r="I51" s="161" t="n"/>
      <c r="J51" s="161" t="n">
        <v>200000</v>
      </c>
      <c r="K51" s="161" t="n">
        <v>2023</v>
      </c>
      <c r="L51" s="732" t="n">
        <v>6.9558</v>
      </c>
      <c r="M51" s="151" t="n"/>
      <c r="N51" s="732" t="n">
        <v>6.7858</v>
      </c>
      <c r="O51" s="732" t="n">
        <v>0.02</v>
      </c>
      <c r="P51" s="151" t="n"/>
      <c r="Q51" s="151" t="n"/>
      <c r="R51" s="151" t="n"/>
      <c r="S51" s="151" t="n"/>
      <c r="T51" s="151" t="n"/>
      <c r="U51" s="151" t="n"/>
      <c r="V51" s="151" t="n"/>
      <c r="W51" s="151" t="n"/>
      <c r="X51" s="151" t="n"/>
      <c r="Y51" s="151" t="n"/>
      <c r="Z51" s="151" t="n"/>
      <c r="AA51" s="151" t="n"/>
      <c r="AB51" s="151" t="n"/>
      <c r="AC51" s="151" t="n"/>
      <c r="AD51" s="151" t="n"/>
      <c r="AE51" s="732" t="n">
        <v>0.0121</v>
      </c>
      <c r="AF51" s="732" t="n">
        <v>0.0121</v>
      </c>
      <c r="AG51" s="151" t="n"/>
      <c r="AH51" s="732" t="n">
        <v>1.179</v>
      </c>
      <c r="AI51" s="732" t="n">
        <v>0.0174</v>
      </c>
      <c r="AJ51" s="732" t="n">
        <v>1.1964</v>
      </c>
      <c r="AK51" s="732" t="n">
        <v>5.5895</v>
      </c>
      <c r="AL51" s="151" t="n"/>
      <c r="AM51" s="269" t="inlineStr">
        <is>
          <t>FedEx NNN thru 4/30/2024; tenant pays nearly all expenses; 2024 excluded (lease expiry vacancy)</t>
        </is>
      </c>
    </row>
    <row r="52" ht="14" customHeight="1" s="518">
      <c r="A52" s="285" t="inlineStr">
        <is>
          <t>P025</t>
        </is>
      </c>
      <c r="B52" s="150" t="n">
        <v>210</v>
      </c>
      <c r="C52" s="285" t="inlineStr">
        <is>
          <t>R0191099</t>
        </is>
      </c>
      <c r="D52" s="286" t="inlineStr">
        <is>
          <t>3559 N. Himalaya Rd (Bldg 5)</t>
        </is>
      </c>
      <c r="E52" s="285" t="inlineStr">
        <is>
          <t>Aurora</t>
        </is>
      </c>
      <c r="F52" s="285" t="inlineStr">
        <is>
          <t>CO</t>
        </is>
      </c>
      <c r="G52" s="285" t="inlineStr">
        <is>
          <t>Industrial</t>
        </is>
      </c>
      <c r="H52" s="286" t="inlineStr">
        <is>
          <t>Multi-Tenant Industrial NNN</t>
        </is>
      </c>
      <c r="I52" s="287" t="n"/>
      <c r="J52" s="287" t="n">
        <v>159047</v>
      </c>
      <c r="K52" s="287" t="n">
        <v>2023</v>
      </c>
      <c r="L52" s="285" t="n"/>
      <c r="M52" s="285" t="n"/>
      <c r="N52" s="731" t="n">
        <v>13.4944</v>
      </c>
      <c r="O52" s="285" t="n"/>
      <c r="P52" s="731" t="n">
        <v>0.0367</v>
      </c>
      <c r="Q52" s="285" t="n"/>
      <c r="R52" s="285" t="n"/>
      <c r="S52" s="285" t="n"/>
      <c r="T52" s="285" t="n"/>
      <c r="U52" s="285" t="n"/>
      <c r="V52" s="285" t="n"/>
      <c r="W52" s="285" t="n"/>
      <c r="X52" s="285" t="n"/>
      <c r="Y52" s="285" t="n"/>
      <c r="Z52" s="285" t="n"/>
      <c r="AA52" s="285" t="n"/>
      <c r="AB52" s="731" t="n">
        <v>0.0177</v>
      </c>
      <c r="AC52" s="285" t="n"/>
      <c r="AD52" s="285" t="n"/>
      <c r="AE52" s="285" t="n"/>
      <c r="AF52" s="285" t="n"/>
      <c r="AG52" s="285" t="n"/>
      <c r="AH52" s="285" t="n"/>
      <c r="AI52" s="285" t="n"/>
      <c r="AJ52" s="731" t="n">
        <v>6.3824</v>
      </c>
      <c r="AK52" s="731" t="n">
        <v>7.112</v>
      </c>
      <c r="AL52" s="285" t="n"/>
      <c r="AM52" s="286" t="inlineStr">
        <is>
          <t>Multi-tenant NNN; limited expense detail available; approx figures</t>
        </is>
      </c>
    </row>
    <row r="53" ht="14" customHeight="1" s="518">
      <c r="A53" s="151" t="inlineStr">
        <is>
          <t>P025</t>
        </is>
      </c>
      <c r="B53" s="150" t="n">
        <v>210</v>
      </c>
      <c r="C53" s="151" t="inlineStr">
        <is>
          <t>R0191099</t>
        </is>
      </c>
      <c r="D53" s="269" t="inlineStr">
        <is>
          <t>3559 N. Himalaya Rd (Bldg 5)</t>
        </is>
      </c>
      <c r="E53" s="151" t="inlineStr">
        <is>
          <t>Aurora</t>
        </is>
      </c>
      <c r="F53" s="151" t="inlineStr">
        <is>
          <t>CO</t>
        </is>
      </c>
      <c r="G53" s="151" t="inlineStr">
        <is>
          <t>Industrial</t>
        </is>
      </c>
      <c r="H53" s="269" t="inlineStr">
        <is>
          <t>Multi-Tenant Industrial NNN</t>
        </is>
      </c>
      <c r="I53" s="161" t="n"/>
      <c r="J53" s="161" t="n">
        <v>159047</v>
      </c>
      <c r="K53" s="161" t="n">
        <v>2024</v>
      </c>
      <c r="L53" s="151" t="n"/>
      <c r="M53" s="151" t="n"/>
      <c r="N53" s="732" t="n">
        <v>13.507</v>
      </c>
      <c r="O53" s="151" t="n"/>
      <c r="P53" s="151" t="n"/>
      <c r="Q53" s="151" t="n"/>
      <c r="R53" s="151" t="n"/>
      <c r="S53" s="151" t="n"/>
      <c r="T53" s="151" t="n"/>
      <c r="U53" s="151" t="n"/>
      <c r="V53" s="151" t="n"/>
      <c r="W53" s="151" t="n"/>
      <c r="X53" s="151" t="n"/>
      <c r="Y53" s="151" t="n"/>
      <c r="Z53" s="151" t="n"/>
      <c r="AA53" s="151" t="n"/>
      <c r="AB53" s="732" t="n">
        <v>0.0177</v>
      </c>
      <c r="AC53" s="151" t="n"/>
      <c r="AD53" s="151" t="n"/>
      <c r="AE53" s="151" t="n"/>
      <c r="AF53" s="151" t="n"/>
      <c r="AG53" s="151" t="n"/>
      <c r="AH53" s="151" t="n"/>
      <c r="AI53" s="151" t="n"/>
      <c r="AJ53" s="732" t="n">
        <v>7.3989</v>
      </c>
      <c r="AK53" s="732" t="n">
        <v>6.1082</v>
      </c>
      <c r="AL53" s="151" t="n"/>
      <c r="AM53" s="269" t="inlineStr">
        <is>
          <t>Multi-tenant NNN; limited expense detail available; approx figures</t>
        </is>
      </c>
    </row>
    <row r="54" ht="14" customHeight="1" s="518">
      <c r="A54" s="285" t="inlineStr">
        <is>
          <t>P026</t>
        </is>
      </c>
      <c r="B54" s="150" t="n">
        <v>406</v>
      </c>
      <c r="C54" s="285" t="inlineStr">
        <is>
          <t>R0092667</t>
        </is>
      </c>
      <c r="D54" s="286" t="inlineStr">
        <is>
          <t>4901 Locust St</t>
        </is>
      </c>
      <c r="E54" s="285" t="inlineStr">
        <is>
          <t>Commerce City</t>
        </is>
      </c>
      <c r="F54" s="285" t="inlineStr">
        <is>
          <t>CO</t>
        </is>
      </c>
      <c r="G54" s="285" t="inlineStr">
        <is>
          <t>Industrial</t>
        </is>
      </c>
      <c r="H54" s="286" t="inlineStr">
        <is>
          <t>Industrial Warehouse</t>
        </is>
      </c>
      <c r="I54" s="287" t="n"/>
      <c r="J54" s="287" t="n">
        <v>29512</v>
      </c>
      <c r="K54" s="287" t="n">
        <v>2024</v>
      </c>
      <c r="L54" s="285" t="n"/>
      <c r="M54" s="285" t="n"/>
      <c r="N54" s="731" t="n">
        <v>14.2131</v>
      </c>
      <c r="O54" s="731" t="n">
        <v>0.15</v>
      </c>
      <c r="P54" s="731" t="n">
        <v>0.3553</v>
      </c>
      <c r="Q54" s="285" t="n"/>
      <c r="R54" s="285" t="n"/>
      <c r="S54" s="285" t="n"/>
      <c r="T54" s="285" t="n"/>
      <c r="U54" s="285" t="n"/>
      <c r="V54" s="285" t="n"/>
      <c r="W54" s="285" t="n"/>
      <c r="X54" s="731" t="n">
        <v>0.55</v>
      </c>
      <c r="Y54" s="731" t="n">
        <v>0.55</v>
      </c>
      <c r="Z54" s="285" t="n"/>
      <c r="AA54" s="285" t="n"/>
      <c r="AB54" s="285" t="n"/>
      <c r="AC54" s="285" t="n"/>
      <c r="AD54" s="285" t="n"/>
      <c r="AE54" s="285" t="n"/>
      <c r="AF54" s="731" t="n">
        <v>0.25</v>
      </c>
      <c r="AG54" s="731" t="n">
        <v>0.5</v>
      </c>
      <c r="AH54" s="731" t="n">
        <v>2.0053</v>
      </c>
      <c r="AI54" s="731" t="n">
        <v>3.315</v>
      </c>
      <c r="AJ54" s="731" t="n">
        <v>5.3203</v>
      </c>
      <c r="AK54" s="731" t="n">
        <v>8.892799999999999</v>
      </c>
      <c r="AL54" s="731" t="n">
        <v>0.2</v>
      </c>
      <c r="AM54" s="286" t="inlineStr">
        <is>
          <t>Newmark stabilized proforma 6/30/2024; cap rate 7.00%; not actual historical</t>
        </is>
      </c>
    </row>
    <row r="55" ht="14" customHeight="1" s="518">
      <c r="A55" s="151" t="inlineStr">
        <is>
          <t>P022</t>
        </is>
      </c>
      <c r="B55" s="150" t="n">
        <v>210</v>
      </c>
      <c r="C55" s="151" t="inlineStr">
        <is>
          <t>R0111559</t>
        </is>
      </c>
      <c r="D55" s="269" t="inlineStr">
        <is>
          <t>3590 N. Himalaya Rd (Bldg 6)</t>
        </is>
      </c>
      <c r="E55" s="151" t="inlineStr">
        <is>
          <t>Aurora</t>
        </is>
      </c>
      <c r="F55" s="151" t="inlineStr">
        <is>
          <t>CO</t>
        </is>
      </c>
      <c r="G55" s="151" t="inlineStr">
        <is>
          <t>Industrial</t>
        </is>
      </c>
      <c r="H55" s="269" t="inlineStr">
        <is>
          <t>Multi-Tenant Industrial/Flex NNN</t>
        </is>
      </c>
      <c r="I55" s="161" t="n">
        <v>1998</v>
      </c>
      <c r="J55" s="161" t="n">
        <v>123603</v>
      </c>
      <c r="K55" s="161" t="n">
        <v>2021</v>
      </c>
      <c r="L55" s="151" t="n"/>
      <c r="M55" s="151" t="n"/>
      <c r="N55" s="151" t="n"/>
      <c r="O55" s="732" t="n">
        <v>0.0839</v>
      </c>
      <c r="P55" s="732" t="n">
        <v>0.351</v>
      </c>
      <c r="Q55" s="151" t="n"/>
      <c r="R55" s="151" t="n"/>
      <c r="S55" s="151" t="n"/>
      <c r="T55" s="151" t="n"/>
      <c r="U55" s="151" t="n"/>
      <c r="V55" s="151" t="n"/>
      <c r="W55" s="151" t="n"/>
      <c r="X55" s="151" t="n"/>
      <c r="Y55" s="151" t="n"/>
      <c r="Z55" s="151" t="n"/>
      <c r="AA55" s="151" t="n"/>
      <c r="AB55" s="151" t="n"/>
      <c r="AC55" s="732" t="n">
        <v>0.717</v>
      </c>
      <c r="AD55" s="151" t="n"/>
      <c r="AE55" s="151" t="n"/>
      <c r="AF55" s="732" t="n">
        <v>0.2998</v>
      </c>
      <c r="AG55" s="151" t="n"/>
      <c r="AH55" s="732" t="n">
        <v>1.4518</v>
      </c>
      <c r="AI55" s="732" t="n">
        <v>2.3392</v>
      </c>
      <c r="AJ55" s="732" t="n">
        <v>3.791</v>
      </c>
      <c r="AK55" s="151" t="n"/>
      <c r="AL55" s="151" t="n"/>
      <c r="AM55" s="269" t="inlineStr">
        <is>
          <t>NNN landlord expenses only; from AXG Whse Expenses PSF.xlsx</t>
        </is>
      </c>
    </row>
    <row r="56" ht="14" customHeight="1" s="518">
      <c r="A56" s="285" t="inlineStr">
        <is>
          <t>P022</t>
        </is>
      </c>
      <c r="B56" s="150" t="n">
        <v>210</v>
      </c>
      <c r="C56" s="285" t="inlineStr">
        <is>
          <t>R0111559</t>
        </is>
      </c>
      <c r="D56" s="286" t="inlineStr">
        <is>
          <t>3590 N. Himalaya Rd (Bldg 6)</t>
        </is>
      </c>
      <c r="E56" s="285" t="inlineStr">
        <is>
          <t>Aurora</t>
        </is>
      </c>
      <c r="F56" s="285" t="inlineStr">
        <is>
          <t>CO</t>
        </is>
      </c>
      <c r="G56" s="285" t="inlineStr">
        <is>
          <t>Industrial</t>
        </is>
      </c>
      <c r="H56" s="286" t="inlineStr">
        <is>
          <t>Multi-Tenant Industrial/Flex NNN</t>
        </is>
      </c>
      <c r="I56" s="287" t="n">
        <v>1998</v>
      </c>
      <c r="J56" s="287" t="n">
        <v>123603</v>
      </c>
      <c r="K56" s="287" t="n">
        <v>2022</v>
      </c>
      <c r="L56" s="285" t="n"/>
      <c r="M56" s="285" t="n"/>
      <c r="N56" s="285" t="n"/>
      <c r="O56" s="731" t="n">
        <v>0.0893</v>
      </c>
      <c r="P56" s="731" t="n">
        <v>0.3221</v>
      </c>
      <c r="Q56" s="285" t="n"/>
      <c r="R56" s="285" t="n"/>
      <c r="S56" s="285" t="n"/>
      <c r="T56" s="285" t="n"/>
      <c r="U56" s="285" t="n"/>
      <c r="V56" s="285" t="n"/>
      <c r="W56" s="285" t="n"/>
      <c r="X56" s="285" t="n"/>
      <c r="Y56" s="285" t="n"/>
      <c r="Z56" s="285" t="n"/>
      <c r="AA56" s="285" t="n"/>
      <c r="AB56" s="285" t="n"/>
      <c r="AC56" s="731" t="n">
        <v>0.7439</v>
      </c>
      <c r="AD56" s="285" t="n"/>
      <c r="AE56" s="285" t="n"/>
      <c r="AF56" s="731" t="n">
        <v>0.3112</v>
      </c>
      <c r="AG56" s="285" t="n"/>
      <c r="AH56" s="731" t="n">
        <v>1.4664</v>
      </c>
      <c r="AI56" s="731" t="n">
        <v>2.5796</v>
      </c>
      <c r="AJ56" s="731" t="n">
        <v>4.046</v>
      </c>
      <c r="AK56" s="285" t="n"/>
      <c r="AL56" s="285" t="n"/>
      <c r="AM56" s="286" t="inlineStr">
        <is>
          <t>NNN landlord expenses only; from AXG Whse Expenses PSF.xlsx</t>
        </is>
      </c>
    </row>
    <row r="57" ht="14" customHeight="1" s="518">
      <c r="A57" s="151" t="inlineStr">
        <is>
          <t>P024</t>
        </is>
      </c>
      <c r="B57" s="150" t="n">
        <v>407</v>
      </c>
      <c r="C57" s="151" t="inlineStr">
        <is>
          <t>R0111560</t>
        </is>
      </c>
      <c r="D57" s="269" t="inlineStr">
        <is>
          <t>20320 E. 36th Dr (Bldg 7)</t>
        </is>
      </c>
      <c r="E57" s="151" t="inlineStr">
        <is>
          <t>Aurora</t>
        </is>
      </c>
      <c r="F57" s="151" t="inlineStr">
        <is>
          <t>CO</t>
        </is>
      </c>
      <c r="G57" s="151" t="inlineStr">
        <is>
          <t>Industrial</t>
        </is>
      </c>
      <c r="H57" s="269" t="inlineStr">
        <is>
          <t>Single-Tenant Industrial NNN</t>
        </is>
      </c>
      <c r="I57" s="161" t="n">
        <v>1998</v>
      </c>
      <c r="J57" s="161" t="n">
        <v>199962</v>
      </c>
      <c r="K57" s="161" t="n">
        <v>2019</v>
      </c>
      <c r="L57" s="151" t="n"/>
      <c r="M57" s="151" t="n"/>
      <c r="N57" s="151" t="n"/>
      <c r="O57" s="732" t="n">
        <v>0.0423</v>
      </c>
      <c r="P57" s="732" t="n">
        <v>0.131</v>
      </c>
      <c r="Q57" s="151" t="n"/>
      <c r="R57" s="151" t="n"/>
      <c r="S57" s="151" t="n"/>
      <c r="T57" s="151" t="n"/>
      <c r="U57" s="151" t="n"/>
      <c r="V57" s="151" t="n"/>
      <c r="W57" s="151" t="n"/>
      <c r="X57" s="151" t="n"/>
      <c r="Y57" s="151" t="n"/>
      <c r="Z57" s="151" t="n"/>
      <c r="AA57" s="151" t="n"/>
      <c r="AB57" s="151" t="n"/>
      <c r="AC57" s="732" t="n">
        <v>1.3087</v>
      </c>
      <c r="AD57" s="151" t="n"/>
      <c r="AE57" s="151" t="n"/>
      <c r="AF57" s="151" t="n"/>
      <c r="AG57" s="151" t="n"/>
      <c r="AH57" s="732" t="n">
        <v>1.482</v>
      </c>
      <c r="AI57" s="732" t="n">
        <v>2.4741</v>
      </c>
      <c r="AJ57" s="732" t="n">
        <v>3.9561</v>
      </c>
      <c r="AK57" s="151" t="n"/>
      <c r="AL57" s="151" t="n"/>
      <c r="AM57" s="269" t="inlineStr">
        <is>
          <t>NNN landlord expenses only; from AXG Whse Expenses PSF.xlsx</t>
        </is>
      </c>
    </row>
    <row r="58" ht="14" customHeight="1" s="518">
      <c r="A58" s="285" t="inlineStr">
        <is>
          <t>P024</t>
        </is>
      </c>
      <c r="B58" s="150" t="n">
        <v>407</v>
      </c>
      <c r="C58" s="285" t="inlineStr">
        <is>
          <t>R0111560</t>
        </is>
      </c>
      <c r="D58" s="286" t="inlineStr">
        <is>
          <t>20320 E. 36th Dr (Bldg 7)</t>
        </is>
      </c>
      <c r="E58" s="285" t="inlineStr">
        <is>
          <t>Aurora</t>
        </is>
      </c>
      <c r="F58" s="285" t="inlineStr">
        <is>
          <t>CO</t>
        </is>
      </c>
      <c r="G58" s="285" t="inlineStr">
        <is>
          <t>Industrial</t>
        </is>
      </c>
      <c r="H58" s="286" t="inlineStr">
        <is>
          <t>Single-Tenant Industrial NNN</t>
        </is>
      </c>
      <c r="I58" s="287" t="n">
        <v>1998</v>
      </c>
      <c r="J58" s="287" t="n">
        <v>199962</v>
      </c>
      <c r="K58" s="287" t="n">
        <v>2020</v>
      </c>
      <c r="L58" s="285" t="n"/>
      <c r="M58" s="285" t="n"/>
      <c r="N58" s="285" t="n"/>
      <c r="O58" s="731" t="n">
        <v>0.0484</v>
      </c>
      <c r="P58" s="731" t="n">
        <v>0.1332</v>
      </c>
      <c r="Q58" s="285" t="n"/>
      <c r="R58" s="285" t="n"/>
      <c r="S58" s="285" t="n"/>
      <c r="T58" s="285" t="n"/>
      <c r="U58" s="285" t="n"/>
      <c r="V58" s="285" t="n"/>
      <c r="W58" s="285" t="n"/>
      <c r="X58" s="285" t="n"/>
      <c r="Y58" s="285" t="n"/>
      <c r="Z58" s="285" t="n"/>
      <c r="AA58" s="285" t="n"/>
      <c r="AB58" s="285" t="n"/>
      <c r="AC58" s="731" t="n">
        <v>0.7242</v>
      </c>
      <c r="AD58" s="285" t="n"/>
      <c r="AE58" s="285" t="n"/>
      <c r="AF58" s="285" t="n"/>
      <c r="AG58" s="285" t="n"/>
      <c r="AH58" s="731" t="n">
        <v>0.9058</v>
      </c>
      <c r="AI58" s="731" t="n">
        <v>2.0784</v>
      </c>
      <c r="AJ58" s="731" t="n">
        <v>2.9841</v>
      </c>
      <c r="AK58" s="285" t="n"/>
      <c r="AL58" s="285" t="n"/>
      <c r="AM58" s="286" t="inlineStr">
        <is>
          <t>NNN landlord expenses only; from AXG Whse Expenses PSF.xlsx</t>
        </is>
      </c>
    </row>
    <row r="59" ht="14" customHeight="1" s="518">
      <c r="A59" s="151" t="inlineStr">
        <is>
          <t>P025</t>
        </is>
      </c>
      <c r="B59" s="150" t="n">
        <v>210</v>
      </c>
      <c r="C59" s="151" t="inlineStr">
        <is>
          <t>R0191099</t>
        </is>
      </c>
      <c r="D59" s="269" t="inlineStr">
        <is>
          <t>3559 N. Himalaya Rd (Bldg 5)</t>
        </is>
      </c>
      <c r="E59" s="151" t="inlineStr">
        <is>
          <t>Aurora</t>
        </is>
      </c>
      <c r="F59" s="151" t="inlineStr">
        <is>
          <t>CO</t>
        </is>
      </c>
      <c r="G59" s="151" t="inlineStr">
        <is>
          <t>Industrial</t>
        </is>
      </c>
      <c r="H59" s="269" t="inlineStr">
        <is>
          <t>Multi-Tenant Industrial NNN</t>
        </is>
      </c>
      <c r="I59" s="161" t="n">
        <v>2017</v>
      </c>
      <c r="J59" s="161" t="n">
        <v>159047</v>
      </c>
      <c r="K59" s="161" t="n">
        <v>2021</v>
      </c>
      <c r="L59" s="151" t="n"/>
      <c r="M59" s="151" t="n"/>
      <c r="N59" s="151" t="n"/>
      <c r="O59" s="732" t="n">
        <v>0.0956</v>
      </c>
      <c r="P59" s="732" t="n">
        <v>0.3379</v>
      </c>
      <c r="Q59" s="151" t="n"/>
      <c r="R59" s="151" t="n"/>
      <c r="S59" s="151" t="n"/>
      <c r="T59" s="151" t="n"/>
      <c r="U59" s="151" t="n"/>
      <c r="V59" s="151" t="n"/>
      <c r="W59" s="151" t="n"/>
      <c r="X59" s="151" t="n"/>
      <c r="Y59" s="151" t="n"/>
      <c r="Z59" s="151" t="n"/>
      <c r="AA59" s="151" t="n"/>
      <c r="AB59" s="151" t="n"/>
      <c r="AC59" s="732" t="n">
        <v>0.3767</v>
      </c>
      <c r="AD59" s="151" t="n"/>
      <c r="AE59" s="151" t="n"/>
      <c r="AF59" s="732" t="n">
        <v>0.2913</v>
      </c>
      <c r="AG59" s="151" t="n"/>
      <c r="AH59" s="732" t="n">
        <v>1.1015</v>
      </c>
      <c r="AI59" s="732" t="n">
        <v>3.4893</v>
      </c>
      <c r="AJ59" s="732" t="n">
        <v>4.5908</v>
      </c>
      <c r="AK59" s="151" t="n"/>
      <c r="AL59" s="151" t="n"/>
      <c r="AM59" s="269" t="inlineStr">
        <is>
          <t>NNN landlord expenses only; from AXG Whse Expenses PSF.xlsx</t>
        </is>
      </c>
    </row>
    <row r="60" ht="14" customHeight="1" s="518">
      <c r="A60" s="285" t="inlineStr">
        <is>
          <t>P025</t>
        </is>
      </c>
      <c r="B60" s="150" t="n">
        <v>210</v>
      </c>
      <c r="C60" s="285" t="inlineStr">
        <is>
          <t>R0191099</t>
        </is>
      </c>
      <c r="D60" s="286" t="inlineStr">
        <is>
          <t>3559 N. Himalaya Rd (Bldg 5)</t>
        </is>
      </c>
      <c r="E60" s="285" t="inlineStr">
        <is>
          <t>Aurora</t>
        </is>
      </c>
      <c r="F60" s="285" t="inlineStr">
        <is>
          <t>CO</t>
        </is>
      </c>
      <c r="G60" s="285" t="inlineStr">
        <is>
          <t>Industrial</t>
        </is>
      </c>
      <c r="H60" s="286" t="inlineStr">
        <is>
          <t>Multi-Tenant Industrial NNN</t>
        </is>
      </c>
      <c r="I60" s="287" t="n">
        <v>2017</v>
      </c>
      <c r="J60" s="287" t="n">
        <v>159047</v>
      </c>
      <c r="K60" s="287" t="n">
        <v>2022</v>
      </c>
      <c r="L60" s="285" t="n"/>
      <c r="M60" s="285" t="n"/>
      <c r="N60" s="285" t="n"/>
      <c r="O60" s="731" t="n">
        <v>0.1017</v>
      </c>
      <c r="P60" s="731" t="n">
        <v>0.3102</v>
      </c>
      <c r="Q60" s="285" t="n"/>
      <c r="R60" s="285" t="n"/>
      <c r="S60" s="285" t="n"/>
      <c r="T60" s="285" t="n"/>
      <c r="U60" s="285" t="n"/>
      <c r="V60" s="285" t="n"/>
      <c r="W60" s="285" t="n"/>
      <c r="X60" s="285" t="n"/>
      <c r="Y60" s="285" t="n"/>
      <c r="Z60" s="285" t="n"/>
      <c r="AA60" s="285" t="n"/>
      <c r="AB60" s="285" t="n"/>
      <c r="AC60" s="731" t="n">
        <v>0.3353</v>
      </c>
      <c r="AD60" s="285" t="n"/>
      <c r="AE60" s="285" t="n"/>
      <c r="AF60" s="731" t="n">
        <v>0.3232</v>
      </c>
      <c r="AG60" s="285" t="n"/>
      <c r="AH60" s="731" t="n">
        <v>1.0704</v>
      </c>
      <c r="AI60" s="731" t="n">
        <v>2.9479</v>
      </c>
      <c r="AJ60" s="731" t="n">
        <v>4.0183</v>
      </c>
      <c r="AK60" s="285" t="n"/>
      <c r="AL60" s="285" t="n"/>
      <c r="AM60" s="286" t="inlineStr">
        <is>
          <t>NNN landlord expenses only; from AXG Whse Expenses PSF.xlsx</t>
        </is>
      </c>
    </row>
    <row r="61" ht="14" customHeight="1" s="518">
      <c r="A61" s="151" t="inlineStr">
        <is>
          <t>P027</t>
        </is>
      </c>
      <c r="B61" s="150" t="n">
        <v>407</v>
      </c>
      <c r="C61" s="151" t="inlineStr">
        <is>
          <t>R0132030</t>
        </is>
      </c>
      <c r="D61" s="269" t="inlineStr">
        <is>
          <t>Majestic Commercenter (R0132030)</t>
        </is>
      </c>
      <c r="E61" s="151" t="inlineStr">
        <is>
          <t>Commerce City</t>
        </is>
      </c>
      <c r="F61" s="151" t="inlineStr">
        <is>
          <t>CO</t>
        </is>
      </c>
      <c r="G61" s="151" t="inlineStr">
        <is>
          <t>Industrial</t>
        </is>
      </c>
      <c r="H61" s="269" t="inlineStr">
        <is>
          <t>Warehouse NNN</t>
        </is>
      </c>
      <c r="I61" s="161" t="n">
        <v>2001</v>
      </c>
      <c r="J61" s="161" t="n">
        <v>200094</v>
      </c>
      <c r="K61" s="161" t="n">
        <v>2021</v>
      </c>
      <c r="L61" s="151" t="n"/>
      <c r="M61" s="151" t="n"/>
      <c r="N61" s="151" t="n"/>
      <c r="O61" s="732" t="n">
        <v>0.07149999999999999</v>
      </c>
      <c r="P61" s="732" t="n">
        <v>0.2651</v>
      </c>
      <c r="Q61" s="151" t="n"/>
      <c r="R61" s="151" t="n"/>
      <c r="S61" s="151" t="n"/>
      <c r="T61" s="151" t="n"/>
      <c r="U61" s="151" t="n"/>
      <c r="V61" s="151" t="n"/>
      <c r="W61" s="151" t="n"/>
      <c r="X61" s="151" t="n"/>
      <c r="Y61" s="151" t="n"/>
      <c r="Z61" s="151" t="n"/>
      <c r="AA61" s="151" t="n"/>
      <c r="AB61" s="151" t="n"/>
      <c r="AC61" s="732" t="n">
        <v>0.49</v>
      </c>
      <c r="AD61" s="151" t="n"/>
      <c r="AE61" s="151" t="n"/>
      <c r="AF61" s="732" t="n">
        <v>0.3539</v>
      </c>
      <c r="AG61" s="151" t="n"/>
      <c r="AH61" s="732" t="n">
        <v>1.1805</v>
      </c>
      <c r="AI61" s="732" t="n">
        <v>2.8519</v>
      </c>
      <c r="AJ61" s="732" t="n">
        <v>4.0324</v>
      </c>
      <c r="AK61" s="151" t="n"/>
      <c r="AL61" s="151" t="n"/>
      <c r="AM61" s="269" t="inlineStr">
        <is>
          <t>NNN landlord expenses only; from AXG Whse Expenses PSF.xlsx (R0132030)</t>
        </is>
      </c>
    </row>
    <row r="62" ht="14" customHeight="1" s="518">
      <c r="A62" s="285" t="inlineStr">
        <is>
          <t>P027</t>
        </is>
      </c>
      <c r="B62" s="150" t="n">
        <v>407</v>
      </c>
      <c r="C62" s="285" t="inlineStr">
        <is>
          <t>R0132030</t>
        </is>
      </c>
      <c r="D62" s="286" t="inlineStr">
        <is>
          <t>Majestic Commercenter (R0132030)</t>
        </is>
      </c>
      <c r="E62" s="285" t="inlineStr">
        <is>
          <t>Commerce City</t>
        </is>
      </c>
      <c r="F62" s="285" t="inlineStr">
        <is>
          <t>CO</t>
        </is>
      </c>
      <c r="G62" s="285" t="inlineStr">
        <is>
          <t>Industrial</t>
        </is>
      </c>
      <c r="H62" s="286" t="inlineStr">
        <is>
          <t>Warehouse NNN</t>
        </is>
      </c>
      <c r="I62" s="287" t="n">
        <v>2001</v>
      </c>
      <c r="J62" s="287" t="n">
        <v>200094</v>
      </c>
      <c r="K62" s="287" t="n">
        <v>2022</v>
      </c>
      <c r="L62" s="285" t="n"/>
      <c r="M62" s="285" t="n"/>
      <c r="N62" s="285" t="n"/>
      <c r="O62" s="731" t="n">
        <v>0.0761</v>
      </c>
      <c r="P62" s="731" t="n">
        <v>0.2474</v>
      </c>
      <c r="Q62" s="285" t="n"/>
      <c r="R62" s="285" t="n"/>
      <c r="S62" s="285" t="n"/>
      <c r="T62" s="285" t="n"/>
      <c r="U62" s="285" t="n"/>
      <c r="V62" s="285" t="n"/>
      <c r="W62" s="285" t="n"/>
      <c r="X62" s="285" t="n"/>
      <c r="Y62" s="285" t="n"/>
      <c r="Z62" s="285" t="n"/>
      <c r="AA62" s="285" t="n"/>
      <c r="AB62" s="285" t="n"/>
      <c r="AC62" s="731" t="n">
        <v>0.49</v>
      </c>
      <c r="AD62" s="285" t="n"/>
      <c r="AE62" s="285" t="n"/>
      <c r="AF62" s="731" t="n">
        <v>0.3539</v>
      </c>
      <c r="AG62" s="285" t="n"/>
      <c r="AH62" s="731" t="n">
        <v>1.1674</v>
      </c>
      <c r="AI62" s="731" t="n">
        <v>2.2575</v>
      </c>
      <c r="AJ62" s="731" t="n">
        <v>3.4249</v>
      </c>
      <c r="AK62" s="285" t="n"/>
      <c r="AL62" s="285" t="n"/>
      <c r="AM62" s="286" t="inlineStr">
        <is>
          <t>NNN landlord expenses only; from AXG Whse Expenses PSF.xlsx (R0132030)</t>
        </is>
      </c>
    </row>
    <row r="63" ht="14" customHeight="1" s="518">
      <c r="A63" s="151" t="inlineStr">
        <is>
          <t>P028</t>
        </is>
      </c>
      <c r="B63" s="150" t="n">
        <v>407</v>
      </c>
      <c r="C63" s="151" t="inlineStr">
        <is>
          <t>R0084040</t>
        </is>
      </c>
      <c r="D63" s="269" t="inlineStr">
        <is>
          <t>Majestic Commercenter (R0084040)</t>
        </is>
      </c>
      <c r="E63" s="151" t="inlineStr">
        <is>
          <t>Commerce City</t>
        </is>
      </c>
      <c r="F63" s="151" t="inlineStr">
        <is>
          <t>CO</t>
        </is>
      </c>
      <c r="G63" s="151" t="inlineStr">
        <is>
          <t>Industrial</t>
        </is>
      </c>
      <c r="H63" s="269" t="inlineStr">
        <is>
          <t>Warehouse NNN</t>
        </is>
      </c>
      <c r="I63" s="161" t="n">
        <v>1997</v>
      </c>
      <c r="J63" s="161" t="n">
        <v>177736</v>
      </c>
      <c r="K63" s="161" t="n">
        <v>2021</v>
      </c>
      <c r="L63" s="151" t="n"/>
      <c r="M63" s="151" t="n"/>
      <c r="N63" s="151" t="n"/>
      <c r="O63" s="732" t="n">
        <v>0.0736</v>
      </c>
      <c r="P63" s="732" t="n">
        <v>0.3114</v>
      </c>
      <c r="Q63" s="151" t="n"/>
      <c r="R63" s="151" t="n"/>
      <c r="S63" s="151" t="n"/>
      <c r="T63" s="151" t="n"/>
      <c r="U63" s="151" t="n"/>
      <c r="V63" s="151" t="n"/>
      <c r="W63" s="151" t="n"/>
      <c r="X63" s="151" t="n"/>
      <c r="Y63" s="151" t="n"/>
      <c r="Z63" s="151" t="n"/>
      <c r="AA63" s="151" t="n"/>
      <c r="AB63" s="151" t="n"/>
      <c r="AC63" s="732" t="n">
        <v>0.552</v>
      </c>
      <c r="AD63" s="151" t="n"/>
      <c r="AE63" s="151" t="n"/>
      <c r="AF63" s="732" t="n">
        <v>0.2892</v>
      </c>
      <c r="AG63" s="151" t="n"/>
      <c r="AH63" s="732" t="n">
        <v>1.2262</v>
      </c>
      <c r="AI63" s="732" t="n">
        <v>2.7188</v>
      </c>
      <c r="AJ63" s="732" t="n">
        <v>3.945</v>
      </c>
      <c r="AK63" s="151" t="n"/>
      <c r="AL63" s="151" t="n"/>
      <c r="AM63" s="269" t="inlineStr">
        <is>
          <t>NNN landlord expenses only; from AXG Whse Expenses PSF.xlsx (R0084040)</t>
        </is>
      </c>
    </row>
    <row r="64" ht="14" customHeight="1" s="518">
      <c r="A64" s="285" t="inlineStr">
        <is>
          <t>P028</t>
        </is>
      </c>
      <c r="B64" s="150" t="n">
        <v>407</v>
      </c>
      <c r="C64" s="285" t="inlineStr">
        <is>
          <t>R0084040</t>
        </is>
      </c>
      <c r="D64" s="286" t="inlineStr">
        <is>
          <t>Majestic Commercenter (R0084040)</t>
        </is>
      </c>
      <c r="E64" s="285" t="inlineStr">
        <is>
          <t>Commerce City</t>
        </is>
      </c>
      <c r="F64" s="285" t="inlineStr">
        <is>
          <t>CO</t>
        </is>
      </c>
      <c r="G64" s="285" t="inlineStr">
        <is>
          <t>Industrial</t>
        </is>
      </c>
      <c r="H64" s="286" t="inlineStr">
        <is>
          <t>Warehouse NNN</t>
        </is>
      </c>
      <c r="I64" s="287" t="n">
        <v>1997</v>
      </c>
      <c r="J64" s="287" t="n">
        <v>177736</v>
      </c>
      <c r="K64" s="287" t="n">
        <v>2022</v>
      </c>
      <c r="L64" s="285" t="n"/>
      <c r="M64" s="285" t="n"/>
      <c r="N64" s="285" t="n"/>
      <c r="O64" s="731" t="n">
        <v>0.07829999999999999</v>
      </c>
      <c r="P64" s="731" t="n">
        <v>0.3114</v>
      </c>
      <c r="Q64" s="285" t="n"/>
      <c r="R64" s="285" t="n"/>
      <c r="S64" s="285" t="n"/>
      <c r="T64" s="285" t="n"/>
      <c r="U64" s="285" t="n"/>
      <c r="V64" s="285" t="n"/>
      <c r="W64" s="285" t="n"/>
      <c r="X64" s="285" t="n"/>
      <c r="Y64" s="285" t="n"/>
      <c r="Z64" s="285" t="n"/>
      <c r="AA64" s="285" t="n"/>
      <c r="AB64" s="285" t="n"/>
      <c r="AC64" s="731" t="n">
        <v>0.6591</v>
      </c>
      <c r="AD64" s="285" t="n"/>
      <c r="AE64" s="285" t="n"/>
      <c r="AF64" s="731" t="n">
        <v>0.3559</v>
      </c>
      <c r="AG64" s="285" t="n"/>
      <c r="AH64" s="731" t="n">
        <v>1.4047</v>
      </c>
      <c r="AI64" s="731" t="n">
        <v>2.8511</v>
      </c>
      <c r="AJ64" s="731" t="n">
        <v>4.2558</v>
      </c>
      <c r="AK64" s="285" t="n"/>
      <c r="AL64" s="285" t="n"/>
      <c r="AM64" s="286" t="inlineStr">
        <is>
          <t>NNN landlord expenses only; from AXG Whse Expenses PSF.xlsx (R0084040)</t>
        </is>
      </c>
    </row>
    <row r="65" ht="14" customHeight="1" s="518">
      <c r="A65" s="151" t="inlineStr">
        <is>
          <t>P029</t>
        </is>
      </c>
      <c r="B65" s="150" t="n">
        <v>407</v>
      </c>
      <c r="C65" s="151" t="inlineStr">
        <is>
          <t>R0084041</t>
        </is>
      </c>
      <c r="D65" s="269" t="inlineStr">
        <is>
          <t>Majestic Commercenter (R0084041)</t>
        </is>
      </c>
      <c r="E65" s="151" t="inlineStr">
        <is>
          <t>Commerce City</t>
        </is>
      </c>
      <c r="F65" s="151" t="inlineStr">
        <is>
          <t>CO</t>
        </is>
      </c>
      <c r="G65" s="151" t="inlineStr">
        <is>
          <t>Industrial</t>
        </is>
      </c>
      <c r="H65" s="269" t="inlineStr">
        <is>
          <t>Warehouse NNN</t>
        </is>
      </c>
      <c r="I65" s="161" t="n">
        <v>1997</v>
      </c>
      <c r="J65" s="161" t="n">
        <v>200371</v>
      </c>
      <c r="K65" s="161" t="n">
        <v>2021</v>
      </c>
      <c r="L65" s="151" t="n"/>
      <c r="M65" s="151" t="n"/>
      <c r="N65" s="151" t="n"/>
      <c r="O65" s="732" t="n">
        <v>0.06859999999999999</v>
      </c>
      <c r="P65" s="732" t="n">
        <v>0.1605</v>
      </c>
      <c r="Q65" s="151" t="n"/>
      <c r="R65" s="151" t="n"/>
      <c r="S65" s="151" t="n"/>
      <c r="T65" s="151" t="n"/>
      <c r="U65" s="151" t="n"/>
      <c r="V65" s="151" t="n"/>
      <c r="W65" s="151" t="n"/>
      <c r="X65" s="151" t="n"/>
      <c r="Y65" s="151" t="n"/>
      <c r="Z65" s="151" t="n"/>
      <c r="AA65" s="151" t="n"/>
      <c r="AB65" s="151" t="n"/>
      <c r="AC65" s="732" t="n">
        <v>0.5869</v>
      </c>
      <c r="AD65" s="151" t="n"/>
      <c r="AE65" s="151" t="n"/>
      <c r="AF65" s="151" t="n"/>
      <c r="AG65" s="151" t="n"/>
      <c r="AH65" s="732" t="n">
        <v>0.8159999999999999</v>
      </c>
      <c r="AI65" s="732" t="n">
        <v>2.4919</v>
      </c>
      <c r="AJ65" s="732" t="n">
        <v>3.3079</v>
      </c>
      <c r="AK65" s="151" t="n"/>
      <c r="AL65" s="151" t="n"/>
      <c r="AM65" s="269" t="inlineStr">
        <is>
          <t>NNN landlord expenses only; from AXG Whse Expenses PSF.xlsx (R0084041)</t>
        </is>
      </c>
    </row>
    <row r="66" ht="14" customHeight="1" s="518">
      <c r="A66" s="285" t="inlineStr">
        <is>
          <t>P029</t>
        </is>
      </c>
      <c r="B66" s="150" t="n">
        <v>407</v>
      </c>
      <c r="C66" s="285" t="inlineStr">
        <is>
          <t>R0084041</t>
        </is>
      </c>
      <c r="D66" s="286" t="inlineStr">
        <is>
          <t>Majestic Commercenter (R0084041)</t>
        </is>
      </c>
      <c r="E66" s="285" t="inlineStr">
        <is>
          <t>Commerce City</t>
        </is>
      </c>
      <c r="F66" s="285" t="inlineStr">
        <is>
          <t>CO</t>
        </is>
      </c>
      <c r="G66" s="285" t="inlineStr">
        <is>
          <t>Industrial</t>
        </is>
      </c>
      <c r="H66" s="286" t="inlineStr">
        <is>
          <t>Warehouse NNN</t>
        </is>
      </c>
      <c r="I66" s="287" t="n">
        <v>1997</v>
      </c>
      <c r="J66" s="287" t="n">
        <v>200371</v>
      </c>
      <c r="K66" s="287" t="n">
        <v>2022</v>
      </c>
      <c r="L66" s="285" t="n"/>
      <c r="M66" s="285" t="n"/>
      <c r="N66" s="285" t="n"/>
      <c r="O66" s="731" t="n">
        <v>0.073</v>
      </c>
      <c r="P66" s="731" t="n">
        <v>0.1496</v>
      </c>
      <c r="Q66" s="285" t="n"/>
      <c r="R66" s="285" t="n"/>
      <c r="S66" s="285" t="n"/>
      <c r="T66" s="285" t="n"/>
      <c r="U66" s="285" t="n"/>
      <c r="V66" s="285" t="n"/>
      <c r="W66" s="285" t="n"/>
      <c r="X66" s="285" t="n"/>
      <c r="Y66" s="285" t="n"/>
      <c r="Z66" s="285" t="n"/>
      <c r="AA66" s="285" t="n"/>
      <c r="AB66" s="285" t="n"/>
      <c r="AC66" s="731" t="n">
        <v>0.5187</v>
      </c>
      <c r="AD66" s="285" t="n"/>
      <c r="AE66" s="285" t="n"/>
      <c r="AF66" s="285" t="n"/>
      <c r="AG66" s="285" t="n"/>
      <c r="AH66" s="731" t="n">
        <v>0.7413</v>
      </c>
      <c r="AI66" s="731" t="n">
        <v>2.5893</v>
      </c>
      <c r="AJ66" s="731" t="n">
        <v>3.3306</v>
      </c>
      <c r="AK66" s="285" t="n"/>
      <c r="AL66" s="285" t="n"/>
      <c r="AM66" s="286" t="inlineStr">
        <is>
          <t>NNN landlord expenses only; from AXG Whse Expenses PSF.xlsx (R0084041)</t>
        </is>
      </c>
    </row>
    <row r="67" ht="14" customHeight="1" s="518">
      <c r="A67" s="151" t="inlineStr">
        <is>
          <t>P030</t>
        </is>
      </c>
      <c r="B67" s="150" t="n">
        <v>584</v>
      </c>
      <c r="C67" s="151" t="inlineStr">
        <is>
          <t>R0217015</t>
        </is>
      </c>
      <c r="D67" s="269" t="inlineStr">
        <is>
          <t>Majestic Commercenter (R0217015)</t>
        </is>
      </c>
      <c r="E67" s="151" t="inlineStr">
        <is>
          <t>Commerce City</t>
        </is>
      </c>
      <c r="F67" s="151" t="inlineStr">
        <is>
          <t>CO</t>
        </is>
      </c>
      <c r="G67" s="151" t="inlineStr">
        <is>
          <t>Industrial</t>
        </is>
      </c>
      <c r="H67" s="269" t="inlineStr">
        <is>
          <t>Warehouse NNN</t>
        </is>
      </c>
      <c r="I67" s="161" t="n">
        <v>2021</v>
      </c>
      <c r="J67" s="161" t="n">
        <v>548510</v>
      </c>
      <c r="K67" s="161" t="n">
        <v>2022</v>
      </c>
      <c r="L67" s="151" t="n"/>
      <c r="M67" s="151" t="n"/>
      <c r="N67" s="151" t="n"/>
      <c r="O67" s="732" t="n">
        <v>0.1167</v>
      </c>
      <c r="P67" s="732" t="n">
        <v>0.1062</v>
      </c>
      <c r="Q67" s="151" t="n"/>
      <c r="R67" s="151" t="n"/>
      <c r="S67" s="151" t="n"/>
      <c r="T67" s="151" t="n"/>
      <c r="U67" s="151" t="n"/>
      <c r="V67" s="151" t="n"/>
      <c r="W67" s="151" t="n"/>
      <c r="X67" s="151" t="n"/>
      <c r="Y67" s="151" t="n"/>
      <c r="Z67" s="151" t="n"/>
      <c r="AA67" s="151" t="n"/>
      <c r="AB67" s="151" t="n"/>
      <c r="AC67" s="732" t="n">
        <v>0.1767</v>
      </c>
      <c r="AD67" s="151" t="n"/>
      <c r="AE67" s="151" t="n"/>
      <c r="AF67" s="732" t="n">
        <v>0.038</v>
      </c>
      <c r="AG67" s="151" t="n"/>
      <c r="AH67" s="732" t="n">
        <v>0.4376</v>
      </c>
      <c r="AI67" s="732" t="n">
        <v>2.271</v>
      </c>
      <c r="AJ67" s="732" t="n">
        <v>2.7087</v>
      </c>
      <c r="AK67" s="151" t="n"/>
      <c r="AL67" s="151" t="n"/>
      <c r="AM67" s="269" t="inlineStr">
        <is>
          <t>NNN landlord expenses only; from AXG Whse Expenses PSF.xlsx (R0217015)</t>
        </is>
      </c>
    </row>
    <row r="68" ht="14" customHeight="1" s="518">
      <c r="A68" s="285" t="inlineStr">
        <is>
          <t>P031</t>
        </is>
      </c>
      <c r="B68" s="150" t="n">
        <v>407</v>
      </c>
      <c r="C68" s="285" t="inlineStr">
        <is>
          <t>R0111562</t>
        </is>
      </c>
      <c r="D68" s="286" t="inlineStr">
        <is>
          <t>Majestic Commercenter (R0111562)</t>
        </is>
      </c>
      <c r="E68" s="285" t="inlineStr">
        <is>
          <t>Commerce City</t>
        </is>
      </c>
      <c r="F68" s="285" t="inlineStr">
        <is>
          <t>CO</t>
        </is>
      </c>
      <c r="G68" s="285" t="inlineStr">
        <is>
          <t>Industrial</t>
        </is>
      </c>
      <c r="H68" s="286" t="inlineStr">
        <is>
          <t>Warehouse NNN</t>
        </is>
      </c>
      <c r="I68" s="287" t="n">
        <v>2000</v>
      </c>
      <c r="J68" s="287" t="n">
        <v>149175</v>
      </c>
      <c r="K68" s="287" t="n">
        <v>2019</v>
      </c>
      <c r="L68" s="285" t="n"/>
      <c r="M68" s="285" t="n"/>
      <c r="N68" s="285" t="n"/>
      <c r="O68" s="731" t="n">
        <v>0.0437</v>
      </c>
      <c r="P68" s="731" t="n">
        <v>0.1522</v>
      </c>
      <c r="Q68" s="285" t="n"/>
      <c r="R68" s="285" t="n"/>
      <c r="S68" s="285" t="n"/>
      <c r="T68" s="285" t="n"/>
      <c r="U68" s="285" t="n"/>
      <c r="V68" s="285" t="n"/>
      <c r="W68" s="285" t="n"/>
      <c r="X68" s="285" t="n"/>
      <c r="Y68" s="285" t="n"/>
      <c r="Z68" s="285" t="n"/>
      <c r="AA68" s="285" t="n"/>
      <c r="AB68" s="285" t="n"/>
      <c r="AC68" s="731" t="n">
        <v>0.6822</v>
      </c>
      <c r="AD68" s="285" t="n"/>
      <c r="AE68" s="285" t="n"/>
      <c r="AF68" s="285" t="n"/>
      <c r="AG68" s="285" t="n"/>
      <c r="AH68" s="731" t="n">
        <v>0.8781</v>
      </c>
      <c r="AI68" s="731" t="n">
        <v>1.8902</v>
      </c>
      <c r="AJ68" s="731" t="n">
        <v>2.7683</v>
      </c>
      <c r="AK68" s="285" t="n"/>
      <c r="AL68" s="285" t="n"/>
      <c r="AM68" s="286" t="inlineStr">
        <is>
          <t>NNN landlord expenses only; from AXG Whse Expenses PSF.xlsx (R0111562)</t>
        </is>
      </c>
    </row>
    <row r="69" ht="14" customHeight="1" s="518">
      <c r="A69" s="151" t="inlineStr">
        <is>
          <t>P031</t>
        </is>
      </c>
      <c r="B69" s="150" t="n">
        <v>407</v>
      </c>
      <c r="C69" s="151" t="inlineStr">
        <is>
          <t>R0111562</t>
        </is>
      </c>
      <c r="D69" s="269" t="inlineStr">
        <is>
          <t>Majestic Commercenter (R0111562)</t>
        </is>
      </c>
      <c r="E69" s="151" t="inlineStr">
        <is>
          <t>Commerce City</t>
        </is>
      </c>
      <c r="F69" s="151" t="inlineStr">
        <is>
          <t>CO</t>
        </is>
      </c>
      <c r="G69" s="151" t="inlineStr">
        <is>
          <t>Industrial</t>
        </is>
      </c>
      <c r="H69" s="269" t="inlineStr">
        <is>
          <t>Warehouse NNN</t>
        </is>
      </c>
      <c r="I69" s="161" t="n">
        <v>2000</v>
      </c>
      <c r="J69" s="161" t="n">
        <v>149175</v>
      </c>
      <c r="K69" s="161" t="n">
        <v>2020</v>
      </c>
      <c r="L69" s="151" t="n"/>
      <c r="M69" s="151" t="n"/>
      <c r="N69" s="151" t="n"/>
      <c r="O69" s="732" t="n">
        <v>0.0499</v>
      </c>
      <c r="P69" s="732" t="n">
        <v>0.0264</v>
      </c>
      <c r="Q69" s="151" t="n"/>
      <c r="R69" s="151" t="n"/>
      <c r="S69" s="151" t="n"/>
      <c r="T69" s="151" t="n"/>
      <c r="U69" s="151" t="n"/>
      <c r="V69" s="151" t="n"/>
      <c r="W69" s="151" t="n"/>
      <c r="X69" s="151" t="n"/>
      <c r="Y69" s="151" t="n"/>
      <c r="Z69" s="151" t="n"/>
      <c r="AA69" s="151" t="n"/>
      <c r="AB69" s="151" t="n"/>
      <c r="AC69" s="732" t="n">
        <v>0.1604</v>
      </c>
      <c r="AD69" s="151" t="n"/>
      <c r="AE69" s="151" t="n"/>
      <c r="AF69" s="732" t="n">
        <v>1.107</v>
      </c>
      <c r="AG69" s="151" t="n"/>
      <c r="AH69" s="732" t="n">
        <v>1.3438</v>
      </c>
      <c r="AI69" s="732" t="n">
        <v>1.897</v>
      </c>
      <c r="AJ69" s="732" t="n">
        <v>3.2408</v>
      </c>
      <c r="AK69" s="151" t="n"/>
      <c r="AL69" s="151" t="n"/>
      <c r="AM69" s="269" t="inlineStr">
        <is>
          <t>NNN landlord expenses only; from AXG Whse Expenses PSF.xlsx (R0111562)</t>
        </is>
      </c>
    </row>
    <row r="70" ht="14" customHeight="1" s="518">
      <c r="A70" s="285" t="inlineStr">
        <is>
          <t>P032</t>
        </is>
      </c>
      <c r="B70" s="150" t="n">
        <v>407</v>
      </c>
      <c r="C70" s="285" t="inlineStr">
        <is>
          <t>R0118875</t>
        </is>
      </c>
      <c r="D70" s="286" t="inlineStr">
        <is>
          <t>Majestic Commercenter (R0118875)</t>
        </is>
      </c>
      <c r="E70" s="285" t="inlineStr">
        <is>
          <t>Commerce City</t>
        </is>
      </c>
      <c r="F70" s="285" t="inlineStr">
        <is>
          <t>CO</t>
        </is>
      </c>
      <c r="G70" s="285" t="inlineStr">
        <is>
          <t>Industrial</t>
        </is>
      </c>
      <c r="H70" s="286" t="inlineStr">
        <is>
          <t>Warehouse NNN</t>
        </is>
      </c>
      <c r="I70" s="287" t="n">
        <v>1999</v>
      </c>
      <c r="J70" s="287" t="n">
        <v>279640</v>
      </c>
      <c r="K70" s="287" t="n">
        <v>2021</v>
      </c>
      <c r="L70" s="285" t="n"/>
      <c r="M70" s="285" t="n"/>
      <c r="N70" s="285" t="n"/>
      <c r="O70" s="731" t="n">
        <v>0.0881</v>
      </c>
      <c r="P70" s="731" t="n">
        <v>0.2248</v>
      </c>
      <c r="Q70" s="285" t="n"/>
      <c r="R70" s="285" t="n"/>
      <c r="S70" s="285" t="n"/>
      <c r="T70" s="285" t="n"/>
      <c r="U70" s="285" t="n"/>
      <c r="V70" s="285" t="n"/>
      <c r="W70" s="285" t="n"/>
      <c r="X70" s="285" t="n"/>
      <c r="Y70" s="285" t="n"/>
      <c r="Z70" s="285" t="n"/>
      <c r="AA70" s="285" t="n"/>
      <c r="AB70" s="285" t="n"/>
      <c r="AC70" s="731" t="n">
        <v>0.3589</v>
      </c>
      <c r="AD70" s="285" t="n"/>
      <c r="AE70" s="285" t="n"/>
      <c r="AF70" s="285" t="n"/>
      <c r="AG70" s="285" t="n"/>
      <c r="AH70" s="731" t="n">
        <v>0.6718</v>
      </c>
      <c r="AI70" s="731" t="n">
        <v>2.2918</v>
      </c>
      <c r="AJ70" s="731" t="n">
        <v>2.9636</v>
      </c>
      <c r="AK70" s="285" t="n"/>
      <c r="AL70" s="285" t="n"/>
      <c r="AM70" s="286" t="inlineStr">
        <is>
          <t>NNN landlord expenses only; from AXG Whse Expenses PSF.xlsx (R0118875)</t>
        </is>
      </c>
    </row>
    <row r="71" ht="14" customHeight="1" s="518">
      <c r="A71" s="151" t="inlineStr">
        <is>
          <t>P032</t>
        </is>
      </c>
      <c r="B71" s="150" t="n">
        <v>407</v>
      </c>
      <c r="C71" s="151" t="inlineStr">
        <is>
          <t>R0118875</t>
        </is>
      </c>
      <c r="D71" s="269" t="inlineStr">
        <is>
          <t>Majestic Commercenter (R0118875)</t>
        </is>
      </c>
      <c r="E71" s="151" t="inlineStr">
        <is>
          <t>Commerce City</t>
        </is>
      </c>
      <c r="F71" s="151" t="inlineStr">
        <is>
          <t>CO</t>
        </is>
      </c>
      <c r="G71" s="151" t="inlineStr">
        <is>
          <t>Industrial</t>
        </is>
      </c>
      <c r="H71" s="269" t="inlineStr">
        <is>
          <t>Warehouse NNN</t>
        </is>
      </c>
      <c r="I71" s="161" t="n">
        <v>1999</v>
      </c>
      <c r="J71" s="161" t="n">
        <v>279640</v>
      </c>
      <c r="K71" s="161" t="n">
        <v>2022</v>
      </c>
      <c r="L71" s="151" t="n"/>
      <c r="M71" s="151" t="n"/>
      <c r="N71" s="151" t="n"/>
      <c r="O71" s="732" t="n">
        <v>0.09370000000000001</v>
      </c>
      <c r="P71" s="732" t="n">
        <v>0.2268</v>
      </c>
      <c r="Q71" s="151" t="n"/>
      <c r="R71" s="151" t="n"/>
      <c r="S71" s="151" t="n"/>
      <c r="T71" s="151" t="n"/>
      <c r="U71" s="151" t="n"/>
      <c r="V71" s="151" t="n"/>
      <c r="W71" s="151" t="n"/>
      <c r="X71" s="151" t="n"/>
      <c r="Y71" s="151" t="n"/>
      <c r="Z71" s="151" t="n"/>
      <c r="AA71" s="151" t="n"/>
      <c r="AB71" s="151" t="n"/>
      <c r="AC71" s="732" t="n">
        <v>0.06510000000000001</v>
      </c>
      <c r="AD71" s="151" t="n"/>
      <c r="AE71" s="151" t="n"/>
      <c r="AF71" s="151" t="n"/>
      <c r="AG71" s="151" t="n"/>
      <c r="AH71" s="732" t="n">
        <v>0.3856</v>
      </c>
      <c r="AI71" s="732" t="n">
        <v>2.3497</v>
      </c>
      <c r="AJ71" s="732" t="n">
        <v>2.7353</v>
      </c>
      <c r="AK71" s="151" t="n"/>
      <c r="AL71" s="151" t="n"/>
      <c r="AM71" s="269" t="inlineStr">
        <is>
          <t>NNN landlord expenses only; from AXG Whse Expenses PSF.xlsx (R0118875)</t>
        </is>
      </c>
    </row>
    <row r="72" ht="14" customHeight="1" s="518">
      <c r="A72" s="285" t="inlineStr">
        <is>
          <t>P033</t>
        </is>
      </c>
      <c r="B72" s="150" t="n">
        <v>407</v>
      </c>
      <c r="C72" s="285" t="inlineStr">
        <is>
          <t>R0132031</t>
        </is>
      </c>
      <c r="D72" s="286" t="inlineStr">
        <is>
          <t>Majestic Commercenter (R0132031)</t>
        </is>
      </c>
      <c r="E72" s="285" t="inlineStr">
        <is>
          <t>Commerce City</t>
        </is>
      </c>
      <c r="F72" s="285" t="inlineStr">
        <is>
          <t>CO</t>
        </is>
      </c>
      <c r="G72" s="285" t="inlineStr">
        <is>
          <t>Industrial</t>
        </is>
      </c>
      <c r="H72" s="286" t="inlineStr">
        <is>
          <t>Warehouse NNN</t>
        </is>
      </c>
      <c r="I72" s="287" t="n">
        <v>2002</v>
      </c>
      <c r="J72" s="287" t="n">
        <v>280098</v>
      </c>
      <c r="K72" s="287" t="n">
        <v>2021</v>
      </c>
      <c r="L72" s="285" t="n"/>
      <c r="M72" s="285" t="n"/>
      <c r="N72" s="285" t="n"/>
      <c r="O72" s="731" t="n">
        <v>0.0713</v>
      </c>
      <c r="P72" s="731" t="n">
        <v>0.231</v>
      </c>
      <c r="Q72" s="285" t="n"/>
      <c r="R72" s="285" t="n"/>
      <c r="S72" s="285" t="n"/>
      <c r="T72" s="285" t="n"/>
      <c r="U72" s="285" t="n"/>
      <c r="V72" s="285" t="n"/>
      <c r="W72" s="285" t="n"/>
      <c r="X72" s="285" t="n"/>
      <c r="Y72" s="285" t="n"/>
      <c r="Z72" s="285" t="n"/>
      <c r="AA72" s="285" t="n"/>
      <c r="AB72" s="285" t="n"/>
      <c r="AC72" s="731" t="n">
        <v>0.2633</v>
      </c>
      <c r="AD72" s="285" t="n"/>
      <c r="AE72" s="285" t="n"/>
      <c r="AF72" s="731" t="n">
        <v>0.3067</v>
      </c>
      <c r="AG72" s="285" t="n"/>
      <c r="AH72" s="731" t="n">
        <v>0.8723</v>
      </c>
      <c r="AI72" s="731" t="n">
        <v>2.2816</v>
      </c>
      <c r="AJ72" s="731" t="n">
        <v>3.1539</v>
      </c>
      <c r="AK72" s="285" t="n"/>
      <c r="AL72" s="285" t="n"/>
      <c r="AM72" s="286" t="inlineStr">
        <is>
          <t>NNN landlord expenses only; from AXG Whse Expenses PSF.xlsx (R0132031)</t>
        </is>
      </c>
    </row>
    <row r="73" ht="14" customHeight="1" s="518">
      <c r="A73" s="151" t="inlineStr">
        <is>
          <t>P033</t>
        </is>
      </c>
      <c r="B73" s="150" t="n">
        <v>407</v>
      </c>
      <c r="C73" s="151" t="inlineStr">
        <is>
          <t>R0132031</t>
        </is>
      </c>
      <c r="D73" s="269" t="inlineStr">
        <is>
          <t>Majestic Commercenter (R0132031)</t>
        </is>
      </c>
      <c r="E73" s="151" t="inlineStr">
        <is>
          <t>Commerce City</t>
        </is>
      </c>
      <c r="F73" s="151" t="inlineStr">
        <is>
          <t>CO</t>
        </is>
      </c>
      <c r="G73" s="151" t="inlineStr">
        <is>
          <t>Industrial</t>
        </is>
      </c>
      <c r="H73" s="269" t="inlineStr">
        <is>
          <t>Warehouse NNN</t>
        </is>
      </c>
      <c r="I73" s="161" t="n">
        <v>2002</v>
      </c>
      <c r="J73" s="161" t="n">
        <v>280098</v>
      </c>
      <c r="K73" s="161" t="n">
        <v>2022</v>
      </c>
      <c r="L73" s="151" t="n"/>
      <c r="M73" s="151" t="n"/>
      <c r="N73" s="151" t="n"/>
      <c r="O73" s="732" t="n">
        <v>0.0759</v>
      </c>
      <c r="P73" s="732" t="n">
        <v>0.2109</v>
      </c>
      <c r="Q73" s="151" t="n"/>
      <c r="R73" s="151" t="n"/>
      <c r="S73" s="151" t="n"/>
      <c r="T73" s="151" t="n"/>
      <c r="U73" s="151" t="n"/>
      <c r="V73" s="151" t="n"/>
      <c r="W73" s="151" t="n"/>
      <c r="X73" s="151" t="n"/>
      <c r="Y73" s="151" t="n"/>
      <c r="Z73" s="151" t="n"/>
      <c r="AA73" s="151" t="n"/>
      <c r="AB73" s="151" t="n"/>
      <c r="AC73" s="732" t="n">
        <v>0.4318</v>
      </c>
      <c r="AD73" s="151" t="n"/>
      <c r="AE73" s="151" t="n"/>
      <c r="AF73" s="732" t="n">
        <v>0.3384</v>
      </c>
      <c r="AG73" s="151" t="n"/>
      <c r="AH73" s="732" t="n">
        <v>1.057</v>
      </c>
      <c r="AI73" s="732" t="n">
        <v>2.3888</v>
      </c>
      <c r="AJ73" s="732" t="n">
        <v>3.4457</v>
      </c>
      <c r="AK73" s="151" t="n"/>
      <c r="AL73" s="151" t="n"/>
      <c r="AM73" s="269" t="inlineStr">
        <is>
          <t>NNN landlord expenses only; from AXG Whse Expenses PSF.xlsx (R0132031)</t>
        </is>
      </c>
    </row>
    <row r="74" ht="14" customHeight="1" s="518">
      <c r="A74" s="285" t="inlineStr">
        <is>
          <t>P034</t>
        </is>
      </c>
      <c r="B74" s="150" t="n">
        <v>407</v>
      </c>
      <c r="C74" s="285" t="inlineStr">
        <is>
          <t>R0172865</t>
        </is>
      </c>
      <c r="D74" s="286" t="inlineStr">
        <is>
          <t>Majestic Commercenter (R0172865)</t>
        </is>
      </c>
      <c r="E74" s="285" t="inlineStr">
        <is>
          <t>Commerce City</t>
        </is>
      </c>
      <c r="F74" s="285" t="inlineStr">
        <is>
          <t>CO</t>
        </is>
      </c>
      <c r="G74" s="285" t="inlineStr">
        <is>
          <t>Industrial</t>
        </is>
      </c>
      <c r="H74" s="286" t="inlineStr">
        <is>
          <t>Warehouse NNN</t>
        </is>
      </c>
      <c r="I74" s="287" t="n">
        <v>2008</v>
      </c>
      <c r="J74" s="287" t="n">
        <v>215461</v>
      </c>
      <c r="K74" s="287" t="n">
        <v>2021</v>
      </c>
      <c r="L74" s="285" t="n"/>
      <c r="M74" s="285" t="n"/>
      <c r="N74" s="285" t="n"/>
      <c r="O74" s="731" t="n">
        <v>0.0809</v>
      </c>
      <c r="P74" s="731" t="n">
        <v>0.3054</v>
      </c>
      <c r="Q74" s="285" t="n"/>
      <c r="R74" s="285" t="n"/>
      <c r="S74" s="285" t="n"/>
      <c r="T74" s="285" t="n"/>
      <c r="U74" s="285" t="n"/>
      <c r="V74" s="285" t="n"/>
      <c r="W74" s="285" t="n"/>
      <c r="X74" s="285" t="n"/>
      <c r="Y74" s="285" t="n"/>
      <c r="Z74" s="285" t="n"/>
      <c r="AA74" s="285" t="n"/>
      <c r="AB74" s="285" t="n"/>
      <c r="AC74" s="731" t="n">
        <v>0.4686</v>
      </c>
      <c r="AD74" s="285" t="n"/>
      <c r="AE74" s="285" t="n"/>
      <c r="AF74" s="731" t="n">
        <v>0.3395</v>
      </c>
      <c r="AG74" s="285" t="n"/>
      <c r="AH74" s="731" t="n">
        <v>1.1944</v>
      </c>
      <c r="AI74" s="731" t="n">
        <v>2.8499</v>
      </c>
      <c r="AJ74" s="731" t="n">
        <v>4.0443</v>
      </c>
      <c r="AK74" s="285" t="n"/>
      <c r="AL74" s="285" t="n"/>
      <c r="AM74" s="286" t="inlineStr">
        <is>
          <t>NNN landlord expenses only; from AXG Whse Expenses PSF.xlsx (R0172865)</t>
        </is>
      </c>
    </row>
    <row r="75" ht="14" customHeight="1" s="518">
      <c r="A75" s="151" t="inlineStr">
        <is>
          <t>P034</t>
        </is>
      </c>
      <c r="B75" s="150" t="n">
        <v>407</v>
      </c>
      <c r="C75" s="151" t="inlineStr">
        <is>
          <t>R0172865</t>
        </is>
      </c>
      <c r="D75" s="269" t="inlineStr">
        <is>
          <t>Majestic Commercenter (R0172865)</t>
        </is>
      </c>
      <c r="E75" s="151" t="inlineStr">
        <is>
          <t>Commerce City</t>
        </is>
      </c>
      <c r="F75" s="151" t="inlineStr">
        <is>
          <t>CO</t>
        </is>
      </c>
      <c r="G75" s="151" t="inlineStr">
        <is>
          <t>Industrial</t>
        </is>
      </c>
      <c r="H75" s="269" t="inlineStr">
        <is>
          <t>Warehouse NNN</t>
        </is>
      </c>
      <c r="I75" s="161" t="n">
        <v>2008</v>
      </c>
      <c r="J75" s="161" t="n">
        <v>215461</v>
      </c>
      <c r="K75" s="161" t="n">
        <v>2022</v>
      </c>
      <c r="L75" s="151" t="n"/>
      <c r="M75" s="151" t="n"/>
      <c r="N75" s="151" t="n"/>
      <c r="O75" s="732" t="n">
        <v>0.0852</v>
      </c>
      <c r="P75" s="732" t="n">
        <v>0.2898</v>
      </c>
      <c r="Q75" s="151" t="n"/>
      <c r="R75" s="151" t="n"/>
      <c r="S75" s="151" t="n"/>
      <c r="T75" s="151" t="n"/>
      <c r="U75" s="151" t="n"/>
      <c r="V75" s="151" t="n"/>
      <c r="W75" s="151" t="n"/>
      <c r="X75" s="151" t="n"/>
      <c r="Y75" s="151" t="n"/>
      <c r="Z75" s="151" t="n"/>
      <c r="AA75" s="151" t="n"/>
      <c r="AB75" s="151" t="n"/>
      <c r="AC75" s="732" t="n">
        <v>0.3409</v>
      </c>
      <c r="AD75" s="151" t="n"/>
      <c r="AE75" s="151" t="n"/>
      <c r="AF75" s="732" t="n">
        <v>0.348</v>
      </c>
      <c r="AG75" s="151" t="n"/>
      <c r="AH75" s="732" t="n">
        <v>1.0639</v>
      </c>
      <c r="AI75" s="732" t="n">
        <v>2.7419</v>
      </c>
      <c r="AJ75" s="732" t="n">
        <v>3.8058</v>
      </c>
      <c r="AK75" s="151" t="n"/>
      <c r="AL75" s="151" t="n"/>
      <c r="AM75" s="269" t="inlineStr">
        <is>
          <t>NNN landlord expenses only; from AXG Whse Expenses PSF.xlsx (R0172865)</t>
        </is>
      </c>
    </row>
    <row r="76" ht="14" customHeight="1" s="518">
      <c r="A76" s="285" t="inlineStr">
        <is>
          <t>P035</t>
        </is>
      </c>
      <c r="B76" s="150" t="n">
        <v>407</v>
      </c>
      <c r="C76" s="285" t="inlineStr">
        <is>
          <t>R0172867</t>
        </is>
      </c>
      <c r="D76" s="286" t="inlineStr">
        <is>
          <t>Majestic Commercenter (R0172867)</t>
        </is>
      </c>
      <c r="E76" s="285" t="inlineStr">
        <is>
          <t>Commerce City</t>
        </is>
      </c>
      <c r="F76" s="285" t="inlineStr">
        <is>
          <t>CO</t>
        </is>
      </c>
      <c r="G76" s="285" t="inlineStr">
        <is>
          <t>Industrial</t>
        </is>
      </c>
      <c r="H76" s="286" t="inlineStr">
        <is>
          <t>Warehouse NNN</t>
        </is>
      </c>
      <c r="I76" s="287" t="n">
        <v>2007</v>
      </c>
      <c r="J76" s="287" t="n">
        <v>215560</v>
      </c>
      <c r="K76" s="287" t="n">
        <v>2021</v>
      </c>
      <c r="L76" s="285" t="n"/>
      <c r="M76" s="285" t="n"/>
      <c r="N76" s="285" t="n"/>
      <c r="O76" s="731" t="n">
        <v>0.0975</v>
      </c>
      <c r="P76" s="731" t="n">
        <v>0.2429</v>
      </c>
      <c r="Q76" s="285" t="n"/>
      <c r="R76" s="285" t="n"/>
      <c r="S76" s="285" t="n"/>
      <c r="T76" s="285" t="n"/>
      <c r="U76" s="285" t="n"/>
      <c r="V76" s="285" t="n"/>
      <c r="W76" s="285" t="n"/>
      <c r="X76" s="285" t="n"/>
      <c r="Y76" s="285" t="n"/>
      <c r="Z76" s="285" t="n"/>
      <c r="AA76" s="285" t="n"/>
      <c r="AB76" s="285" t="n"/>
      <c r="AC76" s="731" t="n">
        <v>0.2979</v>
      </c>
      <c r="AD76" s="285" t="n"/>
      <c r="AE76" s="285" t="n"/>
      <c r="AF76" s="731" t="n">
        <v>0.3114</v>
      </c>
      <c r="AG76" s="285" t="n"/>
      <c r="AH76" s="731" t="n">
        <v>0.9497</v>
      </c>
      <c r="AI76" s="731" t="n">
        <v>2.4921</v>
      </c>
      <c r="AJ76" s="731" t="n">
        <v>3.4419</v>
      </c>
      <c r="AK76" s="285" t="n"/>
      <c r="AL76" s="285" t="n"/>
      <c r="AM76" s="286" t="inlineStr">
        <is>
          <t>NNN landlord expenses only; from AXG Whse Expenses PSF.xlsx (R0172867)</t>
        </is>
      </c>
    </row>
    <row r="77" ht="14" customHeight="1" s="518">
      <c r="A77" s="151" t="inlineStr">
        <is>
          <t>P035</t>
        </is>
      </c>
      <c r="B77" s="150" t="n">
        <v>407</v>
      </c>
      <c r="C77" s="151" t="inlineStr">
        <is>
          <t>R0172867</t>
        </is>
      </c>
      <c r="D77" s="269" t="inlineStr">
        <is>
          <t>Majestic Commercenter (R0172867)</t>
        </is>
      </c>
      <c r="E77" s="151" t="inlineStr">
        <is>
          <t>Commerce City</t>
        </is>
      </c>
      <c r="F77" s="151" t="inlineStr">
        <is>
          <t>CO</t>
        </is>
      </c>
      <c r="G77" s="151" t="inlineStr">
        <is>
          <t>Industrial</t>
        </is>
      </c>
      <c r="H77" s="269" t="inlineStr">
        <is>
          <t>Warehouse NNN</t>
        </is>
      </c>
      <c r="I77" s="161" t="n">
        <v>2007</v>
      </c>
      <c r="J77" s="161" t="n">
        <v>215560</v>
      </c>
      <c r="K77" s="161" t="n">
        <v>2022</v>
      </c>
      <c r="L77" s="151" t="n"/>
      <c r="M77" s="151" t="n"/>
      <c r="N77" s="151" t="n"/>
      <c r="O77" s="732" t="n">
        <v>0.1037</v>
      </c>
      <c r="P77" s="732" t="n">
        <v>0.2556</v>
      </c>
      <c r="Q77" s="151" t="n"/>
      <c r="R77" s="151" t="n"/>
      <c r="S77" s="151" t="n"/>
      <c r="T77" s="151" t="n"/>
      <c r="U77" s="151" t="n"/>
      <c r="V77" s="151" t="n"/>
      <c r="W77" s="151" t="n"/>
      <c r="X77" s="151" t="n"/>
      <c r="Y77" s="151" t="n"/>
      <c r="Z77" s="151" t="n"/>
      <c r="AA77" s="151" t="n"/>
      <c r="AB77" s="151" t="n"/>
      <c r="AC77" s="732" t="n">
        <v>0.3121</v>
      </c>
      <c r="AD77" s="151" t="n"/>
      <c r="AE77" s="151" t="n"/>
      <c r="AF77" s="732" t="n">
        <v>0.3342</v>
      </c>
      <c r="AG77" s="151" t="n"/>
      <c r="AH77" s="732" t="n">
        <v>1.0056</v>
      </c>
      <c r="AI77" s="732" t="n">
        <v>2.5896</v>
      </c>
      <c r="AJ77" s="732" t="n">
        <v>3.5952</v>
      </c>
      <c r="AK77" s="151" t="n"/>
      <c r="AL77" s="151" t="n"/>
      <c r="AM77" s="269" t="inlineStr">
        <is>
          <t>NNN landlord expenses only; from AXG Whse Expenses PSF.xlsx (R0172867)</t>
        </is>
      </c>
    </row>
    <row r="78" ht="14" customHeight="1" s="518">
      <c r="A78" s="285" t="inlineStr">
        <is>
          <t>P036</t>
        </is>
      </c>
      <c r="B78" s="150" t="n">
        <v>407</v>
      </c>
      <c r="C78" s="285" t="inlineStr">
        <is>
          <t>R0172868</t>
        </is>
      </c>
      <c r="D78" s="286" t="inlineStr">
        <is>
          <t>Majestic Commercenter (R0172868)</t>
        </is>
      </c>
      <c r="E78" s="285" t="inlineStr">
        <is>
          <t>Commerce City</t>
        </is>
      </c>
      <c r="F78" s="285" t="inlineStr">
        <is>
          <t>CO</t>
        </is>
      </c>
      <c r="G78" s="285" t="inlineStr">
        <is>
          <t>Industrial</t>
        </is>
      </c>
      <c r="H78" s="286" t="inlineStr">
        <is>
          <t>Warehouse NNN</t>
        </is>
      </c>
      <c r="I78" s="287" t="n">
        <v>2007</v>
      </c>
      <c r="J78" s="287" t="n">
        <v>202091</v>
      </c>
      <c r="K78" s="287" t="n">
        <v>2021</v>
      </c>
      <c r="L78" s="285" t="n"/>
      <c r="M78" s="285" t="n"/>
      <c r="N78" s="285" t="n"/>
      <c r="O78" s="731" t="n">
        <v>0.0863</v>
      </c>
      <c r="P78" s="731" t="n">
        <v>0.1541</v>
      </c>
      <c r="Q78" s="285" t="n"/>
      <c r="R78" s="285" t="n"/>
      <c r="S78" s="285" t="n"/>
      <c r="T78" s="285" t="n"/>
      <c r="U78" s="285" t="n"/>
      <c r="V78" s="285" t="n"/>
      <c r="W78" s="285" t="n"/>
      <c r="X78" s="285" t="n"/>
      <c r="Y78" s="285" t="n"/>
      <c r="Z78" s="285" t="n"/>
      <c r="AA78" s="285" t="n"/>
      <c r="AB78" s="285" t="n"/>
      <c r="AC78" s="731" t="n">
        <v>0.4114</v>
      </c>
      <c r="AD78" s="285" t="n"/>
      <c r="AE78" s="285" t="n"/>
      <c r="AF78" s="285" t="n"/>
      <c r="AG78" s="285" t="n"/>
      <c r="AH78" s="731" t="n">
        <v>0.6518</v>
      </c>
      <c r="AI78" s="731" t="n">
        <v>2.4692</v>
      </c>
      <c r="AJ78" s="731" t="n">
        <v>3.121</v>
      </c>
      <c r="AK78" s="285" t="n"/>
      <c r="AL78" s="285" t="n"/>
      <c r="AM78" s="286" t="inlineStr">
        <is>
          <t>NNN landlord expenses only; from AXG Whse Expenses PSF.xlsx (R0172868)</t>
        </is>
      </c>
    </row>
    <row r="79" ht="14" customHeight="1" s="518">
      <c r="A79" s="151" t="inlineStr">
        <is>
          <t>P036</t>
        </is>
      </c>
      <c r="B79" s="150" t="n">
        <v>407</v>
      </c>
      <c r="C79" s="151" t="inlineStr">
        <is>
          <t>R0172868</t>
        </is>
      </c>
      <c r="D79" s="269" t="inlineStr">
        <is>
          <t>Majestic Commercenter (R0172868)</t>
        </is>
      </c>
      <c r="E79" s="151" t="inlineStr">
        <is>
          <t>Commerce City</t>
        </is>
      </c>
      <c r="F79" s="151" t="inlineStr">
        <is>
          <t>CO</t>
        </is>
      </c>
      <c r="G79" s="151" t="inlineStr">
        <is>
          <t>Industrial</t>
        </is>
      </c>
      <c r="H79" s="269" t="inlineStr">
        <is>
          <t>Warehouse NNN</t>
        </is>
      </c>
      <c r="I79" s="161" t="n">
        <v>2007</v>
      </c>
      <c r="J79" s="161" t="n">
        <v>202091</v>
      </c>
      <c r="K79" s="161" t="n">
        <v>2022</v>
      </c>
      <c r="L79" s="151" t="n"/>
      <c r="M79" s="151" t="n"/>
      <c r="N79" s="151" t="n"/>
      <c r="O79" s="732" t="n">
        <v>0.09180000000000001</v>
      </c>
      <c r="P79" s="732" t="n">
        <v>0.1363</v>
      </c>
      <c r="Q79" s="151" t="n"/>
      <c r="R79" s="151" t="n"/>
      <c r="S79" s="151" t="n"/>
      <c r="T79" s="151" t="n"/>
      <c r="U79" s="151" t="n"/>
      <c r="V79" s="151" t="n"/>
      <c r="W79" s="151" t="n"/>
      <c r="X79" s="151" t="n"/>
      <c r="Y79" s="151" t="n"/>
      <c r="Z79" s="151" t="n"/>
      <c r="AA79" s="151" t="n"/>
      <c r="AB79" s="151" t="n"/>
      <c r="AC79" s="732" t="n">
        <v>0.3275</v>
      </c>
      <c r="AD79" s="151" t="n"/>
      <c r="AE79" s="151" t="n"/>
      <c r="AF79" s="151" t="n"/>
      <c r="AG79" s="151" t="n"/>
      <c r="AH79" s="732" t="n">
        <v>0.5556</v>
      </c>
      <c r="AI79" s="732" t="n">
        <v>2.5219</v>
      </c>
      <c r="AJ79" s="732" t="n">
        <v>3.0775</v>
      </c>
      <c r="AK79" s="151" t="n"/>
      <c r="AL79" s="151" t="n"/>
      <c r="AM79" s="269" t="inlineStr">
        <is>
          <t>NNN landlord expenses only; from AXG Whse Expenses PSF.xlsx (R0172868)</t>
        </is>
      </c>
    </row>
    <row r="80" ht="14" customHeight="1" s="518">
      <c r="A80" s="285" t="inlineStr">
        <is>
          <t>P037</t>
        </is>
      </c>
      <c r="B80" s="150" t="n">
        <v>407</v>
      </c>
      <c r="C80" s="285" t="inlineStr">
        <is>
          <t>R0145680</t>
        </is>
      </c>
      <c r="D80" s="286" t="inlineStr">
        <is>
          <t>Majestic Commercenter (R0145680)</t>
        </is>
      </c>
      <c r="E80" s="285" t="inlineStr">
        <is>
          <t>Commerce City</t>
        </is>
      </c>
      <c r="F80" s="285" t="inlineStr">
        <is>
          <t>CO</t>
        </is>
      </c>
      <c r="G80" s="285" t="inlineStr">
        <is>
          <t>Industrial</t>
        </is>
      </c>
      <c r="H80" s="286" t="inlineStr">
        <is>
          <t>Warehouse NNN</t>
        </is>
      </c>
      <c r="I80" s="287" t="n">
        <v>2001</v>
      </c>
      <c r="J80" s="287" t="n">
        <v>150027</v>
      </c>
      <c r="K80" s="287" t="n">
        <v>2021</v>
      </c>
      <c r="L80" s="285" t="n"/>
      <c r="M80" s="285" t="n"/>
      <c r="N80" s="285" t="n"/>
      <c r="O80" s="731" t="n">
        <v>0.0779</v>
      </c>
      <c r="P80" s="731" t="n">
        <v>0.2768</v>
      </c>
      <c r="Q80" s="285" t="n"/>
      <c r="R80" s="285" t="n"/>
      <c r="S80" s="285" t="n"/>
      <c r="T80" s="285" t="n"/>
      <c r="U80" s="285" t="n"/>
      <c r="V80" s="285" t="n"/>
      <c r="W80" s="285" t="n"/>
      <c r="X80" s="285" t="n"/>
      <c r="Y80" s="285" t="n"/>
      <c r="Z80" s="285" t="n"/>
      <c r="AA80" s="285" t="n"/>
      <c r="AB80" s="285" t="n"/>
      <c r="AC80" s="731" t="n">
        <v>0.3322</v>
      </c>
      <c r="AD80" s="285" t="n"/>
      <c r="AE80" s="285" t="n"/>
      <c r="AF80" s="285" t="n"/>
      <c r="AG80" s="285" t="n"/>
      <c r="AH80" s="731" t="n">
        <v>0.6868</v>
      </c>
      <c r="AI80" s="731" t="n">
        <v>2.8525</v>
      </c>
      <c r="AJ80" s="731" t="n">
        <v>3.5393</v>
      </c>
      <c r="AK80" s="285" t="n"/>
      <c r="AL80" s="285" t="n"/>
      <c r="AM80" s="286" t="inlineStr">
        <is>
          <t>NNN landlord expenses only; from AXG Whse Expenses PSF.xlsx (R0145680)</t>
        </is>
      </c>
    </row>
    <row r="81" ht="14" customHeight="1" s="518">
      <c r="A81" s="151" t="inlineStr">
        <is>
          <t>P037</t>
        </is>
      </c>
      <c r="B81" s="150" t="n">
        <v>407</v>
      </c>
      <c r="C81" s="151" t="inlineStr">
        <is>
          <t>R0145680</t>
        </is>
      </c>
      <c r="D81" s="269" t="inlineStr">
        <is>
          <t>Majestic Commercenter (R0145680)</t>
        </is>
      </c>
      <c r="E81" s="151" t="inlineStr">
        <is>
          <t>Commerce City</t>
        </is>
      </c>
      <c r="F81" s="151" t="inlineStr">
        <is>
          <t>CO</t>
        </is>
      </c>
      <c r="G81" s="151" t="inlineStr">
        <is>
          <t>Industrial</t>
        </is>
      </c>
      <c r="H81" s="269" t="inlineStr">
        <is>
          <t>Warehouse NNN</t>
        </is>
      </c>
      <c r="I81" s="161" t="n">
        <v>2001</v>
      </c>
      <c r="J81" s="161" t="n">
        <v>150027</v>
      </c>
      <c r="K81" s="161" t="n">
        <v>2022</v>
      </c>
      <c r="L81" s="151" t="n"/>
      <c r="M81" s="151" t="n"/>
      <c r="N81" s="151" t="n"/>
      <c r="O81" s="732" t="n">
        <v>0.0828</v>
      </c>
      <c r="P81" s="732" t="n">
        <v>0.2294</v>
      </c>
      <c r="Q81" s="151" t="n"/>
      <c r="R81" s="151" t="n"/>
      <c r="S81" s="151" t="n"/>
      <c r="T81" s="151" t="n"/>
      <c r="U81" s="151" t="n"/>
      <c r="V81" s="151" t="n"/>
      <c r="W81" s="151" t="n"/>
      <c r="X81" s="151" t="n"/>
      <c r="Y81" s="151" t="n"/>
      <c r="Z81" s="151" t="n"/>
      <c r="AA81" s="151" t="n"/>
      <c r="AB81" s="151" t="n"/>
      <c r="AC81" s="732" t="n">
        <v>0.3617</v>
      </c>
      <c r="AD81" s="151" t="n"/>
      <c r="AE81" s="151" t="n"/>
      <c r="AF81" s="151" t="n"/>
      <c r="AG81" s="151" t="n"/>
      <c r="AH81" s="732" t="n">
        <v>0.6739000000000001</v>
      </c>
      <c r="AI81" s="732" t="n">
        <v>2.7388</v>
      </c>
      <c r="AJ81" s="732" t="n">
        <v>3.4127</v>
      </c>
      <c r="AK81" s="151" t="n"/>
      <c r="AL81" s="151" t="n"/>
      <c r="AM81" s="269" t="inlineStr">
        <is>
          <t>NNN landlord expenses only; from AXG Whse Expenses PSF.xlsx (R0145680)</t>
        </is>
      </c>
    </row>
    <row r="82" ht="14" customHeight="1" s="518">
      <c r="A82" s="285" t="inlineStr">
        <is>
          <t>P038</t>
        </is>
      </c>
      <c r="B82" s="150" t="n">
        <v>584</v>
      </c>
      <c r="C82" s="285" t="inlineStr">
        <is>
          <t>R0181787</t>
        </is>
      </c>
      <c r="D82" s="286" t="inlineStr">
        <is>
          <t>Majestic Commercenter (R0181787)</t>
        </is>
      </c>
      <c r="E82" s="285" t="inlineStr">
        <is>
          <t>Commerce City</t>
        </is>
      </c>
      <c r="F82" s="285" t="inlineStr">
        <is>
          <t>CO</t>
        </is>
      </c>
      <c r="G82" s="285" t="inlineStr">
        <is>
          <t>Industrial</t>
        </is>
      </c>
      <c r="H82" s="286" t="inlineStr">
        <is>
          <t>Warehouse NNN</t>
        </is>
      </c>
      <c r="I82" s="287" t="n">
        <v>2013</v>
      </c>
      <c r="J82" s="287" t="n">
        <v>500358</v>
      </c>
      <c r="K82" s="287" t="n">
        <v>2021</v>
      </c>
      <c r="L82" s="285" t="n"/>
      <c r="M82" s="285" t="n"/>
      <c r="N82" s="285" t="n"/>
      <c r="O82" s="731" t="n">
        <v>0.0743</v>
      </c>
      <c r="P82" s="731" t="n">
        <v>0.2354</v>
      </c>
      <c r="Q82" s="285" t="n"/>
      <c r="R82" s="285" t="n"/>
      <c r="S82" s="285" t="n"/>
      <c r="T82" s="285" t="n"/>
      <c r="U82" s="285" t="n"/>
      <c r="V82" s="285" t="n"/>
      <c r="W82" s="285" t="n"/>
      <c r="X82" s="285" t="n"/>
      <c r="Y82" s="285" t="n"/>
      <c r="Z82" s="285" t="n"/>
      <c r="AA82" s="285" t="n"/>
      <c r="AB82" s="285" t="n"/>
      <c r="AC82" s="731" t="n">
        <v>0.3128</v>
      </c>
      <c r="AD82" s="285" t="n"/>
      <c r="AE82" s="285" t="n"/>
      <c r="AF82" s="731" t="n">
        <v>0.2341</v>
      </c>
      <c r="AG82" s="285" t="n"/>
      <c r="AH82" s="731" t="n">
        <v>0.8566</v>
      </c>
      <c r="AI82" s="731" t="n">
        <v>2.2838</v>
      </c>
      <c r="AJ82" s="731" t="n">
        <v>3.1403</v>
      </c>
      <c r="AK82" s="285" t="n"/>
      <c r="AL82" s="285" t="n"/>
      <c r="AM82" s="286" t="inlineStr">
        <is>
          <t>NNN landlord expenses only; from AXG Whse Expenses PSF.xlsx (R0181787)</t>
        </is>
      </c>
    </row>
    <row r="83" ht="14" customHeight="1" s="518">
      <c r="A83" s="151" t="inlineStr">
        <is>
          <t>P038</t>
        </is>
      </c>
      <c r="B83" s="150" t="n">
        <v>584</v>
      </c>
      <c r="C83" s="151" t="inlineStr">
        <is>
          <t>R0181787</t>
        </is>
      </c>
      <c r="D83" s="269" t="inlineStr">
        <is>
          <t>Majestic Commercenter (R0181787)</t>
        </is>
      </c>
      <c r="E83" s="151" t="inlineStr">
        <is>
          <t>Commerce City</t>
        </is>
      </c>
      <c r="F83" s="151" t="inlineStr">
        <is>
          <t>CO</t>
        </is>
      </c>
      <c r="G83" s="151" t="inlineStr">
        <is>
          <t>Industrial</t>
        </is>
      </c>
      <c r="H83" s="269" t="inlineStr">
        <is>
          <t>Warehouse NNN</t>
        </is>
      </c>
      <c r="I83" s="161" t="n">
        <v>2013</v>
      </c>
      <c r="J83" s="161" t="n">
        <v>500358</v>
      </c>
      <c r="K83" s="161" t="n">
        <v>2022</v>
      </c>
      <c r="L83" s="151" t="n"/>
      <c r="M83" s="151" t="n"/>
      <c r="N83" s="151" t="n"/>
      <c r="O83" s="732" t="n">
        <v>0.079</v>
      </c>
      <c r="P83" s="732" t="n">
        <v>0.2014</v>
      </c>
      <c r="Q83" s="151" t="n"/>
      <c r="R83" s="151" t="n"/>
      <c r="S83" s="151" t="n"/>
      <c r="T83" s="151" t="n"/>
      <c r="U83" s="151" t="n"/>
      <c r="V83" s="151" t="n"/>
      <c r="W83" s="151" t="n"/>
      <c r="X83" s="151" t="n"/>
      <c r="Y83" s="151" t="n"/>
      <c r="Z83" s="151" t="n"/>
      <c r="AA83" s="151" t="n"/>
      <c r="AB83" s="151" t="n"/>
      <c r="AC83" s="732" t="n">
        <v>0.2328</v>
      </c>
      <c r="AD83" s="151" t="n"/>
      <c r="AE83" s="151" t="n"/>
      <c r="AF83" s="732" t="n">
        <v>0.2263</v>
      </c>
      <c r="AG83" s="151" t="n"/>
      <c r="AH83" s="732" t="n">
        <v>0.7396</v>
      </c>
      <c r="AI83" s="732" t="n">
        <v>2.5398</v>
      </c>
      <c r="AJ83" s="732" t="n">
        <v>3.2794</v>
      </c>
      <c r="AK83" s="151" t="n"/>
      <c r="AL83" s="151" t="n"/>
      <c r="AM83" s="269" t="inlineStr">
        <is>
          <t>NNN landlord expenses only; from AXG Whse Expenses PSF.xlsx (R0181787)</t>
        </is>
      </c>
    </row>
    <row r="84" ht="14" customHeight="1" s="518">
      <c r="A84" s="285" t="inlineStr">
        <is>
          <t>P039</t>
        </is>
      </c>
      <c r="B84" s="150" t="n">
        <v>584</v>
      </c>
      <c r="C84" s="285" t="inlineStr">
        <is>
          <t>R0191101</t>
        </is>
      </c>
      <c r="D84" s="286" t="inlineStr">
        <is>
          <t>Majestic Commercenter (R0191101)</t>
        </is>
      </c>
      <c r="E84" s="285" t="inlineStr">
        <is>
          <t>Commerce City</t>
        </is>
      </c>
      <c r="F84" s="285" t="inlineStr">
        <is>
          <t>CO</t>
        </is>
      </c>
      <c r="G84" s="285" t="inlineStr">
        <is>
          <t>Industrial</t>
        </is>
      </c>
      <c r="H84" s="286" t="inlineStr">
        <is>
          <t>Warehouse NNN</t>
        </is>
      </c>
      <c r="I84" s="287" t="n">
        <v>2017</v>
      </c>
      <c r="J84" s="287" t="n">
        <v>522120</v>
      </c>
      <c r="K84" s="287" t="n">
        <v>2021</v>
      </c>
      <c r="L84" s="285" t="n"/>
      <c r="M84" s="285" t="n"/>
      <c r="N84" s="285" t="n"/>
      <c r="O84" s="731" t="n">
        <v>0.0822</v>
      </c>
      <c r="P84" s="731" t="n">
        <v>0.2582</v>
      </c>
      <c r="Q84" s="285" t="n"/>
      <c r="R84" s="285" t="n"/>
      <c r="S84" s="285" t="n"/>
      <c r="T84" s="285" t="n"/>
      <c r="U84" s="285" t="n"/>
      <c r="V84" s="285" t="n"/>
      <c r="W84" s="285" t="n"/>
      <c r="X84" s="285" t="n"/>
      <c r="Y84" s="285" t="n"/>
      <c r="Z84" s="285" t="n"/>
      <c r="AA84" s="285" t="n"/>
      <c r="AB84" s="285" t="n"/>
      <c r="AC84" s="731" t="n">
        <v>0.2825</v>
      </c>
      <c r="AD84" s="285" t="n"/>
      <c r="AE84" s="285" t="n"/>
      <c r="AF84" s="731" t="n">
        <v>0.1793</v>
      </c>
      <c r="AG84" s="285" t="n"/>
      <c r="AH84" s="731" t="n">
        <v>0.8022</v>
      </c>
      <c r="AI84" s="731" t="n">
        <v>2.1785</v>
      </c>
      <c r="AJ84" s="731" t="n">
        <v>2.9807</v>
      </c>
      <c r="AK84" s="285" t="n"/>
      <c r="AL84" s="285" t="n"/>
      <c r="AM84" s="286" t="inlineStr">
        <is>
          <t>NNN landlord expenses only; from AXG Whse Expenses PSF.xlsx (R0191101)</t>
        </is>
      </c>
    </row>
    <row r="85" ht="14" customHeight="1" s="518">
      <c r="A85" s="151" t="inlineStr">
        <is>
          <t>P039</t>
        </is>
      </c>
      <c r="B85" s="150" t="n">
        <v>584</v>
      </c>
      <c r="C85" s="151" t="inlineStr">
        <is>
          <t>R0191101</t>
        </is>
      </c>
      <c r="D85" s="269" t="inlineStr">
        <is>
          <t>Majestic Commercenter (R0191101)</t>
        </is>
      </c>
      <c r="E85" s="151" t="inlineStr">
        <is>
          <t>Commerce City</t>
        </is>
      </c>
      <c r="F85" s="151" t="inlineStr">
        <is>
          <t>CO</t>
        </is>
      </c>
      <c r="G85" s="151" t="inlineStr">
        <is>
          <t>Industrial</t>
        </is>
      </c>
      <c r="H85" s="269" t="inlineStr">
        <is>
          <t>Warehouse NNN</t>
        </is>
      </c>
      <c r="I85" s="161" t="n">
        <v>2017</v>
      </c>
      <c r="J85" s="161" t="n">
        <v>522120</v>
      </c>
      <c r="K85" s="161" t="n">
        <v>2022</v>
      </c>
      <c r="L85" s="151" t="n"/>
      <c r="M85" s="151" t="n"/>
      <c r="N85" s="151" t="n"/>
      <c r="O85" s="732" t="n">
        <v>0.08740000000000001</v>
      </c>
      <c r="P85" s="732" t="n">
        <v>0.2219</v>
      </c>
      <c r="Q85" s="151" t="n"/>
      <c r="R85" s="151" t="n"/>
      <c r="S85" s="151" t="n"/>
      <c r="T85" s="151" t="n"/>
      <c r="U85" s="151" t="n"/>
      <c r="V85" s="151" t="n"/>
      <c r="W85" s="151" t="n"/>
      <c r="X85" s="151" t="n"/>
      <c r="Y85" s="151" t="n"/>
      <c r="Z85" s="151" t="n"/>
      <c r="AA85" s="151" t="n"/>
      <c r="AB85" s="151" t="n"/>
      <c r="AC85" s="732" t="n">
        <v>0.1719</v>
      </c>
      <c r="AD85" s="151" t="n"/>
      <c r="AE85" s="151" t="n"/>
      <c r="AF85" s="732" t="n">
        <v>0.1738</v>
      </c>
      <c r="AG85" s="151" t="n"/>
      <c r="AH85" s="732" t="n">
        <v>0.655</v>
      </c>
      <c r="AI85" s="732" t="n">
        <v>2.2402</v>
      </c>
      <c r="AJ85" s="732" t="n">
        <v>2.8952</v>
      </c>
      <c r="AK85" s="151" t="n"/>
      <c r="AL85" s="151" t="n"/>
      <c r="AM85" s="269" t="inlineStr">
        <is>
          <t>NNN landlord expenses only; from AXG Whse Expenses PSF.xlsx (R0191101)</t>
        </is>
      </c>
    </row>
    <row r="86" ht="14" customHeight="1" s="518">
      <c r="A86" s="285" t="inlineStr">
        <is>
          <t>P040</t>
        </is>
      </c>
      <c r="B86" s="150" t="n">
        <v>407</v>
      </c>
      <c r="C86" s="285" t="inlineStr">
        <is>
          <t>R0202874</t>
        </is>
      </c>
      <c r="D86" s="286" t="inlineStr">
        <is>
          <t>900 E 128th Ave</t>
        </is>
      </c>
      <c r="E86" s="285" t="inlineStr">
        <is>
          <t>Henderson</t>
        </is>
      </c>
      <c r="F86" s="285" t="inlineStr">
        <is>
          <t>CO</t>
        </is>
      </c>
      <c r="G86" s="285" t="inlineStr">
        <is>
          <t>Industrial</t>
        </is>
      </c>
      <c r="H86" s="286" t="inlineStr">
        <is>
          <t>Last-Mile Distribution NNN</t>
        </is>
      </c>
      <c r="I86" s="287" t="n"/>
      <c r="J86" s="287" t="n"/>
      <c r="K86" s="287" t="n">
        <v>2021</v>
      </c>
      <c r="L86" s="290" t="n">
        <v>2633716</v>
      </c>
      <c r="M86" s="285" t="n"/>
      <c r="N86" s="290" t="n">
        <v>3256403</v>
      </c>
      <c r="O86" s="290" t="n">
        <v>56624</v>
      </c>
      <c r="P86" s="285" t="n"/>
      <c r="Q86" s="290" t="n">
        <v>300</v>
      </c>
      <c r="R86" s="285" t="n"/>
      <c r="S86" s="285" t="n"/>
      <c r="T86" s="285" t="n"/>
      <c r="U86" s="285" t="n"/>
      <c r="V86" s="285" t="n"/>
      <c r="W86" s="285" t="n"/>
      <c r="X86" s="290" t="n">
        <v>29535</v>
      </c>
      <c r="Y86" s="290" t="n">
        <v>30138</v>
      </c>
      <c r="Z86" s="285" t="n"/>
      <c r="AA86" s="290" t="n">
        <v>54136</v>
      </c>
      <c r="AB86" s="290" t="n">
        <v>127274</v>
      </c>
      <c r="AC86" s="285" t="n"/>
      <c r="AD86" s="285" t="n"/>
      <c r="AE86" s="285" t="n"/>
      <c r="AF86" s="290" t="n">
        <v>18748</v>
      </c>
      <c r="AG86" s="285" t="n"/>
      <c r="AH86" s="290" t="n">
        <v>731951</v>
      </c>
      <c r="AI86" s="285" t="n"/>
      <c r="AJ86" s="285" t="n"/>
      <c r="AK86" s="290" t="n">
        <v>2524452</v>
      </c>
      <c r="AL86" s="285" t="n"/>
      <c r="AM86" s="286" t="inlineStr">
        <is>
          <t>[NO SF] Amazon AMZL Site 51812; SF not extracted; RE Tax not broken out in 2021</t>
        </is>
      </c>
    </row>
    <row r="87" ht="14" customHeight="1" s="518">
      <c r="A87" s="151" t="inlineStr">
        <is>
          <t>P040</t>
        </is>
      </c>
      <c r="B87" s="150" t="n">
        <v>407</v>
      </c>
      <c r="C87" s="151" t="inlineStr">
        <is>
          <t>R0202874</t>
        </is>
      </c>
      <c r="D87" s="269" t="inlineStr">
        <is>
          <t>900 E 128th Ave</t>
        </is>
      </c>
      <c r="E87" s="151" t="inlineStr">
        <is>
          <t>Henderson</t>
        </is>
      </c>
      <c r="F87" s="151" t="inlineStr">
        <is>
          <t>CO</t>
        </is>
      </c>
      <c r="G87" s="151" t="inlineStr">
        <is>
          <t>Industrial</t>
        </is>
      </c>
      <c r="H87" s="269" t="inlineStr">
        <is>
          <t>Last-Mile Distribution NNN</t>
        </is>
      </c>
      <c r="I87" s="161" t="n"/>
      <c r="J87" s="161" t="n"/>
      <c r="K87" s="161" t="n">
        <v>2022</v>
      </c>
      <c r="L87" s="151" t="n"/>
      <c r="M87" s="151" t="n"/>
      <c r="N87" s="151" t="n"/>
      <c r="O87" s="151" t="n"/>
      <c r="P87" s="164" t="n">
        <v>69999</v>
      </c>
      <c r="Q87" s="151" t="n"/>
      <c r="R87" s="151" t="n"/>
      <c r="S87" s="151" t="n"/>
      <c r="T87" s="151" t="n"/>
      <c r="U87" s="151" t="n"/>
      <c r="V87" s="151" t="n"/>
      <c r="W87" s="151" t="n"/>
      <c r="X87" s="151" t="n"/>
      <c r="Y87" s="151" t="n"/>
      <c r="Z87" s="151" t="n"/>
      <c r="AA87" s="151" t="n"/>
      <c r="AB87" s="151" t="n"/>
      <c r="AC87" s="151" t="n"/>
      <c r="AD87" s="151" t="n"/>
      <c r="AE87" s="151" t="n"/>
      <c r="AF87" s="151" t="n"/>
      <c r="AG87" s="151" t="n"/>
      <c r="AH87" s="151" t="n"/>
      <c r="AI87" s="164" t="n">
        <v>1080500</v>
      </c>
      <c r="AJ87" s="164" t="n">
        <v>1527913</v>
      </c>
      <c r="AK87" s="164" t="n">
        <v>2475461</v>
      </c>
      <c r="AL87" s="151" t="n"/>
      <c r="AM87" s="269" t="inlineStr">
        <is>
          <t>[NO SF] Amazon AMZL Site 51812; 2022 dominated by RE Tax $1.08M; asset mgmt fee $70k</t>
        </is>
      </c>
    </row>
    <row r="88" ht="14" customHeight="1" s="518">
      <c r="A88" s="285" t="inlineStr">
        <is>
          <t>P041</t>
        </is>
      </c>
      <c r="B88" s="150" t="n">
        <v>386</v>
      </c>
      <c r="C88" s="285" t="inlineStr">
        <is>
          <t>R0189384</t>
        </is>
      </c>
      <c r="D88" s="286" t="inlineStr">
        <is>
          <t>1101 Colorado Blvd</t>
        </is>
      </c>
      <c r="E88" s="285" t="inlineStr">
        <is>
          <t>Thornton</t>
        </is>
      </c>
      <c r="F88" s="285" t="inlineStr">
        <is>
          <t>CO</t>
        </is>
      </c>
      <c r="G88" s="285" t="inlineStr">
        <is>
          <t>Self-Storage</t>
        </is>
      </c>
      <c r="H88" s="286" t="inlineStr">
        <is>
          <t>Climate-Controlled</t>
        </is>
      </c>
      <c r="I88" s="287" t="n"/>
      <c r="J88" s="287" t="n">
        <v>65766</v>
      </c>
      <c r="K88" s="287" t="n">
        <v>2021</v>
      </c>
      <c r="L88" s="285" t="n"/>
      <c r="M88" s="285" t="n"/>
      <c r="N88" s="731" t="n">
        <v>13.3807</v>
      </c>
      <c r="O88" s="285" t="n"/>
      <c r="P88" s="285" t="n"/>
      <c r="Q88" s="285" t="n"/>
      <c r="R88" s="285" t="n"/>
      <c r="S88" s="285" t="n"/>
      <c r="T88" s="285" t="n"/>
      <c r="U88" s="285" t="n"/>
      <c r="V88" s="285" t="n"/>
      <c r="W88" s="285" t="n"/>
      <c r="X88" s="285" t="n"/>
      <c r="Y88" s="285" t="n"/>
      <c r="Z88" s="285" t="n"/>
      <c r="AA88" s="285" t="n"/>
      <c r="AB88" s="285" t="n"/>
      <c r="AC88" s="285" t="n"/>
      <c r="AD88" s="285" t="n"/>
      <c r="AE88" s="285" t="n"/>
      <c r="AF88" s="285" t="n"/>
      <c r="AG88" s="285" t="n"/>
      <c r="AH88" s="285" t="n"/>
      <c r="AI88" s="285" t="n"/>
      <c r="AJ88" s="731" t="n">
        <v>6.3574</v>
      </c>
      <c r="AK88" s="731" t="n">
        <v>7.0233</v>
      </c>
      <c r="AL88" s="285" t="n"/>
      <c r="AM88" s="286" t="inlineStr">
        <is>
          <t>Actual SS P&amp;L; mgmt=off-site+on-site combined; admin+adv in Other</t>
        </is>
      </c>
    </row>
    <row r="89" ht="14" customHeight="1" s="518">
      <c r="A89" s="285" t="inlineStr">
        <is>
          <t>P041</t>
        </is>
      </c>
      <c r="B89" s="150" t="n">
        <v>386</v>
      </c>
      <c r="C89" s="285" t="inlineStr">
        <is>
          <t>R0189384</t>
        </is>
      </c>
      <c r="D89" s="286" t="inlineStr">
        <is>
          <t>1101 Colorado Blvd</t>
        </is>
      </c>
      <c r="E89" s="285" t="inlineStr">
        <is>
          <t>Thornton</t>
        </is>
      </c>
      <c r="F89" s="285" t="inlineStr">
        <is>
          <t>CO</t>
        </is>
      </c>
      <c r="G89" s="285" t="inlineStr">
        <is>
          <t>Self-Storage</t>
        </is>
      </c>
      <c r="H89" s="286" t="inlineStr">
        <is>
          <t>Climate-Controlled</t>
        </is>
      </c>
      <c r="I89" s="287" t="n"/>
      <c r="J89" s="287" t="n">
        <v>65766</v>
      </c>
      <c r="K89" s="287" t="n">
        <v>2022</v>
      </c>
      <c r="L89" s="285" t="n"/>
      <c r="M89" s="285" t="n"/>
      <c r="N89" s="731" t="n">
        <v>14.0623</v>
      </c>
      <c r="O89" s="285" t="n"/>
      <c r="P89" s="285" t="n"/>
      <c r="Q89" s="285" t="n"/>
      <c r="R89" s="285" t="n"/>
      <c r="S89" s="285" t="n"/>
      <c r="T89" s="285" t="n"/>
      <c r="U89" s="285" t="n"/>
      <c r="V89" s="285" t="n"/>
      <c r="W89" s="285" t="n"/>
      <c r="X89" s="285" t="n"/>
      <c r="Y89" s="285" t="n"/>
      <c r="Z89" s="285" t="n"/>
      <c r="AA89" s="285" t="n"/>
      <c r="AB89" s="285" t="n"/>
      <c r="AC89" s="285" t="n"/>
      <c r="AD89" s="285" t="n"/>
      <c r="AE89" s="285" t="n"/>
      <c r="AF89" s="285" t="n"/>
      <c r="AG89" s="285" t="n"/>
      <c r="AH89" s="285" t="n"/>
      <c r="AI89" s="285" t="n"/>
      <c r="AJ89" s="731" t="n">
        <v>6.9302</v>
      </c>
      <c r="AK89" s="731" t="n">
        <v>7.1322</v>
      </c>
      <c r="AL89" s="285" t="n"/>
      <c r="AM89" s="286" t="inlineStr">
        <is>
          <t>Actual SS P&amp;L; mgmt=off-site+on-site combined; admin+adv in Other</t>
        </is>
      </c>
    </row>
    <row r="90" ht="14" customHeight="1" s="518">
      <c r="A90" s="285" t="inlineStr">
        <is>
          <t>P041</t>
        </is>
      </c>
      <c r="B90" s="150" t="n">
        <v>386</v>
      </c>
      <c r="C90" s="285" t="inlineStr">
        <is>
          <t>R0189384</t>
        </is>
      </c>
      <c r="D90" s="286" t="inlineStr">
        <is>
          <t>1101 Colorado Blvd</t>
        </is>
      </c>
      <c r="E90" s="285" t="inlineStr">
        <is>
          <t>Thornton</t>
        </is>
      </c>
      <c r="F90" s="285" t="inlineStr">
        <is>
          <t>CO</t>
        </is>
      </c>
      <c r="G90" s="285" t="inlineStr">
        <is>
          <t>Self-Storage</t>
        </is>
      </c>
      <c r="H90" s="286" t="inlineStr">
        <is>
          <t>Climate-Controlled</t>
        </is>
      </c>
      <c r="I90" s="287" t="n"/>
      <c r="J90" s="287" t="n">
        <v>65766</v>
      </c>
      <c r="K90" s="287" t="n">
        <v>2023</v>
      </c>
      <c r="L90" s="285" t="n"/>
      <c r="M90" s="285" t="n"/>
      <c r="N90" s="731" t="n">
        <v>14.16</v>
      </c>
      <c r="O90" s="731" t="n">
        <v>0.6306</v>
      </c>
      <c r="P90" s="731" t="n">
        <v>1.5829</v>
      </c>
      <c r="Q90" s="285" t="n"/>
      <c r="R90" s="285" t="n"/>
      <c r="S90" s="285" t="n"/>
      <c r="T90" s="285" t="n"/>
      <c r="U90" s="285" t="n"/>
      <c r="V90" s="285" t="n"/>
      <c r="W90" s="285" t="n"/>
      <c r="X90" s="285" t="n"/>
      <c r="Y90" s="731" t="n">
        <v>0.2367</v>
      </c>
      <c r="Z90" s="285" t="n"/>
      <c r="AA90" s="285" t="n"/>
      <c r="AB90" s="285" t="n"/>
      <c r="AC90" s="285" t="n"/>
      <c r="AD90" s="285" t="n"/>
      <c r="AE90" s="285" t="n"/>
      <c r="AF90" s="731" t="n">
        <v>0.5644</v>
      </c>
      <c r="AG90" s="285" t="n"/>
      <c r="AH90" s="731" t="n">
        <v>4.479</v>
      </c>
      <c r="AI90" s="731" t="n">
        <v>2.7358</v>
      </c>
      <c r="AJ90" s="731" t="n">
        <v>7.2147</v>
      </c>
      <c r="AK90" s="731" t="n">
        <v>7.1427</v>
      </c>
      <c r="AL90" s="285" t="n"/>
      <c r="AM90" s="286" t="inlineStr">
        <is>
          <t>Actual SS P&amp;L; mgmt=off-site+on-site combined; admin+adv in Other</t>
        </is>
      </c>
    </row>
    <row r="91" ht="14" customHeight="1" s="518">
      <c r="A91" s="285" t="inlineStr">
        <is>
          <t>P042</t>
        </is>
      </c>
      <c r="B91" s="150" t="n">
        <v>386</v>
      </c>
      <c r="C91" s="285" t="inlineStr">
        <is>
          <t>R0126235</t>
        </is>
      </c>
      <c r="D91" s="286" t="inlineStr">
        <is>
          <t>15024 Laroy Drive</t>
        </is>
      </c>
      <c r="E91" s="285" t="inlineStr">
        <is>
          <t>Northglenn</t>
        </is>
      </c>
      <c r="F91" s="285" t="inlineStr">
        <is>
          <t>CO</t>
        </is>
      </c>
      <c r="G91" s="285" t="inlineStr">
        <is>
          <t>Self-Storage</t>
        </is>
      </c>
      <c r="H91" s="286" t="inlineStr">
        <is>
          <t>Climate-Controlled</t>
        </is>
      </c>
      <c r="I91" s="287" t="n"/>
      <c r="J91" s="287" t="n">
        <v>79950</v>
      </c>
      <c r="K91" s="287" t="n">
        <v>2021</v>
      </c>
      <c r="L91" s="285" t="n"/>
      <c r="M91" s="285" t="n"/>
      <c r="N91" s="731" t="n">
        <v>11.9617</v>
      </c>
      <c r="O91" s="285" t="n"/>
      <c r="P91" s="285" t="n"/>
      <c r="Q91" s="285" t="n"/>
      <c r="R91" s="285" t="n"/>
      <c r="S91" s="285" t="n"/>
      <c r="T91" s="285" t="n"/>
      <c r="U91" s="285" t="n"/>
      <c r="V91" s="285" t="n"/>
      <c r="W91" s="285" t="n"/>
      <c r="X91" s="285" t="n"/>
      <c r="Y91" s="285" t="n"/>
      <c r="Z91" s="285" t="n"/>
      <c r="AA91" s="285" t="n"/>
      <c r="AB91" s="285" t="n"/>
      <c r="AC91" s="285" t="n"/>
      <c r="AD91" s="285" t="n"/>
      <c r="AE91" s="285" t="n"/>
      <c r="AF91" s="285" t="n"/>
      <c r="AG91" s="285" t="n"/>
      <c r="AH91" s="285" t="n"/>
      <c r="AI91" s="285" t="n"/>
      <c r="AJ91" s="731" t="n">
        <v>6.0239</v>
      </c>
      <c r="AK91" s="731" t="n">
        <v>6.4381</v>
      </c>
      <c r="AL91" s="285" t="n"/>
      <c r="AM91" s="286" t="inlineStr">
        <is>
          <t>Actual SS P&amp;L; mgmt=off-site+on-site combined</t>
        </is>
      </c>
    </row>
    <row r="92" ht="14" customHeight="1" s="518">
      <c r="A92" s="285" t="inlineStr">
        <is>
          <t>P042</t>
        </is>
      </c>
      <c r="B92" s="150" t="n">
        <v>386</v>
      </c>
      <c r="C92" s="285" t="inlineStr">
        <is>
          <t>R0126235</t>
        </is>
      </c>
      <c r="D92" s="286" t="inlineStr">
        <is>
          <t>15024 Laroy Drive</t>
        </is>
      </c>
      <c r="E92" s="285" t="inlineStr">
        <is>
          <t>Northglenn</t>
        </is>
      </c>
      <c r="F92" s="285" t="inlineStr">
        <is>
          <t>CO</t>
        </is>
      </c>
      <c r="G92" s="285" t="inlineStr">
        <is>
          <t>Self-Storage</t>
        </is>
      </c>
      <c r="H92" s="286" t="inlineStr">
        <is>
          <t>Climate-Controlled</t>
        </is>
      </c>
      <c r="I92" s="287" t="n"/>
      <c r="J92" s="287" t="n">
        <v>79950</v>
      </c>
      <c r="K92" s="287" t="n">
        <v>2022</v>
      </c>
      <c r="L92" s="285" t="n"/>
      <c r="M92" s="285" t="n"/>
      <c r="N92" s="731" t="n">
        <v>12.7321</v>
      </c>
      <c r="O92" s="285" t="n"/>
      <c r="P92" s="285" t="n"/>
      <c r="Q92" s="285" t="n"/>
      <c r="R92" s="285" t="n"/>
      <c r="S92" s="285" t="n"/>
      <c r="T92" s="285" t="n"/>
      <c r="U92" s="285" t="n"/>
      <c r="V92" s="285" t="n"/>
      <c r="W92" s="285" t="n"/>
      <c r="X92" s="285" t="n"/>
      <c r="Y92" s="285" t="n"/>
      <c r="Z92" s="285" t="n"/>
      <c r="AA92" s="285" t="n"/>
      <c r="AB92" s="285" t="n"/>
      <c r="AC92" s="285" t="n"/>
      <c r="AD92" s="285" t="n"/>
      <c r="AE92" s="285" t="n"/>
      <c r="AF92" s="285" t="n"/>
      <c r="AG92" s="285" t="n"/>
      <c r="AH92" s="285" t="n"/>
      <c r="AI92" s="285" t="n"/>
      <c r="AJ92" s="731" t="n">
        <v>5.4064</v>
      </c>
      <c r="AK92" s="731" t="n">
        <v>7.3257</v>
      </c>
      <c r="AL92" s="285" t="n"/>
      <c r="AM92" s="286" t="inlineStr">
        <is>
          <t>Actual SS P&amp;L; mgmt=off-site+on-site combined</t>
        </is>
      </c>
    </row>
    <row r="93" ht="14" customHeight="1" s="518">
      <c r="A93" s="285" t="inlineStr">
        <is>
          <t>P042</t>
        </is>
      </c>
      <c r="B93" s="150" t="n">
        <v>386</v>
      </c>
      <c r="C93" s="285" t="inlineStr">
        <is>
          <t>R0126235</t>
        </is>
      </c>
      <c r="D93" s="286" t="inlineStr">
        <is>
          <t>15024 Laroy Drive</t>
        </is>
      </c>
      <c r="E93" s="285" t="inlineStr">
        <is>
          <t>Northglenn</t>
        </is>
      </c>
      <c r="F93" s="285" t="inlineStr">
        <is>
          <t>CO</t>
        </is>
      </c>
      <c r="G93" s="285" t="inlineStr">
        <is>
          <t>Self-Storage</t>
        </is>
      </c>
      <c r="H93" s="286" t="inlineStr">
        <is>
          <t>Climate-Controlled</t>
        </is>
      </c>
      <c r="I93" s="287" t="n"/>
      <c r="J93" s="287" t="n">
        <v>79950</v>
      </c>
      <c r="K93" s="287" t="n">
        <v>2023</v>
      </c>
      <c r="L93" s="285" t="n"/>
      <c r="M93" s="285" t="n"/>
      <c r="N93" s="731" t="n">
        <v>11.94</v>
      </c>
      <c r="O93" s="731" t="n">
        <v>0.5105</v>
      </c>
      <c r="P93" s="731" t="n">
        <v>1.3574</v>
      </c>
      <c r="Q93" s="285" t="n"/>
      <c r="R93" s="285" t="n"/>
      <c r="S93" s="285" t="n"/>
      <c r="T93" s="285" t="n"/>
      <c r="U93" s="285" t="n"/>
      <c r="V93" s="285" t="n"/>
      <c r="W93" s="285" t="n"/>
      <c r="X93" s="285" t="n"/>
      <c r="Y93" s="731" t="n">
        <v>0.301</v>
      </c>
      <c r="Z93" s="285" t="n"/>
      <c r="AA93" s="285" t="n"/>
      <c r="AB93" s="285" t="n"/>
      <c r="AC93" s="285" t="n"/>
      <c r="AD93" s="285" t="n"/>
      <c r="AE93" s="285" t="n"/>
      <c r="AF93" s="731" t="n">
        <v>0.2587</v>
      </c>
      <c r="AG93" s="285" t="n"/>
      <c r="AH93" s="731" t="n">
        <v>3.4355</v>
      </c>
      <c r="AI93" s="731" t="n">
        <v>3.061</v>
      </c>
      <c r="AJ93" s="731" t="n">
        <v>6.4964</v>
      </c>
      <c r="AK93" s="731" t="n">
        <v>5.4436</v>
      </c>
      <c r="AL93" s="285" t="n"/>
      <c r="AM93" s="286" t="inlineStr">
        <is>
          <t>Actual SS P&amp;L; mgmt=off-site+on-site combined</t>
        </is>
      </c>
    </row>
    <row r="94" ht="14" customHeight="1" s="518">
      <c r="A94" s="285" t="inlineStr">
        <is>
          <t>P043</t>
        </is>
      </c>
      <c r="B94" s="150" t="n">
        <v>386</v>
      </c>
      <c r="C94" s="285" t="inlineStr">
        <is>
          <t>R0126234</t>
        </is>
      </c>
      <c r="D94" s="286" t="inlineStr">
        <is>
          <t>715 W 112th Ave</t>
        </is>
      </c>
      <c r="E94" s="285" t="inlineStr">
        <is>
          <t>Northglenn</t>
        </is>
      </c>
      <c r="F94" s="285" t="inlineStr">
        <is>
          <t>CO</t>
        </is>
      </c>
      <c r="G94" s="285" t="inlineStr">
        <is>
          <t>Self-Storage</t>
        </is>
      </c>
      <c r="H94" s="286" t="inlineStr">
        <is>
          <t>Drive-Up/Drop-Off</t>
        </is>
      </c>
      <c r="I94" s="287" t="n"/>
      <c r="J94" s="287" t="n">
        <v>83756</v>
      </c>
      <c r="K94" s="287" t="n">
        <v>2021</v>
      </c>
      <c r="L94" s="285" t="n"/>
      <c r="M94" s="285" t="n"/>
      <c r="N94" s="731" t="n">
        <v>9.7278</v>
      </c>
      <c r="O94" s="285" t="n"/>
      <c r="P94" s="285" t="n"/>
      <c r="Q94" s="285" t="n"/>
      <c r="R94" s="285" t="n"/>
      <c r="S94" s="285" t="n"/>
      <c r="T94" s="285" t="n"/>
      <c r="U94" s="285" t="n"/>
      <c r="V94" s="285" t="n"/>
      <c r="W94" s="285" t="n"/>
      <c r="X94" s="285" t="n"/>
      <c r="Y94" s="285" t="n"/>
      <c r="Z94" s="285" t="n"/>
      <c r="AA94" s="285" t="n"/>
      <c r="AB94" s="285" t="n"/>
      <c r="AC94" s="285" t="n"/>
      <c r="AD94" s="285" t="n"/>
      <c r="AE94" s="285" t="n"/>
      <c r="AF94" s="285" t="n"/>
      <c r="AG94" s="285" t="n"/>
      <c r="AH94" s="285" t="n"/>
      <c r="AI94" s="285" t="n"/>
      <c r="AJ94" s="731" t="n">
        <v>5.2127</v>
      </c>
      <c r="AK94" s="731" t="n">
        <v>4.5151</v>
      </c>
      <c r="AL94" s="285" t="n"/>
      <c r="AM94" s="286" t="inlineStr">
        <is>
          <t>Actual SS P&amp;L; mgmt=off-site+on-site combined</t>
        </is>
      </c>
    </row>
    <row r="95" ht="14" customHeight="1" s="518">
      <c r="A95" s="285" t="inlineStr">
        <is>
          <t>P043</t>
        </is>
      </c>
      <c r="B95" s="150" t="n">
        <v>386</v>
      </c>
      <c r="C95" s="285" t="inlineStr">
        <is>
          <t>R0126234</t>
        </is>
      </c>
      <c r="D95" s="286" t="inlineStr">
        <is>
          <t>715 W 112th Ave</t>
        </is>
      </c>
      <c r="E95" s="285" t="inlineStr">
        <is>
          <t>Northglenn</t>
        </is>
      </c>
      <c r="F95" s="285" t="inlineStr">
        <is>
          <t>CO</t>
        </is>
      </c>
      <c r="G95" s="285" t="inlineStr">
        <is>
          <t>Self-Storage</t>
        </is>
      </c>
      <c r="H95" s="286" t="inlineStr">
        <is>
          <t>Drive-Up/Drop-Off</t>
        </is>
      </c>
      <c r="I95" s="287" t="n"/>
      <c r="J95" s="287" t="n">
        <v>83756</v>
      </c>
      <c r="K95" s="287" t="n">
        <v>2022</v>
      </c>
      <c r="L95" s="285" t="n"/>
      <c r="M95" s="285" t="n"/>
      <c r="N95" s="731" t="n">
        <v>11.7102</v>
      </c>
      <c r="O95" s="285" t="n"/>
      <c r="P95" s="285" t="n"/>
      <c r="Q95" s="285" t="n"/>
      <c r="R95" s="285" t="n"/>
      <c r="S95" s="285" t="n"/>
      <c r="T95" s="285" t="n"/>
      <c r="U95" s="285" t="n"/>
      <c r="V95" s="285" t="n"/>
      <c r="W95" s="285" t="n"/>
      <c r="X95" s="285" t="n"/>
      <c r="Y95" s="285" t="n"/>
      <c r="Z95" s="285" t="n"/>
      <c r="AA95" s="285" t="n"/>
      <c r="AB95" s="285" t="n"/>
      <c r="AC95" s="285" t="n"/>
      <c r="AD95" s="285" t="n"/>
      <c r="AE95" s="285" t="n"/>
      <c r="AF95" s="285" t="n"/>
      <c r="AG95" s="285" t="n"/>
      <c r="AH95" s="285" t="n"/>
      <c r="AI95" s="285" t="n"/>
      <c r="AJ95" s="731" t="n">
        <v>5.4426</v>
      </c>
      <c r="AK95" s="731" t="n">
        <v>6.2675</v>
      </c>
      <c r="AL95" s="285" t="n"/>
      <c r="AM95" s="286" t="inlineStr">
        <is>
          <t>Actual SS P&amp;L; mgmt=off-site+on-site combined</t>
        </is>
      </c>
    </row>
    <row r="96" ht="14" customHeight="1" s="518">
      <c r="A96" s="285" t="inlineStr">
        <is>
          <t>P043</t>
        </is>
      </c>
      <c r="B96" s="150" t="n">
        <v>386</v>
      </c>
      <c r="C96" s="285" t="inlineStr">
        <is>
          <t>R0126234</t>
        </is>
      </c>
      <c r="D96" s="286" t="inlineStr">
        <is>
          <t>715 W 112th Ave</t>
        </is>
      </c>
      <c r="E96" s="285" t="inlineStr">
        <is>
          <t>Northglenn</t>
        </is>
      </c>
      <c r="F96" s="285" t="inlineStr">
        <is>
          <t>CO</t>
        </is>
      </c>
      <c r="G96" s="285" t="inlineStr">
        <is>
          <t>Self-Storage</t>
        </is>
      </c>
      <c r="H96" s="286" t="inlineStr">
        <is>
          <t>Drive-Up/Drop-Off</t>
        </is>
      </c>
      <c r="I96" s="287" t="n"/>
      <c r="J96" s="287" t="n">
        <v>83756</v>
      </c>
      <c r="K96" s="287" t="n">
        <v>2023</v>
      </c>
      <c r="L96" s="285" t="n"/>
      <c r="M96" s="285" t="n"/>
      <c r="N96" s="731" t="n">
        <v>12.0821</v>
      </c>
      <c r="O96" s="731" t="n">
        <v>0.5624</v>
      </c>
      <c r="P96" s="731" t="n">
        <v>1.3342</v>
      </c>
      <c r="Q96" s="285" t="n"/>
      <c r="R96" s="285" t="n"/>
      <c r="S96" s="285" t="n"/>
      <c r="T96" s="285" t="n"/>
      <c r="U96" s="285" t="n"/>
      <c r="V96" s="285" t="n"/>
      <c r="W96" s="285" t="n"/>
      <c r="X96" s="285" t="n"/>
      <c r="Y96" s="731" t="n">
        <v>0.1222</v>
      </c>
      <c r="Z96" s="285" t="n"/>
      <c r="AA96" s="285" t="n"/>
      <c r="AB96" s="285" t="n"/>
      <c r="AC96" s="285" t="n"/>
      <c r="AD96" s="285" t="n"/>
      <c r="AE96" s="285" t="n"/>
      <c r="AF96" s="731" t="n">
        <v>0.1904</v>
      </c>
      <c r="AG96" s="285" t="n"/>
      <c r="AH96" s="731" t="n">
        <v>3.0787</v>
      </c>
      <c r="AI96" s="731" t="n">
        <v>2.42</v>
      </c>
      <c r="AJ96" s="731" t="n">
        <v>5.4986</v>
      </c>
      <c r="AK96" s="731" t="n">
        <v>6.5859</v>
      </c>
      <c r="AL96" s="285" t="n"/>
      <c r="AM96" s="286" t="inlineStr">
        <is>
          <t>Actual SS P&amp;L; mgmt=off-site+on-site combined</t>
        </is>
      </c>
    </row>
    <row r="97" ht="14" customHeight="1" s="518">
      <c r="A97" s="285" t="inlineStr">
        <is>
          <t>P044</t>
        </is>
      </c>
      <c r="B97" s="150" t="n">
        <v>386</v>
      </c>
      <c r="C97" s="285" t="inlineStr">
        <is>
          <t>R0027089/R0178319</t>
        </is>
      </c>
      <c r="D97" s="286" t="inlineStr">
        <is>
          <t>2290 E 120th Ave</t>
        </is>
      </c>
      <c r="E97" s="285" t="inlineStr">
        <is>
          <t>Thornton</t>
        </is>
      </c>
      <c r="F97" s="285" t="inlineStr">
        <is>
          <t>CO</t>
        </is>
      </c>
      <c r="G97" s="285" t="inlineStr">
        <is>
          <t>Self-Storage</t>
        </is>
      </c>
      <c r="H97" s="286" t="inlineStr">
        <is>
          <t>Drive-Up/Drop-Off</t>
        </is>
      </c>
      <c r="I97" s="287" t="n"/>
      <c r="J97" s="287" t="n">
        <v>71909</v>
      </c>
      <c r="K97" s="287" t="n">
        <v>2021</v>
      </c>
      <c r="L97" s="285" t="n"/>
      <c r="M97" s="285" t="n"/>
      <c r="N97" s="731" t="n">
        <v>11.6457</v>
      </c>
      <c r="O97" s="285" t="n"/>
      <c r="P97" s="285" t="n"/>
      <c r="Q97" s="285" t="n"/>
      <c r="R97" s="285" t="n"/>
      <c r="S97" s="285" t="n"/>
      <c r="T97" s="285" t="n"/>
      <c r="U97" s="285" t="n"/>
      <c r="V97" s="285" t="n"/>
      <c r="W97" s="285" t="n"/>
      <c r="X97" s="285" t="n"/>
      <c r="Y97" s="285" t="n"/>
      <c r="Z97" s="285" t="n"/>
      <c r="AA97" s="285" t="n"/>
      <c r="AB97" s="285" t="n"/>
      <c r="AC97" s="285" t="n"/>
      <c r="AD97" s="285" t="n"/>
      <c r="AE97" s="285" t="n"/>
      <c r="AF97" s="285" t="n"/>
      <c r="AG97" s="285" t="n"/>
      <c r="AH97" s="285" t="n"/>
      <c r="AI97" s="285" t="n"/>
      <c r="AJ97" s="731" t="n">
        <v>6.1981</v>
      </c>
      <c r="AK97" s="731" t="n">
        <v>5.4476</v>
      </c>
      <c r="AL97" s="285" t="n"/>
      <c r="AM97" s="286" t="inlineStr">
        <is>
          <t>Actual SS P&amp;L; combined parcels R0027089+R0178319; mgmt=off-site+on-site</t>
        </is>
      </c>
    </row>
    <row r="98" ht="14" customHeight="1" s="518">
      <c r="A98" s="285" t="inlineStr">
        <is>
          <t>P044</t>
        </is>
      </c>
      <c r="B98" s="150" t="n">
        <v>386</v>
      </c>
      <c r="C98" s="285" t="inlineStr">
        <is>
          <t>R0027089/R0178319</t>
        </is>
      </c>
      <c r="D98" s="286" t="inlineStr">
        <is>
          <t>2290 E 120th Ave</t>
        </is>
      </c>
      <c r="E98" s="285" t="inlineStr">
        <is>
          <t>Thornton</t>
        </is>
      </c>
      <c r="F98" s="285" t="inlineStr">
        <is>
          <t>CO</t>
        </is>
      </c>
      <c r="G98" s="285" t="inlineStr">
        <is>
          <t>Self-Storage</t>
        </is>
      </c>
      <c r="H98" s="286" t="inlineStr">
        <is>
          <t>Drive-Up/Drop-Off</t>
        </is>
      </c>
      <c r="I98" s="287" t="n"/>
      <c r="J98" s="287" t="n">
        <v>71909</v>
      </c>
      <c r="K98" s="287" t="n">
        <v>2022</v>
      </c>
      <c r="L98" s="285" t="n"/>
      <c r="M98" s="285" t="n"/>
      <c r="N98" s="731" t="n">
        <v>13.1494</v>
      </c>
      <c r="O98" s="285" t="n"/>
      <c r="P98" s="285" t="n"/>
      <c r="Q98" s="285" t="n"/>
      <c r="R98" s="285" t="n"/>
      <c r="S98" s="285" t="n"/>
      <c r="T98" s="285" t="n"/>
      <c r="U98" s="285" t="n"/>
      <c r="V98" s="285" t="n"/>
      <c r="W98" s="285" t="n"/>
      <c r="X98" s="285" t="n"/>
      <c r="Y98" s="285" t="n"/>
      <c r="Z98" s="285" t="n"/>
      <c r="AA98" s="285" t="n"/>
      <c r="AB98" s="285" t="n"/>
      <c r="AC98" s="285" t="n"/>
      <c r="AD98" s="285" t="n"/>
      <c r="AE98" s="285" t="n"/>
      <c r="AF98" s="285" t="n"/>
      <c r="AG98" s="285" t="n"/>
      <c r="AH98" s="285" t="n"/>
      <c r="AI98" s="285" t="n"/>
      <c r="AJ98" s="731" t="n">
        <v>6.1981</v>
      </c>
      <c r="AK98" s="731" t="n">
        <v>6.4846</v>
      </c>
      <c r="AL98" s="285" t="n"/>
      <c r="AM98" s="286" t="inlineStr">
        <is>
          <t>Actual SS P&amp;L; combined parcels R0027089+R0178319; mgmt=off-site+on-site</t>
        </is>
      </c>
    </row>
    <row r="99" ht="14" customHeight="1" s="518">
      <c r="A99" s="285" t="inlineStr">
        <is>
          <t>P044</t>
        </is>
      </c>
      <c r="B99" s="150" t="n">
        <v>386</v>
      </c>
      <c r="C99" s="285" t="inlineStr">
        <is>
          <t>R0027089/R0178319</t>
        </is>
      </c>
      <c r="D99" s="286" t="inlineStr">
        <is>
          <t>2290 E 120th Ave</t>
        </is>
      </c>
      <c r="E99" s="285" t="inlineStr">
        <is>
          <t>Thornton</t>
        </is>
      </c>
      <c r="F99" s="285" t="inlineStr">
        <is>
          <t>CO</t>
        </is>
      </c>
      <c r="G99" s="285" t="inlineStr">
        <is>
          <t>Self-Storage</t>
        </is>
      </c>
      <c r="H99" s="286" t="inlineStr">
        <is>
          <t>Drive-Up/Drop-Off</t>
        </is>
      </c>
      <c r="I99" s="287" t="n"/>
      <c r="J99" s="287" t="n">
        <v>71909</v>
      </c>
      <c r="K99" s="287" t="n">
        <v>2023</v>
      </c>
      <c r="L99" s="285" t="n"/>
      <c r="M99" s="285" t="n"/>
      <c r="N99" s="731" t="n">
        <v>13.6392</v>
      </c>
      <c r="O99" s="731" t="n">
        <v>0.6036</v>
      </c>
      <c r="P99" s="731" t="n">
        <v>1.9706</v>
      </c>
      <c r="Q99" s="285" t="n"/>
      <c r="R99" s="285" t="n"/>
      <c r="S99" s="285" t="n"/>
      <c r="T99" s="285" t="n"/>
      <c r="U99" s="285" t="n"/>
      <c r="V99" s="285" t="n"/>
      <c r="W99" s="285" t="n"/>
      <c r="X99" s="285" t="n"/>
      <c r="Y99" s="731" t="n">
        <v>0.248</v>
      </c>
      <c r="Z99" s="285" t="n"/>
      <c r="AA99" s="285" t="n"/>
      <c r="AB99" s="285" t="n"/>
      <c r="AC99" s="285" t="n"/>
      <c r="AD99" s="285" t="n"/>
      <c r="AE99" s="285" t="n"/>
      <c r="AF99" s="731" t="n">
        <v>0.298</v>
      </c>
      <c r="AG99" s="285" t="n"/>
      <c r="AH99" s="731" t="n">
        <v>4.1574</v>
      </c>
      <c r="AI99" s="731" t="n">
        <v>2.5917</v>
      </c>
      <c r="AJ99" s="731" t="n">
        <v>6.7491</v>
      </c>
      <c r="AK99" s="731" t="n">
        <v>6.8462</v>
      </c>
      <c r="AL99" s="285" t="n"/>
      <c r="AM99" s="286" t="inlineStr">
        <is>
          <t>Actual SS P&amp;L; combined parcels R0027089+R0178319; mgmt=off-site+on-site</t>
        </is>
      </c>
    </row>
    <row r="100" ht="14" customHeight="1" s="518">
      <c r="A100" s="285" t="inlineStr">
        <is>
          <t>P045</t>
        </is>
      </c>
      <c r="B100" s="150" t="n">
        <v>386</v>
      </c>
      <c r="C100" s="285" t="inlineStr">
        <is>
          <t>R0043569</t>
        </is>
      </c>
      <c r="D100" s="286" t="inlineStr">
        <is>
          <t>40131 Quivas St</t>
        </is>
      </c>
      <c r="E100" s="285" t="inlineStr">
        <is>
          <t>Thornton</t>
        </is>
      </c>
      <c r="F100" s="285" t="inlineStr">
        <is>
          <t>CO</t>
        </is>
      </c>
      <c r="G100" s="285" t="inlineStr">
        <is>
          <t>Self-Storage</t>
        </is>
      </c>
      <c r="H100" s="286" t="inlineStr">
        <is>
          <t>Drive-Up/Drop-Off</t>
        </is>
      </c>
      <c r="I100" s="287" t="n"/>
      <c r="J100" s="287" t="n">
        <v>41900</v>
      </c>
      <c r="K100" s="287" t="n">
        <v>2024</v>
      </c>
      <c r="L100" s="285" t="n"/>
      <c r="M100" s="285" t="n"/>
      <c r="N100" s="731" t="n">
        <v>17.1375</v>
      </c>
      <c r="O100" s="731" t="n">
        <v>0.4543</v>
      </c>
      <c r="P100" s="731" t="n">
        <v>2.2428</v>
      </c>
      <c r="Q100" s="285" t="n"/>
      <c r="R100" s="285" t="n"/>
      <c r="S100" s="285" t="n"/>
      <c r="T100" s="285" t="n"/>
      <c r="U100" s="285" t="n"/>
      <c r="V100" s="285" t="n"/>
      <c r="W100" s="285" t="n"/>
      <c r="X100" s="285" t="n"/>
      <c r="Y100" s="731" t="n">
        <v>0.2809</v>
      </c>
      <c r="Z100" s="285" t="n"/>
      <c r="AA100" s="285" t="n"/>
      <c r="AB100" s="285" t="n"/>
      <c r="AC100" s="285" t="n"/>
      <c r="AD100" s="285" t="n"/>
      <c r="AE100" s="285" t="n"/>
      <c r="AF100" s="731" t="n">
        <v>0.1293</v>
      </c>
      <c r="AG100" s="285" t="n"/>
      <c r="AH100" s="731" t="n">
        <v>4.9831</v>
      </c>
      <c r="AI100" s="731" t="n">
        <v>4.213</v>
      </c>
      <c r="AJ100" s="731" t="n">
        <v>9.196</v>
      </c>
      <c r="AK100" s="731" t="n">
        <v>7.9414</v>
      </c>
      <c r="AL100" s="285" t="n"/>
      <c r="AM100" s="286" t="inlineStr">
        <is>
          <t>Actual FY2024 P&amp;L; mgmt=off-site $42,964+on-site $51,011; RE Tax est from matrix</t>
        </is>
      </c>
    </row>
    <row r="101" ht="14" customHeight="1" s="518">
      <c r="A101" s="285" t="inlineStr">
        <is>
          <t>P046</t>
        </is>
      </c>
      <c r="B101" s="150" t="n">
        <v>386</v>
      </c>
      <c r="C101" s="285" t="inlineStr">
        <is>
          <t>R0193009</t>
        </is>
      </c>
      <c r="D101" s="286" t="inlineStr">
        <is>
          <t>Address unknown – see R0193009</t>
        </is>
      </c>
      <c r="E101" s="285" t="inlineStr">
        <is>
          <t>Adams County</t>
        </is>
      </c>
      <c r="F101" s="285" t="inlineStr">
        <is>
          <t>CO</t>
        </is>
      </c>
      <c r="G101" s="285" t="inlineStr">
        <is>
          <t>Self-Storage</t>
        </is>
      </c>
      <c r="H101" s="286" t="inlineStr">
        <is>
          <t>Climate-Controlled</t>
        </is>
      </c>
      <c r="I101" s="287" t="n"/>
      <c r="J101" s="287" t="n">
        <v>94736</v>
      </c>
      <c r="K101" s="287" t="n"/>
      <c r="L101" s="285" t="n"/>
      <c r="M101" s="285" t="n"/>
      <c r="N101" s="731" t="n">
        <v>16.7</v>
      </c>
      <c r="O101" s="731" t="n">
        <v>0.4183</v>
      </c>
      <c r="P101" s="731" t="n">
        <v>1.7666</v>
      </c>
      <c r="Q101" s="285" t="n"/>
      <c r="R101" s="285" t="n"/>
      <c r="S101" s="285" t="n"/>
      <c r="T101" s="285" t="n"/>
      <c r="U101" s="285" t="n"/>
      <c r="V101" s="285" t="n"/>
      <c r="W101" s="285" t="n"/>
      <c r="X101" s="285" t="n"/>
      <c r="Y101" s="731" t="n">
        <v>0.4073</v>
      </c>
      <c r="Z101" s="285" t="n"/>
      <c r="AA101" s="285" t="n"/>
      <c r="AB101" s="285" t="n"/>
      <c r="AC101" s="285" t="n"/>
      <c r="AD101" s="285" t="n"/>
      <c r="AE101" s="285" t="n"/>
      <c r="AF101" s="731" t="n">
        <v>0.207</v>
      </c>
      <c r="AG101" s="285" t="n"/>
      <c r="AH101" s="731" t="n">
        <v>3.6866</v>
      </c>
      <c r="AI101" s="731" t="n">
        <v>4.474</v>
      </c>
      <c r="AJ101" s="731" t="n">
        <v>8.160600000000001</v>
      </c>
      <c r="AK101" s="731" t="n">
        <v>8.539400000000001</v>
      </c>
      <c r="AL101" s="285" t="n"/>
      <c r="AM101" s="286" t="inlineStr">
        <is>
          <t>AXG SS Expense Matrix; year not specified (~2022/23); R0193009</t>
        </is>
      </c>
    </row>
    <row r="102" ht="14" customHeight="1" s="518">
      <c r="A102" s="285" t="inlineStr">
        <is>
          <t>P047</t>
        </is>
      </c>
      <c r="B102" s="150" t="n">
        <v>386</v>
      </c>
      <c r="C102" s="285" t="inlineStr">
        <is>
          <t>R0099616</t>
        </is>
      </c>
      <c r="D102" s="286" t="inlineStr">
        <is>
          <t>Address unknown – see R0099616</t>
        </is>
      </c>
      <c r="E102" s="285" t="inlineStr">
        <is>
          <t>Adams County</t>
        </is>
      </c>
      <c r="F102" s="285" t="inlineStr">
        <is>
          <t>CO</t>
        </is>
      </c>
      <c r="G102" s="285" t="inlineStr">
        <is>
          <t>Self-Storage</t>
        </is>
      </c>
      <c r="H102" s="286" t="inlineStr">
        <is>
          <t>Drive-Up/Drop-Off</t>
        </is>
      </c>
      <c r="I102" s="287" t="n"/>
      <c r="J102" s="287" t="n">
        <v>73500</v>
      </c>
      <c r="K102" s="287" t="n"/>
      <c r="L102" s="285" t="n"/>
      <c r="M102" s="285" t="n"/>
      <c r="N102" s="731" t="n">
        <v>11.3518</v>
      </c>
      <c r="O102" s="731" t="n">
        <v>0.2504</v>
      </c>
      <c r="P102" s="731" t="n">
        <v>0.8845</v>
      </c>
      <c r="Q102" s="285" t="n"/>
      <c r="R102" s="285" t="n"/>
      <c r="S102" s="285" t="n"/>
      <c r="T102" s="285" t="n"/>
      <c r="U102" s="285" t="n"/>
      <c r="V102" s="285" t="n"/>
      <c r="W102" s="285" t="n"/>
      <c r="X102" s="285" t="n"/>
      <c r="Y102" s="731" t="n">
        <v>0.3368</v>
      </c>
      <c r="Z102" s="285" t="n"/>
      <c r="AA102" s="285" t="n"/>
      <c r="AB102" s="285" t="n"/>
      <c r="AC102" s="285" t="n"/>
      <c r="AD102" s="285" t="n"/>
      <c r="AE102" s="285" t="n"/>
      <c r="AF102" s="731" t="n">
        <v>0.2348</v>
      </c>
      <c r="AG102" s="285" t="n"/>
      <c r="AH102" s="731" t="n">
        <v>2.7024</v>
      </c>
      <c r="AI102" s="731" t="n">
        <v>2.144</v>
      </c>
      <c r="AJ102" s="731" t="n">
        <v>4.8463</v>
      </c>
      <c r="AK102" s="731" t="n">
        <v>6.5055</v>
      </c>
      <c r="AL102" s="285" t="n"/>
      <c r="AM102" s="286" t="inlineStr">
        <is>
          <t>AXG SS Expense Matrix; year not specified (~2022/23); R0099616</t>
        </is>
      </c>
    </row>
    <row r="103" ht="14" customHeight="1" s="518">
      <c r="A103" s="285" t="inlineStr">
        <is>
          <t>P048</t>
        </is>
      </c>
      <c r="B103" s="150" t="n">
        <v>386</v>
      </c>
      <c r="C103" s="285" t="inlineStr">
        <is>
          <t>R0098019</t>
        </is>
      </c>
      <c r="D103" s="286" t="inlineStr">
        <is>
          <t>Address unknown – see R0098019</t>
        </is>
      </c>
      <c r="E103" s="285" t="inlineStr">
        <is>
          <t>Adams County</t>
        </is>
      </c>
      <c r="F103" s="285" t="inlineStr">
        <is>
          <t>CO</t>
        </is>
      </c>
      <c r="G103" s="285" t="inlineStr">
        <is>
          <t>Self-Storage</t>
        </is>
      </c>
      <c r="H103" s="286" t="inlineStr">
        <is>
          <t>Drive-Up/Drop-Off</t>
        </is>
      </c>
      <c r="I103" s="287" t="n"/>
      <c r="J103" s="287" t="n">
        <v>44975</v>
      </c>
      <c r="K103" s="287" t="n"/>
      <c r="L103" s="285" t="n"/>
      <c r="M103" s="285" t="n"/>
      <c r="N103" s="731" t="n">
        <v>13.0923</v>
      </c>
      <c r="O103" s="731" t="n">
        <v>0.4933</v>
      </c>
      <c r="P103" s="731" t="n">
        <v>0.8561</v>
      </c>
      <c r="Q103" s="285" t="n"/>
      <c r="R103" s="285" t="n"/>
      <c r="S103" s="285" t="n"/>
      <c r="T103" s="285" t="n"/>
      <c r="U103" s="285" t="n"/>
      <c r="V103" s="285" t="n"/>
      <c r="W103" s="285" t="n"/>
      <c r="X103" s="285" t="n"/>
      <c r="Y103" s="731" t="n">
        <v>0.8597</v>
      </c>
      <c r="Z103" s="285" t="n"/>
      <c r="AA103" s="285" t="n"/>
      <c r="AB103" s="285" t="n"/>
      <c r="AC103" s="285" t="n"/>
      <c r="AD103" s="285" t="n"/>
      <c r="AE103" s="285" t="n"/>
      <c r="AF103" s="731" t="n">
        <v>0.6947</v>
      </c>
      <c r="AG103" s="285" t="n"/>
      <c r="AH103" s="731" t="n">
        <v>3.1997</v>
      </c>
      <c r="AI103" s="731" t="n">
        <v>2.8576</v>
      </c>
      <c r="AJ103" s="731" t="n">
        <v>6.0573</v>
      </c>
      <c r="AK103" s="731" t="n">
        <v>7.035</v>
      </c>
      <c r="AL103" s="285" t="n"/>
      <c r="AM103" s="286" t="inlineStr">
        <is>
          <t>AXG SS Expense Matrix; year not specified (~2022/23); R0098019</t>
        </is>
      </c>
    </row>
    <row r="104" ht="14" customHeight="1" s="518">
      <c r="A104" s="285" t="inlineStr">
        <is>
          <t>P049</t>
        </is>
      </c>
      <c r="B104" s="150" t="n">
        <v>386</v>
      </c>
      <c r="C104" s="285" t="inlineStr">
        <is>
          <t>R0102989</t>
        </is>
      </c>
      <c r="D104" s="286" t="inlineStr">
        <is>
          <t>Address unknown – see R0102989</t>
        </is>
      </c>
      <c r="E104" s="285" t="inlineStr">
        <is>
          <t>Adams County</t>
        </is>
      </c>
      <c r="F104" s="285" t="inlineStr">
        <is>
          <t>CO</t>
        </is>
      </c>
      <c r="G104" s="285" t="inlineStr">
        <is>
          <t>Self-Storage</t>
        </is>
      </c>
      <c r="H104" s="286" t="inlineStr">
        <is>
          <t>Climate-Controlled</t>
        </is>
      </c>
      <c r="I104" s="287" t="n"/>
      <c r="J104" s="287" t="n">
        <v>94797</v>
      </c>
      <c r="K104" s="287" t="n"/>
      <c r="L104" s="285" t="n"/>
      <c r="M104" s="285" t="n"/>
      <c r="N104" s="731" t="n">
        <v>12.4952</v>
      </c>
      <c r="O104" s="731" t="n">
        <v>0.2668</v>
      </c>
      <c r="P104" s="731" t="n">
        <v>2.1805</v>
      </c>
      <c r="Q104" s="285" t="n"/>
      <c r="R104" s="285" t="n"/>
      <c r="S104" s="285" t="n"/>
      <c r="T104" s="285" t="n"/>
      <c r="U104" s="285" t="n"/>
      <c r="V104" s="285" t="n"/>
      <c r="W104" s="285" t="n"/>
      <c r="X104" s="285" t="n"/>
      <c r="Y104" s="731" t="n">
        <v>0.3013</v>
      </c>
      <c r="Z104" s="285" t="n"/>
      <c r="AA104" s="285" t="n"/>
      <c r="AB104" s="285" t="n"/>
      <c r="AC104" s="285" t="n"/>
      <c r="AD104" s="285" t="n"/>
      <c r="AE104" s="285" t="n"/>
      <c r="AF104" s="731" t="n">
        <v>0.5221</v>
      </c>
      <c r="AG104" s="285" t="n"/>
      <c r="AH104" s="731" t="n">
        <v>4.5787</v>
      </c>
      <c r="AI104" s="731" t="n">
        <v>2.7378</v>
      </c>
      <c r="AJ104" s="731" t="n">
        <v>7.3165</v>
      </c>
      <c r="AK104" s="731" t="n">
        <v>5.1786</v>
      </c>
      <c r="AL104" s="285" t="n"/>
      <c r="AM104" s="286" t="inlineStr">
        <is>
          <t>AXG SS Expense Matrix; year not specified (~2022/23); R0102989</t>
        </is>
      </c>
    </row>
    <row r="105" ht="14" customHeight="1" s="518">
      <c r="A105" s="285" t="inlineStr">
        <is>
          <t>P050</t>
        </is>
      </c>
      <c r="B105" s="150" t="n">
        <v>386</v>
      </c>
      <c r="C105" s="285" t="inlineStr">
        <is>
          <t>R0085523</t>
        </is>
      </c>
      <c r="D105" s="286" t="inlineStr">
        <is>
          <t>Address unknown – see R0085523</t>
        </is>
      </c>
      <c r="E105" s="285" t="inlineStr">
        <is>
          <t>Adams County</t>
        </is>
      </c>
      <c r="F105" s="285" t="inlineStr">
        <is>
          <t>CO</t>
        </is>
      </c>
      <c r="G105" s="285" t="inlineStr">
        <is>
          <t>Self-Storage</t>
        </is>
      </c>
      <c r="H105" s="286" t="inlineStr">
        <is>
          <t>Drive-Up/Drop-Off</t>
        </is>
      </c>
      <c r="I105" s="287" t="n"/>
      <c r="J105" s="287" t="n">
        <v>39525</v>
      </c>
      <c r="K105" s="287" t="n"/>
      <c r="L105" s="285" t="n"/>
      <c r="M105" s="285" t="n"/>
      <c r="N105" s="731" t="n">
        <v>13.7122</v>
      </c>
      <c r="O105" s="731" t="n">
        <v>0.2102</v>
      </c>
      <c r="P105" s="731" t="n">
        <v>2.3853</v>
      </c>
      <c r="Q105" s="285" t="n"/>
      <c r="R105" s="285" t="n"/>
      <c r="S105" s="285" t="n"/>
      <c r="T105" s="285" t="n"/>
      <c r="U105" s="285" t="n"/>
      <c r="V105" s="285" t="n"/>
      <c r="W105" s="285" t="n"/>
      <c r="X105" s="285" t="n"/>
      <c r="Y105" s="731" t="n">
        <v>0.5387</v>
      </c>
      <c r="Z105" s="285" t="n"/>
      <c r="AA105" s="285" t="n"/>
      <c r="AB105" s="285" t="n"/>
      <c r="AC105" s="285" t="n"/>
      <c r="AD105" s="285" t="n"/>
      <c r="AE105" s="285" t="n"/>
      <c r="AF105" s="731" t="n">
        <v>0.4172</v>
      </c>
      <c r="AG105" s="285" t="n"/>
      <c r="AH105" s="731" t="n">
        <v>3.7856</v>
      </c>
      <c r="AI105" s="731" t="n">
        <v>5.2913</v>
      </c>
      <c r="AJ105" s="731" t="n">
        <v>9.0769</v>
      </c>
      <c r="AK105" s="731" t="n">
        <v>4.6352</v>
      </c>
      <c r="AL105" s="285" t="n"/>
      <c r="AM105" s="286" t="inlineStr">
        <is>
          <t>AXG SS Expense Matrix; year not specified (~2022/23); R0085523</t>
        </is>
      </c>
    </row>
    <row r="106" ht="14" customHeight="1" s="518">
      <c r="A106" s="285" t="inlineStr">
        <is>
          <t>P051</t>
        </is>
      </c>
      <c r="B106" s="150" t="n">
        <v>386</v>
      </c>
      <c r="C106" s="285" t="inlineStr">
        <is>
          <t>R0174860</t>
        </is>
      </c>
      <c r="D106" s="286" t="inlineStr">
        <is>
          <t>Address unknown – see R0174860</t>
        </is>
      </c>
      <c r="E106" s="285" t="inlineStr">
        <is>
          <t>Adams County</t>
        </is>
      </c>
      <c r="F106" s="285" t="inlineStr">
        <is>
          <t>CO</t>
        </is>
      </c>
      <c r="G106" s="285" t="inlineStr">
        <is>
          <t>Self-Storage</t>
        </is>
      </c>
      <c r="H106" s="286" t="inlineStr">
        <is>
          <t>Drive-Up/Drop-Off (containers)</t>
        </is>
      </c>
      <c r="I106" s="287" t="n"/>
      <c r="J106" s="287" t="n">
        <v>45980</v>
      </c>
      <c r="K106" s="287" t="n"/>
      <c r="L106" s="285" t="n"/>
      <c r="M106" s="285" t="n"/>
      <c r="N106" s="731" t="n">
        <v>14.0604</v>
      </c>
      <c r="O106" s="731" t="n">
        <v>0.1085</v>
      </c>
      <c r="P106" s="731" t="n">
        <v>1.5224</v>
      </c>
      <c r="Q106" s="285" t="n"/>
      <c r="R106" s="285" t="n"/>
      <c r="S106" s="285" t="n"/>
      <c r="T106" s="285" t="n"/>
      <c r="U106" s="285" t="n"/>
      <c r="V106" s="285" t="n"/>
      <c r="W106" s="285" t="n"/>
      <c r="X106" s="285" t="n"/>
      <c r="Y106" s="731" t="n">
        <v>0.261</v>
      </c>
      <c r="Z106" s="285" t="n"/>
      <c r="AA106" s="285" t="n"/>
      <c r="AB106" s="285" t="n"/>
      <c r="AC106" s="285" t="n"/>
      <c r="AD106" s="285" t="n"/>
      <c r="AE106" s="285" t="n"/>
      <c r="AF106" s="731" t="n">
        <v>0.2604</v>
      </c>
      <c r="AG106" s="285" t="n"/>
      <c r="AH106" s="731" t="n">
        <v>3.1926</v>
      </c>
      <c r="AI106" s="731" t="n">
        <v>1.806</v>
      </c>
      <c r="AJ106" s="731" t="n">
        <v>4.9986</v>
      </c>
      <c r="AK106" s="731" t="n">
        <v>9.0617</v>
      </c>
      <c r="AL106" s="285" t="n"/>
      <c r="AM106" s="286" t="inlineStr">
        <is>
          <t>AXG SS Expense Matrix; year not specified (~2022/23); R0174860</t>
        </is>
      </c>
    </row>
    <row r="107" ht="14" customHeight="1" s="518">
      <c r="A107" s="285" t="inlineStr">
        <is>
          <t>P052</t>
        </is>
      </c>
      <c r="B107" s="150" t="n">
        <v>386</v>
      </c>
      <c r="C107" s="285" t="inlineStr">
        <is>
          <t>R0161412</t>
        </is>
      </c>
      <c r="D107" s="286" t="inlineStr">
        <is>
          <t>Address unknown – see R0161412</t>
        </is>
      </c>
      <c r="E107" s="285" t="inlineStr">
        <is>
          <t>Adams County</t>
        </is>
      </c>
      <c r="F107" s="285" t="inlineStr">
        <is>
          <t>CO</t>
        </is>
      </c>
      <c r="G107" s="285" t="inlineStr">
        <is>
          <t>Self-Storage</t>
        </is>
      </c>
      <c r="H107" s="286" t="inlineStr">
        <is>
          <t>Drive-Up/Drop-Off</t>
        </is>
      </c>
      <c r="I107" s="287" t="n"/>
      <c r="J107" s="287" t="n">
        <v>88043</v>
      </c>
      <c r="K107" s="287" t="n"/>
      <c r="L107" s="285" t="n"/>
      <c r="M107" s="285" t="n"/>
      <c r="N107" s="731" t="n">
        <v>13.7047</v>
      </c>
      <c r="O107" s="731" t="n">
        <v>0.1417</v>
      </c>
      <c r="P107" s="731" t="n">
        <v>2.0341</v>
      </c>
      <c r="Q107" s="285" t="n"/>
      <c r="R107" s="285" t="n"/>
      <c r="S107" s="285" t="n"/>
      <c r="T107" s="285" t="n"/>
      <c r="U107" s="285" t="n"/>
      <c r="V107" s="285" t="n"/>
      <c r="W107" s="285" t="n"/>
      <c r="X107" s="285" t="n"/>
      <c r="Y107" s="731" t="n">
        <v>0.2303</v>
      </c>
      <c r="Z107" s="285" t="n"/>
      <c r="AA107" s="285" t="n"/>
      <c r="AB107" s="285" t="n"/>
      <c r="AC107" s="285" t="n"/>
      <c r="AD107" s="285" t="n"/>
      <c r="AE107" s="285" t="n"/>
      <c r="AF107" s="731" t="n">
        <v>0.1926</v>
      </c>
      <c r="AG107" s="285" t="n"/>
      <c r="AH107" s="731" t="n">
        <v>3.2267</v>
      </c>
      <c r="AI107" s="731" t="n">
        <v>4.424</v>
      </c>
      <c r="AJ107" s="731" t="n">
        <v>7.6507</v>
      </c>
      <c r="AK107" s="731" t="n">
        <v>6.054</v>
      </c>
      <c r="AL107" s="285" t="n"/>
      <c r="AM107" s="286" t="inlineStr">
        <is>
          <t>AXG SS Expense Matrix; year not specified (~2022/23); R0161412</t>
        </is>
      </c>
    </row>
    <row r="108" ht="14" customHeight="1" s="518">
      <c r="A108" s="285" t="inlineStr">
        <is>
          <t>P053</t>
        </is>
      </c>
      <c r="B108" s="150" t="n">
        <v>386</v>
      </c>
      <c r="C108" s="285" t="inlineStr">
        <is>
          <t>R0169115</t>
        </is>
      </c>
      <c r="D108" s="286" t="inlineStr">
        <is>
          <t>Address unknown – see R0169115</t>
        </is>
      </c>
      <c r="E108" s="285" t="inlineStr">
        <is>
          <t>Adams County</t>
        </is>
      </c>
      <c r="F108" s="285" t="inlineStr">
        <is>
          <t>CO</t>
        </is>
      </c>
      <c r="G108" s="285" t="inlineStr">
        <is>
          <t>Self-Storage</t>
        </is>
      </c>
      <c r="H108" s="286" t="inlineStr">
        <is>
          <t>Drive-Up/Drop-Off</t>
        </is>
      </c>
      <c r="I108" s="287" t="n"/>
      <c r="J108" s="287" t="n">
        <v>41764</v>
      </c>
      <c r="K108" s="287" t="n"/>
      <c r="L108" s="285" t="n"/>
      <c r="M108" s="285" t="n"/>
      <c r="N108" s="731" t="n">
        <v>18.8527</v>
      </c>
      <c r="O108" s="731" t="n">
        <v>0.2311</v>
      </c>
      <c r="P108" s="731" t="n">
        <v>1.995</v>
      </c>
      <c r="Q108" s="285" t="n"/>
      <c r="R108" s="285" t="n"/>
      <c r="S108" s="285" t="n"/>
      <c r="T108" s="285" t="n"/>
      <c r="U108" s="285" t="n"/>
      <c r="V108" s="285" t="n"/>
      <c r="W108" s="285" t="n"/>
      <c r="X108" s="285" t="n"/>
      <c r="Y108" s="731" t="n">
        <v>0.6139</v>
      </c>
      <c r="Z108" s="285" t="n"/>
      <c r="AA108" s="285" t="n"/>
      <c r="AB108" s="285" t="n"/>
      <c r="AC108" s="285" t="n"/>
      <c r="AD108" s="285" t="n"/>
      <c r="AE108" s="285" t="n"/>
      <c r="AF108" s="731" t="n">
        <v>0.3821</v>
      </c>
      <c r="AG108" s="285" t="n"/>
      <c r="AH108" s="731" t="n">
        <v>4.6124</v>
      </c>
      <c r="AI108" s="731" t="n">
        <v>4.8634</v>
      </c>
      <c r="AJ108" s="731" t="n">
        <v>9.4758</v>
      </c>
      <c r="AK108" s="731" t="n">
        <v>9.376899999999999</v>
      </c>
      <c r="AL108" s="285" t="n"/>
      <c r="AM108" s="286" t="inlineStr">
        <is>
          <t>AXG SS Expense Matrix; year not specified (~2022/23); R0169115</t>
        </is>
      </c>
    </row>
    <row r="109" ht="14" customHeight="1" s="518">
      <c r="A109" s="151" t="inlineStr">
        <is>
          <t>P016</t>
        </is>
      </c>
      <c r="B109" s="150" t="n">
        <v>584</v>
      </c>
      <c r="C109" s="151" t="inlineStr">
        <is>
          <t>R0212546/R0212547</t>
        </is>
      </c>
      <c r="D109" s="269" t="inlineStr">
        <is>
          <t>2780 N Tower Rd</t>
        </is>
      </c>
      <c r="E109" s="151" t="inlineStr">
        <is>
          <t>Aurora</t>
        </is>
      </c>
      <c r="F109" s="151" t="inlineStr">
        <is>
          <t>CO</t>
        </is>
      </c>
      <c r="G109" s="151" t="inlineStr">
        <is>
          <t>Industrial</t>
        </is>
      </c>
      <c r="H109" s="269" t="inlineStr">
        <is>
          <t>Mega Warehouse NNN</t>
        </is>
      </c>
      <c r="I109" s="161" t="n">
        <v>1983</v>
      </c>
      <c r="J109" s="161" t="n">
        <v>377729</v>
      </c>
      <c r="K109" s="161" t="n">
        <v>2023</v>
      </c>
      <c r="L109" s="732" t="n">
        <v>7.8884</v>
      </c>
      <c r="M109" s="151" t="n"/>
      <c r="N109" s="732" t="n">
        <v>7.8884</v>
      </c>
      <c r="O109" s="151" t="n"/>
      <c r="P109" s="732" t="n">
        <v>0.0102</v>
      </c>
      <c r="Q109" s="151" t="n"/>
      <c r="R109" s="151" t="n"/>
      <c r="S109" s="151" t="n"/>
      <c r="T109" s="151" t="n"/>
      <c r="U109" s="151" t="n"/>
      <c r="V109" s="151" t="n"/>
      <c r="W109" s="151" t="n"/>
      <c r="X109" s="151" t="n"/>
      <c r="Y109" s="151" t="n"/>
      <c r="Z109" s="151" t="n"/>
      <c r="AA109" s="151" t="n"/>
      <c r="AB109" s="151" t="n"/>
      <c r="AC109" s="151" t="n"/>
      <c r="AD109" s="151" t="n"/>
      <c r="AE109" s="151" t="n"/>
      <c r="AF109" s="151" t="n"/>
      <c r="AG109" s="732" t="n">
        <v>0.0206</v>
      </c>
      <c r="AH109" s="732" t="n">
        <v>0.1095</v>
      </c>
      <c r="AI109" s="732" t="n">
        <v>0</v>
      </c>
      <c r="AJ109" s="732" t="n">
        <v>0.1095</v>
      </c>
      <c r="AK109" s="732" t="n">
        <v>7.7789</v>
      </c>
      <c r="AL109" s="151" t="n"/>
      <c r="AM109" s="269" t="inlineStr">
        <is>
          <t>Absolute NNN; tenant pays ALL RE tax, ins, CAM; owner opex = admin only (excl D&amp;A $456k); supersedes proforma row</t>
        </is>
      </c>
    </row>
    <row r="110" ht="14" customHeight="1" s="518">
      <c r="A110" s="285" t="inlineStr">
        <is>
          <t>P016</t>
        </is>
      </c>
      <c r="B110" s="150" t="n">
        <v>584</v>
      </c>
      <c r="C110" s="285" t="inlineStr">
        <is>
          <t>R0212546/R0212547</t>
        </is>
      </c>
      <c r="D110" s="286" t="inlineStr">
        <is>
          <t>2780 N Tower Rd</t>
        </is>
      </c>
      <c r="E110" s="285" t="inlineStr">
        <is>
          <t>Aurora</t>
        </is>
      </c>
      <c r="F110" s="285" t="inlineStr">
        <is>
          <t>CO</t>
        </is>
      </c>
      <c r="G110" s="285" t="inlineStr">
        <is>
          <t>Industrial</t>
        </is>
      </c>
      <c r="H110" s="286" t="inlineStr">
        <is>
          <t>Mega Warehouse NNN</t>
        </is>
      </c>
      <c r="I110" s="287" t="n">
        <v>1983</v>
      </c>
      <c r="J110" s="287" t="n">
        <v>377729</v>
      </c>
      <c r="K110" s="287" t="n">
        <v>2024</v>
      </c>
      <c r="L110" s="731" t="n">
        <v>8.067600000000001</v>
      </c>
      <c r="M110" s="285" t="n"/>
      <c r="N110" s="731" t="n">
        <v>8.067600000000001</v>
      </c>
      <c r="O110" s="285" t="n"/>
      <c r="P110" s="731" t="n">
        <v>0.0106</v>
      </c>
      <c r="Q110" s="285" t="n"/>
      <c r="R110" s="285" t="n"/>
      <c r="S110" s="285" t="n"/>
      <c r="T110" s="285" t="n"/>
      <c r="U110" s="285" t="n"/>
      <c r="V110" s="285" t="n"/>
      <c r="W110" s="285" t="n"/>
      <c r="X110" s="285" t="n"/>
      <c r="Y110" s="285" t="n"/>
      <c r="Z110" s="285" t="n"/>
      <c r="AA110" s="285" t="n"/>
      <c r="AB110" s="285" t="n"/>
      <c r="AC110" s="285" t="n"/>
      <c r="AD110" s="285" t="n"/>
      <c r="AE110" s="285" t="n"/>
      <c r="AF110" s="285" t="n"/>
      <c r="AG110" s="731" t="n">
        <v>0.06850000000000001</v>
      </c>
      <c r="AH110" s="731" t="n">
        <v>0.1558</v>
      </c>
      <c r="AI110" s="731" t="n">
        <v>0</v>
      </c>
      <c r="AJ110" s="731" t="n">
        <v>0.1558</v>
      </c>
      <c r="AK110" s="731" t="n">
        <v>7.9118</v>
      </c>
      <c r="AL110" s="285" t="n"/>
      <c r="AM110" s="286" t="inlineStr">
        <is>
          <t>Absolute NNN; tenant pays ALL RE tax, ins, CAM; owner opex = admin only (excl D&amp;A $456k); supersedes proforma row</t>
        </is>
      </c>
    </row>
    <row r="111" ht="14" customHeight="1" s="518">
      <c r="A111" s="151" t="inlineStr">
        <is>
          <t>P034</t>
        </is>
      </c>
      <c r="B111" s="150" t="n">
        <v>407</v>
      </c>
      <c r="C111" s="151" t="inlineStr">
        <is>
          <t>R0172865</t>
        </is>
      </c>
      <c r="D111" s="269" t="inlineStr">
        <is>
          <t>Majestic Commercenter (R0172865)</t>
        </is>
      </c>
      <c r="E111" s="151" t="inlineStr">
        <is>
          <t>Commerce City</t>
        </is>
      </c>
      <c r="F111" s="151" t="inlineStr">
        <is>
          <t>CO</t>
        </is>
      </c>
      <c r="G111" s="151" t="inlineStr">
        <is>
          <t>Industrial</t>
        </is>
      </c>
      <c r="H111" s="269" t="inlineStr">
        <is>
          <t>Warehouse NNN</t>
        </is>
      </c>
      <c r="I111" s="161" t="n">
        <v>2008</v>
      </c>
      <c r="J111" s="161" t="n">
        <v>215461</v>
      </c>
      <c r="K111" s="161" t="n">
        <v>2024</v>
      </c>
      <c r="L111" s="732" t="n">
        <v>7.1488</v>
      </c>
      <c r="M111" s="151" t="n"/>
      <c r="N111" s="732" t="n">
        <v>7.1488</v>
      </c>
      <c r="O111" s="151" t="n"/>
      <c r="P111" s="151" t="n"/>
      <c r="Q111" s="151" t="n"/>
      <c r="R111" s="151" t="n"/>
      <c r="S111" s="151" t="n"/>
      <c r="T111" s="151" t="n"/>
      <c r="U111" s="151" t="n"/>
      <c r="V111" s="151" t="n"/>
      <c r="W111" s="151" t="n"/>
      <c r="X111" s="151" t="n"/>
      <c r="Y111" s="151" t="n"/>
      <c r="Z111" s="151" t="n"/>
      <c r="AA111" s="732" t="n">
        <v>0.0459</v>
      </c>
      <c r="AB111" s="732" t="n">
        <v>0.1387</v>
      </c>
      <c r="AC111" s="151" t="n"/>
      <c r="AD111" s="151" t="n"/>
      <c r="AE111" s="151" t="n"/>
      <c r="AF111" s="151" t="n"/>
      <c r="AG111" s="151" t="n"/>
      <c r="AH111" s="151" t="n"/>
      <c r="AI111" s="151" t="n"/>
      <c r="AJ111" s="151" t="n"/>
      <c r="AK111" s="151" t="n"/>
      <c r="AL111" s="151" t="n"/>
      <c r="AM111" s="269" t="inlineStr">
        <is>
          <t>2024 actual 12-month P&amp;L; NOI est. per expense ratio; from 08_2025 Review</t>
        </is>
      </c>
    </row>
    <row r="112" ht="14" customHeight="1" s="518">
      <c r="A112" s="285" t="inlineStr">
        <is>
          <t>P036</t>
        </is>
      </c>
      <c r="B112" s="150" t="n">
        <v>407</v>
      </c>
      <c r="C112" s="285" t="inlineStr">
        <is>
          <t>R0172868</t>
        </is>
      </c>
      <c r="D112" s="286" t="inlineStr">
        <is>
          <t>Majestic Commercenter (R0172868)</t>
        </is>
      </c>
      <c r="E112" s="285" t="inlineStr">
        <is>
          <t>Commerce City</t>
        </is>
      </c>
      <c r="F112" s="285" t="inlineStr">
        <is>
          <t>CO</t>
        </is>
      </c>
      <c r="G112" s="285" t="inlineStr">
        <is>
          <t>Industrial</t>
        </is>
      </c>
      <c r="H112" s="286" t="inlineStr">
        <is>
          <t>Warehouse NNN</t>
        </is>
      </c>
      <c r="I112" s="287" t="n">
        <v>2007</v>
      </c>
      <c r="J112" s="287" t="n">
        <v>202091</v>
      </c>
      <c r="K112" s="287" t="n">
        <v>2024</v>
      </c>
      <c r="L112" s="285" t="n"/>
      <c r="M112" s="285" t="n"/>
      <c r="N112" s="731" t="n">
        <v>5.233</v>
      </c>
      <c r="O112" s="285" t="n"/>
      <c r="P112" s="285" t="n"/>
      <c r="Q112" s="285" t="n"/>
      <c r="R112" s="285" t="n"/>
      <c r="S112" s="285" t="n"/>
      <c r="T112" s="285" t="n"/>
      <c r="U112" s="285" t="n"/>
      <c r="V112" s="285" t="n"/>
      <c r="W112" s="285" t="n"/>
      <c r="X112" s="285" t="n"/>
      <c r="Y112" s="285" t="n"/>
      <c r="Z112" s="285" t="n"/>
      <c r="AA112" s="285" t="n"/>
      <c r="AB112" s="285" t="n"/>
      <c r="AC112" s="285" t="n"/>
      <c r="AD112" s="285" t="n"/>
      <c r="AE112" s="285" t="n"/>
      <c r="AF112" s="285" t="n"/>
      <c r="AG112" s="285" t="n"/>
      <c r="AH112" s="731" t="n">
        <v>3.5731</v>
      </c>
      <c r="AI112" s="285" t="n"/>
      <c r="AJ112" s="731" t="n">
        <v>3.5731</v>
      </c>
      <c r="AK112" s="731" t="n">
        <v>1.6599</v>
      </c>
      <c r="AL112" s="285" t="n"/>
      <c r="AM112" s="286" t="inlineStr">
        <is>
          <t>2024 actual 12-month P&amp;L; from 08_2025 Review</t>
        </is>
      </c>
    </row>
    <row r="113" ht="14" customHeight="1" s="518">
      <c r="A113" s="151" t="inlineStr">
        <is>
          <t>P054</t>
        </is>
      </c>
      <c r="B113" s="150" t="n">
        <v>210</v>
      </c>
      <c r="C113" s="151" t="inlineStr">
        <is>
          <t>R0180551</t>
        </is>
      </c>
      <c r="D113" s="269" t="inlineStr">
        <is>
          <t>1953 N Gun Club Rd</t>
        </is>
      </c>
      <c r="E113" s="151" t="inlineStr">
        <is>
          <t>Aurora</t>
        </is>
      </c>
      <c r="F113" s="151" t="inlineStr">
        <is>
          <t>CO</t>
        </is>
      </c>
      <c r="G113" s="151" t="inlineStr">
        <is>
          <t>Industrial</t>
        </is>
      </c>
      <c r="H113" s="269" t="inlineStr">
        <is>
          <t>Multi-Tenant Industrial/Office NNN</t>
        </is>
      </c>
      <c r="I113" s="161" t="n"/>
      <c r="J113" s="161" t="n"/>
      <c r="K113" s="161" t="n">
        <v>2023</v>
      </c>
      <c r="L113" s="151" t="n"/>
      <c r="M113" s="151" t="n"/>
      <c r="N113" s="164" t="n">
        <v>2454080</v>
      </c>
      <c r="O113" s="164" t="n">
        <v>41179</v>
      </c>
      <c r="P113" s="164" t="n">
        <v>58394</v>
      </c>
      <c r="Q113" s="151" t="n"/>
      <c r="R113" s="151" t="n"/>
      <c r="S113" s="164" t="n">
        <v>36166</v>
      </c>
      <c r="T113" s="164" t="n">
        <v>1942</v>
      </c>
      <c r="U113" s="151" t="n"/>
      <c r="V113" s="151" t="n"/>
      <c r="W113" s="151" t="n"/>
      <c r="X113" s="164" t="n">
        <v>549</v>
      </c>
      <c r="Y113" s="164" t="n">
        <v>38657</v>
      </c>
      <c r="Z113" s="151" t="n"/>
      <c r="AA113" s="164" t="n">
        <v>15068</v>
      </c>
      <c r="AB113" s="164" t="n">
        <v>55875</v>
      </c>
      <c r="AC113" s="164" t="n">
        <v>70943</v>
      </c>
      <c r="AD113" s="164" t="n">
        <v>25682</v>
      </c>
      <c r="AE113" s="151" t="n"/>
      <c r="AF113" s="164" t="n">
        <v>25682</v>
      </c>
      <c r="AG113" s="164" t="n">
        <v>1654</v>
      </c>
      <c r="AH113" s="164" t="n">
        <v>220784</v>
      </c>
      <c r="AI113" s="164" t="n">
        <v>1347168</v>
      </c>
      <c r="AJ113" s="164" t="n">
        <v>1568172</v>
      </c>
      <c r="AK113" s="164" t="n">
        <v>885908</v>
      </c>
      <c r="AL113" s="151" t="n"/>
      <c r="AM113" s="269" t="inlineStr">
        <is>
          <t>[NO SF] Actual accrual; base rent $880k; recovery $1.59M; prior-yr adj included</t>
        </is>
      </c>
    </row>
    <row r="114" ht="14" customHeight="1" s="518">
      <c r="A114" s="285" t="inlineStr">
        <is>
          <t>P054</t>
        </is>
      </c>
      <c r="B114" s="150" t="n">
        <v>210</v>
      </c>
      <c r="C114" s="285" t="inlineStr">
        <is>
          <t>R0180551</t>
        </is>
      </c>
      <c r="D114" s="286" t="inlineStr">
        <is>
          <t>1953 N Gun Club Rd</t>
        </is>
      </c>
      <c r="E114" s="285" t="inlineStr">
        <is>
          <t>Aurora</t>
        </is>
      </c>
      <c r="F114" s="285" t="inlineStr">
        <is>
          <t>CO</t>
        </is>
      </c>
      <c r="G114" s="285" t="inlineStr">
        <is>
          <t>Industrial</t>
        </is>
      </c>
      <c r="H114" s="286" t="inlineStr">
        <is>
          <t>Multi-Tenant Industrial/Office NNN</t>
        </is>
      </c>
      <c r="I114" s="287" t="n"/>
      <c r="J114" s="287" t="n"/>
      <c r="K114" s="287" t="n">
        <v>2024</v>
      </c>
      <c r="L114" s="285" t="n"/>
      <c r="M114" s="285" t="n"/>
      <c r="N114" s="290" t="n">
        <v>2720117</v>
      </c>
      <c r="O114" s="290" t="n">
        <v>53324</v>
      </c>
      <c r="P114" s="290" t="n">
        <v>85426</v>
      </c>
      <c r="Q114" s="285" t="n"/>
      <c r="R114" s="285" t="n"/>
      <c r="S114" s="290" t="n">
        <v>10052</v>
      </c>
      <c r="T114" s="290" t="n">
        <v>12752</v>
      </c>
      <c r="U114" s="285" t="n"/>
      <c r="V114" s="285" t="n"/>
      <c r="W114" s="285" t="n"/>
      <c r="X114" s="290" t="n">
        <v>789</v>
      </c>
      <c r="Y114" s="290" t="n">
        <v>23593</v>
      </c>
      <c r="Z114" s="285" t="n"/>
      <c r="AA114" s="290" t="n">
        <v>16126</v>
      </c>
      <c r="AB114" s="290" t="n">
        <v>57314</v>
      </c>
      <c r="AC114" s="290" t="n">
        <v>73440</v>
      </c>
      <c r="AD114" s="290" t="n">
        <v>21725</v>
      </c>
      <c r="AE114" s="285" t="n"/>
      <c r="AF114" s="290" t="n">
        <v>21725</v>
      </c>
      <c r="AG114" s="290" t="n">
        <v>2601</v>
      </c>
      <c r="AH114" s="290" t="n">
        <v>265585</v>
      </c>
      <c r="AI114" s="290" t="n">
        <v>1331347</v>
      </c>
      <c r="AJ114" s="290" t="n">
        <v>1596932</v>
      </c>
      <c r="AK114" s="290" t="n">
        <v>1123184</v>
      </c>
      <c r="AL114" s="285" t="n"/>
      <c r="AM114" s="286" t="inlineStr">
        <is>
          <t>[NO SF] Actual accrual; base rent $1.09M stepped; recovery $1.62M</t>
        </is>
      </c>
    </row>
    <row r="115" ht="14" customHeight="1" s="518">
      <c r="A115" s="151" t="inlineStr">
        <is>
          <t>P055</t>
        </is>
      </c>
      <c r="B115" s="150" t="n">
        <v>407</v>
      </c>
      <c r="C115" s="151" t="inlineStr">
        <is>
          <t>R0211072/R0211073/R0211074</t>
        </is>
      </c>
      <c r="D115" s="269" t="inlineStr">
        <is>
          <t>Park 76 Distribution Center</t>
        </is>
      </c>
      <c r="E115" s="151" t="inlineStr">
        <is>
          <t>Aurora</t>
        </is>
      </c>
      <c r="F115" s="151" t="inlineStr">
        <is>
          <t>CO</t>
        </is>
      </c>
      <c r="G115" s="151" t="inlineStr">
        <is>
          <t>Industrial</t>
        </is>
      </c>
      <c r="H115" s="269" t="inlineStr">
        <is>
          <t>Industrial Warehouse NNN</t>
        </is>
      </c>
      <c r="I115" s="161" t="n"/>
      <c r="J115" s="161" t="n"/>
      <c r="K115" s="161" t="n">
        <v>2023</v>
      </c>
      <c r="L115" s="164" t="n">
        <v>1865903</v>
      </c>
      <c r="M115" s="151" t="n"/>
      <c r="N115" s="164" t="n">
        <v>2819460</v>
      </c>
      <c r="O115" s="164" t="n">
        <v>30551</v>
      </c>
      <c r="P115" s="164" t="n">
        <v>174961</v>
      </c>
      <c r="Q115" s="151" t="n"/>
      <c r="R115" s="151" t="n"/>
      <c r="S115" s="164" t="n">
        <v>38995</v>
      </c>
      <c r="T115" s="164" t="n">
        <v>27460</v>
      </c>
      <c r="U115" s="151" t="n"/>
      <c r="V115" s="151" t="n"/>
      <c r="W115" s="151" t="n"/>
      <c r="X115" s="164" t="n">
        <v>2475</v>
      </c>
      <c r="Y115" s="164" t="n">
        <v>68930</v>
      </c>
      <c r="Z115" s="151" t="n"/>
      <c r="AA115" s="164" t="n">
        <v>18672</v>
      </c>
      <c r="AB115" s="164" t="n">
        <v>19945</v>
      </c>
      <c r="AC115" s="164" t="n">
        <v>38617</v>
      </c>
      <c r="AD115" s="151" t="n"/>
      <c r="AE115" s="151" t="n"/>
      <c r="AF115" s="164" t="n">
        <v>58172</v>
      </c>
      <c r="AG115" s="164" t="n">
        <v>18488</v>
      </c>
      <c r="AH115" s="164" t="n">
        <v>379535</v>
      </c>
      <c r="AI115" s="164" t="n">
        <v>895967</v>
      </c>
      <c r="AJ115" s="164" t="n">
        <v>1013502</v>
      </c>
      <c r="AK115" s="164" t="n">
        <v>1805958</v>
      </c>
      <c r="AL115" s="151" t="n"/>
      <c r="AM115" s="269" t="inlineStr">
        <is>
          <t>[NO SF] 3-bldg campus; actual accrual; base rent $1.87M; recovery $992k; prior-yr tax credit ($186k) netted</t>
        </is>
      </c>
    </row>
    <row r="116" ht="14" customHeight="1" s="518">
      <c r="A116" s="285" t="inlineStr">
        <is>
          <t>P055</t>
        </is>
      </c>
      <c r="B116" s="150" t="n">
        <v>407</v>
      </c>
      <c r="C116" s="285" t="inlineStr">
        <is>
          <t>R0211072/R0211073/R0211074</t>
        </is>
      </c>
      <c r="D116" s="286" t="inlineStr">
        <is>
          <t>Park 76 Distribution Center</t>
        </is>
      </c>
      <c r="E116" s="285" t="inlineStr">
        <is>
          <t>Aurora</t>
        </is>
      </c>
      <c r="F116" s="285" t="inlineStr">
        <is>
          <t>CO</t>
        </is>
      </c>
      <c r="G116" s="285" t="inlineStr">
        <is>
          <t>Industrial</t>
        </is>
      </c>
      <c r="H116" s="286" t="inlineStr">
        <is>
          <t>Industrial Warehouse NNN</t>
        </is>
      </c>
      <c r="I116" s="287" t="n"/>
      <c r="J116" s="287" t="n"/>
      <c r="K116" s="287" t="n">
        <v>2024</v>
      </c>
      <c r="L116" s="290" t="n">
        <v>2075908</v>
      </c>
      <c r="M116" s="285" t="n"/>
      <c r="N116" s="290" t="n">
        <v>3348615</v>
      </c>
      <c r="O116" s="290" t="n">
        <v>35750</v>
      </c>
      <c r="P116" s="290" t="n">
        <v>200286</v>
      </c>
      <c r="Q116" s="285" t="n"/>
      <c r="R116" s="285" t="n"/>
      <c r="S116" s="290" t="n">
        <v>22119</v>
      </c>
      <c r="T116" s="290" t="n">
        <v>33962</v>
      </c>
      <c r="U116" s="285" t="n"/>
      <c r="V116" s="285" t="n"/>
      <c r="W116" s="285" t="n"/>
      <c r="X116" s="290" t="n">
        <v>3333</v>
      </c>
      <c r="Y116" s="290" t="n">
        <v>59414</v>
      </c>
      <c r="Z116" s="285" t="n"/>
      <c r="AA116" s="290" t="n">
        <v>26689</v>
      </c>
      <c r="AB116" s="290" t="n">
        <v>56296</v>
      </c>
      <c r="AC116" s="290" t="n">
        <v>82985</v>
      </c>
      <c r="AD116" s="285" t="n"/>
      <c r="AE116" s="285" t="n"/>
      <c r="AF116" s="290" t="n">
        <v>34195</v>
      </c>
      <c r="AG116" s="290" t="n">
        <v>4284</v>
      </c>
      <c r="AH116" s="290" t="n">
        <v>341787</v>
      </c>
      <c r="AI116" s="290" t="n">
        <v>989805</v>
      </c>
      <c r="AJ116" s="290" t="n">
        <v>1331592</v>
      </c>
      <c r="AK116" s="290" t="n">
        <v>2017023</v>
      </c>
      <c r="AL116" s="285" t="n"/>
      <c r="AM116" s="286" t="inlineStr">
        <is>
          <t>[NO SF] 3-bldg campus; actual accrual; near-stabilized; base rent $2.08M; recovery $1.23M</t>
        </is>
      </c>
    </row>
    <row r="117" ht="14" customHeight="1" s="518">
      <c r="A117" s="151" t="inlineStr">
        <is>
          <t>P056</t>
        </is>
      </c>
      <c r="B117" s="150" t="n">
        <v>407</v>
      </c>
      <c r="C117" s="151" t="inlineStr">
        <is>
          <t>R0210485</t>
        </is>
      </c>
      <c r="D117" s="269" t="inlineStr">
        <is>
          <t>1101 E 126th Ave (Bldg A)</t>
        </is>
      </c>
      <c r="E117" s="151" t="inlineStr">
        <is>
          <t>Thornton</t>
        </is>
      </c>
      <c r="F117" s="151" t="inlineStr">
        <is>
          <t>CO</t>
        </is>
      </c>
      <c r="G117" s="151" t="inlineStr">
        <is>
          <t>Industrial</t>
        </is>
      </c>
      <c r="H117" s="269" t="inlineStr">
        <is>
          <t>Industrial Warehouse NNN</t>
        </is>
      </c>
      <c r="I117" s="161" t="n">
        <v>2022</v>
      </c>
      <c r="J117" s="161" t="n"/>
      <c r="K117" s="161" t="n">
        <v>2024</v>
      </c>
      <c r="L117" s="164" t="n">
        <v>646186</v>
      </c>
      <c r="M117" s="151" t="n"/>
      <c r="N117" s="164" t="n">
        <v>839307</v>
      </c>
      <c r="O117" s="164" t="n">
        <v>11813</v>
      </c>
      <c r="P117" s="164" t="n">
        <v>47295</v>
      </c>
      <c r="Q117" s="151" t="n"/>
      <c r="R117" s="151" t="n"/>
      <c r="S117" s="151" t="n"/>
      <c r="T117" s="164" t="n">
        <v>9156</v>
      </c>
      <c r="U117" s="151" t="n"/>
      <c r="V117" s="151" t="n"/>
      <c r="W117" s="151" t="n"/>
      <c r="X117" s="164" t="n">
        <v>3898</v>
      </c>
      <c r="Y117" s="164" t="n">
        <v>13054</v>
      </c>
      <c r="Z117" s="151" t="n"/>
      <c r="AA117" s="164" t="n">
        <v>11343</v>
      </c>
      <c r="AB117" s="164" t="n">
        <v>24799</v>
      </c>
      <c r="AC117" s="164" t="n">
        <v>36142</v>
      </c>
      <c r="AD117" s="151" t="n"/>
      <c r="AE117" s="151" t="n"/>
      <c r="AF117" s="164" t="n">
        <v>27895</v>
      </c>
      <c r="AG117" s="151" t="n"/>
      <c r="AH117" s="164" t="n">
        <v>146517</v>
      </c>
      <c r="AI117" s="164" t="n">
        <v>558285</v>
      </c>
      <c r="AJ117" s="164" t="n">
        <v>705154</v>
      </c>
      <c r="AK117" s="164" t="n">
        <v>134153</v>
      </c>
      <c r="AL117" s="151" t="n"/>
      <c r="AM117" s="269" t="inlineStr">
        <is>
          <t>[NO SF] New (YOC ~2022); 2024 near-stabilized; 2023 excluded (lease-up, negative NOI)</t>
        </is>
      </c>
    </row>
    <row r="118" ht="14" customHeight="1" s="518">
      <c r="A118" s="285" t="inlineStr">
        <is>
          <t>P057</t>
        </is>
      </c>
      <c r="B118" s="150" t="n">
        <v>407</v>
      </c>
      <c r="C118" s="285" t="inlineStr">
        <is>
          <t>R0210486</t>
        </is>
      </c>
      <c r="D118" s="286" t="inlineStr">
        <is>
          <t>12625 Lafayette St (Bldg B)</t>
        </is>
      </c>
      <c r="E118" s="285" t="inlineStr">
        <is>
          <t>Thornton</t>
        </is>
      </c>
      <c r="F118" s="285" t="inlineStr">
        <is>
          <t>CO</t>
        </is>
      </c>
      <c r="G118" s="285" t="inlineStr">
        <is>
          <t>Industrial</t>
        </is>
      </c>
      <c r="H118" s="286" t="inlineStr">
        <is>
          <t>Industrial Warehouse NNN</t>
        </is>
      </c>
      <c r="I118" s="287" t="n">
        <v>2022</v>
      </c>
      <c r="J118" s="287" t="n"/>
      <c r="K118" s="287" t="n">
        <v>2024</v>
      </c>
      <c r="L118" s="290" t="n">
        <v>898845</v>
      </c>
      <c r="M118" s="285" t="n"/>
      <c r="N118" s="290" t="n">
        <v>1373599</v>
      </c>
      <c r="O118" s="290" t="n">
        <v>21888</v>
      </c>
      <c r="P118" s="290" t="n">
        <v>72220</v>
      </c>
      <c r="Q118" s="285" t="n"/>
      <c r="R118" s="285" t="n"/>
      <c r="S118" s="285" t="n"/>
      <c r="T118" s="290" t="n">
        <v>8438</v>
      </c>
      <c r="U118" s="285" t="n"/>
      <c r="V118" s="285" t="n"/>
      <c r="W118" s="285" t="n"/>
      <c r="X118" s="290" t="n">
        <v>5773</v>
      </c>
      <c r="Y118" s="290" t="n">
        <v>14211</v>
      </c>
      <c r="Z118" s="285" t="n"/>
      <c r="AA118" s="290" t="n">
        <v>21287</v>
      </c>
      <c r="AB118" s="290" t="n">
        <v>29625</v>
      </c>
      <c r="AC118" s="290" t="n">
        <v>50912</v>
      </c>
      <c r="AD118" s="285" t="n"/>
      <c r="AE118" s="285" t="n"/>
      <c r="AF118" s="290" t="n">
        <v>51235</v>
      </c>
      <c r="AG118" s="285" t="n"/>
      <c r="AH118" s="290" t="n">
        <v>209004</v>
      </c>
      <c r="AI118" s="290" t="n">
        <v>762465</v>
      </c>
      <c r="AJ118" s="290" t="n">
        <v>971469</v>
      </c>
      <c r="AK118" s="290" t="n">
        <v>402131</v>
      </c>
      <c r="AL118" s="285" t="n"/>
      <c r="AM118" s="286" t="inlineStr">
        <is>
          <t>[NO SF] New (YOC ~2022); 2024 near-stabilized; 2023 excluded (lease-up, negative NOI)</t>
        </is>
      </c>
    </row>
    <row r="119" ht="14" customHeight="1" s="518">
      <c r="A119" s="151" t="inlineStr">
        <is>
          <t>P058</t>
        </is>
      </c>
      <c r="B119" s="150" t="n">
        <v>407</v>
      </c>
      <c r="C119" s="151" t="inlineStr">
        <is>
          <t>R0091934</t>
        </is>
      </c>
      <c r="D119" s="269" t="inlineStr">
        <is>
          <t>350 Park Industrial (5759)</t>
        </is>
      </c>
      <c r="E119" s="151" t="inlineStr">
        <is>
          <t>Aurora</t>
        </is>
      </c>
      <c r="F119" s="151" t="inlineStr">
        <is>
          <t>CO</t>
        </is>
      </c>
      <c r="G119" s="151" t="inlineStr">
        <is>
          <t>Industrial</t>
        </is>
      </c>
      <c r="H119" s="269" t="inlineStr">
        <is>
          <t>Multi-Tenant Industrial 407</t>
        </is>
      </c>
      <c r="I119" s="161" t="n">
        <v>1995</v>
      </c>
      <c r="J119" s="161" t="n">
        <v>32600</v>
      </c>
      <c r="K119" s="161" t="n">
        <v>2023</v>
      </c>
      <c r="L119" s="732" t="n">
        <v>9.103300000000001</v>
      </c>
      <c r="M119" s="151" t="n"/>
      <c r="N119" s="732" t="n">
        <v>13.7731</v>
      </c>
      <c r="O119" s="732" t="n">
        <v>0.1782</v>
      </c>
      <c r="P119" s="732" t="n">
        <v>0.5171</v>
      </c>
      <c r="Q119" s="732" t="n">
        <v>0.0369</v>
      </c>
      <c r="R119" s="151" t="n"/>
      <c r="S119" s="732" t="n">
        <v>0.3072</v>
      </c>
      <c r="T119" s="732" t="n">
        <v>0.0153</v>
      </c>
      <c r="U119" s="151" t="n"/>
      <c r="V119" s="151" t="n"/>
      <c r="W119" s="151" t="n"/>
      <c r="X119" s="732" t="n">
        <v>0.238</v>
      </c>
      <c r="Y119" s="732" t="n">
        <v>0.5975</v>
      </c>
      <c r="Z119" s="732" t="n">
        <v>0.0417</v>
      </c>
      <c r="AA119" s="151" t="n"/>
      <c r="AB119" s="151" t="n"/>
      <c r="AC119" s="732" t="n">
        <v>0.0417</v>
      </c>
      <c r="AD119" s="732" t="n">
        <v>0.1872</v>
      </c>
      <c r="AE119" s="151" t="n"/>
      <c r="AF119" s="732" t="n">
        <v>0.1872</v>
      </c>
      <c r="AG119" s="732" t="n">
        <v>0.2377</v>
      </c>
      <c r="AH119" s="732" t="n">
        <v>1.7506</v>
      </c>
      <c r="AI119" s="732" t="n">
        <v>3.1503</v>
      </c>
      <c r="AJ119" s="732" t="n">
        <v>4.8938</v>
      </c>
      <c r="AK119" s="732" t="n">
        <v>8.879300000000001</v>
      </c>
      <c r="AL119" s="151" t="n"/>
      <c r="AM119" s="269" t="inlineStr">
        <is>
          <t>Actual accrual; 3 tenants; multi-tenant industrial</t>
        </is>
      </c>
    </row>
    <row r="120" ht="14" customHeight="1" s="518">
      <c r="A120" s="285" t="inlineStr">
        <is>
          <t>P058</t>
        </is>
      </c>
      <c r="B120" s="150" t="n">
        <v>407</v>
      </c>
      <c r="C120" s="285" t="inlineStr">
        <is>
          <t>R0091934</t>
        </is>
      </c>
      <c r="D120" s="286" t="inlineStr">
        <is>
          <t>350 Park Industrial (5759)</t>
        </is>
      </c>
      <c r="E120" s="285" t="inlineStr">
        <is>
          <t>Aurora</t>
        </is>
      </c>
      <c r="F120" s="285" t="inlineStr">
        <is>
          <t>CO</t>
        </is>
      </c>
      <c r="G120" s="285" t="inlineStr">
        <is>
          <t>Industrial</t>
        </is>
      </c>
      <c r="H120" s="286" t="inlineStr">
        <is>
          <t>Multi-Tenant Industrial 407</t>
        </is>
      </c>
      <c r="I120" s="287" t="n">
        <v>1995</v>
      </c>
      <c r="J120" s="287" t="n">
        <v>32600</v>
      </c>
      <c r="K120" s="287" t="n">
        <v>2024</v>
      </c>
      <c r="L120" s="731" t="n">
        <v>9.582700000000001</v>
      </c>
      <c r="M120" s="285" t="n"/>
      <c r="N120" s="731" t="n">
        <v>15.2757</v>
      </c>
      <c r="O120" s="731" t="n">
        <v>0.1809</v>
      </c>
      <c r="P120" s="731" t="n">
        <v>0.5698</v>
      </c>
      <c r="Q120" s="731" t="n">
        <v>0.0384</v>
      </c>
      <c r="R120" s="285" t="n"/>
      <c r="S120" s="731" t="n">
        <v>0.2311</v>
      </c>
      <c r="T120" s="731" t="n">
        <v>0.0375</v>
      </c>
      <c r="U120" s="285" t="n"/>
      <c r="V120" s="285" t="n"/>
      <c r="W120" s="285" t="n"/>
      <c r="X120" s="731" t="n">
        <v>0.223</v>
      </c>
      <c r="Y120" s="731" t="n">
        <v>0.53</v>
      </c>
      <c r="Z120" s="731" t="n">
        <v>0.0422</v>
      </c>
      <c r="AA120" s="285" t="n"/>
      <c r="AB120" s="285" t="n"/>
      <c r="AC120" s="731" t="n">
        <v>0.0422</v>
      </c>
      <c r="AD120" s="731" t="n">
        <v>0.2095</v>
      </c>
      <c r="AE120" s="285" t="n"/>
      <c r="AF120" s="731" t="n">
        <v>0.2095</v>
      </c>
      <c r="AG120" s="731" t="n">
        <v>0.7716</v>
      </c>
      <c r="AH120" s="731" t="n">
        <v>2.124</v>
      </c>
      <c r="AI120" s="731" t="n">
        <v>3.247</v>
      </c>
      <c r="AJ120" s="731" t="n">
        <v>5.279</v>
      </c>
      <c r="AK120" s="731" t="n">
        <v>9.996700000000001</v>
      </c>
      <c r="AL120" s="285" t="n"/>
      <c r="AM120" s="286" t="inlineStr">
        <is>
          <t>Actual accrual; 3 tenants</t>
        </is>
      </c>
    </row>
    <row r="121" ht="14" customHeight="1" s="518">
      <c r="A121" s="151" t="inlineStr">
        <is>
          <t>P059</t>
        </is>
      </c>
      <c r="B121" s="150" t="n">
        <v>407</v>
      </c>
      <c r="C121" s="151" t="inlineStr">
        <is>
          <t>R0093111</t>
        </is>
      </c>
      <c r="D121" s="269" t="inlineStr">
        <is>
          <t>Industrial Property (R0093111)</t>
        </is>
      </c>
      <c r="E121" s="151" t="inlineStr">
        <is>
          <t>Aurora</t>
        </is>
      </c>
      <c r="F121" s="151" t="inlineStr">
        <is>
          <t>CO</t>
        </is>
      </c>
      <c r="G121" s="151" t="inlineStr">
        <is>
          <t>Industrial</t>
        </is>
      </c>
      <c r="H121" s="269" t="inlineStr">
        <is>
          <t>Multi-Tenant Industrial 407</t>
        </is>
      </c>
      <c r="I121" s="161" t="n"/>
      <c r="J121" s="161" t="n"/>
      <c r="K121" s="161" t="n">
        <v>2023</v>
      </c>
      <c r="L121" s="164" t="n">
        <v>340825</v>
      </c>
      <c r="M121" s="151" t="n"/>
      <c r="N121" s="164" t="n">
        <v>817280</v>
      </c>
      <c r="O121" s="164" t="n">
        <v>396</v>
      </c>
      <c r="P121" s="164" t="n">
        <v>24226</v>
      </c>
      <c r="Q121" s="164" t="n">
        <v>2790</v>
      </c>
      <c r="R121" s="151" t="n"/>
      <c r="S121" s="164" t="n">
        <v>17586</v>
      </c>
      <c r="T121" s="151" t="n"/>
      <c r="U121" s="151" t="n"/>
      <c r="V121" s="151" t="n"/>
      <c r="W121" s="151" t="n"/>
      <c r="X121" s="164" t="n">
        <v>1690</v>
      </c>
      <c r="Y121" s="164" t="n">
        <v>22066</v>
      </c>
      <c r="Z121" s="164" t="n">
        <v>1690</v>
      </c>
      <c r="AA121" s="164" t="n">
        <v>10029</v>
      </c>
      <c r="AB121" s="164" t="n">
        <v>13406</v>
      </c>
      <c r="AC121" s="164" t="n">
        <v>15096</v>
      </c>
      <c r="AD121" s="164" t="n">
        <v>8414</v>
      </c>
      <c r="AE121" s="151" t="n"/>
      <c r="AF121" s="164" t="n">
        <v>8414</v>
      </c>
      <c r="AG121" s="164" t="n">
        <v>7749</v>
      </c>
      <c r="AH121" s="164" t="n">
        <v>82990</v>
      </c>
      <c r="AI121" s="164" t="n">
        <v>262422</v>
      </c>
      <c r="AJ121" s="164" t="n">
        <v>345412</v>
      </c>
      <c r="AK121" s="164" t="n">
        <v>471868</v>
      </c>
      <c r="AL121" s="151" t="n"/>
      <c r="AM121" s="269" t="inlineStr">
        <is>
          <t>[NO SF] Actual; RE tax heavy due to NNN recovery; SF not confirmed</t>
        </is>
      </c>
    </row>
    <row r="122" ht="14" customHeight="1" s="518">
      <c r="A122" s="285" t="inlineStr">
        <is>
          <t>P059</t>
        </is>
      </c>
      <c r="B122" s="150" t="n">
        <v>407</v>
      </c>
      <c r="C122" s="285" t="inlineStr">
        <is>
          <t>R0093111</t>
        </is>
      </c>
      <c r="D122" s="286" t="inlineStr">
        <is>
          <t>Industrial Property (R0093111)</t>
        </is>
      </c>
      <c r="E122" s="285" t="inlineStr">
        <is>
          <t>Aurora</t>
        </is>
      </c>
      <c r="F122" s="285" t="inlineStr">
        <is>
          <t>CO</t>
        </is>
      </c>
      <c r="G122" s="285" t="inlineStr">
        <is>
          <t>Industrial</t>
        </is>
      </c>
      <c r="H122" s="286" t="inlineStr">
        <is>
          <t>Multi-Tenant Industrial 407</t>
        </is>
      </c>
      <c r="I122" s="287" t="n"/>
      <c r="J122" s="287" t="n"/>
      <c r="K122" s="287" t="n">
        <v>2024</v>
      </c>
      <c r="L122" s="290" t="n">
        <v>343350</v>
      </c>
      <c r="M122" s="285" t="n"/>
      <c r="N122" s="290" t="n">
        <v>632272</v>
      </c>
      <c r="O122" s="290" t="n">
        <v>9737</v>
      </c>
      <c r="P122" s="285" t="n"/>
      <c r="Q122" s="285" t="n"/>
      <c r="R122" s="285" t="n"/>
      <c r="S122" s="285" t="n"/>
      <c r="T122" s="285" t="n"/>
      <c r="U122" s="285" t="n"/>
      <c r="V122" s="285" t="n"/>
      <c r="W122" s="285" t="n"/>
      <c r="X122" s="285" t="n"/>
      <c r="Y122" s="285" t="n"/>
      <c r="Z122" s="285" t="n"/>
      <c r="AA122" s="285" t="n"/>
      <c r="AB122" s="285" t="n"/>
      <c r="AC122" s="285" t="n"/>
      <c r="AD122" s="285" t="n"/>
      <c r="AE122" s="285" t="n"/>
      <c r="AF122" s="285" t="n"/>
      <c r="AG122" s="285" t="n"/>
      <c r="AH122" s="290" t="n">
        <v>119649</v>
      </c>
      <c r="AI122" s="290" t="n">
        <v>159461</v>
      </c>
      <c r="AJ122" s="290" t="n">
        <v>279110</v>
      </c>
      <c r="AK122" s="290" t="n">
        <v>353163</v>
      </c>
      <c r="AL122" s="285" t="n"/>
      <c r="AM122" s="286" t="inlineStr">
        <is>
          <t>[NO SF] 2024 summary data; limited line-item detail; SF not confirmed</t>
        </is>
      </c>
    </row>
    <row r="123" ht="14" customHeight="1" s="518">
      <c r="A123" s="151" t="inlineStr">
        <is>
          <t>P060</t>
        </is>
      </c>
      <c r="B123" s="150" t="n">
        <v>407</v>
      </c>
      <c r="C123" s="151" t="inlineStr">
        <is>
          <t>R0100104</t>
        </is>
      </c>
      <c r="D123" s="269" t="inlineStr">
        <is>
          <t>312 Kew West</t>
        </is>
      </c>
      <c r="E123" s="151" t="inlineStr">
        <is>
          <t>Aurora</t>
        </is>
      </c>
      <c r="F123" s="151" t="inlineStr">
        <is>
          <t>CO</t>
        </is>
      </c>
      <c r="G123" s="151" t="inlineStr">
        <is>
          <t>Industrial</t>
        </is>
      </c>
      <c r="H123" s="269" t="inlineStr">
        <is>
          <t>Multi-Tenant Industrial 407</t>
        </is>
      </c>
      <c r="I123" s="161" t="n"/>
      <c r="J123" s="161" t="n"/>
      <c r="K123" s="161" t="n">
        <v>2023</v>
      </c>
      <c r="L123" s="164" t="n">
        <v>246837</v>
      </c>
      <c r="M123" s="151" t="n"/>
      <c r="N123" s="164" t="n">
        <v>340193</v>
      </c>
      <c r="O123" s="164" t="n">
        <v>7355</v>
      </c>
      <c r="P123" s="164" t="n">
        <v>12734</v>
      </c>
      <c r="Q123" s="164" t="n">
        <v>1711</v>
      </c>
      <c r="R123" s="151" t="n"/>
      <c r="S123" s="164" t="n">
        <v>24740</v>
      </c>
      <c r="T123" s="164" t="n">
        <v>6577</v>
      </c>
      <c r="U123" s="151" t="n"/>
      <c r="V123" s="151" t="n"/>
      <c r="W123" s="151" t="n"/>
      <c r="X123" s="164" t="n">
        <v>10612</v>
      </c>
      <c r="Y123" s="164" t="n">
        <v>43640</v>
      </c>
      <c r="Z123" s="164" t="n">
        <v>2451</v>
      </c>
      <c r="AA123" s="164" t="n">
        <v>2474</v>
      </c>
      <c r="AB123" s="164" t="n">
        <v>9457</v>
      </c>
      <c r="AC123" s="164" t="n">
        <v>14382</v>
      </c>
      <c r="AD123" s="164" t="n">
        <v>4092</v>
      </c>
      <c r="AE123" s="151" t="n"/>
      <c r="AF123" s="164" t="n">
        <v>4092</v>
      </c>
      <c r="AG123" s="151" t="n"/>
      <c r="AH123" s="164" t="n">
        <v>68233</v>
      </c>
      <c r="AI123" s="164" t="n">
        <v>92861</v>
      </c>
      <c r="AJ123" s="164" t="n">
        <v>161094</v>
      </c>
      <c r="AK123" s="164" t="n">
        <v>179099</v>
      </c>
      <c r="AL123" s="151" t="n"/>
      <c r="AM123" s="269" t="inlineStr">
        <is>
          <t>[NO SF] Actual accrual; SF not confirmed</t>
        </is>
      </c>
    </row>
    <row r="124" ht="14" customHeight="1" s="518">
      <c r="A124" s="285" t="inlineStr">
        <is>
          <t>P060</t>
        </is>
      </c>
      <c r="B124" s="150" t="n">
        <v>407</v>
      </c>
      <c r="C124" s="285" t="inlineStr">
        <is>
          <t>R0100104</t>
        </is>
      </c>
      <c r="D124" s="286" t="inlineStr">
        <is>
          <t>312 Kew West</t>
        </is>
      </c>
      <c r="E124" s="285" t="inlineStr">
        <is>
          <t>Aurora</t>
        </is>
      </c>
      <c r="F124" s="285" t="inlineStr">
        <is>
          <t>CO</t>
        </is>
      </c>
      <c r="G124" s="285" t="inlineStr">
        <is>
          <t>Industrial</t>
        </is>
      </c>
      <c r="H124" s="286" t="inlineStr">
        <is>
          <t>Multi-Tenant Industrial 407</t>
        </is>
      </c>
      <c r="I124" s="287" t="n"/>
      <c r="J124" s="287" t="n"/>
      <c r="K124" s="287" t="n">
        <v>2024</v>
      </c>
      <c r="L124" s="290" t="n">
        <v>239823</v>
      </c>
      <c r="M124" s="285" t="n"/>
      <c r="N124" s="290" t="n">
        <v>375845</v>
      </c>
      <c r="O124" s="290" t="n">
        <v>7287</v>
      </c>
      <c r="P124" s="290" t="n">
        <v>18575</v>
      </c>
      <c r="Q124" s="290" t="n">
        <v>816</v>
      </c>
      <c r="R124" s="285" t="n"/>
      <c r="S124" s="290" t="n">
        <v>25607</v>
      </c>
      <c r="T124" s="290" t="n">
        <v>7834</v>
      </c>
      <c r="U124" s="285" t="n"/>
      <c r="V124" s="285" t="n"/>
      <c r="W124" s="285" t="n"/>
      <c r="X124" s="290" t="n">
        <v>8752</v>
      </c>
      <c r="Y124" s="290" t="n">
        <v>42009</v>
      </c>
      <c r="Z124" s="290" t="n">
        <v>2982</v>
      </c>
      <c r="AA124" s="290" t="n">
        <v>2720</v>
      </c>
      <c r="AB124" s="290" t="n">
        <v>10994</v>
      </c>
      <c r="AC124" s="290" t="n">
        <v>16696</v>
      </c>
      <c r="AD124" s="290" t="n">
        <v>4502</v>
      </c>
      <c r="AE124" s="285" t="n"/>
      <c r="AF124" s="290" t="n">
        <v>4502</v>
      </c>
      <c r="AG124" s="285" t="n"/>
      <c r="AH124" s="290" t="n">
        <v>69570</v>
      </c>
      <c r="AI124" s="290" t="n">
        <v>102524</v>
      </c>
      <c r="AJ124" s="290" t="n">
        <v>172094</v>
      </c>
      <c r="AK124" s="290" t="n">
        <v>203752</v>
      </c>
      <c r="AL124" s="285" t="n"/>
      <c r="AM124" s="286" t="inlineStr">
        <is>
          <t>[NO SF] Actual accrual; SF not confirmed</t>
        </is>
      </c>
    </row>
    <row r="125" ht="14" customHeight="1" s="518">
      <c r="A125" s="151" t="inlineStr">
        <is>
          <t>P061</t>
        </is>
      </c>
      <c r="B125" s="150" t="n">
        <v>584</v>
      </c>
      <c r="C125" s="151" t="inlineStr">
        <is>
          <t>R0083935</t>
        </is>
      </c>
      <c r="D125" s="269" t="inlineStr">
        <is>
          <t>20101 E 36th Ave</t>
        </is>
      </c>
      <c r="E125" s="151" t="inlineStr">
        <is>
          <t>Aurora</t>
        </is>
      </c>
      <c r="F125" s="151" t="inlineStr">
        <is>
          <t>CO</t>
        </is>
      </c>
      <c r="G125" s="151" t="inlineStr">
        <is>
          <t>Industrial</t>
        </is>
      </c>
      <c r="H125" s="269" t="inlineStr">
        <is>
          <t>Mega Warehouse NNN</t>
        </is>
      </c>
      <c r="I125" s="161" t="n"/>
      <c r="J125" s="161" t="n">
        <v>278538</v>
      </c>
      <c r="K125" s="161" t="n">
        <v>2024</v>
      </c>
      <c r="L125" s="732" t="n">
        <v>4.4608</v>
      </c>
      <c r="M125" s="151" t="n"/>
      <c r="N125" s="732" t="n">
        <v>10.6014</v>
      </c>
      <c r="O125" s="151" t="n"/>
      <c r="P125" s="151" t="n"/>
      <c r="Q125" s="151" t="n"/>
      <c r="R125" s="151" t="n"/>
      <c r="S125" s="151" t="n"/>
      <c r="T125" s="151" t="n"/>
      <c r="U125" s="151" t="n"/>
      <c r="V125" s="151" t="n"/>
      <c r="W125" s="151" t="n"/>
      <c r="X125" s="151" t="n"/>
      <c r="Y125" s="151" t="n"/>
      <c r="Z125" s="151" t="n"/>
      <c r="AA125" s="151" t="n"/>
      <c r="AB125" s="151" t="n"/>
      <c r="AC125" s="151" t="n"/>
      <c r="AD125" s="151" t="n"/>
      <c r="AE125" s="151" t="n"/>
      <c r="AF125" s="732" t="n">
        <v>0.7035</v>
      </c>
      <c r="AG125" s="151" t="n"/>
      <c r="AH125" s="151" t="n"/>
      <c r="AI125" s="151" t="n"/>
      <c r="AJ125" s="151" t="n"/>
      <c r="AK125" s="151" t="n"/>
      <c r="AL125" s="151" t="n"/>
      <c r="AM125" s="269" t="inlineStr">
        <is>
          <t>NNN; partial data; CBRE income statement; tenant RK Industries; rent $4.47/SF NNN; RE tax recovery ~$860k</t>
        </is>
      </c>
    </row>
    <row r="126" ht="14" customHeight="1" s="518">
      <c r="A126" s="285" t="inlineStr">
        <is>
          <t>P062</t>
        </is>
      </c>
      <c r="B126" s="150" t="n">
        <v>407</v>
      </c>
      <c r="C126" s="285" t="inlineStr">
        <is>
          <t>R0200721</t>
        </is>
      </c>
      <c r="D126" s="286" t="inlineStr">
        <is>
          <t>3420 N Lisbon St</t>
        </is>
      </c>
      <c r="E126" s="285" t="inlineStr">
        <is>
          <t>Aurora</t>
        </is>
      </c>
      <c r="F126" s="285" t="inlineStr">
        <is>
          <t>CO</t>
        </is>
      </c>
      <c r="G126" s="285" t="inlineStr">
        <is>
          <t>Industrial</t>
        </is>
      </c>
      <c r="H126" s="286" t="inlineStr">
        <is>
          <t>Single-Tenant Industrial NNN</t>
        </is>
      </c>
      <c r="I126" s="287" t="n">
        <v>2019</v>
      </c>
      <c r="J126" s="287" t="n">
        <v>36212</v>
      </c>
      <c r="K126" s="287" t="n">
        <v>2023</v>
      </c>
      <c r="L126" s="731" t="n">
        <v>7.519</v>
      </c>
      <c r="M126" s="285" t="n"/>
      <c r="N126" s="731" t="n">
        <v>7.519</v>
      </c>
      <c r="O126" s="285" t="n"/>
      <c r="P126" s="285" t="n"/>
      <c r="Q126" s="285" t="n"/>
      <c r="R126" s="285" t="n"/>
      <c r="S126" s="285" t="n"/>
      <c r="T126" s="285" t="n"/>
      <c r="U126" s="285" t="n"/>
      <c r="V126" s="285" t="n"/>
      <c r="W126" s="285" t="n"/>
      <c r="X126" s="285" t="n"/>
      <c r="Y126" s="285" t="n"/>
      <c r="Z126" s="285" t="n"/>
      <c r="AA126" s="285" t="n"/>
      <c r="AB126" s="285" t="n"/>
      <c r="AC126" s="285" t="n"/>
      <c r="AD126" s="285" t="n"/>
      <c r="AE126" s="285" t="n"/>
      <c r="AF126" s="285" t="n"/>
      <c r="AG126" s="285" t="n"/>
      <c r="AH126" s="285" t="n"/>
      <c r="AI126" s="285" t="n"/>
      <c r="AJ126" s="285" t="n"/>
      <c r="AK126" s="285" t="n"/>
      <c r="AL126" s="285" t="n"/>
      <c r="AM126" s="286" t="inlineStr">
        <is>
          <t>NNN absolute; tenant pays all opex; owner income = rent only; $7.52/SF</t>
        </is>
      </c>
    </row>
    <row r="127" ht="14" customHeight="1" s="518">
      <c r="A127" s="151" t="inlineStr">
        <is>
          <t>P062</t>
        </is>
      </c>
      <c r="B127" s="150" t="n">
        <v>407</v>
      </c>
      <c r="C127" s="151" t="inlineStr">
        <is>
          <t>R0200721</t>
        </is>
      </c>
      <c r="D127" s="269" t="inlineStr">
        <is>
          <t>3420 N Lisbon St</t>
        </is>
      </c>
      <c r="E127" s="151" t="inlineStr">
        <is>
          <t>Aurora</t>
        </is>
      </c>
      <c r="F127" s="151" t="inlineStr">
        <is>
          <t>CO</t>
        </is>
      </c>
      <c r="G127" s="151" t="inlineStr">
        <is>
          <t>Industrial</t>
        </is>
      </c>
      <c r="H127" s="269" t="inlineStr">
        <is>
          <t>Single-Tenant Industrial NNN</t>
        </is>
      </c>
      <c r="I127" s="161" t="n">
        <v>2019</v>
      </c>
      <c r="J127" s="161" t="n">
        <v>36212</v>
      </c>
      <c r="K127" s="161" t="n">
        <v>2024</v>
      </c>
      <c r="L127" s="732" t="n">
        <v>7.7446</v>
      </c>
      <c r="M127" s="151" t="n"/>
      <c r="N127" s="732" t="n">
        <v>7.7446</v>
      </c>
      <c r="O127" s="151" t="n"/>
      <c r="P127" s="151" t="n"/>
      <c r="Q127" s="151" t="n"/>
      <c r="R127" s="151" t="n"/>
      <c r="S127" s="151" t="n"/>
      <c r="T127" s="151" t="n"/>
      <c r="U127" s="151" t="n"/>
      <c r="V127" s="151" t="n"/>
      <c r="W127" s="151" t="n"/>
      <c r="X127" s="151" t="n"/>
      <c r="Y127" s="151" t="n"/>
      <c r="Z127" s="151" t="n"/>
      <c r="AA127" s="151" t="n"/>
      <c r="AB127" s="151" t="n"/>
      <c r="AC127" s="151" t="n"/>
      <c r="AD127" s="151" t="n"/>
      <c r="AE127" s="151" t="n"/>
      <c r="AF127" s="151" t="n"/>
      <c r="AG127" s="151" t="n"/>
      <c r="AH127" s="151" t="n"/>
      <c r="AI127" s="151" t="n"/>
      <c r="AJ127" s="151" t="n"/>
      <c r="AK127" s="151" t="n"/>
      <c r="AL127" s="151" t="n"/>
      <c r="AM127" s="269" t="inlineStr">
        <is>
          <t>NNN absolute; tenant pays all opex; owner income = rent only; $7.75/SF</t>
        </is>
      </c>
    </row>
    <row r="128" ht="14" customHeight="1" s="518">
      <c r="A128" s="241" t="inlineStr">
        <is>
          <t>P063</t>
        </is>
      </c>
      <c r="B128" s="150" t="n">
        <v>344</v>
      </c>
      <c r="C128" s="241" t="inlineStr">
        <is>
          <t>R0040581</t>
        </is>
      </c>
      <c r="D128" s="271" t="inlineStr">
        <is>
          <t>2090 E 104th Ave</t>
        </is>
      </c>
      <c r="E128" s="241" t="inlineStr">
        <is>
          <t>Thornton</t>
        </is>
      </c>
      <c r="F128" s="241" t="inlineStr">
        <is>
          <t>CO</t>
        </is>
      </c>
      <c r="G128" s="241" t="inlineStr">
        <is>
          <t>Office</t>
        </is>
      </c>
      <c r="H128" s="271" t="inlineStr">
        <is>
          <t>Multi-Tenant Office</t>
        </is>
      </c>
      <c r="I128" s="242" t="n"/>
      <c r="J128" s="242" t="n">
        <v>19764</v>
      </c>
      <c r="K128" s="242" t="n">
        <v>2023</v>
      </c>
      <c r="L128" s="241" t="n"/>
      <c r="M128" s="241" t="n"/>
      <c r="N128" s="241" t="n"/>
      <c r="O128" s="733" t="n">
        <v>0.1585</v>
      </c>
      <c r="P128" s="733" t="n">
        <v>0.4648</v>
      </c>
      <c r="Q128" s="241" t="n"/>
      <c r="R128" s="241" t="n"/>
      <c r="S128" s="241" t="n"/>
      <c r="T128" s="241" t="n"/>
      <c r="U128" s="241" t="n"/>
      <c r="V128" s="241" t="n"/>
      <c r="W128" s="241" t="n"/>
      <c r="X128" s="733" t="n">
        <v>2.4351</v>
      </c>
      <c r="Y128" s="733" t="n">
        <v>2.4351</v>
      </c>
      <c r="Z128" s="241" t="n"/>
      <c r="AA128" s="733" t="n">
        <v>0.4976</v>
      </c>
      <c r="AB128" s="241" t="n"/>
      <c r="AC128" s="733" t="n">
        <v>0.4976</v>
      </c>
      <c r="AD128" s="241" t="n"/>
      <c r="AE128" s="241" t="n"/>
      <c r="AF128" s="733" t="n">
        <v>1.8998</v>
      </c>
      <c r="AG128" s="733" t="n">
        <v>0.4171</v>
      </c>
      <c r="AH128" s="733" t="n">
        <v>6.7472</v>
      </c>
      <c r="AI128" s="733" t="n">
        <v>2.0601</v>
      </c>
      <c r="AJ128" s="733" t="n">
        <v>8.8073</v>
      </c>
      <c r="AK128" s="733" t="n">
        <v>2.7531</v>
      </c>
      <c r="AL128" s="241" t="n"/>
      <c r="AM128" s="271" t="inlineStr">
        <is>
          <t>Office; expenses only; GRI est. ~$228k at $11.56/SF 100% occ</t>
        </is>
      </c>
    </row>
    <row r="129" ht="14" customHeight="1" s="518">
      <c r="A129" s="241" t="inlineStr">
        <is>
          <t>P063</t>
        </is>
      </c>
      <c r="B129" s="150" t="n">
        <v>344</v>
      </c>
      <c r="C129" s="241" t="inlineStr">
        <is>
          <t>R0040581</t>
        </is>
      </c>
      <c r="D129" s="271" t="inlineStr">
        <is>
          <t>2090 E 104th Ave</t>
        </is>
      </c>
      <c r="E129" s="241" t="inlineStr">
        <is>
          <t>Thornton</t>
        </is>
      </c>
      <c r="F129" s="241" t="inlineStr">
        <is>
          <t>CO</t>
        </is>
      </c>
      <c r="G129" s="241" t="inlineStr">
        <is>
          <t>Office</t>
        </is>
      </c>
      <c r="H129" s="271" t="inlineStr">
        <is>
          <t>Multi-Tenant Office</t>
        </is>
      </c>
      <c r="I129" s="242" t="n"/>
      <c r="J129" s="242" t="n">
        <v>19764</v>
      </c>
      <c r="K129" s="242" t="n">
        <v>2024</v>
      </c>
      <c r="L129" s="241" t="n"/>
      <c r="M129" s="241" t="n"/>
      <c r="N129" s="241" t="n"/>
      <c r="O129" s="733" t="n">
        <v>0.5652</v>
      </c>
      <c r="P129" s="733" t="n">
        <v>0.4554</v>
      </c>
      <c r="Q129" s="241" t="n"/>
      <c r="R129" s="241" t="n"/>
      <c r="S129" s="241" t="n"/>
      <c r="T129" s="241" t="n"/>
      <c r="U129" s="241" t="n"/>
      <c r="V129" s="241" t="n"/>
      <c r="W129" s="241" t="n"/>
      <c r="X129" s="733" t="n">
        <v>2.4623</v>
      </c>
      <c r="Y129" s="733" t="n">
        <v>2.4623</v>
      </c>
      <c r="Z129" s="241" t="n"/>
      <c r="AA129" s="733" t="n">
        <v>0.5888</v>
      </c>
      <c r="AB129" s="241" t="n"/>
      <c r="AC129" s="733" t="n">
        <v>0.5888</v>
      </c>
      <c r="AD129" s="241" t="n"/>
      <c r="AE129" s="241" t="n"/>
      <c r="AF129" s="733" t="n">
        <v>2.4159</v>
      </c>
      <c r="AG129" s="733" t="n">
        <v>0.3126</v>
      </c>
      <c r="AH129" s="733" t="n">
        <v>6.8005</v>
      </c>
      <c r="AI129" s="733" t="n">
        <v>2.0271</v>
      </c>
      <c r="AJ129" s="733" t="n">
        <v>8.8276</v>
      </c>
      <c r="AK129" s="733" t="n">
        <v>2.7328</v>
      </c>
      <c r="AL129" s="241" t="n"/>
      <c r="AM129" s="271" t="inlineStr">
        <is>
          <t>Office; expenses only; GRI est. ~$228k</t>
        </is>
      </c>
    </row>
    <row r="130" ht="14" customHeight="1" s="518">
      <c r="A130" s="241" t="inlineStr">
        <is>
          <t>P064</t>
        </is>
      </c>
      <c r="B130" s="150" t="n">
        <v>344</v>
      </c>
      <c r="C130" s="241" t="inlineStr">
        <is>
          <t>R0050977</t>
        </is>
      </c>
      <c r="D130" s="271" t="inlineStr">
        <is>
          <t>9351 Grant St</t>
        </is>
      </c>
      <c r="E130" s="241" t="inlineStr">
        <is>
          <t>Thornton</t>
        </is>
      </c>
      <c r="F130" s="241" t="inlineStr">
        <is>
          <t>CO</t>
        </is>
      </c>
      <c r="G130" s="241" t="inlineStr">
        <is>
          <t>Office</t>
        </is>
      </c>
      <c r="H130" s="271" t="inlineStr">
        <is>
          <t>Multi-Tenant Office</t>
        </is>
      </c>
      <c r="I130" s="242" t="n"/>
      <c r="J130" s="242" t="n"/>
      <c r="K130" s="242" t="n">
        <v>2023</v>
      </c>
      <c r="L130" s="243" t="n">
        <v>2011958</v>
      </c>
      <c r="M130" s="241" t="n"/>
      <c r="N130" s="243" t="n">
        <v>2239234</v>
      </c>
      <c r="O130" s="241" t="n"/>
      <c r="P130" s="241" t="n"/>
      <c r="Q130" s="241" t="n"/>
      <c r="R130" s="241" t="n"/>
      <c r="S130" s="241" t="n"/>
      <c r="T130" s="241" t="n"/>
      <c r="U130" s="241" t="n"/>
      <c r="V130" s="241" t="n"/>
      <c r="W130" s="241" t="n"/>
      <c r="X130" s="243" t="n">
        <v>144543</v>
      </c>
      <c r="Y130" s="243" t="n">
        <v>144543</v>
      </c>
      <c r="Z130" s="241" t="n"/>
      <c r="AA130" s="241" t="n"/>
      <c r="AB130" s="241" t="n"/>
      <c r="AC130" s="241" t="n"/>
      <c r="AD130" s="241" t="n"/>
      <c r="AE130" s="241" t="n"/>
      <c r="AF130" s="243" t="n">
        <v>240350</v>
      </c>
      <c r="AG130" s="243" t="n">
        <v>279549</v>
      </c>
      <c r="AH130" s="243" t="n">
        <v>719555</v>
      </c>
      <c r="AI130" s="243" t="n">
        <v>497852</v>
      </c>
      <c r="AJ130" s="243" t="n">
        <v>1217407</v>
      </c>
      <c r="AK130" s="243" t="n">
        <v>1021827</v>
      </c>
      <c r="AL130" s="241" t="n"/>
      <c r="AM130" s="271" t="inlineStr">
        <is>
          <t>[NO SF] Actual P&amp;L; Crown RE Group; RE Tax + Ins combined in $497,852 line; large office property</t>
        </is>
      </c>
    </row>
    <row r="131" ht="14" customHeight="1" s="518">
      <c r="A131" s="241" t="inlineStr">
        <is>
          <t>P065</t>
        </is>
      </c>
      <c r="B131" s="150" t="n">
        <v>344</v>
      </c>
      <c r="C131" s="241" t="inlineStr">
        <is>
          <t>R0069041</t>
        </is>
      </c>
      <c r="D131" s="271" t="inlineStr">
        <is>
          <t>7475 Dakin St (Turnpike Tower)</t>
        </is>
      </c>
      <c r="E131" s="241" t="inlineStr">
        <is>
          <t>Denver</t>
        </is>
      </c>
      <c r="F131" s="241" t="inlineStr">
        <is>
          <t>CO</t>
        </is>
      </c>
      <c r="G131" s="241" t="inlineStr">
        <is>
          <t>Office</t>
        </is>
      </c>
      <c r="H131" s="271" t="inlineStr">
        <is>
          <t>Multi-Tenant Office</t>
        </is>
      </c>
      <c r="I131" s="242" t="n"/>
      <c r="J131" s="242" t="n">
        <v>114843</v>
      </c>
      <c r="K131" s="242" t="n">
        <v>2023</v>
      </c>
      <c r="L131" s="241" t="n"/>
      <c r="M131" s="241" t="n"/>
      <c r="N131" s="733" t="n">
        <v>5.3899</v>
      </c>
      <c r="O131" s="241" t="n"/>
      <c r="P131" s="241" t="n"/>
      <c r="Q131" s="241" t="n"/>
      <c r="R131" s="241" t="n"/>
      <c r="S131" s="241" t="n"/>
      <c r="T131" s="241" t="n"/>
      <c r="U131" s="241" t="n"/>
      <c r="V131" s="241" t="n"/>
      <c r="W131" s="241" t="n"/>
      <c r="X131" s="241" t="n"/>
      <c r="Y131" s="241" t="n"/>
      <c r="Z131" s="241" t="n"/>
      <c r="AA131" s="733" t="n">
        <v>0.0873</v>
      </c>
      <c r="AB131" s="241" t="n"/>
      <c r="AC131" s="241" t="n"/>
      <c r="AD131" s="241" t="n"/>
      <c r="AE131" s="241" t="n"/>
      <c r="AF131" s="241" t="n"/>
      <c r="AG131" s="241" t="n"/>
      <c r="AH131" s="733" t="n">
        <v>2.6434</v>
      </c>
      <c r="AI131" s="733" t="n">
        <v>2.2851</v>
      </c>
      <c r="AJ131" s="733" t="n">
        <v>4.9285</v>
      </c>
      <c r="AK131" s="733" t="n">
        <v>0.4627</v>
      </c>
      <c r="AL131" s="241" t="n"/>
      <c r="AM131" s="271" t="inlineStr">
        <is>
          <t>Actual; 87.7% occ; NNN/Modified leases; RE Tax heavy; approx figures</t>
        </is>
      </c>
    </row>
    <row r="132" ht="14" customHeight="1" s="518">
      <c r="A132" s="241" t="inlineStr">
        <is>
          <t>P065</t>
        </is>
      </c>
      <c r="B132" s="150" t="n">
        <v>344</v>
      </c>
      <c r="C132" s="241" t="inlineStr">
        <is>
          <t>R0069041</t>
        </is>
      </c>
      <c r="D132" s="271" t="inlineStr">
        <is>
          <t>7475 Dakin St (Turnpike Tower)</t>
        </is>
      </c>
      <c r="E132" s="241" t="inlineStr">
        <is>
          <t>Denver</t>
        </is>
      </c>
      <c r="F132" s="241" t="inlineStr">
        <is>
          <t>CO</t>
        </is>
      </c>
      <c r="G132" s="241" t="inlineStr">
        <is>
          <t>Office</t>
        </is>
      </c>
      <c r="H132" s="271" t="inlineStr">
        <is>
          <t>Multi-Tenant Office</t>
        </is>
      </c>
      <c r="I132" s="242" t="n"/>
      <c r="J132" s="242" t="n">
        <v>114843</v>
      </c>
      <c r="K132" s="242" t="n">
        <v>2024</v>
      </c>
      <c r="L132" s="241" t="n"/>
      <c r="M132" s="241" t="n"/>
      <c r="N132" s="733" t="n">
        <v>11.7878</v>
      </c>
      <c r="O132" s="241" t="n"/>
      <c r="P132" s="241" t="n"/>
      <c r="Q132" s="241" t="n"/>
      <c r="R132" s="241" t="n"/>
      <c r="S132" s="241" t="n"/>
      <c r="T132" s="241" t="n"/>
      <c r="U132" s="241" t="n"/>
      <c r="V132" s="241" t="n"/>
      <c r="W132" s="241" t="n"/>
      <c r="X132" s="241" t="n"/>
      <c r="Y132" s="241" t="n"/>
      <c r="Z132" s="241" t="n"/>
      <c r="AA132" s="241" t="n"/>
      <c r="AB132" s="241" t="n"/>
      <c r="AC132" s="241" t="n"/>
      <c r="AD132" s="241" t="n"/>
      <c r="AE132" s="241" t="n"/>
      <c r="AF132" s="241" t="n"/>
      <c r="AG132" s="241" t="n"/>
      <c r="AH132" s="733" t="n">
        <v>8.9252</v>
      </c>
      <c r="AI132" s="241" t="n"/>
      <c r="AJ132" s="733" t="n">
        <v>11.2066</v>
      </c>
      <c r="AK132" s="733" t="n">
        <v>0.5806</v>
      </c>
      <c r="AL132" s="241" t="n"/>
      <c r="AM132" s="271" t="inlineStr">
        <is>
          <t>Actual 2024; approx figures; RE Tax est. ~$262k</t>
        </is>
      </c>
    </row>
    <row r="133" ht="14" customHeight="1" s="518">
      <c r="A133" s="241" t="inlineStr">
        <is>
          <t>P066</t>
        </is>
      </c>
      <c r="B133" s="150" t="n">
        <v>344</v>
      </c>
      <c r="C133" s="241" t="inlineStr">
        <is>
          <t>R0079409</t>
        </is>
      </c>
      <c r="D133" s="271" t="inlineStr">
        <is>
          <t>6401 E 72nd Ave</t>
        </is>
      </c>
      <c r="E133" s="241" t="inlineStr">
        <is>
          <t>Commerce City</t>
        </is>
      </c>
      <c r="F133" s="241" t="inlineStr">
        <is>
          <t>CO</t>
        </is>
      </c>
      <c r="G133" s="241" t="inlineStr">
        <is>
          <t>Office</t>
        </is>
      </c>
      <c r="H133" s="271" t="inlineStr">
        <is>
          <t>Multi-Tenant Office</t>
        </is>
      </c>
      <c r="I133" s="242" t="n"/>
      <c r="J133" s="242" t="n">
        <v>8218</v>
      </c>
      <c r="K133" s="242" t="n">
        <v>2023</v>
      </c>
      <c r="L133" s="733" t="n">
        <v>11.7637</v>
      </c>
      <c r="M133" s="241" t="n"/>
      <c r="N133" s="733" t="n">
        <v>13.2835</v>
      </c>
      <c r="O133" s="733" t="n">
        <v>0.2901</v>
      </c>
      <c r="P133" s="733" t="n">
        <v>0.6571</v>
      </c>
      <c r="Q133" s="241" t="n"/>
      <c r="R133" s="241" t="n"/>
      <c r="S133" s="241" t="n"/>
      <c r="T133" s="241" t="n"/>
      <c r="U133" s="241" t="n"/>
      <c r="V133" s="241" t="n"/>
      <c r="W133" s="241" t="n"/>
      <c r="X133" s="733" t="n">
        <v>2.2109</v>
      </c>
      <c r="Y133" s="733" t="n">
        <v>2.2109</v>
      </c>
      <c r="Z133" s="241" t="n"/>
      <c r="AA133" s="241" t="n"/>
      <c r="AB133" s="241" t="n"/>
      <c r="AC133" s="241" t="n"/>
      <c r="AD133" s="241" t="n"/>
      <c r="AE133" s="241" t="n"/>
      <c r="AF133" s="733" t="n">
        <v>1.5784</v>
      </c>
      <c r="AG133" s="733" t="n">
        <v>0.4882</v>
      </c>
      <c r="AH133" s="733" t="n">
        <v>4.8338</v>
      </c>
      <c r="AI133" s="733" t="n">
        <v>1.9805</v>
      </c>
      <c r="AJ133" s="733" t="n">
        <v>6.8143</v>
      </c>
      <c r="AK133" s="733" t="n">
        <v>6.4493</v>
      </c>
      <c r="AL133" s="241" t="n"/>
      <c r="AM133" s="271" t="inlineStr">
        <is>
          <t>Actual 2023; 9 tenants small multi-tenant office; approx total OPX/NOI</t>
        </is>
      </c>
    </row>
    <row r="134" ht="14" customHeight="1" s="518">
      <c r="A134" s="241" t="inlineStr">
        <is>
          <t>P067</t>
        </is>
      </c>
      <c r="B134" s="150" t="n">
        <v>344</v>
      </c>
      <c r="C134" s="241" t="inlineStr">
        <is>
          <t>R0189338</t>
        </is>
      </c>
      <c r="D134" s="271" t="inlineStr">
        <is>
          <t>203 Telluride St</t>
        </is>
      </c>
      <c r="E134" s="241" t="inlineStr">
        <is>
          <t>Aurora</t>
        </is>
      </c>
      <c r="F134" s="241" t="inlineStr">
        <is>
          <t>CO</t>
        </is>
      </c>
      <c r="G134" s="241" t="inlineStr">
        <is>
          <t>Office</t>
        </is>
      </c>
      <c r="H134" s="271" t="inlineStr">
        <is>
          <t>Multi-Tenant Office</t>
        </is>
      </c>
      <c r="I134" s="242" t="n"/>
      <c r="J134" s="242" t="n"/>
      <c r="K134" s="242" t="n">
        <v>2023</v>
      </c>
      <c r="L134" s="243" t="n">
        <v>326779</v>
      </c>
      <c r="M134" s="241" t="n"/>
      <c r="N134" s="243" t="n">
        <v>315661</v>
      </c>
      <c r="O134" s="241" t="n"/>
      <c r="P134" s="241" t="n"/>
      <c r="Q134" s="241" t="n"/>
      <c r="R134" s="241" t="n"/>
      <c r="S134" s="241" t="n"/>
      <c r="T134" s="241" t="n"/>
      <c r="U134" s="241" t="n"/>
      <c r="V134" s="241" t="n"/>
      <c r="W134" s="241" t="n"/>
      <c r="X134" s="241" t="n"/>
      <c r="Y134" s="241" t="n"/>
      <c r="Z134" s="241" t="n"/>
      <c r="AA134" s="243" t="n">
        <v>16009</v>
      </c>
      <c r="AB134" s="241" t="n"/>
      <c r="AC134" s="241" t="n"/>
      <c r="AD134" s="241" t="n"/>
      <c r="AE134" s="241" t="n"/>
      <c r="AF134" s="241" t="n"/>
      <c r="AG134" s="241" t="n"/>
      <c r="AH134" s="243" t="n">
        <v>78034</v>
      </c>
      <c r="AI134" s="243" t="n">
        <v>66966</v>
      </c>
      <c r="AJ134" s="243" t="n">
        <v>145000</v>
      </c>
      <c r="AK134" s="243" t="n">
        <v>170661</v>
      </c>
      <c r="AL134" s="241" t="n"/>
      <c r="AM134" s="271" t="inlineStr">
        <is>
          <t>[NO SF] Actual 2023; SF not stated; approx total OPX</t>
        </is>
      </c>
    </row>
    <row r="135" ht="14" customHeight="1" s="518">
      <c r="A135" s="241" t="inlineStr">
        <is>
          <t>P067</t>
        </is>
      </c>
      <c r="B135" s="150" t="n">
        <v>344</v>
      </c>
      <c r="C135" s="241" t="inlineStr">
        <is>
          <t>R0189338</t>
        </is>
      </c>
      <c r="D135" s="271" t="inlineStr">
        <is>
          <t>203 Telluride St</t>
        </is>
      </c>
      <c r="E135" s="241" t="inlineStr">
        <is>
          <t>Aurora</t>
        </is>
      </c>
      <c r="F135" s="241" t="inlineStr">
        <is>
          <t>CO</t>
        </is>
      </c>
      <c r="G135" s="241" t="inlineStr">
        <is>
          <t>Office</t>
        </is>
      </c>
      <c r="H135" s="271" t="inlineStr">
        <is>
          <t>Multi-Tenant Office</t>
        </is>
      </c>
      <c r="I135" s="242" t="n"/>
      <c r="J135" s="242" t="n"/>
      <c r="K135" s="242" t="n">
        <v>2024</v>
      </c>
      <c r="L135" s="243" t="n">
        <v>357674</v>
      </c>
      <c r="M135" s="241" t="n"/>
      <c r="N135" s="243" t="n">
        <v>335977</v>
      </c>
      <c r="O135" s="243" t="n">
        <v>9791</v>
      </c>
      <c r="P135" s="243" t="n">
        <v>7884</v>
      </c>
      <c r="Q135" s="241" t="n"/>
      <c r="R135" s="241" t="n"/>
      <c r="S135" s="241" t="n"/>
      <c r="T135" s="241" t="n"/>
      <c r="U135" s="241" t="n"/>
      <c r="V135" s="241" t="n"/>
      <c r="W135" s="241" t="n"/>
      <c r="X135" s="243" t="n">
        <v>41510</v>
      </c>
      <c r="Y135" s="243" t="n">
        <v>41510</v>
      </c>
      <c r="Z135" s="241" t="n"/>
      <c r="AA135" s="243" t="n">
        <v>12092</v>
      </c>
      <c r="AB135" s="241" t="n"/>
      <c r="AC135" s="241" t="n"/>
      <c r="AD135" s="241" t="n"/>
      <c r="AE135" s="241" t="n"/>
      <c r="AF135" s="243" t="n">
        <v>9302</v>
      </c>
      <c r="AG135" s="243" t="n">
        <v>10772</v>
      </c>
      <c r="AH135" s="243" t="n">
        <v>109544</v>
      </c>
      <c r="AI135" s="243" t="n">
        <v>68307</v>
      </c>
      <c r="AJ135" s="243" t="n">
        <v>177851</v>
      </c>
      <c r="AK135" s="243" t="n">
        <v>158126</v>
      </c>
      <c r="AL135" s="241" t="n"/>
      <c r="AM135" s="271" t="inlineStr">
        <is>
          <t>[NO SF] Actual 2024; SF not stated</t>
        </is>
      </c>
    </row>
    <row r="136" ht="14" customHeight="1" s="518">
      <c r="A136" s="241" t="inlineStr">
        <is>
          <t>P068</t>
        </is>
      </c>
      <c r="B136" s="150" t="n">
        <v>344</v>
      </c>
      <c r="C136" s="241" t="inlineStr">
        <is>
          <t>R0193830</t>
        </is>
      </c>
      <c r="D136" s="271" t="inlineStr">
        <is>
          <t>Justice Center Office Plaza</t>
        </is>
      </c>
      <c r="E136" s="241" t="inlineStr">
        <is>
          <t>Denver</t>
        </is>
      </c>
      <c r="F136" s="241" t="inlineStr">
        <is>
          <t>CO</t>
        </is>
      </c>
      <c r="G136" s="241" t="inlineStr">
        <is>
          <t>Office</t>
        </is>
      </c>
      <c r="H136" s="271" t="inlineStr">
        <is>
          <t>Multi-Tenant Office NNN</t>
        </is>
      </c>
      <c r="I136" s="242" t="n"/>
      <c r="J136" s="242" t="n">
        <v>41979</v>
      </c>
      <c r="K136" s="242" t="n">
        <v>2023</v>
      </c>
      <c r="L136" s="733" t="n">
        <v>23.2395</v>
      </c>
      <c r="M136" s="241" t="n"/>
      <c r="N136" s="733" t="n">
        <v>32.1906</v>
      </c>
      <c r="O136" s="733" t="n">
        <v>0.7301</v>
      </c>
      <c r="P136" s="733" t="n">
        <v>2.0601</v>
      </c>
      <c r="Q136" s="241" t="n"/>
      <c r="R136" s="241" t="n"/>
      <c r="S136" s="241" t="n"/>
      <c r="T136" s="241" t="n"/>
      <c r="U136" s="241" t="n"/>
      <c r="V136" s="241" t="n"/>
      <c r="W136" s="241" t="n"/>
      <c r="X136" s="733" t="n">
        <v>3.2415</v>
      </c>
      <c r="Y136" s="733" t="n">
        <v>3.2415</v>
      </c>
      <c r="Z136" s="241" t="n"/>
      <c r="AA136" s="241" t="n"/>
      <c r="AB136" s="241" t="n"/>
      <c r="AC136" s="241" t="n"/>
      <c r="AD136" s="241" t="n"/>
      <c r="AE136" s="241" t="n"/>
      <c r="AF136" s="733" t="n">
        <v>3.4458</v>
      </c>
      <c r="AG136" s="733" t="n">
        <v>0.5937</v>
      </c>
      <c r="AH136" s="733" t="n">
        <v>10.0688</v>
      </c>
      <c r="AI136" s="733" t="n">
        <v>2.0543</v>
      </c>
      <c r="AJ136" s="733" t="n">
        <v>12.123</v>
      </c>
      <c r="AK136" s="733" t="n">
        <v>20.0676</v>
      </c>
      <c r="AL136" s="241" t="n"/>
      <c r="AM136" s="271" t="inlineStr">
        <is>
          <t>Actual accrual; govt tenants; 100% occ NNN; special assessments in Other</t>
        </is>
      </c>
    </row>
    <row r="137" ht="14" customHeight="1" s="518">
      <c r="A137" s="241" t="inlineStr">
        <is>
          <t>P068</t>
        </is>
      </c>
      <c r="B137" s="150" t="n">
        <v>344</v>
      </c>
      <c r="C137" s="241" t="inlineStr">
        <is>
          <t>R0193830</t>
        </is>
      </c>
      <c r="D137" s="271" t="inlineStr">
        <is>
          <t>Justice Center Office Plaza</t>
        </is>
      </c>
      <c r="E137" s="241" t="inlineStr">
        <is>
          <t>Denver</t>
        </is>
      </c>
      <c r="F137" s="241" t="inlineStr">
        <is>
          <t>CO</t>
        </is>
      </c>
      <c r="G137" s="241" t="inlineStr">
        <is>
          <t>Office</t>
        </is>
      </c>
      <c r="H137" s="271" t="inlineStr">
        <is>
          <t>Multi-Tenant Office NNN</t>
        </is>
      </c>
      <c r="I137" s="242" t="n"/>
      <c r="J137" s="242" t="n">
        <v>41979</v>
      </c>
      <c r="K137" s="242" t="n">
        <v>2024</v>
      </c>
      <c r="L137" s="733" t="n">
        <v>20.4556</v>
      </c>
      <c r="M137" s="241" t="n"/>
      <c r="N137" s="733" t="n">
        <v>33.188</v>
      </c>
      <c r="O137" s="733" t="n">
        <v>0.8289</v>
      </c>
      <c r="P137" s="733" t="n">
        <v>2.1306</v>
      </c>
      <c r="Q137" s="241" t="n"/>
      <c r="R137" s="241" t="n"/>
      <c r="S137" s="241" t="n"/>
      <c r="T137" s="241" t="n"/>
      <c r="U137" s="241" t="n"/>
      <c r="V137" s="241" t="n"/>
      <c r="W137" s="241" t="n"/>
      <c r="X137" s="733" t="n">
        <v>2.7757</v>
      </c>
      <c r="Y137" s="733" t="n">
        <v>2.7757</v>
      </c>
      <c r="Z137" s="241" t="n"/>
      <c r="AA137" s="241" t="n"/>
      <c r="AB137" s="241" t="n"/>
      <c r="AC137" s="241" t="n"/>
      <c r="AD137" s="241" t="n"/>
      <c r="AE137" s="241" t="n"/>
      <c r="AF137" s="733" t="n">
        <v>3.5734</v>
      </c>
      <c r="AG137" s="733" t="n">
        <v>0.7077</v>
      </c>
      <c r="AH137" s="733" t="n">
        <v>10.1354</v>
      </c>
      <c r="AI137" s="733" t="n">
        <v>2.0662</v>
      </c>
      <c r="AJ137" s="733" t="n">
        <v>12.2016</v>
      </c>
      <c r="AK137" s="733" t="n">
        <v>20.9864</v>
      </c>
      <c r="AL137" s="241" t="n"/>
      <c r="AM137" s="271" t="inlineStr">
        <is>
          <t>Actual accrual; govt tenants; 100% occ NNN; special assessments in Other</t>
        </is>
      </c>
    </row>
    <row r="138" ht="14" customHeight="1" s="518">
      <c r="A138" s="241" t="inlineStr">
        <is>
          <t>P069</t>
        </is>
      </c>
      <c r="B138" s="150" t="n">
        <v>210</v>
      </c>
      <c r="C138" s="241" t="inlineStr">
        <is>
          <t>R0098223</t>
        </is>
      </c>
      <c r="D138" s="271" t="inlineStr">
        <is>
          <t>Washington Commerce Center</t>
        </is>
      </c>
      <c r="E138" s="241" t="inlineStr">
        <is>
          <t>Commerce City</t>
        </is>
      </c>
      <c r="F138" s="241" t="inlineStr">
        <is>
          <t>CO</t>
        </is>
      </c>
      <c r="G138" s="241" t="inlineStr">
        <is>
          <t>Office/Industrial</t>
        </is>
      </c>
      <c r="H138" s="271" t="inlineStr">
        <is>
          <t>Multi-Tenant Office/Industrial</t>
        </is>
      </c>
      <c r="I138" s="242" t="n"/>
      <c r="J138" s="242" t="n">
        <v>278538</v>
      </c>
      <c r="K138" s="242" t="n">
        <v>2023</v>
      </c>
      <c r="L138" s="733" t="n">
        <v>5.8736</v>
      </c>
      <c r="M138" s="241" t="n"/>
      <c r="N138" s="733" t="n">
        <v>5.7822</v>
      </c>
      <c r="O138" s="733" t="n">
        <v>0.0183</v>
      </c>
      <c r="P138" s="733" t="n">
        <v>0.0788</v>
      </c>
      <c r="Q138" s="241" t="n"/>
      <c r="R138" s="241" t="n"/>
      <c r="S138" s="241" t="n"/>
      <c r="T138" s="241" t="n"/>
      <c r="U138" s="241" t="n"/>
      <c r="V138" s="241" t="n"/>
      <c r="W138" s="241" t="n"/>
      <c r="X138" s="733" t="n">
        <v>0.9203</v>
      </c>
      <c r="Y138" s="733" t="n">
        <v>0.9203</v>
      </c>
      <c r="Z138" s="241" t="n"/>
      <c r="AA138" s="733" t="n">
        <v>0.2083</v>
      </c>
      <c r="AB138" s="733" t="n">
        <v>0.0116</v>
      </c>
      <c r="AC138" s="733" t="n">
        <v>0.2199</v>
      </c>
      <c r="AD138" s="241" t="n"/>
      <c r="AE138" s="241" t="n"/>
      <c r="AF138" s="733" t="n">
        <v>0.1146</v>
      </c>
      <c r="AG138" s="241" t="n"/>
      <c r="AH138" s="733" t="n">
        <v>1.3485</v>
      </c>
      <c r="AI138" s="733" t="n">
        <v>0</v>
      </c>
      <c r="AJ138" s="733" t="n">
        <v>1.3485</v>
      </c>
      <c r="AK138" s="733" t="n">
        <v>0.2751</v>
      </c>
      <c r="AL138" s="241" t="n"/>
      <c r="AM138" s="271" t="inlineStr">
        <is>
          <t>Actual; tenants pay RE tax; high R&amp;M 2023 ($127k major maint); SF est.</t>
        </is>
      </c>
    </row>
    <row r="139" ht="14" customHeight="1" s="518">
      <c r="A139" s="241" t="inlineStr">
        <is>
          <t>P069</t>
        </is>
      </c>
      <c r="B139" s="150" t="n">
        <v>210</v>
      </c>
      <c r="C139" s="241" t="inlineStr">
        <is>
          <t>R0098223</t>
        </is>
      </c>
      <c r="D139" s="271" t="inlineStr">
        <is>
          <t>Washington Commerce Center</t>
        </is>
      </c>
      <c r="E139" s="241" t="inlineStr">
        <is>
          <t>Commerce City</t>
        </is>
      </c>
      <c r="F139" s="241" t="inlineStr">
        <is>
          <t>CO</t>
        </is>
      </c>
      <c r="G139" s="241" t="inlineStr">
        <is>
          <t>Office/Industrial</t>
        </is>
      </c>
      <c r="H139" s="271" t="inlineStr">
        <is>
          <t>Multi-Tenant Office/Industrial</t>
        </is>
      </c>
      <c r="I139" s="242" t="n"/>
      <c r="J139" s="242" t="n">
        <v>278538</v>
      </c>
      <c r="K139" s="242" t="n">
        <v>2024</v>
      </c>
      <c r="L139" s="733" t="n">
        <v>5.4604</v>
      </c>
      <c r="M139" s="241" t="n"/>
      <c r="N139" s="733" t="n">
        <v>5.4604</v>
      </c>
      <c r="O139" s="733" t="n">
        <v>0.032</v>
      </c>
      <c r="P139" s="733" t="n">
        <v>0.09180000000000001</v>
      </c>
      <c r="Q139" s="241" t="n"/>
      <c r="R139" s="241" t="n"/>
      <c r="S139" s="241" t="n"/>
      <c r="T139" s="241" t="n"/>
      <c r="U139" s="241" t="n"/>
      <c r="V139" s="241" t="n"/>
      <c r="W139" s="241" t="n"/>
      <c r="X139" s="733" t="n">
        <v>0.4497</v>
      </c>
      <c r="Y139" s="733" t="n">
        <v>0.4497</v>
      </c>
      <c r="Z139" s="241" t="n"/>
      <c r="AA139" s="733" t="n">
        <v>0.2083</v>
      </c>
      <c r="AB139" s="733" t="n">
        <v>0.0357</v>
      </c>
      <c r="AC139" s="733" t="n">
        <v>0.2441</v>
      </c>
      <c r="AD139" s="241" t="n"/>
      <c r="AE139" s="241" t="n"/>
      <c r="AF139" s="733" t="n">
        <v>0.1146</v>
      </c>
      <c r="AG139" s="241" t="n"/>
      <c r="AH139" s="733" t="n">
        <v>0.9322</v>
      </c>
      <c r="AI139" s="733" t="n">
        <v>0</v>
      </c>
      <c r="AJ139" s="733" t="n">
        <v>0.9322</v>
      </c>
      <c r="AK139" s="733" t="n">
        <v>0.3374</v>
      </c>
      <c r="AL139" s="241" t="n"/>
      <c r="AM139" s="271" t="inlineStr">
        <is>
          <t>Actual; tenants pay RE tax; lower R&amp;M 2024; SF est.</t>
        </is>
      </c>
    </row>
    <row r="140" ht="14" customHeight="1" s="518">
      <c r="A140" s="285" t="inlineStr">
        <is>
          <t>P070</t>
        </is>
      </c>
      <c r="B140" s="150" t="n">
        <v>210</v>
      </c>
      <c r="C140" s="285" t="inlineStr">
        <is>
          <t>R0084242</t>
        </is>
      </c>
      <c r="D140" s="286" t="inlineStr">
        <is>
          <t>Upland Dist Ctr I (Bldg 1)</t>
        </is>
      </c>
      <c r="E140" s="285" t="inlineStr">
        <is>
          <t>Aurora</t>
        </is>
      </c>
      <c r="F140" s="285" t="inlineStr">
        <is>
          <t>CO</t>
        </is>
      </c>
      <c r="G140" s="285" t="inlineStr">
        <is>
          <t>Industrial</t>
        </is>
      </c>
      <c r="H140" s="286" t="inlineStr">
        <is>
          <t>Multi-Tenant Industrial NNN</t>
        </is>
      </c>
      <c r="I140" s="287" t="n"/>
      <c r="J140" s="287" t="n"/>
      <c r="K140" s="287" t="n">
        <v>2024</v>
      </c>
      <c r="L140" s="290" t="n">
        <v>693913</v>
      </c>
      <c r="M140" s="285" t="n"/>
      <c r="N140" s="290" t="n">
        <v>1038740</v>
      </c>
      <c r="O140" s="290" t="n">
        <v>10142</v>
      </c>
      <c r="P140" s="290" t="n">
        <v>11589</v>
      </c>
      <c r="Q140" s="285" t="n"/>
      <c r="R140" s="285" t="n"/>
      <c r="S140" s="290" t="n">
        <v>10801</v>
      </c>
      <c r="T140" s="290" t="n">
        <v>2121</v>
      </c>
      <c r="U140" s="285" t="n"/>
      <c r="V140" s="285" t="n"/>
      <c r="W140" s="285" t="n"/>
      <c r="X140" s="290" t="n">
        <v>1602</v>
      </c>
      <c r="Y140" s="290" t="n">
        <v>14524</v>
      </c>
      <c r="Z140" s="285" t="n"/>
      <c r="AA140" s="290" t="n">
        <v>10822</v>
      </c>
      <c r="AB140" s="290" t="n">
        <v>32162</v>
      </c>
      <c r="AC140" s="290" t="n">
        <v>3096</v>
      </c>
      <c r="AD140" s="290" t="n">
        <v>10863</v>
      </c>
      <c r="AE140" s="285" t="n"/>
      <c r="AF140" s="290" t="n">
        <v>10863</v>
      </c>
      <c r="AG140" s="285" t="n"/>
      <c r="AH140" s="290" t="n">
        <v>103843</v>
      </c>
      <c r="AI140" s="290" t="n">
        <v>285245</v>
      </c>
      <c r="AJ140" s="290" t="n">
        <v>389088</v>
      </c>
      <c r="AK140" s="290" t="n">
        <v>649652</v>
      </c>
      <c r="AL140" s="285" t="n"/>
      <c r="AM140" s="286" t="inlineStr">
        <is>
          <t>[NO SF] Link Logistics actual accrual; security $3,096 in contract; mgmt non-billable</t>
        </is>
      </c>
    </row>
    <row r="141" ht="14" customHeight="1" s="518">
      <c r="A141" s="151" t="inlineStr">
        <is>
          <t>P070</t>
        </is>
      </c>
      <c r="B141" s="150" t="n">
        <v>210</v>
      </c>
      <c r="C141" s="151" t="inlineStr">
        <is>
          <t>R0084242</t>
        </is>
      </c>
      <c r="D141" s="269" t="inlineStr">
        <is>
          <t>Upland Dist Ctr I (Bldg 1)</t>
        </is>
      </c>
      <c r="E141" s="151" t="inlineStr">
        <is>
          <t>Aurora</t>
        </is>
      </c>
      <c r="F141" s="151" t="inlineStr">
        <is>
          <t>CO</t>
        </is>
      </c>
      <c r="G141" s="151" t="inlineStr">
        <is>
          <t>Industrial</t>
        </is>
      </c>
      <c r="H141" s="269" t="inlineStr">
        <is>
          <t>Multi-Tenant Industrial NNN</t>
        </is>
      </c>
      <c r="I141" s="161" t="n"/>
      <c r="J141" s="161" t="n"/>
      <c r="K141" s="161" t="n">
        <v>2023</v>
      </c>
      <c r="L141" s="164" t="n">
        <v>636291</v>
      </c>
      <c r="M141" s="151" t="n"/>
      <c r="N141" s="164" t="n">
        <v>1062200</v>
      </c>
      <c r="O141" s="164" t="n">
        <v>7751</v>
      </c>
      <c r="P141" s="164" t="n">
        <v>9831</v>
      </c>
      <c r="Q141" s="151" t="n"/>
      <c r="R141" s="151" t="n"/>
      <c r="S141" s="164" t="n">
        <v>6802</v>
      </c>
      <c r="T141" s="164" t="n">
        <v>2340</v>
      </c>
      <c r="U141" s="151" t="n"/>
      <c r="V141" s="151" t="n"/>
      <c r="W141" s="151" t="n"/>
      <c r="X141" s="164" t="n">
        <v>1498</v>
      </c>
      <c r="Y141" s="164" t="n">
        <v>10640</v>
      </c>
      <c r="Z141" s="151" t="n"/>
      <c r="AA141" s="164" t="n">
        <v>12695</v>
      </c>
      <c r="AB141" s="164" t="n">
        <v>15327</v>
      </c>
      <c r="AC141" s="164" t="n">
        <v>3871</v>
      </c>
      <c r="AD141" s="164" t="n">
        <v>18104</v>
      </c>
      <c r="AE141" s="151" t="n"/>
      <c r="AF141" s="164" t="n">
        <v>18104</v>
      </c>
      <c r="AG141" s="151" t="n"/>
      <c r="AH141" s="164" t="n">
        <v>93172</v>
      </c>
      <c r="AI141" s="164" t="n">
        <v>284308</v>
      </c>
      <c r="AJ141" s="164" t="n">
        <v>377480</v>
      </c>
      <c r="AK141" s="164" t="n">
        <v>684720</v>
      </c>
      <c r="AL141" s="151" t="n"/>
      <c r="AM141" s="269" t="inlineStr">
        <is>
          <t>[NO SF] Link Logistics actual accrual; security $3,871 in contract; mgmt non-billable</t>
        </is>
      </c>
    </row>
    <row r="142" ht="14" customHeight="1" s="518">
      <c r="A142" s="285" t="inlineStr">
        <is>
          <t>P071</t>
        </is>
      </c>
      <c r="B142" s="150" t="n">
        <v>210</v>
      </c>
      <c r="C142" s="285" t="inlineStr">
        <is>
          <t>R0084243</t>
        </is>
      </c>
      <c r="D142" s="286" t="inlineStr">
        <is>
          <t>Upland Dist Ctr I (Bldg 2)</t>
        </is>
      </c>
      <c r="E142" s="285" t="inlineStr">
        <is>
          <t>Aurora</t>
        </is>
      </c>
      <c r="F142" s="285" t="inlineStr">
        <is>
          <t>CO</t>
        </is>
      </c>
      <c r="G142" s="285" t="inlineStr">
        <is>
          <t>Industrial</t>
        </is>
      </c>
      <c r="H142" s="286" t="inlineStr">
        <is>
          <t>Multi-Tenant Industrial NNN</t>
        </is>
      </c>
      <c r="I142" s="287" t="n"/>
      <c r="J142" s="287" t="n"/>
      <c r="K142" s="287" t="n">
        <v>2024</v>
      </c>
      <c r="L142" s="290" t="n">
        <v>559154</v>
      </c>
      <c r="M142" s="285" t="n"/>
      <c r="N142" s="290" t="n">
        <v>904777</v>
      </c>
      <c r="O142" s="290" t="n">
        <v>9318</v>
      </c>
      <c r="P142" s="290" t="n">
        <v>8966</v>
      </c>
      <c r="Q142" s="285" t="n"/>
      <c r="R142" s="285" t="n"/>
      <c r="S142" s="290" t="n">
        <v>5962</v>
      </c>
      <c r="T142" s="290" t="n">
        <v>2221</v>
      </c>
      <c r="U142" s="290" t="n">
        <v>2465</v>
      </c>
      <c r="V142" s="285" t="n"/>
      <c r="W142" s="285" t="n"/>
      <c r="X142" s="290" t="n">
        <v>1589</v>
      </c>
      <c r="Y142" s="290" t="n">
        <v>12237</v>
      </c>
      <c r="Z142" s="285" t="n"/>
      <c r="AA142" s="290" t="n">
        <v>11302</v>
      </c>
      <c r="AB142" s="290" t="n">
        <v>32413</v>
      </c>
      <c r="AC142" s="290" t="n">
        <v>3096</v>
      </c>
      <c r="AD142" s="290" t="n">
        <v>23773</v>
      </c>
      <c r="AE142" s="285" t="n"/>
      <c r="AF142" s="290" t="n">
        <v>23773</v>
      </c>
      <c r="AG142" s="285" t="n"/>
      <c r="AH142" s="290" t="n">
        <v>130296</v>
      </c>
      <c r="AI142" s="290" t="n">
        <v>265848</v>
      </c>
      <c r="AJ142" s="290" t="n">
        <v>396144</v>
      </c>
      <c r="AK142" s="290" t="n">
        <v>508633</v>
      </c>
      <c r="AL142" s="285" t="n"/>
      <c r="AM142" s="286" t="inlineStr">
        <is>
          <t>[NO SF] Link Logistics actual accrual</t>
        </is>
      </c>
    </row>
    <row r="143" ht="14" customHeight="1" s="518">
      <c r="A143" s="151" t="inlineStr">
        <is>
          <t>P071</t>
        </is>
      </c>
      <c r="B143" s="150" t="n">
        <v>210</v>
      </c>
      <c r="C143" s="151" t="inlineStr">
        <is>
          <t>R0084243</t>
        </is>
      </c>
      <c r="D143" s="269" t="inlineStr">
        <is>
          <t>Upland Dist Ctr I (Bldg 2)</t>
        </is>
      </c>
      <c r="E143" s="151" t="inlineStr">
        <is>
          <t>Aurora</t>
        </is>
      </c>
      <c r="F143" s="151" t="inlineStr">
        <is>
          <t>CO</t>
        </is>
      </c>
      <c r="G143" s="151" t="inlineStr">
        <is>
          <t>Industrial</t>
        </is>
      </c>
      <c r="H143" s="269" t="inlineStr">
        <is>
          <t>Multi-Tenant Industrial NNN</t>
        </is>
      </c>
      <c r="I143" s="161" t="n"/>
      <c r="J143" s="161" t="n"/>
      <c r="K143" s="161" t="n">
        <v>2023</v>
      </c>
      <c r="L143" s="164" t="n">
        <v>671895</v>
      </c>
      <c r="M143" s="151" t="n"/>
      <c r="N143" s="164" t="n">
        <v>1034507</v>
      </c>
      <c r="O143" s="164" t="n">
        <v>7124</v>
      </c>
      <c r="P143" s="164" t="n">
        <v>9660</v>
      </c>
      <c r="Q143" s="151" t="n"/>
      <c r="R143" s="151" t="n"/>
      <c r="S143" s="164" t="n">
        <v>5338</v>
      </c>
      <c r="T143" s="164" t="n">
        <v>2480</v>
      </c>
      <c r="U143" s="164" t="n">
        <v>875</v>
      </c>
      <c r="V143" s="151" t="n"/>
      <c r="W143" s="151" t="n"/>
      <c r="X143" s="164" t="n">
        <v>1484</v>
      </c>
      <c r="Y143" s="164" t="n">
        <v>10177</v>
      </c>
      <c r="Z143" s="151" t="n"/>
      <c r="AA143" s="164" t="n">
        <v>8120</v>
      </c>
      <c r="AB143" s="164" t="n">
        <v>15088</v>
      </c>
      <c r="AC143" s="164" t="n">
        <v>3871</v>
      </c>
      <c r="AD143" s="164" t="n">
        <v>13983</v>
      </c>
      <c r="AE143" s="151" t="n"/>
      <c r="AF143" s="164" t="n">
        <v>13983</v>
      </c>
      <c r="AG143" s="151" t="n"/>
      <c r="AH143" s="164" t="n">
        <v>29277</v>
      </c>
      <c r="AI143" s="164" t="n">
        <v>265936</v>
      </c>
      <c r="AJ143" s="164" t="n">
        <v>295213</v>
      </c>
      <c r="AK143" s="164" t="n">
        <v>739294</v>
      </c>
      <c r="AL143" s="151" t="n"/>
      <c r="AM143" s="269" t="inlineStr">
        <is>
          <t>[NO SF] Link Logistics actual accrual</t>
        </is>
      </c>
    </row>
    <row r="144" ht="14" customHeight="1" s="518">
      <c r="A144" s="285" t="inlineStr">
        <is>
          <t>P072</t>
        </is>
      </c>
      <c r="B144" s="150" t="n">
        <v>210</v>
      </c>
      <c r="C144" s="285" t="inlineStr">
        <is>
          <t>R0084244</t>
        </is>
      </c>
      <c r="D144" s="286" t="inlineStr">
        <is>
          <t>Upland Dist Ctr I (Bldg 3)</t>
        </is>
      </c>
      <c r="E144" s="285" t="inlineStr">
        <is>
          <t>Aurora</t>
        </is>
      </c>
      <c r="F144" s="285" t="inlineStr">
        <is>
          <t>CO</t>
        </is>
      </c>
      <c r="G144" s="285" t="inlineStr">
        <is>
          <t>Industrial</t>
        </is>
      </c>
      <c r="H144" s="286" t="inlineStr">
        <is>
          <t>Multi-Tenant Industrial NNN</t>
        </is>
      </c>
      <c r="I144" s="287" t="n"/>
      <c r="J144" s="287" t="n"/>
      <c r="K144" s="287" t="n">
        <v>2023</v>
      </c>
      <c r="L144" s="290" t="n">
        <v>633240</v>
      </c>
      <c r="M144" s="285" t="n"/>
      <c r="N144" s="290" t="n">
        <v>1026818</v>
      </c>
      <c r="O144" s="290" t="n">
        <v>6101</v>
      </c>
      <c r="P144" s="290" t="n">
        <v>8518</v>
      </c>
      <c r="Q144" s="285" t="n"/>
      <c r="R144" s="285" t="n"/>
      <c r="S144" s="290" t="n">
        <v>32990</v>
      </c>
      <c r="T144" s="290" t="n">
        <v>1965</v>
      </c>
      <c r="U144" s="285" t="n"/>
      <c r="V144" s="285" t="n"/>
      <c r="W144" s="285" t="n"/>
      <c r="X144" s="290" t="n">
        <v>1498</v>
      </c>
      <c r="Y144" s="290" t="n">
        <v>34453</v>
      </c>
      <c r="Z144" s="285" t="n"/>
      <c r="AA144" s="290" t="n">
        <v>11861</v>
      </c>
      <c r="AB144" s="290" t="n">
        <v>15620</v>
      </c>
      <c r="AC144" s="290" t="n">
        <v>3871</v>
      </c>
      <c r="AD144" s="290" t="n">
        <v>5672</v>
      </c>
      <c r="AE144" s="290" t="n">
        <v>3430</v>
      </c>
      <c r="AF144" s="290" t="n">
        <v>9102</v>
      </c>
      <c r="AG144" s="285" t="n"/>
      <c r="AH144" s="290" t="n">
        <v>107544</v>
      </c>
      <c r="AI144" s="290" t="n">
        <v>284308</v>
      </c>
      <c r="AJ144" s="290" t="n">
        <v>391852</v>
      </c>
      <c r="AK144" s="290" t="n">
        <v>634966</v>
      </c>
      <c r="AL144" s="285" t="n"/>
      <c r="AM144" s="286" t="inlineStr">
        <is>
          <t>[NO SF] Link Logistics 2023 only; large warehouse; notable free rent ($111k) and lease-up period</t>
        </is>
      </c>
    </row>
    <row r="145" ht="14" customHeight="1" s="518">
      <c r="A145" s="151" t="inlineStr">
        <is>
          <t>P073</t>
        </is>
      </c>
      <c r="B145" s="150" t="n">
        <v>210</v>
      </c>
      <c r="C145" s="151" t="inlineStr">
        <is>
          <t>R0084247</t>
        </is>
      </c>
      <c r="D145" s="269" t="inlineStr">
        <is>
          <t>13802 E 33rd Place</t>
        </is>
      </c>
      <c r="E145" s="151" t="inlineStr">
        <is>
          <t>Aurora</t>
        </is>
      </c>
      <c r="F145" s="151" t="inlineStr">
        <is>
          <t>CO</t>
        </is>
      </c>
      <c r="G145" s="151" t="inlineStr">
        <is>
          <t>Industrial</t>
        </is>
      </c>
      <c r="H145" s="269" t="inlineStr">
        <is>
          <t>Multi-Tenant Industrial NNN</t>
        </is>
      </c>
      <c r="I145" s="161" t="n"/>
      <c r="J145" s="161" t="n"/>
      <c r="K145" s="161" t="n">
        <v>2024</v>
      </c>
      <c r="L145" s="164" t="n">
        <v>318721</v>
      </c>
      <c r="M145" s="151" t="n"/>
      <c r="N145" s="164" t="n">
        <v>578332</v>
      </c>
      <c r="O145" s="164" t="n">
        <v>7156</v>
      </c>
      <c r="P145" s="164" t="n">
        <v>5471</v>
      </c>
      <c r="Q145" s="151" t="n"/>
      <c r="R145" s="151" t="n"/>
      <c r="S145" s="164" t="n">
        <v>8874</v>
      </c>
      <c r="T145" s="164" t="n">
        <v>1655</v>
      </c>
      <c r="U145" s="151" t="n"/>
      <c r="V145" s="151" t="n"/>
      <c r="W145" s="151" t="n"/>
      <c r="X145" s="164" t="n">
        <v>1556</v>
      </c>
      <c r="Y145" s="164" t="n">
        <v>12085</v>
      </c>
      <c r="Z145" s="151" t="n"/>
      <c r="AA145" s="164" t="n">
        <v>9686</v>
      </c>
      <c r="AB145" s="164" t="n">
        <v>20653</v>
      </c>
      <c r="AC145" s="164" t="n">
        <v>6987</v>
      </c>
      <c r="AD145" s="164" t="n">
        <v>10547</v>
      </c>
      <c r="AE145" s="164" t="n">
        <v>1600</v>
      </c>
      <c r="AF145" s="164" t="n">
        <v>12147</v>
      </c>
      <c r="AG145" s="151" t="n"/>
      <c r="AH145" s="164" t="n">
        <v>91002</v>
      </c>
      <c r="AI145" s="164" t="n">
        <v>204010</v>
      </c>
      <c r="AJ145" s="164" t="n">
        <v>295012</v>
      </c>
      <c r="AK145" s="164" t="n">
        <v>283320</v>
      </c>
      <c r="AL145" s="151" t="n"/>
      <c r="AM145" s="269" t="inlineStr">
        <is>
          <t>[NO SF] Link Logistics actual accrual</t>
        </is>
      </c>
    </row>
    <row r="146" ht="14" customHeight="1" s="518">
      <c r="A146" s="285" t="inlineStr">
        <is>
          <t>P073</t>
        </is>
      </c>
      <c r="B146" s="150" t="n">
        <v>210</v>
      </c>
      <c r="C146" s="285" t="inlineStr">
        <is>
          <t>R0084247</t>
        </is>
      </c>
      <c r="D146" s="286" t="inlineStr">
        <is>
          <t>13802 E 33rd Place</t>
        </is>
      </c>
      <c r="E146" s="285" t="inlineStr">
        <is>
          <t>Aurora</t>
        </is>
      </c>
      <c r="F146" s="285" t="inlineStr">
        <is>
          <t>CO</t>
        </is>
      </c>
      <c r="G146" s="285" t="inlineStr">
        <is>
          <t>Industrial</t>
        </is>
      </c>
      <c r="H146" s="286" t="inlineStr">
        <is>
          <t>Multi-Tenant Industrial NNN</t>
        </is>
      </c>
      <c r="I146" s="287" t="n"/>
      <c r="J146" s="287" t="n"/>
      <c r="K146" s="287" t="n">
        <v>2023</v>
      </c>
      <c r="L146" s="290" t="n">
        <v>394581</v>
      </c>
      <c r="M146" s="285" t="n"/>
      <c r="N146" s="290" t="n">
        <v>671481</v>
      </c>
      <c r="O146" s="290" t="n">
        <v>6075</v>
      </c>
      <c r="P146" s="290" t="n">
        <v>5987</v>
      </c>
      <c r="Q146" s="285" t="n"/>
      <c r="R146" s="285" t="n"/>
      <c r="S146" s="290" t="n">
        <v>7762</v>
      </c>
      <c r="T146" s="290" t="n">
        <v>1575</v>
      </c>
      <c r="U146" s="285" t="n"/>
      <c r="V146" s="285" t="n"/>
      <c r="W146" s="285" t="n"/>
      <c r="X146" s="290" t="n">
        <v>1452</v>
      </c>
      <c r="Y146" s="290" t="n">
        <v>10789</v>
      </c>
      <c r="Z146" s="285" t="n"/>
      <c r="AA146" s="290" t="n">
        <v>11249</v>
      </c>
      <c r="AB146" s="290" t="n">
        <v>12318</v>
      </c>
      <c r="AC146" s="290" t="n">
        <v>6967</v>
      </c>
      <c r="AD146" s="290" t="n">
        <v>11424</v>
      </c>
      <c r="AE146" s="290" t="n">
        <v>1898</v>
      </c>
      <c r="AF146" s="290" t="n">
        <v>13322</v>
      </c>
      <c r="AG146" s="285" t="n"/>
      <c r="AH146" s="290" t="n">
        <v>37127</v>
      </c>
      <c r="AI146" s="290" t="n">
        <v>204497</v>
      </c>
      <c r="AJ146" s="290" t="n">
        <v>241624</v>
      </c>
      <c r="AK146" s="290" t="n">
        <v>429857</v>
      </c>
      <c r="AL146" s="285" t="n"/>
      <c r="AM146" s="286" t="inlineStr">
        <is>
          <t>[NO SF] Link Logistics actual accrual</t>
        </is>
      </c>
    </row>
    <row r="147" ht="14" customHeight="1" s="518">
      <c r="A147" s="151" t="inlineStr">
        <is>
          <t>P074</t>
        </is>
      </c>
      <c r="B147" s="150" t="n">
        <v>210</v>
      </c>
      <c r="C147" s="151" t="inlineStr">
        <is>
          <t>R0084248</t>
        </is>
      </c>
      <c r="D147" s="269" t="inlineStr">
        <is>
          <t>14002 E 33rd Place</t>
        </is>
      </c>
      <c r="E147" s="151" t="inlineStr">
        <is>
          <t>Aurora</t>
        </is>
      </c>
      <c r="F147" s="151" t="inlineStr">
        <is>
          <t>CO</t>
        </is>
      </c>
      <c r="G147" s="151" t="inlineStr">
        <is>
          <t>Industrial</t>
        </is>
      </c>
      <c r="H147" s="269" t="inlineStr">
        <is>
          <t>Multi-Tenant Industrial NNN</t>
        </is>
      </c>
      <c r="I147" s="161" t="n"/>
      <c r="J147" s="161" t="n"/>
      <c r="K147" s="161" t="n">
        <v>2024</v>
      </c>
      <c r="L147" s="164" t="n">
        <v>352733</v>
      </c>
      <c r="M147" s="151" t="n"/>
      <c r="N147" s="164" t="n">
        <v>649568</v>
      </c>
      <c r="O147" s="164" t="n">
        <v>6988</v>
      </c>
      <c r="P147" s="164" t="n">
        <v>6207</v>
      </c>
      <c r="Q147" s="151" t="n"/>
      <c r="R147" s="151" t="n"/>
      <c r="S147" s="164" t="n">
        <v>16981</v>
      </c>
      <c r="T147" s="164" t="n">
        <v>1800</v>
      </c>
      <c r="U147" s="151" t="n"/>
      <c r="V147" s="151" t="n"/>
      <c r="W147" s="151" t="n"/>
      <c r="X147" s="164" t="n">
        <v>1556</v>
      </c>
      <c r="Y147" s="164" t="n">
        <v>20337</v>
      </c>
      <c r="Z147" s="151" t="n"/>
      <c r="AA147" s="164" t="n">
        <v>8036</v>
      </c>
      <c r="AB147" s="164" t="n">
        <v>22795</v>
      </c>
      <c r="AC147" s="164" t="n">
        <v>6988</v>
      </c>
      <c r="AD147" s="164" t="n">
        <v>8875</v>
      </c>
      <c r="AE147" s="151" t="n"/>
      <c r="AF147" s="164" t="n">
        <v>8875</v>
      </c>
      <c r="AG147" s="151" t="n"/>
      <c r="AH147" s="164" t="n">
        <v>94654</v>
      </c>
      <c r="AI147" s="164" t="n">
        <v>204010</v>
      </c>
      <c r="AJ147" s="164" t="n">
        <v>298664</v>
      </c>
      <c r="AK147" s="164" t="n">
        <v>350904</v>
      </c>
      <c r="AL147" s="151" t="n"/>
      <c r="AM147" s="269" t="inlineStr">
        <is>
          <t>[NO SF] Link Logistics actual; 2023 RE tax net $53k refund; 2024 normal rate</t>
        </is>
      </c>
    </row>
    <row r="148" ht="14" customHeight="1" s="518">
      <c r="A148" s="285" t="inlineStr">
        <is>
          <t>P074</t>
        </is>
      </c>
      <c r="B148" s="150" t="n">
        <v>210</v>
      </c>
      <c r="C148" s="285" t="inlineStr">
        <is>
          <t>R0084248</t>
        </is>
      </c>
      <c r="D148" s="286" t="inlineStr">
        <is>
          <t>14002 E 33rd Place</t>
        </is>
      </c>
      <c r="E148" s="285" t="inlineStr">
        <is>
          <t>Aurora</t>
        </is>
      </c>
      <c r="F148" s="285" t="inlineStr">
        <is>
          <t>CO</t>
        </is>
      </c>
      <c r="G148" s="285" t="inlineStr">
        <is>
          <t>Industrial</t>
        </is>
      </c>
      <c r="H148" s="286" t="inlineStr">
        <is>
          <t>Multi-Tenant Industrial NNN</t>
        </is>
      </c>
      <c r="I148" s="287" t="n"/>
      <c r="J148" s="287" t="n"/>
      <c r="K148" s="287" t="n">
        <v>2023</v>
      </c>
      <c r="L148" s="290" t="n">
        <v>345583</v>
      </c>
      <c r="M148" s="285" t="n"/>
      <c r="N148" s="290" t="n">
        <v>582999</v>
      </c>
      <c r="O148" s="290" t="n">
        <v>6051</v>
      </c>
      <c r="P148" s="290" t="n">
        <v>6115</v>
      </c>
      <c r="Q148" s="285" t="n"/>
      <c r="R148" s="285" t="n"/>
      <c r="S148" s="290" t="n">
        <v>4932</v>
      </c>
      <c r="T148" s="290" t="n">
        <v>1822</v>
      </c>
      <c r="U148" s="285" t="n"/>
      <c r="V148" s="285" t="n"/>
      <c r="W148" s="285" t="n"/>
      <c r="X148" s="290" t="n">
        <v>1452</v>
      </c>
      <c r="Y148" s="290" t="n">
        <v>8206</v>
      </c>
      <c r="Z148" s="285" t="n"/>
      <c r="AA148" s="290" t="n">
        <v>6275</v>
      </c>
      <c r="AB148" s="290" t="n">
        <v>13573</v>
      </c>
      <c r="AC148" s="290" t="n">
        <v>6967</v>
      </c>
      <c r="AD148" s="290" t="n">
        <v>11933</v>
      </c>
      <c r="AE148" s="285" t="n"/>
      <c r="AF148" s="290" t="n">
        <v>11933</v>
      </c>
      <c r="AG148" s="285" t="n"/>
      <c r="AH148" s="290" t="n">
        <v>71541</v>
      </c>
      <c r="AI148" s="290" t="n">
        <v>162088</v>
      </c>
      <c r="AJ148" s="290" t="n">
        <v>233629</v>
      </c>
      <c r="AK148" s="290" t="n">
        <v>349370</v>
      </c>
      <c r="AL148" s="285" t="n"/>
      <c r="AM148" s="286" t="inlineStr">
        <is>
          <t>[NO SF] Link Logistics actual; 2023 RE tax net $53k refund; 2024 normal rate</t>
        </is>
      </c>
    </row>
    <row r="149" ht="14" customHeight="1" s="518">
      <c r="A149" s="151" t="inlineStr">
        <is>
          <t>P075</t>
        </is>
      </c>
      <c r="B149" s="150" t="n">
        <v>210</v>
      </c>
      <c r="C149" s="151" t="inlineStr">
        <is>
          <t>R0084250</t>
        </is>
      </c>
      <c r="D149" s="269" t="inlineStr">
        <is>
          <t>3250 Abilene Street</t>
        </is>
      </c>
      <c r="E149" s="151" t="inlineStr">
        <is>
          <t>Aurora</t>
        </is>
      </c>
      <c r="F149" s="151" t="inlineStr">
        <is>
          <t>CO</t>
        </is>
      </c>
      <c r="G149" s="151" t="inlineStr">
        <is>
          <t>Industrial</t>
        </is>
      </c>
      <c r="H149" s="269" t="inlineStr">
        <is>
          <t>Multi-Tenant Industrial NNN</t>
        </is>
      </c>
      <c r="I149" s="161" t="n"/>
      <c r="J149" s="161" t="n"/>
      <c r="K149" s="161" t="n">
        <v>2024</v>
      </c>
      <c r="L149" s="164" t="n">
        <v>406844</v>
      </c>
      <c r="M149" s="151" t="n"/>
      <c r="N149" s="164" t="n">
        <v>797212</v>
      </c>
      <c r="O149" s="164" t="n">
        <v>45992</v>
      </c>
      <c r="P149" s="164" t="n">
        <v>6921</v>
      </c>
      <c r="Q149" s="151" t="n"/>
      <c r="R149" s="151" t="n"/>
      <c r="S149" s="164" t="n">
        <v>10380</v>
      </c>
      <c r="T149" s="164" t="n">
        <v>3470</v>
      </c>
      <c r="U149" s="164" t="n">
        <v>2000</v>
      </c>
      <c r="V149" s="151" t="n"/>
      <c r="W149" s="151" t="n"/>
      <c r="X149" s="164" t="n">
        <v>1676</v>
      </c>
      <c r="Y149" s="164" t="n">
        <v>17526</v>
      </c>
      <c r="Z149" s="151" t="n"/>
      <c r="AA149" s="164" t="n">
        <v>8417</v>
      </c>
      <c r="AB149" s="164" t="n">
        <v>30101</v>
      </c>
      <c r="AC149" s="164" t="n">
        <v>8211</v>
      </c>
      <c r="AD149" s="164" t="n">
        <v>12042</v>
      </c>
      <c r="AE149" s="164" t="n">
        <v>3218</v>
      </c>
      <c r="AF149" s="164" t="n">
        <v>15260</v>
      </c>
      <c r="AG149" s="151" t="n"/>
      <c r="AH149" s="164" t="n">
        <v>180865</v>
      </c>
      <c r="AI149" s="164" t="n">
        <v>410137</v>
      </c>
      <c r="AJ149" s="164" t="n">
        <v>591002</v>
      </c>
      <c r="AK149" s="164" t="n">
        <v>206210</v>
      </c>
      <c r="AL149" s="151" t="n"/>
      <c r="AM149" s="269" t="inlineStr">
        <is>
          <t>[NO SF] Link Logistics actual; 2024 tenant turnover – NOI depressed; base rent $787k→$407k; 2024 ins inflated by $25k deductible</t>
        </is>
      </c>
    </row>
    <row r="150" ht="14" customHeight="1" s="518">
      <c r="A150" s="285" t="inlineStr">
        <is>
          <t>P075</t>
        </is>
      </c>
      <c r="B150" s="150" t="n">
        <v>210</v>
      </c>
      <c r="C150" s="285" t="inlineStr">
        <is>
          <t>R0084250</t>
        </is>
      </c>
      <c r="D150" s="286" t="inlineStr">
        <is>
          <t>3250 Abilene Street</t>
        </is>
      </c>
      <c r="E150" s="285" t="inlineStr">
        <is>
          <t>Aurora</t>
        </is>
      </c>
      <c r="F150" s="285" t="inlineStr">
        <is>
          <t>CO</t>
        </is>
      </c>
      <c r="G150" s="285" t="inlineStr">
        <is>
          <t>Industrial</t>
        </is>
      </c>
      <c r="H150" s="286" t="inlineStr">
        <is>
          <t>Multi-Tenant Industrial NNN</t>
        </is>
      </c>
      <c r="I150" s="287" t="n"/>
      <c r="J150" s="287" t="n"/>
      <c r="K150" s="287" t="n">
        <v>2023</v>
      </c>
      <c r="L150" s="290" t="n">
        <v>787792</v>
      </c>
      <c r="M150" s="285" t="n"/>
      <c r="N150" s="290" t="n">
        <v>1333856</v>
      </c>
      <c r="O150" s="290" t="n">
        <v>12351</v>
      </c>
      <c r="P150" s="290" t="n">
        <v>13140</v>
      </c>
      <c r="Q150" s="285" t="n"/>
      <c r="R150" s="285" t="n"/>
      <c r="S150" s="290" t="n">
        <v>10370</v>
      </c>
      <c r="T150" s="290" t="n">
        <v>3061</v>
      </c>
      <c r="U150" s="290" t="n">
        <v>0</v>
      </c>
      <c r="V150" s="285" t="n"/>
      <c r="W150" s="285" t="n"/>
      <c r="X150" s="290" t="n">
        <v>1572</v>
      </c>
      <c r="Y150" s="290" t="n">
        <v>15003</v>
      </c>
      <c r="Z150" s="285" t="n"/>
      <c r="AA150" s="290" t="n">
        <v>24879</v>
      </c>
      <c r="AB150" s="290" t="n">
        <v>16871</v>
      </c>
      <c r="AC150" s="290" t="n">
        <v>7678</v>
      </c>
      <c r="AD150" s="290" t="n">
        <v>12785</v>
      </c>
      <c r="AE150" s="285" t="n"/>
      <c r="AF150" s="290" t="n">
        <v>12785</v>
      </c>
      <c r="AG150" s="285" t="n"/>
      <c r="AH150" s="290" t="n">
        <v>123031</v>
      </c>
      <c r="AI150" s="290" t="n">
        <v>409295</v>
      </c>
      <c r="AJ150" s="290" t="n">
        <v>532326</v>
      </c>
      <c r="AK150" s="290" t="n">
        <v>801530</v>
      </c>
      <c r="AL150" s="285" t="n"/>
      <c r="AM150" s="286" t="inlineStr">
        <is>
          <t>[NO SF] Link Logistics actual; 2023 stable; 2024 ins inflated by $25k deductible</t>
        </is>
      </c>
    </row>
    <row r="151" ht="14" customHeight="1" s="518">
      <c r="A151" s="151" t="inlineStr">
        <is>
          <t>P076</t>
        </is>
      </c>
      <c r="B151" s="150" t="n">
        <v>210</v>
      </c>
      <c r="C151" s="151" t="inlineStr">
        <is>
          <t>R0084253</t>
        </is>
      </c>
      <c r="D151" s="269" t="inlineStr">
        <is>
          <t>14509 E 33rd Place</t>
        </is>
      </c>
      <c r="E151" s="151" t="inlineStr">
        <is>
          <t>Aurora</t>
        </is>
      </c>
      <c r="F151" s="151" t="inlineStr">
        <is>
          <t>CO</t>
        </is>
      </c>
      <c r="G151" s="151" t="inlineStr">
        <is>
          <t>Industrial</t>
        </is>
      </c>
      <c r="H151" s="269" t="inlineStr">
        <is>
          <t>Multi-Tenant Industrial NNN</t>
        </is>
      </c>
      <c r="I151" s="161" t="n"/>
      <c r="J151" s="161" t="n"/>
      <c r="K151" s="161" t="n">
        <v>2024</v>
      </c>
      <c r="L151" s="164" t="n">
        <v>987101</v>
      </c>
      <c r="M151" s="151" t="n"/>
      <c r="N151" s="164" t="n">
        <v>1613814</v>
      </c>
      <c r="O151" s="164" t="n">
        <v>26027</v>
      </c>
      <c r="P151" s="164" t="n">
        <v>17785</v>
      </c>
      <c r="Q151" s="151" t="n"/>
      <c r="R151" s="151" t="n"/>
      <c r="S151" s="164" t="n">
        <v>9496</v>
      </c>
      <c r="T151" s="164" t="n">
        <v>2104</v>
      </c>
      <c r="U151" s="151" t="n"/>
      <c r="V151" s="151" t="n"/>
      <c r="W151" s="151" t="n"/>
      <c r="X151" s="164" t="n">
        <v>1676</v>
      </c>
      <c r="Y151" s="164" t="n">
        <v>13276</v>
      </c>
      <c r="Z151" s="151" t="n"/>
      <c r="AA151" s="164" t="n">
        <v>11885</v>
      </c>
      <c r="AB151" s="164" t="n">
        <v>37419</v>
      </c>
      <c r="AC151" s="164" t="n">
        <v>5705</v>
      </c>
      <c r="AD151" s="164" t="n">
        <v>39182</v>
      </c>
      <c r="AE151" s="164" t="n">
        <v>1573</v>
      </c>
      <c r="AF151" s="164" t="n">
        <v>40755</v>
      </c>
      <c r="AG151" s="151" t="n"/>
      <c r="AH151" s="164" t="n">
        <v>178810</v>
      </c>
      <c r="AI151" s="164" t="n">
        <v>442744</v>
      </c>
      <c r="AJ151" s="164" t="n">
        <v>621554</v>
      </c>
      <c r="AK151" s="164" t="n">
        <v>992260</v>
      </c>
      <c r="AL151" s="151" t="n"/>
      <c r="AM151" s="269" t="inlineStr">
        <is>
          <t>[NO SF] Link Logistics actual; 2023 security includes one-time $54k</t>
        </is>
      </c>
    </row>
    <row r="152" ht="14" customHeight="1" s="518">
      <c r="A152" s="285" t="inlineStr">
        <is>
          <t>P076</t>
        </is>
      </c>
      <c r="B152" s="150" t="n">
        <v>210</v>
      </c>
      <c r="C152" s="285" t="inlineStr">
        <is>
          <t>R0084253</t>
        </is>
      </c>
      <c r="D152" s="286" t="inlineStr">
        <is>
          <t>14509 E 33rd Place</t>
        </is>
      </c>
      <c r="E152" s="285" t="inlineStr">
        <is>
          <t>Aurora</t>
        </is>
      </c>
      <c r="F152" s="285" t="inlineStr">
        <is>
          <t>CO</t>
        </is>
      </c>
      <c r="G152" s="285" t="inlineStr">
        <is>
          <t>Industrial</t>
        </is>
      </c>
      <c r="H152" s="286" t="inlineStr">
        <is>
          <t>Multi-Tenant Industrial NNN</t>
        </is>
      </c>
      <c r="I152" s="287" t="n"/>
      <c r="J152" s="287" t="n"/>
      <c r="K152" s="287" t="n">
        <v>2023</v>
      </c>
      <c r="L152" s="290" t="n">
        <v>932587</v>
      </c>
      <c r="M152" s="285" t="n"/>
      <c r="N152" s="290" t="n">
        <v>1610926</v>
      </c>
      <c r="O152" s="290" t="n">
        <v>12903</v>
      </c>
      <c r="P152" s="290" t="n">
        <v>15271</v>
      </c>
      <c r="Q152" s="285" t="n"/>
      <c r="R152" s="285" t="n"/>
      <c r="S152" s="290" t="n">
        <v>16438</v>
      </c>
      <c r="T152" s="290" t="n">
        <v>17000</v>
      </c>
      <c r="U152" s="285" t="n"/>
      <c r="V152" s="285" t="n"/>
      <c r="W152" s="285" t="n"/>
      <c r="X152" s="290" t="n">
        <v>1572</v>
      </c>
      <c r="Y152" s="290" t="n">
        <v>35010</v>
      </c>
      <c r="Z152" s="285" t="n"/>
      <c r="AA152" s="290" t="n">
        <v>11941</v>
      </c>
      <c r="AB152" s="290" t="n">
        <v>21409</v>
      </c>
      <c r="AC152" s="290" t="n">
        <v>54490</v>
      </c>
      <c r="AD152" s="290" t="n">
        <v>34733</v>
      </c>
      <c r="AE152" s="290" t="n">
        <v>1638</v>
      </c>
      <c r="AF152" s="290" t="n">
        <v>36371</v>
      </c>
      <c r="AG152" s="285" t="n"/>
      <c r="AH152" s="290" t="n">
        <v>211012</v>
      </c>
      <c r="AI152" s="290" t="n">
        <v>441491</v>
      </c>
      <c r="AJ152" s="290" t="n">
        <v>652503</v>
      </c>
      <c r="AK152" s="290" t="n">
        <v>958423</v>
      </c>
      <c r="AL152" s="285" t="n"/>
      <c r="AM152" s="286" t="inlineStr">
        <is>
          <t>[NO SF] Link Logistics actual; 2023 security includes one-time $54k</t>
        </is>
      </c>
    </row>
    <row r="153" ht="14" customHeight="1" s="518">
      <c r="A153" s="151" t="inlineStr">
        <is>
          <t>P077</t>
        </is>
      </c>
      <c r="B153" s="150" t="n">
        <v>210</v>
      </c>
      <c r="C153" s="151" t="inlineStr">
        <is>
          <t>R0084253</t>
        </is>
      </c>
      <c r="D153" s="269" t="inlineStr">
        <is>
          <t>14704 E 33rd Place</t>
        </is>
      </c>
      <c r="E153" s="151" t="inlineStr">
        <is>
          <t>Aurora</t>
        </is>
      </c>
      <c r="F153" s="151" t="inlineStr">
        <is>
          <t>CO</t>
        </is>
      </c>
      <c r="G153" s="151" t="inlineStr">
        <is>
          <t>Industrial</t>
        </is>
      </c>
      <c r="H153" s="269" t="inlineStr">
        <is>
          <t>Multi-Tenant Industrial NNN</t>
        </is>
      </c>
      <c r="I153" s="161" t="n"/>
      <c r="J153" s="161" t="n"/>
      <c r="K153" s="161" t="n">
        <v>2024</v>
      </c>
      <c r="L153" s="164" t="n">
        <v>977394</v>
      </c>
      <c r="M153" s="151" t="n"/>
      <c r="N153" s="164" t="n">
        <v>1537076</v>
      </c>
      <c r="O153" s="164" t="n">
        <v>12170</v>
      </c>
      <c r="P153" s="164" t="n">
        <v>17077</v>
      </c>
      <c r="Q153" s="151" t="n"/>
      <c r="R153" s="151" t="n"/>
      <c r="S153" s="164" t="n">
        <v>10377</v>
      </c>
      <c r="T153" s="164" t="n">
        <v>1760</v>
      </c>
      <c r="U153" s="164" t="n">
        <v>265</v>
      </c>
      <c r="V153" s="151" t="n"/>
      <c r="W153" s="151" t="n"/>
      <c r="X153" s="164" t="n">
        <v>1636</v>
      </c>
      <c r="Y153" s="164" t="n">
        <v>13036</v>
      </c>
      <c r="Z153" s="151" t="n"/>
      <c r="AA153" s="164" t="n">
        <v>10043</v>
      </c>
      <c r="AB153" s="164" t="n">
        <v>41626</v>
      </c>
      <c r="AC153" s="164" t="n">
        <v>5705</v>
      </c>
      <c r="AD153" s="164" t="n">
        <v>19336</v>
      </c>
      <c r="AE153" s="164" t="n">
        <v>2462</v>
      </c>
      <c r="AF153" s="164" t="n">
        <v>21798</v>
      </c>
      <c r="AG153" s="151" t="n"/>
      <c r="AH153" s="164" t="n">
        <v>228019</v>
      </c>
      <c r="AI153" s="164" t="n">
        <v>364330</v>
      </c>
      <c r="AJ153" s="164" t="n">
        <v>592349</v>
      </c>
      <c r="AK153" s="164" t="n">
        <v>944727</v>
      </c>
      <c r="AL153" s="151" t="n"/>
      <c r="AM153" s="269" t="inlineStr">
        <is>
          <t>[NO SF] Link Logistics 2024; partial vacancy (elec/gas $124k); NOI understated excl vacancy costs</t>
        </is>
      </c>
    </row>
    <row r="154" ht="14" customHeight="1" s="518">
      <c r="A154" s="285" t="inlineStr">
        <is>
          <t>P078</t>
        </is>
      </c>
      <c r="B154" s="150" t="n">
        <v>210</v>
      </c>
      <c r="C154" s="285" t="inlineStr">
        <is>
          <t>R0084253</t>
        </is>
      </c>
      <c r="D154" s="286" t="inlineStr">
        <is>
          <t>14705 E 33rd Place</t>
        </is>
      </c>
      <c r="E154" s="285" t="inlineStr">
        <is>
          <t>Aurora</t>
        </is>
      </c>
      <c r="F154" s="285" t="inlineStr">
        <is>
          <t>CO</t>
        </is>
      </c>
      <c r="G154" s="285" t="inlineStr">
        <is>
          <t>Industrial</t>
        </is>
      </c>
      <c r="H154" s="286" t="inlineStr">
        <is>
          <t>Multi-Tenant Industrial NNN</t>
        </is>
      </c>
      <c r="I154" s="287" t="n"/>
      <c r="J154" s="287" t="n"/>
      <c r="K154" s="287" t="n">
        <v>2024</v>
      </c>
      <c r="L154" s="290" t="n">
        <v>436928</v>
      </c>
      <c r="M154" s="285" t="n"/>
      <c r="N154" s="290" t="n">
        <v>714461</v>
      </c>
      <c r="O154" s="290" t="n">
        <v>6456</v>
      </c>
      <c r="P154" s="290" t="n">
        <v>6962</v>
      </c>
      <c r="Q154" s="285" t="n"/>
      <c r="R154" s="285" t="n"/>
      <c r="S154" s="290" t="n">
        <v>6889</v>
      </c>
      <c r="T154" s="290" t="n">
        <v>1125</v>
      </c>
      <c r="U154" s="290" t="n">
        <v>285</v>
      </c>
      <c r="V154" s="285" t="n"/>
      <c r="W154" s="285" t="n"/>
      <c r="X154" s="290" t="n">
        <v>1546</v>
      </c>
      <c r="Y154" s="290" t="n">
        <v>9845</v>
      </c>
      <c r="Z154" s="285" t="n"/>
      <c r="AA154" s="290" t="n">
        <v>6931</v>
      </c>
      <c r="AB154" s="290" t="n">
        <v>27052</v>
      </c>
      <c r="AC154" s="290" t="n">
        <v>5705</v>
      </c>
      <c r="AD154" s="285" t="n"/>
      <c r="AE154" s="290" t="n">
        <v>929</v>
      </c>
      <c r="AF154" s="290" t="n">
        <v>929</v>
      </c>
      <c r="AG154" s="285" t="n"/>
      <c r="AH154" s="290" t="n">
        <v>77944</v>
      </c>
      <c r="AI154" s="290" t="n">
        <v>188633</v>
      </c>
      <c r="AJ154" s="290" t="n">
        <v>266577</v>
      </c>
      <c r="AK154" s="290" t="n">
        <v>447884</v>
      </c>
      <c r="AL154" s="285" t="n"/>
      <c r="AM154" s="286" t="inlineStr">
        <is>
          <t>[NO SF] Link Logistics 2024; partial free rent ($38k); lease-up period</t>
        </is>
      </c>
    </row>
    <row r="155" ht="14" customHeight="1" s="518">
      <c r="A155" s="151" t="inlineStr">
        <is>
          <t>P079</t>
        </is>
      </c>
      <c r="B155" s="150" t="n">
        <v>584</v>
      </c>
      <c r="C155" s="151" t="inlineStr">
        <is>
          <t>R0086214</t>
        </is>
      </c>
      <c r="D155" s="269" t="inlineStr">
        <is>
          <t>Aurora Warehouse (Polar)</t>
        </is>
      </c>
      <c r="E155" s="151" t="inlineStr">
        <is>
          <t>Aurora</t>
        </is>
      </c>
      <c r="F155" s="151" t="inlineStr">
        <is>
          <t>CO</t>
        </is>
      </c>
      <c r="G155" s="151" t="inlineStr">
        <is>
          <t>Industrial</t>
        </is>
      </c>
      <c r="H155" s="269" t="inlineStr">
        <is>
          <t>Mega Warehouse NNN</t>
        </is>
      </c>
      <c r="I155" s="161" t="n"/>
      <c r="J155" s="161" t="n"/>
      <c r="K155" s="161" t="n">
        <v>2024</v>
      </c>
      <c r="L155" s="164" t="n">
        <v>3771986</v>
      </c>
      <c r="M155" s="151" t="n"/>
      <c r="N155" s="164" t="n">
        <v>7045455</v>
      </c>
      <c r="O155" s="164" t="n">
        <v>83764</v>
      </c>
      <c r="P155" s="164" t="n">
        <v>67999</v>
      </c>
      <c r="Q155" s="151" t="n"/>
      <c r="R155" s="151" t="n"/>
      <c r="S155" s="151" t="n"/>
      <c r="T155" s="151" t="n"/>
      <c r="U155" s="151" t="n"/>
      <c r="V155" s="151" t="n"/>
      <c r="W155" s="151" t="n"/>
      <c r="X155" s="164" t="n">
        <v>5829</v>
      </c>
      <c r="Y155" s="164" t="n">
        <v>5829</v>
      </c>
      <c r="Z155" s="151" t="n"/>
      <c r="AA155" s="151" t="n"/>
      <c r="AB155" s="151" t="n"/>
      <c r="AC155" s="151" t="n"/>
      <c r="AD155" s="151" t="n"/>
      <c r="AE155" s="151" t="n"/>
      <c r="AF155" s="151" t="n"/>
      <c r="AG155" s="151" t="n"/>
      <c r="AH155" s="164" t="n">
        <v>381011</v>
      </c>
      <c r="AI155" s="164" t="n">
        <v>2407392</v>
      </c>
      <c r="AJ155" s="164" t="n">
        <v>2788403</v>
      </c>
      <c r="AK155" s="164" t="n">
        <v>4257052</v>
      </c>
      <c r="AL155" s="151" t="n"/>
      <c r="AM155" s="269" t="inlineStr">
        <is>
          <t>[NO SF] Link Logistics; very large – RE tax $2.2-2.4M; minimal CAM (near-absolute NNN); SF not confirmed</t>
        </is>
      </c>
    </row>
    <row r="156" ht="14" customHeight="1" s="518">
      <c r="A156" s="285" t="inlineStr">
        <is>
          <t>P079</t>
        </is>
      </c>
      <c r="B156" s="150" t="n">
        <v>584</v>
      </c>
      <c r="C156" s="285" t="inlineStr">
        <is>
          <t>R0086214</t>
        </is>
      </c>
      <c r="D156" s="286" t="inlineStr">
        <is>
          <t>Aurora Warehouse (Polar)</t>
        </is>
      </c>
      <c r="E156" s="285" t="inlineStr">
        <is>
          <t>Aurora</t>
        </is>
      </c>
      <c r="F156" s="285" t="inlineStr">
        <is>
          <t>CO</t>
        </is>
      </c>
      <c r="G156" s="285" t="inlineStr">
        <is>
          <t>Industrial</t>
        </is>
      </c>
      <c r="H156" s="286" t="inlineStr">
        <is>
          <t>Mega Warehouse NNN</t>
        </is>
      </c>
      <c r="I156" s="287" t="n"/>
      <c r="J156" s="287" t="n"/>
      <c r="K156" s="287" t="n">
        <v>2023</v>
      </c>
      <c r="L156" s="290" t="n">
        <v>3679986</v>
      </c>
      <c r="M156" s="285" t="n"/>
      <c r="N156" s="290" t="n">
        <v>6546351</v>
      </c>
      <c r="O156" s="290" t="n">
        <v>60105</v>
      </c>
      <c r="P156" s="290" t="n">
        <v>54144</v>
      </c>
      <c r="Q156" s="285" t="n"/>
      <c r="R156" s="285" t="n"/>
      <c r="S156" s="285" t="n"/>
      <c r="T156" s="285" t="n"/>
      <c r="U156" s="285" t="n"/>
      <c r="V156" s="285" t="n"/>
      <c r="W156" s="285" t="n"/>
      <c r="X156" s="290" t="n">
        <v>4184</v>
      </c>
      <c r="Y156" s="290" t="n">
        <v>4184</v>
      </c>
      <c r="Z156" s="285" t="n"/>
      <c r="AA156" s="285" t="n"/>
      <c r="AB156" s="285" t="n"/>
      <c r="AC156" s="285" t="n"/>
      <c r="AD156" s="285" t="n"/>
      <c r="AE156" s="285" t="n"/>
      <c r="AF156" s="285" t="n"/>
      <c r="AG156" s="285" t="n"/>
      <c r="AH156" s="290" t="n">
        <v>101213</v>
      </c>
      <c r="AI156" s="290" t="n">
        <v>2175995</v>
      </c>
      <c r="AJ156" s="290" t="n">
        <v>2277208</v>
      </c>
      <c r="AK156" s="290" t="n">
        <v>4269143</v>
      </c>
      <c r="AL156" s="285" t="n"/>
      <c r="AM156" s="286" t="inlineStr">
        <is>
          <t>[NO SF] Link Logistics; very large – RE tax $2.2-2.4M; minimal CAM (near-absolute NNN); SF not confirmed</t>
        </is>
      </c>
    </row>
    <row r="157" ht="14" customHeight="1" s="518">
      <c r="A157" s="151" t="inlineStr">
        <is>
          <t>P080</t>
        </is>
      </c>
      <c r="B157" s="150" t="n">
        <v>407</v>
      </c>
      <c r="C157" s="151" t="inlineStr">
        <is>
          <t>R0194277</t>
        </is>
      </c>
      <c r="D157" s="269" t="inlineStr">
        <is>
          <t>8251 Quintero St</t>
        </is>
      </c>
      <c r="E157" s="151" t="inlineStr">
        <is>
          <t>Commerce City</t>
        </is>
      </c>
      <c r="F157" s="151" t="inlineStr">
        <is>
          <t>CO</t>
        </is>
      </c>
      <c r="G157" s="151" t="inlineStr">
        <is>
          <t>Industrial</t>
        </is>
      </c>
      <c r="H157" s="269" t="inlineStr">
        <is>
          <t>Industrial Warehouse NNN</t>
        </is>
      </c>
      <c r="I157" s="161" t="n"/>
      <c r="J157" s="161" t="n"/>
      <c r="K157" s="161" t="n">
        <v>2024</v>
      </c>
      <c r="L157" s="164" t="n">
        <v>2966529</v>
      </c>
      <c r="M157" s="151" t="n"/>
      <c r="N157" s="164" t="n">
        <v>7433451</v>
      </c>
      <c r="O157" s="164" t="n">
        <v>32539</v>
      </c>
      <c r="P157" s="164" t="n">
        <v>86633</v>
      </c>
      <c r="Q157" s="151" t="n"/>
      <c r="R157" s="151" t="n"/>
      <c r="S157" s="164" t="n">
        <v>21784</v>
      </c>
      <c r="T157" s="151" t="n"/>
      <c r="U157" s="151" t="n"/>
      <c r="V157" s="151" t="n"/>
      <c r="W157" s="151" t="n"/>
      <c r="X157" s="151" t="n"/>
      <c r="Y157" s="164" t="n">
        <v>21784</v>
      </c>
      <c r="Z157" s="151" t="n"/>
      <c r="AA157" s="164" t="n">
        <v>30810</v>
      </c>
      <c r="AB157" s="164" t="n">
        <v>188483</v>
      </c>
      <c r="AC157" s="151" t="n"/>
      <c r="AD157" s="164" t="n">
        <v>29080</v>
      </c>
      <c r="AE157" s="151" t="n"/>
      <c r="AF157" s="164" t="n">
        <v>29080</v>
      </c>
      <c r="AG157" s="151" t="n"/>
      <c r="AH157" s="164" t="n">
        <v>1433299</v>
      </c>
      <c r="AI157" s="164" t="n">
        <v>3137254</v>
      </c>
      <c r="AJ157" s="164" t="n">
        <v>4570553</v>
      </c>
      <c r="AK157" s="164" t="n">
        <v>2862898</v>
      </c>
      <c r="AL157" s="151" t="n"/>
      <c r="AM157" s="269" t="inlineStr">
        <is>
          <t>[NO SF] Becknell Industrial; 2024 EGI/OPX inflated by $967k PY RE tax true-up; normalized NOI ~$2.86M</t>
        </is>
      </c>
    </row>
    <row r="158" ht="14" customHeight="1" s="518">
      <c r="A158" s="285" t="inlineStr">
        <is>
          <t>P080</t>
        </is>
      </c>
      <c r="B158" s="150" t="n">
        <v>407</v>
      </c>
      <c r="C158" s="285" t="inlineStr">
        <is>
          <t>R0194277</t>
        </is>
      </c>
      <c r="D158" s="286" t="inlineStr">
        <is>
          <t>8251 Quintero St</t>
        </is>
      </c>
      <c r="E158" s="285" t="inlineStr">
        <is>
          <t>Commerce City</t>
        </is>
      </c>
      <c r="F158" s="285" t="inlineStr">
        <is>
          <t>CO</t>
        </is>
      </c>
      <c r="G158" s="285" t="inlineStr">
        <is>
          <t>Industrial</t>
        </is>
      </c>
      <c r="H158" s="286" t="inlineStr">
        <is>
          <t>Industrial Warehouse NNN</t>
        </is>
      </c>
      <c r="I158" s="287" t="n"/>
      <c r="J158" s="287" t="n"/>
      <c r="K158" s="287" t="n">
        <v>2023</v>
      </c>
      <c r="L158" s="290" t="n">
        <v>2897673</v>
      </c>
      <c r="M158" s="285" t="n"/>
      <c r="N158" s="290" t="n">
        <v>5335437</v>
      </c>
      <c r="O158" s="290" t="n">
        <v>29390</v>
      </c>
      <c r="P158" s="290" t="n">
        <v>83488</v>
      </c>
      <c r="Q158" s="285" t="n"/>
      <c r="R158" s="285" t="n"/>
      <c r="S158" s="290" t="n">
        <v>35137</v>
      </c>
      <c r="T158" s="285" t="n"/>
      <c r="U158" s="285" t="n"/>
      <c r="V158" s="285" t="n"/>
      <c r="W158" s="285" t="n"/>
      <c r="X158" s="285" t="n"/>
      <c r="Y158" s="290" t="n">
        <v>35137</v>
      </c>
      <c r="Z158" s="285" t="n"/>
      <c r="AA158" s="290" t="n">
        <v>33419</v>
      </c>
      <c r="AB158" s="290" t="n">
        <v>151223</v>
      </c>
      <c r="AC158" s="285" t="n"/>
      <c r="AD158" s="290" t="n">
        <v>24034</v>
      </c>
      <c r="AE158" s="285" t="n"/>
      <c r="AF158" s="290" t="n">
        <v>24034</v>
      </c>
      <c r="AG158" s="285" t="n"/>
      <c r="AH158" s="290" t="n">
        <v>541522</v>
      </c>
      <c r="AI158" s="290" t="n">
        <v>2045093</v>
      </c>
      <c r="AJ158" s="290" t="n">
        <v>2586615</v>
      </c>
      <c r="AK158" s="290" t="n">
        <v>2748822</v>
      </c>
      <c r="AL158" s="285" t="n"/>
      <c r="AM158" s="286" t="inlineStr">
        <is>
          <t>[NO SF] Becknell Industrial; actual accrual</t>
        </is>
      </c>
    </row>
    <row r="159" ht="14" customHeight="1" s="518">
      <c r="A159" s="151" t="inlineStr">
        <is>
          <t>P081</t>
        </is>
      </c>
      <c r="B159" s="150" t="n">
        <v>407</v>
      </c>
      <c r="C159" s="151" t="inlineStr">
        <is>
          <t>R0198176</t>
        </is>
      </c>
      <c r="D159" s="269" t="inlineStr">
        <is>
          <t>21800 E 19th Ave</t>
        </is>
      </c>
      <c r="E159" s="151" t="inlineStr">
        <is>
          <t>Aurora</t>
        </is>
      </c>
      <c r="F159" s="151" t="inlineStr">
        <is>
          <t>CO</t>
        </is>
      </c>
      <c r="G159" s="151" t="inlineStr">
        <is>
          <t>Industrial</t>
        </is>
      </c>
      <c r="H159" s="269" t="inlineStr">
        <is>
          <t>Industrial Warehouse NNN</t>
        </is>
      </c>
      <c r="I159" s="161" t="n"/>
      <c r="J159" s="161" t="n"/>
      <c r="K159" s="161" t="n">
        <v>2024</v>
      </c>
      <c r="L159" s="164" t="n">
        <v>1502445</v>
      </c>
      <c r="M159" s="151" t="n"/>
      <c r="N159" s="164" t="n">
        <v>1698847</v>
      </c>
      <c r="O159" s="164" t="n">
        <v>18279</v>
      </c>
      <c r="P159" s="164" t="n">
        <v>45073</v>
      </c>
      <c r="Q159" s="151" t="n"/>
      <c r="R159" s="151" t="n"/>
      <c r="S159" s="164" t="n">
        <v>14583</v>
      </c>
      <c r="T159" s="151" t="n"/>
      <c r="U159" s="151" t="n"/>
      <c r="V159" s="151" t="n"/>
      <c r="W159" s="151" t="n"/>
      <c r="X159" s="151" t="n"/>
      <c r="Y159" s="164" t="n">
        <v>14583</v>
      </c>
      <c r="Z159" s="151" t="n"/>
      <c r="AA159" s="164" t="n">
        <v>30156</v>
      </c>
      <c r="AB159" s="164" t="n">
        <v>117922</v>
      </c>
      <c r="AC159" s="151" t="n"/>
      <c r="AD159" s="151" t="n"/>
      <c r="AE159" s="151" t="n"/>
      <c r="AF159" s="151" t="n"/>
      <c r="AG159" s="151" t="n"/>
      <c r="AH159" s="164" t="n">
        <v>268829</v>
      </c>
      <c r="AI159" s="164" t="n">
        <v>0</v>
      </c>
      <c r="AJ159" s="164" t="n">
        <v>268829</v>
      </c>
      <c r="AK159" s="164" t="n">
        <v>1430018</v>
      </c>
      <c r="AL159" s="151" t="n"/>
      <c r="AM159" s="269" t="inlineStr">
        <is>
          <t>[NO SF] Becknell; absolute NNN – tenant pays RE taxes directly; opex = CAM only</t>
        </is>
      </c>
    </row>
    <row r="160" ht="14" customHeight="1" s="518">
      <c r="A160" s="285" t="inlineStr">
        <is>
          <t>P081</t>
        </is>
      </c>
      <c r="B160" s="150" t="n">
        <v>407</v>
      </c>
      <c r="C160" s="285" t="inlineStr">
        <is>
          <t>R0198176</t>
        </is>
      </c>
      <c r="D160" s="286" t="inlineStr">
        <is>
          <t>21800 E 19th Ave</t>
        </is>
      </c>
      <c r="E160" s="285" t="inlineStr">
        <is>
          <t>Aurora</t>
        </is>
      </c>
      <c r="F160" s="285" t="inlineStr">
        <is>
          <t>CO</t>
        </is>
      </c>
      <c r="G160" s="285" t="inlineStr">
        <is>
          <t>Industrial</t>
        </is>
      </c>
      <c r="H160" s="286" t="inlineStr">
        <is>
          <t>Industrial Warehouse NNN</t>
        </is>
      </c>
      <c r="I160" s="287" t="n"/>
      <c r="J160" s="287" t="n"/>
      <c r="K160" s="287" t="n">
        <v>2023</v>
      </c>
      <c r="L160" s="290" t="n">
        <v>1458685</v>
      </c>
      <c r="M160" s="285" t="n"/>
      <c r="N160" s="290" t="n">
        <v>1647477</v>
      </c>
      <c r="O160" s="290" t="n">
        <v>15865</v>
      </c>
      <c r="P160" s="290" t="n">
        <v>43761</v>
      </c>
      <c r="Q160" s="285" t="n"/>
      <c r="R160" s="285" t="n"/>
      <c r="S160" s="290" t="n">
        <v>12850</v>
      </c>
      <c r="T160" s="285" t="n"/>
      <c r="U160" s="285" t="n"/>
      <c r="V160" s="285" t="n"/>
      <c r="W160" s="285" t="n"/>
      <c r="X160" s="285" t="n"/>
      <c r="Y160" s="290" t="n">
        <v>12850</v>
      </c>
      <c r="Z160" s="285" t="n"/>
      <c r="AA160" s="290" t="n">
        <v>31555</v>
      </c>
      <c r="AB160" s="290" t="n">
        <v>112261</v>
      </c>
      <c r="AC160" s="285" t="n"/>
      <c r="AD160" s="285" t="n"/>
      <c r="AE160" s="285" t="n"/>
      <c r="AF160" s="285" t="n"/>
      <c r="AG160" s="285" t="n"/>
      <c r="AH160" s="290" t="n">
        <v>238940</v>
      </c>
      <c r="AI160" s="290" t="n">
        <v>0</v>
      </c>
      <c r="AJ160" s="290" t="n">
        <v>238940</v>
      </c>
      <c r="AK160" s="290" t="n">
        <v>1408537</v>
      </c>
      <c r="AL160" s="285" t="n"/>
      <c r="AM160" s="286" t="inlineStr">
        <is>
          <t>[NO SF] Becknell; absolute NNN – tenant pays RE taxes directly; opex = CAM only</t>
        </is>
      </c>
    </row>
    <row r="161" ht="14" customHeight="1" s="518">
      <c r="A161" s="151" t="inlineStr">
        <is>
          <t>P082</t>
        </is>
      </c>
      <c r="B161" s="150" t="n">
        <v>407</v>
      </c>
      <c r="C161" s="151" t="inlineStr">
        <is>
          <t>R0201311</t>
        </is>
      </c>
      <c r="D161" s="269" t="inlineStr">
        <is>
          <t>Ascent Commerce Center Bldg I</t>
        </is>
      </c>
      <c r="E161" s="151" t="inlineStr">
        <is>
          <t>Aurora</t>
        </is>
      </c>
      <c r="F161" s="151" t="inlineStr">
        <is>
          <t>CO</t>
        </is>
      </c>
      <c r="G161" s="151" t="inlineStr">
        <is>
          <t>Industrial</t>
        </is>
      </c>
      <c r="H161" s="269" t="inlineStr">
        <is>
          <t>Industrial Warehouse NNN</t>
        </is>
      </c>
      <c r="I161" s="161" t="n"/>
      <c r="J161" s="161" t="n"/>
      <c r="K161" s="161" t="n">
        <v>2024</v>
      </c>
      <c r="L161" s="164" t="n">
        <v>187536</v>
      </c>
      <c r="M161" s="151" t="n"/>
      <c r="N161" s="164" t="n">
        <v>335936</v>
      </c>
      <c r="O161" s="164" t="n">
        <v>185</v>
      </c>
      <c r="P161" s="164" t="n">
        <v>6539</v>
      </c>
      <c r="Q161" s="151" t="n"/>
      <c r="R161" s="151" t="n"/>
      <c r="S161" s="164" t="n">
        <v>6694</v>
      </c>
      <c r="T161" s="151" t="n"/>
      <c r="U161" s="151" t="n"/>
      <c r="V161" s="151" t="n"/>
      <c r="W161" s="151" t="n"/>
      <c r="X161" s="151" t="n"/>
      <c r="Y161" s="164" t="n">
        <v>6694</v>
      </c>
      <c r="Z161" s="151" t="n"/>
      <c r="AA161" s="164" t="n">
        <v>1378</v>
      </c>
      <c r="AB161" s="164" t="n">
        <v>13095</v>
      </c>
      <c r="AC161" s="151" t="n"/>
      <c r="AD161" s="164" t="n">
        <v>52</v>
      </c>
      <c r="AE161" s="164" t="n">
        <v>6714</v>
      </c>
      <c r="AF161" s="164" t="n">
        <v>6766</v>
      </c>
      <c r="AG161" s="151" t="n"/>
      <c r="AH161" s="164" t="n">
        <v>42252</v>
      </c>
      <c r="AI161" s="164" t="n">
        <v>100794</v>
      </c>
      <c r="AJ161" s="164" t="n">
        <v>143046</v>
      </c>
      <c r="AK161" s="164" t="n">
        <v>181918</v>
      </c>
      <c r="AL161" s="151" t="n"/>
      <c r="AM161" s="269" t="inlineStr">
        <is>
          <t>[NO SF] Ambrose; Q4 2024 ONLY (Oct–Dec, 3 months); lease-up/stabilizing; DO NOT use for annual PSF</t>
        </is>
      </c>
    </row>
    <row r="162" ht="14" customHeight="1" s="518">
      <c r="A162" s="285" t="inlineStr">
        <is>
          <t>P083</t>
        </is>
      </c>
      <c r="B162" s="150" t="n">
        <v>407</v>
      </c>
      <c r="C162" s="285" t="inlineStr">
        <is>
          <t>R0201311</t>
        </is>
      </c>
      <c r="D162" s="286" t="inlineStr">
        <is>
          <t>Ascent Commerce Center Bldg II</t>
        </is>
      </c>
      <c r="E162" s="285" t="inlineStr">
        <is>
          <t>Aurora</t>
        </is>
      </c>
      <c r="F162" s="285" t="inlineStr">
        <is>
          <t>CO</t>
        </is>
      </c>
      <c r="G162" s="285" t="inlineStr">
        <is>
          <t>Industrial</t>
        </is>
      </c>
      <c r="H162" s="286" t="inlineStr">
        <is>
          <t>Industrial Warehouse NNN</t>
        </is>
      </c>
      <c r="I162" s="287" t="n"/>
      <c r="J162" s="287" t="n"/>
      <c r="K162" s="287" t="n">
        <v>2024</v>
      </c>
      <c r="L162" s="290" t="n">
        <v>143974</v>
      </c>
      <c r="M162" s="285" t="n"/>
      <c r="N162" s="290" t="n">
        <v>314952</v>
      </c>
      <c r="O162" s="290" t="n">
        <v>375</v>
      </c>
      <c r="P162" s="290" t="n">
        <v>6224</v>
      </c>
      <c r="Q162" s="285" t="n"/>
      <c r="R162" s="285" t="n"/>
      <c r="S162" s="290" t="n">
        <v>13434</v>
      </c>
      <c r="T162" s="285" t="n"/>
      <c r="U162" s="285" t="n"/>
      <c r="V162" s="285" t="n"/>
      <c r="W162" s="285" t="n"/>
      <c r="X162" s="285" t="n"/>
      <c r="Y162" s="290" t="n">
        <v>13434</v>
      </c>
      <c r="Z162" s="285" t="n"/>
      <c r="AA162" s="290" t="n">
        <v>1877</v>
      </c>
      <c r="AB162" s="290" t="n">
        <v>25288</v>
      </c>
      <c r="AC162" s="285" t="n"/>
      <c r="AD162" s="290" t="n">
        <v>104</v>
      </c>
      <c r="AE162" s="290" t="n">
        <v>11552</v>
      </c>
      <c r="AF162" s="290" t="n">
        <v>11656</v>
      </c>
      <c r="AG162" s="285" t="n"/>
      <c r="AH162" s="290" t="n">
        <v>70908</v>
      </c>
      <c r="AI162" s="290" t="n">
        <v>203797</v>
      </c>
      <c r="AJ162" s="290" t="n">
        <v>274705</v>
      </c>
      <c r="AK162" s="290" t="n">
        <v>22624</v>
      </c>
      <c r="AL162" s="285" t="n"/>
      <c r="AM162" s="286" t="inlineStr">
        <is>
          <t>[NO SF] Ambrose; Q4 2024 ONLY (Oct–Dec, 3 months); lease-up/stabilizing; DO NOT use for annual PSF</t>
        </is>
      </c>
    </row>
    <row r="163" ht="14" customHeight="1" s="518">
      <c r="A163" s="151" t="inlineStr">
        <is>
          <t>P084</t>
        </is>
      </c>
      <c r="B163" s="150" t="n">
        <v>407</v>
      </c>
      <c r="C163" s="151" t="inlineStr">
        <is>
          <t>R0201311</t>
        </is>
      </c>
      <c r="D163" s="269" t="inlineStr">
        <is>
          <t>Ascent Commerce Center Bldg III</t>
        </is>
      </c>
      <c r="E163" s="151" t="inlineStr">
        <is>
          <t>Aurora</t>
        </is>
      </c>
      <c r="F163" s="151" t="inlineStr">
        <is>
          <t>CO</t>
        </is>
      </c>
      <c r="G163" s="151" t="inlineStr">
        <is>
          <t>Industrial</t>
        </is>
      </c>
      <c r="H163" s="269" t="inlineStr">
        <is>
          <t>Industrial Warehouse NNN</t>
        </is>
      </c>
      <c r="I163" s="161" t="n"/>
      <c r="J163" s="161" t="n"/>
      <c r="K163" s="161" t="n">
        <v>2024</v>
      </c>
      <c r="L163" s="164" t="n">
        <v>49334</v>
      </c>
      <c r="M163" s="151" t="n"/>
      <c r="N163" s="164" t="n">
        <v>85139</v>
      </c>
      <c r="O163" s="164" t="n">
        <v>153</v>
      </c>
      <c r="P163" s="164" t="n">
        <v>5032</v>
      </c>
      <c r="Q163" s="151" t="n"/>
      <c r="R163" s="151" t="n"/>
      <c r="S163" s="164" t="n">
        <v>10772</v>
      </c>
      <c r="T163" s="151" t="n"/>
      <c r="U163" s="151" t="n"/>
      <c r="V163" s="151" t="n"/>
      <c r="W163" s="151" t="n"/>
      <c r="X163" s="151" t="n"/>
      <c r="Y163" s="164" t="n">
        <v>10772</v>
      </c>
      <c r="Z163" s="151" t="n"/>
      <c r="AA163" s="164" t="n">
        <v>949</v>
      </c>
      <c r="AB163" s="164" t="n">
        <v>10894</v>
      </c>
      <c r="AC163" s="151" t="n"/>
      <c r="AD163" s="164" t="n">
        <v>207</v>
      </c>
      <c r="AE163" s="164" t="n">
        <v>8484</v>
      </c>
      <c r="AF163" s="164" t="n">
        <v>8691</v>
      </c>
      <c r="AG163" s="151" t="n"/>
      <c r="AH163" s="164" t="n">
        <v>57603</v>
      </c>
      <c r="AI163" s="164" t="n">
        <v>83077</v>
      </c>
      <c r="AJ163" s="164" t="n">
        <v>140680</v>
      </c>
      <c r="AK163" s="164" t="n">
        <v>-69674</v>
      </c>
      <c r="AL163" s="151" t="n"/>
      <c r="AM163" s="269" t="inlineStr">
        <is>
          <t>[NO SF] Ambrose; Q4 2024 ONLY (Oct–Dec, 3 months); lease-up/stabilizing; DO NOT use for annual PSF</t>
        </is>
      </c>
    </row>
    <row r="164" ht="14" customHeight="1" s="518">
      <c r="A164" s="285" t="inlineStr">
        <is>
          <t>P085</t>
        </is>
      </c>
      <c r="B164" s="150" t="n">
        <v>210</v>
      </c>
      <c r="C164" s="285" t="inlineStr">
        <is>
          <t>R0093018</t>
        </is>
      </c>
      <c r="D164" s="286" t="inlineStr">
        <is>
          <t>3350 Peoria St</t>
        </is>
      </c>
      <c r="E164" s="285" t="inlineStr">
        <is>
          <t>Denver</t>
        </is>
      </c>
      <c r="F164" s="285" t="inlineStr">
        <is>
          <t>CO</t>
        </is>
      </c>
      <c r="G164" s="285" t="inlineStr">
        <is>
          <t>Industrial</t>
        </is>
      </c>
      <c r="H164" s="286" t="inlineStr">
        <is>
          <t>Office/Industrial Flex</t>
        </is>
      </c>
      <c r="I164" s="287" t="n"/>
      <c r="J164" s="287" t="n">
        <v>33057</v>
      </c>
      <c r="K164" s="287" t="n">
        <v>2024</v>
      </c>
      <c r="L164" s="285" t="n"/>
      <c r="M164" s="285" t="n"/>
      <c r="N164" s="731" t="n">
        <v>11.7474</v>
      </c>
      <c r="O164" s="731" t="n">
        <v>0.8464</v>
      </c>
      <c r="P164" s="731" t="n">
        <v>0.4718</v>
      </c>
      <c r="Q164" s="285" t="n"/>
      <c r="R164" s="285" t="n"/>
      <c r="S164" s="285" t="n"/>
      <c r="T164" s="285" t="n"/>
      <c r="U164" s="731" t="n">
        <v>0.2489</v>
      </c>
      <c r="V164" s="285" t="n"/>
      <c r="W164" s="285" t="n"/>
      <c r="X164" s="731" t="n">
        <v>2.7614</v>
      </c>
      <c r="Y164" s="285" t="n"/>
      <c r="Z164" s="285" t="n"/>
      <c r="AA164" s="731" t="n">
        <v>0.1383</v>
      </c>
      <c r="AB164" s="731" t="n">
        <v>0.07580000000000001</v>
      </c>
      <c r="AC164" s="731" t="n">
        <v>1.6023</v>
      </c>
      <c r="AD164" s="285" t="n"/>
      <c r="AE164" s="285" t="n"/>
      <c r="AF164" s="731" t="n">
        <v>1.6128</v>
      </c>
      <c r="AG164" s="285" t="n"/>
      <c r="AH164" s="731" t="n">
        <v>7.4837</v>
      </c>
      <c r="AI164" s="285" t="n"/>
      <c r="AJ164" s="731" t="n">
        <v>7.4837</v>
      </c>
      <c r="AK164" s="731" t="n">
        <v>4.2637</v>
      </c>
      <c r="AL164" s="285" t="n"/>
      <c r="AM164" s="286" t="inlineStr">
        <is>
          <t>Owner P&amp;L 2024; RE taxes not broken out separately; contracts incl HVAC $8,229/alarm $9,124/landscape $4,573/snow $2,505</t>
        </is>
      </c>
    </row>
    <row r="165" ht="14" customHeight="1" s="518">
      <c r="A165" s="151" t="inlineStr">
        <is>
          <t>P086</t>
        </is>
      </c>
      <c r="B165" s="150" t="n">
        <v>406</v>
      </c>
      <c r="C165" s="151" t="inlineStr">
        <is>
          <t>R0210684</t>
        </is>
      </c>
      <c r="D165" s="269" t="inlineStr">
        <is>
          <t>14200 E Moncrieff Place</t>
        </is>
      </c>
      <c r="E165" s="151" t="inlineStr">
        <is>
          <t>Aurora</t>
        </is>
      </c>
      <c r="F165" s="151" t="inlineStr">
        <is>
          <t>CO</t>
        </is>
      </c>
      <c r="G165" s="151" t="inlineStr">
        <is>
          <t>Industrial</t>
        </is>
      </c>
      <c r="H165" s="269" t="inlineStr">
        <is>
          <t>Industrial Warehouse</t>
        </is>
      </c>
      <c r="I165" s="161" t="n">
        <v>1980</v>
      </c>
      <c r="J165" s="161" t="n">
        <v>233808</v>
      </c>
      <c r="K165" s="161" t="n">
        <v>2023</v>
      </c>
      <c r="L165" s="151" t="n"/>
      <c r="M165" s="151" t="n"/>
      <c r="N165" s="732" t="n">
        <v>8.609299999999999</v>
      </c>
      <c r="O165" s="732" t="n">
        <v>0.0521</v>
      </c>
      <c r="P165" s="732" t="n">
        <v>0.167</v>
      </c>
      <c r="Q165" s="151" t="n"/>
      <c r="R165" s="151" t="n"/>
      <c r="S165" s="151" t="n"/>
      <c r="T165" s="151" t="n"/>
      <c r="U165" s="151" t="n"/>
      <c r="V165" s="151" t="n"/>
      <c r="W165" s="151" t="n"/>
      <c r="X165" s="732" t="n">
        <v>0.1877</v>
      </c>
      <c r="Y165" s="732" t="n">
        <v>0.1877</v>
      </c>
      <c r="Z165" s="151" t="n"/>
      <c r="AA165" s="732" t="n">
        <v>0.0527</v>
      </c>
      <c r="AB165" s="732" t="n">
        <v>0.138</v>
      </c>
      <c r="AC165" s="732" t="n">
        <v>0.2173</v>
      </c>
      <c r="AD165" s="732" t="n">
        <v>0.1223</v>
      </c>
      <c r="AE165" s="151" t="n"/>
      <c r="AF165" s="732" t="n">
        <v>0.1223</v>
      </c>
      <c r="AG165" s="151" t="n"/>
      <c r="AH165" s="732" t="n">
        <v>0.7875</v>
      </c>
      <c r="AI165" s="732" t="n">
        <v>2.6041</v>
      </c>
      <c r="AJ165" s="732" t="n">
        <v>3.3916</v>
      </c>
      <c r="AK165" s="732" t="n">
        <v>5.2177</v>
      </c>
      <c r="AL165" s="151" t="n"/>
      <c r="AM165" s="269" t="inlineStr">
        <is>
          <t>Owner P&amp;L 2023; large industrial 233,808 SF; 1980 YOC; landscape $12,324/snow $32,256 in CAM</t>
        </is>
      </c>
    </row>
    <row r="166" ht="14" customHeight="1" s="518">
      <c r="A166" s="285" t="inlineStr">
        <is>
          <t>P086</t>
        </is>
      </c>
      <c r="B166" s="150" t="n">
        <v>406</v>
      </c>
      <c r="C166" s="285" t="inlineStr">
        <is>
          <t>R0210684</t>
        </is>
      </c>
      <c r="D166" s="286" t="inlineStr">
        <is>
          <t>14200 E Moncrieff Place</t>
        </is>
      </c>
      <c r="E166" s="285" t="inlineStr">
        <is>
          <t>Aurora</t>
        </is>
      </c>
      <c r="F166" s="285" t="inlineStr">
        <is>
          <t>CO</t>
        </is>
      </c>
      <c r="G166" s="285" t="inlineStr">
        <is>
          <t>Industrial</t>
        </is>
      </c>
      <c r="H166" s="286" t="inlineStr">
        <is>
          <t>Industrial Warehouse</t>
        </is>
      </c>
      <c r="I166" s="287" t="n">
        <v>1980</v>
      </c>
      <c r="J166" s="287" t="n">
        <v>233808</v>
      </c>
      <c r="K166" s="287" t="n">
        <v>2024</v>
      </c>
      <c r="L166" s="285" t="n"/>
      <c r="M166" s="285" t="n"/>
      <c r="N166" s="731" t="n">
        <v>8.7334</v>
      </c>
      <c r="O166" s="285" t="n"/>
      <c r="P166" s="285" t="n"/>
      <c r="Q166" s="285" t="n"/>
      <c r="R166" s="285" t="n"/>
      <c r="S166" s="285" t="n"/>
      <c r="T166" s="285" t="n"/>
      <c r="U166" s="285" t="n"/>
      <c r="V166" s="285" t="n"/>
      <c r="W166" s="285" t="n"/>
      <c r="X166" s="285" t="n"/>
      <c r="Y166" s="285" t="n"/>
      <c r="Z166" s="285" t="n"/>
      <c r="AA166" s="285" t="n"/>
      <c r="AB166" s="285" t="n"/>
      <c r="AC166" s="285" t="n"/>
      <c r="AD166" s="285" t="n"/>
      <c r="AE166" s="285" t="n"/>
      <c r="AF166" s="285" t="n"/>
      <c r="AG166" s="285" t="n"/>
      <c r="AH166" s="285" t="n"/>
      <c r="AI166" s="285" t="n"/>
      <c r="AJ166" s="731" t="n">
        <v>3.5718</v>
      </c>
      <c r="AK166" s="731" t="n">
        <v>5.1616</v>
      </c>
      <c r="AL166" s="285" t="n"/>
      <c r="AM166" s="286" t="inlineStr">
        <is>
          <t>Owner P&amp;L 2024; total OPX only – line items not fully detailed for 2024</t>
        </is>
      </c>
    </row>
    <row r="167" ht="14" customHeight="1" s="518">
      <c r="A167" s="151" t="inlineStr">
        <is>
          <t>P087</t>
        </is>
      </c>
      <c r="B167" s="150" t="n">
        <v>407</v>
      </c>
      <c r="C167" s="151" t="inlineStr">
        <is>
          <t>R0102985</t>
        </is>
      </c>
      <c r="D167" s="269" t="inlineStr">
        <is>
          <t>5861 Tennyson St</t>
        </is>
      </c>
      <c r="E167" s="151" t="inlineStr">
        <is>
          <t>Arvada</t>
        </is>
      </c>
      <c r="F167" s="151" t="inlineStr">
        <is>
          <t>CO</t>
        </is>
      </c>
      <c r="G167" s="151" t="inlineStr">
        <is>
          <t>Industrial</t>
        </is>
      </c>
      <c r="H167" s="269" t="inlineStr">
        <is>
          <t>Industrial NNN</t>
        </is>
      </c>
      <c r="I167" s="161" t="n">
        <v>2000</v>
      </c>
      <c r="J167" s="161" t="n">
        <v>80640</v>
      </c>
      <c r="K167" s="161" t="n">
        <v>2023</v>
      </c>
      <c r="L167" s="732" t="n">
        <v>6.2378</v>
      </c>
      <c r="M167" s="151" t="n"/>
      <c r="N167" s="151" t="n"/>
      <c r="O167" s="151" t="n"/>
      <c r="P167" s="151" t="n"/>
      <c r="Q167" s="151" t="n"/>
      <c r="R167" s="151" t="n"/>
      <c r="S167" s="151" t="n"/>
      <c r="T167" s="151" t="n"/>
      <c r="U167" s="151" t="n"/>
      <c r="V167" s="151" t="n"/>
      <c r="W167" s="151" t="n"/>
      <c r="X167" s="151" t="n"/>
      <c r="Y167" s="151" t="n"/>
      <c r="Z167" s="151" t="n"/>
      <c r="AA167" s="151" t="n"/>
      <c r="AB167" s="151" t="n"/>
      <c r="AC167" s="151" t="n"/>
      <c r="AD167" s="151" t="n"/>
      <c r="AE167" s="151" t="n"/>
      <c r="AF167" s="151" t="n"/>
      <c r="AG167" s="151" t="n"/>
      <c r="AH167" s="732" t="n">
        <v>0.2057</v>
      </c>
      <c r="AI167" s="151" t="n"/>
      <c r="AJ167" s="732" t="n">
        <v>0.2057</v>
      </c>
      <c r="AK167" s="732" t="n">
        <v>6.0321</v>
      </c>
      <c r="AL167" s="151" t="n"/>
      <c r="AM167" s="269" t="inlineStr">
        <is>
          <t>NNN; landlord expenses only; tenant pays RE taxes; 2023</t>
        </is>
      </c>
    </row>
    <row r="168" ht="14" customHeight="1" s="518">
      <c r="A168" s="285" t="inlineStr">
        <is>
          <t>P087</t>
        </is>
      </c>
      <c r="B168" s="150" t="n">
        <v>407</v>
      </c>
      <c r="C168" s="285" t="inlineStr">
        <is>
          <t>R0102985</t>
        </is>
      </c>
      <c r="D168" s="286" t="inlineStr">
        <is>
          <t>5861 Tennyson St</t>
        </is>
      </c>
      <c r="E168" s="285" t="inlineStr">
        <is>
          <t>Arvada</t>
        </is>
      </c>
      <c r="F168" s="285" t="inlineStr">
        <is>
          <t>CO</t>
        </is>
      </c>
      <c r="G168" s="285" t="inlineStr">
        <is>
          <t>Industrial</t>
        </is>
      </c>
      <c r="H168" s="286" t="inlineStr">
        <is>
          <t>Industrial NNN</t>
        </is>
      </c>
      <c r="I168" s="287" t="n">
        <v>2000</v>
      </c>
      <c r="J168" s="287" t="n">
        <v>80640</v>
      </c>
      <c r="K168" s="287" t="n">
        <v>2024</v>
      </c>
      <c r="L168" s="731" t="n">
        <v>6.3625</v>
      </c>
      <c r="M168" s="285" t="n"/>
      <c r="N168" s="285" t="n"/>
      <c r="O168" s="285" t="n"/>
      <c r="P168" s="285" t="n"/>
      <c r="Q168" s="285" t="n"/>
      <c r="R168" s="285" t="n"/>
      <c r="S168" s="285" t="n"/>
      <c r="T168" s="285" t="n"/>
      <c r="U168" s="285" t="n"/>
      <c r="V168" s="285" t="n"/>
      <c r="W168" s="285" t="n"/>
      <c r="X168" s="285" t="n"/>
      <c r="Y168" s="285" t="n"/>
      <c r="Z168" s="285" t="n"/>
      <c r="AA168" s="285" t="n"/>
      <c r="AB168" s="285" t="n"/>
      <c r="AC168" s="285" t="n"/>
      <c r="AD168" s="285" t="n"/>
      <c r="AE168" s="285" t="n"/>
      <c r="AF168" s="285" t="n"/>
      <c r="AG168" s="285" t="n"/>
      <c r="AH168" s="731" t="n">
        <v>0.1921</v>
      </c>
      <c r="AI168" s="285" t="n"/>
      <c r="AJ168" s="731" t="n">
        <v>0.1921</v>
      </c>
      <c r="AK168" s="731" t="n">
        <v>6.1704</v>
      </c>
      <c r="AL168" s="285" t="n"/>
      <c r="AM168" s="286" t="inlineStr">
        <is>
          <t>NNN; landlord expenses only; tenant pays RE taxes; 2024</t>
        </is>
      </c>
    </row>
    <row r="169" ht="14" customHeight="1" s="518">
      <c r="A169" s="151" t="inlineStr">
        <is>
          <t>P088</t>
        </is>
      </c>
      <c r="B169" s="150" t="n">
        <v>210</v>
      </c>
      <c r="C169" s="151" t="inlineStr">
        <is>
          <t>R0090973</t>
        </is>
      </c>
      <c r="D169" s="269" t="inlineStr">
        <is>
          <t>3975 E 56th Ave</t>
        </is>
      </c>
      <c r="E169" s="151" t="inlineStr">
        <is>
          <t>Commerce City</t>
        </is>
      </c>
      <c r="F169" s="151" t="inlineStr">
        <is>
          <t>CO</t>
        </is>
      </c>
      <c r="G169" s="151" t="inlineStr">
        <is>
          <t>Industrial</t>
        </is>
      </c>
      <c r="H169" s="269" t="inlineStr">
        <is>
          <t>Multi-Tenant Industrial</t>
        </is>
      </c>
      <c r="I169" s="161" t="n"/>
      <c r="J169" s="161" t="n">
        <v>42299</v>
      </c>
      <c r="K169" s="161" t="n">
        <v>2024</v>
      </c>
      <c r="L169" s="151" t="n"/>
      <c r="M169" s="151" t="n"/>
      <c r="N169" s="732" t="n">
        <v>9.259499999999999</v>
      </c>
      <c r="O169" s="151" t="n"/>
      <c r="P169" s="151" t="n"/>
      <c r="Q169" s="151" t="n"/>
      <c r="R169" s="151" t="n"/>
      <c r="S169" s="151" t="n"/>
      <c r="T169" s="151" t="n"/>
      <c r="U169" s="151" t="n"/>
      <c r="V169" s="151" t="n"/>
      <c r="W169" s="151" t="n"/>
      <c r="X169" s="151" t="n"/>
      <c r="Y169" s="151" t="n"/>
      <c r="Z169" s="151" t="n"/>
      <c r="AA169" s="151" t="n"/>
      <c r="AB169" s="151" t="n"/>
      <c r="AC169" s="151" t="n"/>
      <c r="AD169" s="151" t="n"/>
      <c r="AE169" s="151" t="n"/>
      <c r="AF169" s="151" t="n"/>
      <c r="AG169" s="151" t="n"/>
      <c r="AH169" s="732" t="n">
        <v>0.7408</v>
      </c>
      <c r="AI169" s="151" t="n"/>
      <c r="AJ169" s="732" t="n">
        <v>0.7408</v>
      </c>
      <c r="AK169" s="732" t="n">
        <v>8.518800000000001</v>
      </c>
      <c r="AL169" s="151" t="n"/>
      <c r="AM169" s="269" t="inlineStr">
        <is>
          <t>Sand Creek Business Park; owner P&amp;L 2024; limited line-item detail</t>
        </is>
      </c>
    </row>
    <row r="170" ht="14" customHeight="1" s="518">
      <c r="A170" s="285" t="inlineStr">
        <is>
          <t>P089</t>
        </is>
      </c>
      <c r="B170" s="150" t="n">
        <v>407</v>
      </c>
      <c r="C170" s="285" t="inlineStr">
        <is>
          <t>R0180951</t>
        </is>
      </c>
      <c r="D170" s="286" t="inlineStr">
        <is>
          <t>(Address TBD – R0180951)</t>
        </is>
      </c>
      <c r="E170" s="285" t="inlineStr">
        <is>
          <t>Adams County</t>
        </is>
      </c>
      <c r="F170" s="285" t="inlineStr">
        <is>
          <t>CO</t>
        </is>
      </c>
      <c r="G170" s="285" t="inlineStr">
        <is>
          <t>Industrial</t>
        </is>
      </c>
      <c r="H170" s="286" t="inlineStr">
        <is>
          <t>Industrial NNN</t>
        </is>
      </c>
      <c r="I170" s="287" t="n">
        <v>2016</v>
      </c>
      <c r="J170" s="287" t="n">
        <v>122106</v>
      </c>
      <c r="K170" s="287" t="n">
        <v>2023</v>
      </c>
      <c r="L170" s="285" t="n"/>
      <c r="M170" s="285" t="n"/>
      <c r="N170" s="285" t="n"/>
      <c r="O170" s="731" t="n">
        <v>0.0609</v>
      </c>
      <c r="P170" s="285" t="n"/>
      <c r="Q170" s="285" t="n"/>
      <c r="R170" s="285" t="n"/>
      <c r="S170" s="285" t="n"/>
      <c r="T170" s="285" t="n"/>
      <c r="U170" s="285" t="n"/>
      <c r="V170" s="285" t="n"/>
      <c r="W170" s="285" t="n"/>
      <c r="X170" s="285" t="n"/>
      <c r="Y170" s="285" t="n"/>
      <c r="Z170" s="285" t="n"/>
      <c r="AA170" s="285" t="n"/>
      <c r="AB170" s="285" t="n"/>
      <c r="AC170" s="731" t="n">
        <v>0.415</v>
      </c>
      <c r="AD170" s="731" t="n">
        <v>0.4794</v>
      </c>
      <c r="AE170" s="285" t="n"/>
      <c r="AF170" s="731" t="n">
        <v>0.4794</v>
      </c>
      <c r="AG170" s="285" t="n"/>
      <c r="AH170" s="285" t="n"/>
      <c r="AI170" s="731" t="n">
        <v>3.233</v>
      </c>
      <c r="AJ170" s="731" t="n">
        <v>4.1884</v>
      </c>
      <c r="AK170" s="285" t="n"/>
      <c r="AL170" s="285" t="n"/>
      <c r="AM170" s="286" t="inlineStr">
        <is>
          <t>NNN; landlord expenses only from WH Expenses 2026; 2016 YOC; 2023: RE Tax $394,774/Ins $7,435/Utils $58,541/CAM $50,680</t>
        </is>
      </c>
    </row>
    <row r="171" ht="14" customHeight="1" s="518">
      <c r="A171" s="151" t="inlineStr">
        <is>
          <t>P089</t>
        </is>
      </c>
      <c r="B171" s="150" t="n">
        <v>407</v>
      </c>
      <c r="C171" s="151" t="inlineStr">
        <is>
          <t>R0180951</t>
        </is>
      </c>
      <c r="D171" s="269" t="inlineStr">
        <is>
          <t>(Address TBD – R0180951)</t>
        </is>
      </c>
      <c r="E171" s="151" t="inlineStr">
        <is>
          <t>Adams County</t>
        </is>
      </c>
      <c r="F171" s="151" t="inlineStr">
        <is>
          <t>CO</t>
        </is>
      </c>
      <c r="G171" s="151" t="inlineStr">
        <is>
          <t>Industrial</t>
        </is>
      </c>
      <c r="H171" s="269" t="inlineStr">
        <is>
          <t>Industrial NNN</t>
        </is>
      </c>
      <c r="I171" s="161" t="n">
        <v>2016</v>
      </c>
      <c r="J171" s="161" t="n">
        <v>122106</v>
      </c>
      <c r="K171" s="161" t="n">
        <v>2024</v>
      </c>
      <c r="L171" s="151" t="n"/>
      <c r="M171" s="151" t="n"/>
      <c r="N171" s="151" t="n"/>
      <c r="O171" s="732" t="n">
        <v>0.0625</v>
      </c>
      <c r="P171" s="151" t="n"/>
      <c r="Q171" s="151" t="n"/>
      <c r="R171" s="151" t="n"/>
      <c r="S171" s="151" t="n"/>
      <c r="T171" s="151" t="n"/>
      <c r="U171" s="151" t="n"/>
      <c r="V171" s="151" t="n"/>
      <c r="W171" s="151" t="n"/>
      <c r="X171" s="151" t="n"/>
      <c r="Y171" s="151" t="n"/>
      <c r="Z171" s="151" t="n"/>
      <c r="AA171" s="151" t="n"/>
      <c r="AB171" s="151" t="n"/>
      <c r="AC171" s="732" t="n">
        <v>0.5279</v>
      </c>
      <c r="AD171" s="732" t="n">
        <v>0.4794</v>
      </c>
      <c r="AE171" s="151" t="n"/>
      <c r="AF171" s="732" t="n">
        <v>0.4794</v>
      </c>
      <c r="AG171" s="151" t="n"/>
      <c r="AH171" s="151" t="n"/>
      <c r="AI171" s="732" t="n">
        <v>4.358</v>
      </c>
      <c r="AJ171" s="732" t="n">
        <v>5.4279</v>
      </c>
      <c r="AK171" s="151" t="n"/>
      <c r="AL171" s="151" t="n"/>
      <c r="AM171" s="269" t="inlineStr">
        <is>
          <t>NNN; landlord expenses only from WH Expenses 2026; 2024: RE Tax $532,140/Ins $7,635/Utils $58,541/CAM $64,465</t>
        </is>
      </c>
    </row>
    <row r="172" ht="14" customHeight="1" s="518">
      <c r="A172" s="285" t="inlineStr">
        <is>
          <t>P090</t>
        </is>
      </c>
      <c r="B172" s="150" t="n">
        <v>407</v>
      </c>
      <c r="C172" s="285" t="inlineStr">
        <is>
          <t>R0110351</t>
        </is>
      </c>
      <c r="D172" s="286" t="inlineStr">
        <is>
          <t>(Address TBD – R0110351)</t>
        </is>
      </c>
      <c r="E172" s="285" t="inlineStr">
        <is>
          <t>Adams County</t>
        </is>
      </c>
      <c r="F172" s="285" t="inlineStr">
        <is>
          <t>CO</t>
        </is>
      </c>
      <c r="G172" s="285" t="inlineStr">
        <is>
          <t>Industrial</t>
        </is>
      </c>
      <c r="H172" s="286" t="inlineStr">
        <is>
          <t>Industrial NNN</t>
        </is>
      </c>
      <c r="I172" s="287" t="n">
        <v>2000</v>
      </c>
      <c r="J172" s="287" t="n">
        <v>85200</v>
      </c>
      <c r="K172" s="287" t="n">
        <v>2023</v>
      </c>
      <c r="L172" s="285" t="n"/>
      <c r="M172" s="285" t="n"/>
      <c r="N172" s="285" t="n"/>
      <c r="O172" s="731" t="n">
        <v>0.2413</v>
      </c>
      <c r="P172" s="285" t="n"/>
      <c r="Q172" s="285" t="n"/>
      <c r="R172" s="285" t="n"/>
      <c r="S172" s="285" t="n"/>
      <c r="T172" s="285" t="n"/>
      <c r="U172" s="285" t="n"/>
      <c r="V172" s="285" t="n"/>
      <c r="W172" s="285" t="n"/>
      <c r="X172" s="285" t="n"/>
      <c r="Y172" s="285" t="n"/>
      <c r="Z172" s="285" t="n"/>
      <c r="AA172" s="285" t="n"/>
      <c r="AB172" s="285" t="n"/>
      <c r="AC172" s="731" t="n">
        <v>0.2176</v>
      </c>
      <c r="AD172" s="285" t="n"/>
      <c r="AE172" s="285" t="n"/>
      <c r="AF172" s="285" t="n"/>
      <c r="AG172" s="285" t="n"/>
      <c r="AH172" s="285" t="n"/>
      <c r="AI172" s="731" t="n">
        <v>3.5826</v>
      </c>
      <c r="AJ172" s="731" t="n">
        <v>4.0415</v>
      </c>
      <c r="AK172" s="285" t="n"/>
      <c r="AL172" s="285" t="n"/>
      <c r="AM172" s="286" t="inlineStr">
        <is>
          <t>NNN; landlord expenses only from WH Expenses 2026; 2000 YOC; 2023: RE Tax $305,241/Ins $20,559/CAM $18,539</t>
        </is>
      </c>
    </row>
    <row r="173" ht="14" customHeight="1" s="518">
      <c r="A173" s="151" t="inlineStr">
        <is>
          <t>P090</t>
        </is>
      </c>
      <c r="B173" s="150" t="n">
        <v>407</v>
      </c>
      <c r="C173" s="151" t="inlineStr">
        <is>
          <t>R0110351</t>
        </is>
      </c>
      <c r="D173" s="269" t="inlineStr">
        <is>
          <t>(Address TBD – R0110351)</t>
        </is>
      </c>
      <c r="E173" s="151" t="inlineStr">
        <is>
          <t>Adams County</t>
        </is>
      </c>
      <c r="F173" s="151" t="inlineStr">
        <is>
          <t>CO</t>
        </is>
      </c>
      <c r="G173" s="151" t="inlineStr">
        <is>
          <t>Industrial</t>
        </is>
      </c>
      <c r="H173" s="269" t="inlineStr">
        <is>
          <t>Industrial NNN</t>
        </is>
      </c>
      <c r="I173" s="161" t="n">
        <v>2000</v>
      </c>
      <c r="J173" s="161" t="n">
        <v>85200</v>
      </c>
      <c r="K173" s="161" t="n">
        <v>2024</v>
      </c>
      <c r="L173" s="151" t="n"/>
      <c r="M173" s="151" t="n"/>
      <c r="N173" s="151" t="n"/>
      <c r="O173" s="732" t="n">
        <v>0.3002</v>
      </c>
      <c r="P173" s="151" t="n"/>
      <c r="Q173" s="151" t="n"/>
      <c r="R173" s="151" t="n"/>
      <c r="S173" s="151" t="n"/>
      <c r="T173" s="151" t="n"/>
      <c r="U173" s="151" t="n"/>
      <c r="V173" s="151" t="n"/>
      <c r="W173" s="151" t="n"/>
      <c r="X173" s="151" t="n"/>
      <c r="Y173" s="151" t="n"/>
      <c r="Z173" s="151" t="n"/>
      <c r="AA173" s="151" t="n"/>
      <c r="AB173" s="151" t="n"/>
      <c r="AC173" s="732" t="n">
        <v>0.2508</v>
      </c>
      <c r="AD173" s="151" t="n"/>
      <c r="AE173" s="151" t="n"/>
      <c r="AF173" s="151" t="n"/>
      <c r="AG173" s="151" t="n"/>
      <c r="AH173" s="151" t="n"/>
      <c r="AI173" s="732" t="n">
        <v>3.8945</v>
      </c>
      <c r="AJ173" s="732" t="n">
        <v>4.4456</v>
      </c>
      <c r="AK173" s="151" t="n"/>
      <c r="AL173" s="151" t="n"/>
      <c r="AM173" s="269" t="inlineStr">
        <is>
          <t>NNN; landlord expenses only from WH Expenses 2026; 2024: RE Tax $331,811/Ins $25,578/CAM $21,372</t>
        </is>
      </c>
    </row>
    <row r="174" ht="14" customHeight="1" s="518">
      <c r="A174" s="285" t="inlineStr">
        <is>
          <t>P091</t>
        </is>
      </c>
      <c r="B174" s="150" t="n">
        <v>584</v>
      </c>
      <c r="C174" s="285" t="inlineStr">
        <is>
          <t>R0198530</t>
        </is>
      </c>
      <c r="D174" s="286" t="inlineStr">
        <is>
          <t>(Address TBD – R0198530)</t>
        </is>
      </c>
      <c r="E174" s="285" t="inlineStr">
        <is>
          <t>Adams County</t>
        </is>
      </c>
      <c r="F174" s="285" t="inlineStr">
        <is>
          <t>CO</t>
        </is>
      </c>
      <c r="G174" s="285" t="inlineStr">
        <is>
          <t>Industrial</t>
        </is>
      </c>
      <c r="H174" s="286" t="inlineStr">
        <is>
          <t>Industrial Mega-Warehouse NNN</t>
        </is>
      </c>
      <c r="I174" s="287" t="n">
        <v>2019</v>
      </c>
      <c r="J174" s="287" t="n">
        <v>555867</v>
      </c>
      <c r="K174" s="287" t="n">
        <v>2024</v>
      </c>
      <c r="L174" s="285" t="n"/>
      <c r="M174" s="285" t="n"/>
      <c r="N174" s="285" t="n"/>
      <c r="O174" s="731" t="n">
        <v>0.1549</v>
      </c>
      <c r="P174" s="731" t="n">
        <v>0.1152</v>
      </c>
      <c r="Q174" s="285" t="n"/>
      <c r="R174" s="285" t="n"/>
      <c r="S174" s="285" t="n"/>
      <c r="T174" s="285" t="n"/>
      <c r="U174" s="285" t="n"/>
      <c r="V174" s="285" t="n"/>
      <c r="W174" s="285" t="n"/>
      <c r="X174" s="285" t="n"/>
      <c r="Y174" s="285" t="n"/>
      <c r="Z174" s="285" t="n"/>
      <c r="AA174" s="285" t="n"/>
      <c r="AB174" s="285" t="n"/>
      <c r="AC174" s="285" t="n"/>
      <c r="AD174" s="285" t="n"/>
      <c r="AE174" s="285" t="n"/>
      <c r="AF174" s="285" t="n"/>
      <c r="AG174" s="285" t="n"/>
      <c r="AH174" s="285" t="n"/>
      <c r="AI174" s="731" t="n">
        <v>3.8872</v>
      </c>
      <c r="AJ174" s="731" t="n">
        <v>4.1573</v>
      </c>
      <c r="AK174" s="285" t="n"/>
      <c r="AL174" s="285" t="n"/>
      <c r="AM174" s="286" t="inlineStr">
        <is>
          <t>Mega-warehouse 555,867 SF; NNN; landlord only: RE Tax $2,160,792/Ins $86,084/Mgmt $64,029; 2019 YOC</t>
        </is>
      </c>
    </row>
    <row r="175" ht="14" customHeight="1" s="518">
      <c r="A175" s="151" t="inlineStr">
        <is>
          <t>P092</t>
        </is>
      </c>
      <c r="B175" s="150" t="n">
        <v>447</v>
      </c>
      <c r="C175" s="151" t="inlineStr">
        <is>
          <t>R0180834</t>
        </is>
      </c>
      <c r="D175" s="269" t="inlineStr">
        <is>
          <t>(Address TBD – R0180834)</t>
        </is>
      </c>
      <c r="E175" s="151" t="inlineStr">
        <is>
          <t>Adams County</t>
        </is>
      </c>
      <c r="F175" s="151" t="inlineStr">
        <is>
          <t>CO</t>
        </is>
      </c>
      <c r="G175" s="151" t="inlineStr">
        <is>
          <t>Industrial</t>
        </is>
      </c>
      <c r="H175" s="269" t="inlineStr">
        <is>
          <t>Cold Storage/Mega-Warehouse NNN</t>
        </is>
      </c>
      <c r="I175" s="161" t="n">
        <v>2012</v>
      </c>
      <c r="J175" s="161" t="n">
        <v>550031</v>
      </c>
      <c r="K175" s="161" t="n">
        <v>2024</v>
      </c>
      <c r="L175" s="151" t="n"/>
      <c r="M175" s="151" t="n"/>
      <c r="N175" s="151" t="n"/>
      <c r="O175" s="732" t="n">
        <v>0.1402</v>
      </c>
      <c r="P175" s="732" t="n">
        <v>0.251</v>
      </c>
      <c r="Q175" s="151" t="n"/>
      <c r="R175" s="151" t="n"/>
      <c r="S175" s="151" t="n"/>
      <c r="T175" s="151" t="n"/>
      <c r="U175" s="151" t="n"/>
      <c r="V175" s="151" t="n"/>
      <c r="W175" s="151" t="n"/>
      <c r="X175" s="151" t="n"/>
      <c r="Y175" s="151" t="n"/>
      <c r="Z175" s="151" t="n"/>
      <c r="AA175" s="151" t="n"/>
      <c r="AB175" s="151" t="n"/>
      <c r="AC175" s="151" t="n"/>
      <c r="AD175" s="151" t="n"/>
      <c r="AE175" s="151" t="n"/>
      <c r="AF175" s="151" t="n"/>
      <c r="AG175" s="151" t="n"/>
      <c r="AH175" s="151" t="n"/>
      <c r="AI175" s="732" t="n">
        <v>3.8519</v>
      </c>
      <c r="AJ175" s="732" t="n">
        <v>4.2431</v>
      </c>
      <c r="AK175" s="151" t="n"/>
      <c r="AL175" s="151" t="n"/>
      <c r="AM175" s="269" t="inlineStr">
        <is>
          <t>Cold storage/mega-WH 550,031 SF; NNN; landlord only: RE Tax $2,118,655/Ins $77,117/Mgmt $138,053; 2012 YOC</t>
        </is>
      </c>
    </row>
    <row r="176" ht="14" customHeight="1" s="518">
      <c r="A176" s="285" t="inlineStr">
        <is>
          <t>P093</t>
        </is>
      </c>
      <c r="B176" s="150" t="n">
        <v>407</v>
      </c>
      <c r="C176" s="285" t="inlineStr">
        <is>
          <t>R0114792</t>
        </is>
      </c>
      <c r="D176" s="286" t="inlineStr">
        <is>
          <t>(Address TBD – R0114792)</t>
        </is>
      </c>
      <c r="E176" s="285" t="inlineStr">
        <is>
          <t>Adams County</t>
        </is>
      </c>
      <c r="F176" s="285" t="inlineStr">
        <is>
          <t>CO</t>
        </is>
      </c>
      <c r="G176" s="285" t="inlineStr">
        <is>
          <t>Industrial</t>
        </is>
      </c>
      <c r="H176" s="286" t="inlineStr">
        <is>
          <t>Industrial NNN</t>
        </is>
      </c>
      <c r="I176" s="287" t="n">
        <v>1998</v>
      </c>
      <c r="J176" s="287" t="n">
        <v>64501</v>
      </c>
      <c r="K176" s="287" t="n">
        <v>2023</v>
      </c>
      <c r="L176" s="285" t="n"/>
      <c r="M176" s="285" t="n"/>
      <c r="N176" s="285" t="n"/>
      <c r="O176" s="731" t="n">
        <v>0.1487</v>
      </c>
      <c r="P176" s="731" t="n">
        <v>0.365</v>
      </c>
      <c r="Q176" s="285" t="n"/>
      <c r="R176" s="285" t="n"/>
      <c r="S176" s="285" t="n"/>
      <c r="T176" s="285" t="n"/>
      <c r="U176" s="285" t="n"/>
      <c r="V176" s="285" t="n"/>
      <c r="W176" s="285" t="n"/>
      <c r="X176" s="285" t="n"/>
      <c r="Y176" s="285" t="n"/>
      <c r="Z176" s="285" t="n"/>
      <c r="AA176" s="285" t="n"/>
      <c r="AB176" s="285" t="n"/>
      <c r="AC176" s="285" t="n"/>
      <c r="AD176" s="285" t="n"/>
      <c r="AE176" s="285" t="n"/>
      <c r="AF176" s="285" t="n"/>
      <c r="AG176" s="285" t="n"/>
      <c r="AH176" s="285" t="n"/>
      <c r="AI176" s="731" t="n">
        <v>3.1201</v>
      </c>
      <c r="AJ176" s="731" t="n">
        <v>3.6337</v>
      </c>
      <c r="AK176" s="285" t="n"/>
      <c r="AL176" s="285" t="n"/>
      <c r="AM176" s="286" t="inlineStr">
        <is>
          <t>NNN; landlord only: RE Tax $201,248/Ins $9,589/Mgmt $23,542; 1998 YOC</t>
        </is>
      </c>
    </row>
    <row r="177" ht="14" customHeight="1" s="518">
      <c r="A177" s="151" t="inlineStr">
        <is>
          <t>P093</t>
        </is>
      </c>
      <c r="B177" s="150" t="n">
        <v>407</v>
      </c>
      <c r="C177" s="151" t="inlineStr">
        <is>
          <t>R0114792</t>
        </is>
      </c>
      <c r="D177" s="269" t="inlineStr">
        <is>
          <t>(Address TBD – R0114792)</t>
        </is>
      </c>
      <c r="E177" s="151" t="inlineStr">
        <is>
          <t>Adams County</t>
        </is>
      </c>
      <c r="F177" s="151" t="inlineStr">
        <is>
          <t>CO</t>
        </is>
      </c>
      <c r="G177" s="151" t="inlineStr">
        <is>
          <t>Industrial</t>
        </is>
      </c>
      <c r="H177" s="269" t="inlineStr">
        <is>
          <t>Industrial NNN</t>
        </is>
      </c>
      <c r="I177" s="161" t="n">
        <v>1998</v>
      </c>
      <c r="J177" s="161" t="n">
        <v>64501</v>
      </c>
      <c r="K177" s="161" t="n">
        <v>2024</v>
      </c>
      <c r="L177" s="151" t="n"/>
      <c r="M177" s="151" t="n"/>
      <c r="N177" s="151" t="n"/>
      <c r="O177" s="732" t="n">
        <v>0.1168</v>
      </c>
      <c r="P177" s="732" t="n">
        <v>0.3704</v>
      </c>
      <c r="Q177" s="151" t="n"/>
      <c r="R177" s="151" t="n"/>
      <c r="S177" s="151" t="n"/>
      <c r="T177" s="151" t="n"/>
      <c r="U177" s="151" t="n"/>
      <c r="V177" s="151" t="n"/>
      <c r="W177" s="151" t="n"/>
      <c r="X177" s="151" t="n"/>
      <c r="Y177" s="151" t="n"/>
      <c r="Z177" s="151" t="n"/>
      <c r="AA177" s="151" t="n"/>
      <c r="AB177" s="151" t="n"/>
      <c r="AC177" s="151" t="n"/>
      <c r="AD177" s="151" t="n"/>
      <c r="AE177" s="151" t="n"/>
      <c r="AF177" s="151" t="n"/>
      <c r="AG177" s="151" t="n"/>
      <c r="AH177" s="151" t="n"/>
      <c r="AI177" s="732" t="n">
        <v>3.7914</v>
      </c>
      <c r="AJ177" s="732" t="n">
        <v>4.2786</v>
      </c>
      <c r="AK177" s="151" t="n"/>
      <c r="AL177" s="151" t="n"/>
      <c r="AM177" s="269" t="inlineStr">
        <is>
          <t>NNN; landlord only: RE Tax $244,551/Ins $7,536/Mgmt $23,889</t>
        </is>
      </c>
    </row>
    <row r="178" ht="14" customHeight="1" s="518">
      <c r="A178" s="285" t="inlineStr">
        <is>
          <t>P027</t>
        </is>
      </c>
      <c r="B178" s="150" t="n">
        <v>407</v>
      </c>
      <c r="C178" s="285" t="inlineStr">
        <is>
          <t>R0132030</t>
        </is>
      </c>
      <c r="D178" s="286" t="inlineStr">
        <is>
          <t>(R0132030)</t>
        </is>
      </c>
      <c r="E178" s="285" t="inlineStr">
        <is>
          <t>Adams County</t>
        </is>
      </c>
      <c r="F178" s="285" t="inlineStr">
        <is>
          <t>CO</t>
        </is>
      </c>
      <c r="G178" s="285" t="inlineStr">
        <is>
          <t>Industrial</t>
        </is>
      </c>
      <c r="H178" s="286" t="inlineStr">
        <is>
          <t>Industrial NNN</t>
        </is>
      </c>
      <c r="I178" s="287" t="n"/>
      <c r="J178" s="287" t="n">
        <v>200094</v>
      </c>
      <c r="K178" s="287" t="n">
        <v>2024</v>
      </c>
      <c r="L178" s="285" t="n"/>
      <c r="M178" s="285" t="n"/>
      <c r="N178" s="285" t="n"/>
      <c r="O178" s="731" t="n">
        <v>0.1315</v>
      </c>
      <c r="P178" s="731" t="n">
        <v>0.2443</v>
      </c>
      <c r="Q178" s="285" t="n"/>
      <c r="R178" s="285" t="n"/>
      <c r="S178" s="285" t="n"/>
      <c r="T178" s="285" t="n"/>
      <c r="U178" s="285" t="n"/>
      <c r="V178" s="285" t="n"/>
      <c r="W178" s="285" t="n"/>
      <c r="X178" s="285" t="n"/>
      <c r="Y178" s="285" t="n"/>
      <c r="Z178" s="285" t="n"/>
      <c r="AA178" s="285" t="n"/>
      <c r="AB178" s="285" t="n"/>
      <c r="AC178" s="731" t="n">
        <v>0.4013</v>
      </c>
      <c r="AD178" s="731" t="n">
        <v>0.321</v>
      </c>
      <c r="AE178" s="285" t="n"/>
      <c r="AF178" s="731" t="n">
        <v>0.321</v>
      </c>
      <c r="AG178" s="285" t="n"/>
      <c r="AH178" s="285" t="n"/>
      <c r="AI178" s="731" t="n">
        <v>2.2004</v>
      </c>
      <c r="AJ178" s="731" t="n">
        <v>3.297</v>
      </c>
      <c r="AK178" s="285" t="n"/>
      <c r="AL178" s="285" t="n"/>
      <c r="AM178" s="286" t="inlineStr">
        <is>
          <t>NNN; WH Expenses 2026 landlord data: RE Tax $440,287/Ins $26,308/Utils $64,237/Mgmt $48,882/CAM $80,298</t>
        </is>
      </c>
    </row>
    <row r="179" ht="14" customHeight="1" s="518">
      <c r="A179" s="151" t="inlineStr">
        <is>
          <t>P028</t>
        </is>
      </c>
      <c r="B179" s="150" t="n">
        <v>407</v>
      </c>
      <c r="C179" s="151" t="inlineStr">
        <is>
          <t>R0084040</t>
        </is>
      </c>
      <c r="D179" s="269" t="inlineStr">
        <is>
          <t>(R0084040)</t>
        </is>
      </c>
      <c r="E179" s="151" t="inlineStr">
        <is>
          <t>Adams County</t>
        </is>
      </c>
      <c r="F179" s="151" t="inlineStr">
        <is>
          <t>CO</t>
        </is>
      </c>
      <c r="G179" s="151" t="inlineStr">
        <is>
          <t>Industrial</t>
        </is>
      </c>
      <c r="H179" s="269" t="inlineStr">
        <is>
          <t>Industrial NNN</t>
        </is>
      </c>
      <c r="I179" s="161" t="n"/>
      <c r="J179" s="161" t="n"/>
      <c r="K179" s="161" t="n">
        <v>2024</v>
      </c>
      <c r="L179" s="151" t="n"/>
      <c r="M179" s="151" t="n"/>
      <c r="N179" s="151" t="n"/>
      <c r="O179" s="164" t="n">
        <v>24025</v>
      </c>
      <c r="P179" s="164" t="n">
        <v>65817</v>
      </c>
      <c r="Q179" s="151" t="n"/>
      <c r="R179" s="151" t="n"/>
      <c r="S179" s="151" t="n"/>
      <c r="T179" s="151" t="n"/>
      <c r="U179" s="151" t="n"/>
      <c r="V179" s="151" t="n"/>
      <c r="W179" s="151" t="n"/>
      <c r="X179" s="151" t="n"/>
      <c r="Y179" s="151" t="n"/>
      <c r="Z179" s="151" t="n"/>
      <c r="AA179" s="151" t="n"/>
      <c r="AB179" s="151" t="n"/>
      <c r="AC179" s="164" t="n">
        <v>128840</v>
      </c>
      <c r="AD179" s="164" t="n">
        <v>69481</v>
      </c>
      <c r="AE179" s="151" t="n"/>
      <c r="AF179" s="164" t="n">
        <v>69481</v>
      </c>
      <c r="AG179" s="151" t="n"/>
      <c r="AH179" s="151" t="n"/>
      <c r="AI179" s="164" t="n">
        <v>598274</v>
      </c>
      <c r="AJ179" s="164" t="n">
        <v>886437</v>
      </c>
      <c r="AK179" s="151" t="n"/>
      <c r="AL179" s="151" t="n"/>
      <c r="AM179" s="269" t="inlineStr">
        <is>
          <t>[NO SF] NNN; WH Expenses 2026 landlord data: RE Tax $598,274/Ins $24,025/Utils $69,481/Mgmt $65,817/CAM $128,840</t>
        </is>
      </c>
    </row>
    <row r="180" ht="14" customHeight="1" s="518">
      <c r="A180" s="285" t="inlineStr">
        <is>
          <t>P034</t>
        </is>
      </c>
      <c r="B180" s="150" t="n">
        <v>407</v>
      </c>
      <c r="C180" s="285" t="inlineStr">
        <is>
          <t>R0172865</t>
        </is>
      </c>
      <c r="D180" s="286" t="inlineStr">
        <is>
          <t>(R0172865)</t>
        </is>
      </c>
      <c r="E180" s="285" t="inlineStr">
        <is>
          <t>Adams County</t>
        </is>
      </c>
      <c r="F180" s="285" t="inlineStr">
        <is>
          <t>CO</t>
        </is>
      </c>
      <c r="G180" s="285" t="inlineStr">
        <is>
          <t>Industrial</t>
        </is>
      </c>
      <c r="H180" s="286" t="inlineStr">
        <is>
          <t>Industrial NNN</t>
        </is>
      </c>
      <c r="I180" s="287" t="n"/>
      <c r="J180" s="287" t="n">
        <v>215461</v>
      </c>
      <c r="K180" s="287" t="n">
        <v>2024</v>
      </c>
      <c r="L180" s="285" t="n"/>
      <c r="M180" s="285" t="n"/>
      <c r="N180" s="285" t="n"/>
      <c r="O180" s="731" t="n">
        <v>0.1431</v>
      </c>
      <c r="P180" s="731" t="n">
        <v>0.331</v>
      </c>
      <c r="Q180" s="285" t="n"/>
      <c r="R180" s="285" t="n"/>
      <c r="S180" s="285" t="n"/>
      <c r="T180" s="285" t="n"/>
      <c r="U180" s="285" t="n"/>
      <c r="V180" s="285" t="n"/>
      <c r="W180" s="285" t="n"/>
      <c r="X180" s="285" t="n"/>
      <c r="Y180" s="285" t="n"/>
      <c r="Z180" s="285" t="n"/>
      <c r="AA180" s="285" t="n"/>
      <c r="AB180" s="285" t="n"/>
      <c r="AC180" s="731" t="n">
        <v>0.5903</v>
      </c>
      <c r="AD180" s="731" t="n">
        <v>0.4731</v>
      </c>
      <c r="AE180" s="285" t="n"/>
      <c r="AF180" s="731" t="n">
        <v>0.4731</v>
      </c>
      <c r="AG180" s="285" t="n"/>
      <c r="AH180" s="285" t="n"/>
      <c r="AI180" s="731" t="n">
        <v>2.6197</v>
      </c>
      <c r="AJ180" s="731" t="n">
        <v>4.1572</v>
      </c>
      <c r="AK180" s="285" t="n"/>
      <c r="AL180" s="285" t="n"/>
      <c r="AM180" s="286" t="inlineStr">
        <is>
          <t>NNN; WH Expenses 2026 landlord data: RE Tax $564,450/Ins $30,832/Utils $101,924/Mgmt $71,321/CAM $127,177</t>
        </is>
      </c>
    </row>
    <row r="181" ht="14" customHeight="1" s="518">
      <c r="A181" s="151" t="inlineStr">
        <is>
          <t>P036</t>
        </is>
      </c>
      <c r="B181" s="150" t="n">
        <v>407</v>
      </c>
      <c r="C181" s="151" t="inlineStr">
        <is>
          <t>R0172868</t>
        </is>
      </c>
      <c r="D181" s="269" t="inlineStr">
        <is>
          <t>(R0172868)</t>
        </is>
      </c>
      <c r="E181" s="151" t="inlineStr">
        <is>
          <t>Adams County</t>
        </is>
      </c>
      <c r="F181" s="151" t="inlineStr">
        <is>
          <t>CO</t>
        </is>
      </c>
      <c r="G181" s="151" t="inlineStr">
        <is>
          <t>Industrial</t>
        </is>
      </c>
      <c r="H181" s="269" t="inlineStr">
        <is>
          <t>Industrial NNN</t>
        </is>
      </c>
      <c r="I181" s="161" t="n"/>
      <c r="J181" s="161" t="n">
        <v>200000</v>
      </c>
      <c r="K181" s="161" t="n">
        <v>2024</v>
      </c>
      <c r="L181" s="151" t="n"/>
      <c r="M181" s="151" t="n"/>
      <c r="N181" s="151" t="n"/>
      <c r="O181" s="732" t="n">
        <v>0.153</v>
      </c>
      <c r="P181" s="732" t="n">
        <v>0.1804</v>
      </c>
      <c r="Q181" s="151" t="n"/>
      <c r="R181" s="151" t="n"/>
      <c r="S181" s="151" t="n"/>
      <c r="T181" s="151" t="n"/>
      <c r="U181" s="151" t="n"/>
      <c r="V181" s="151" t="n"/>
      <c r="W181" s="151" t="n"/>
      <c r="X181" s="151" t="n"/>
      <c r="Y181" s="151" t="n"/>
      <c r="Z181" s="151" t="n"/>
      <c r="AA181" s="151" t="n"/>
      <c r="AB181" s="151" t="n"/>
      <c r="AC181" s="732" t="n">
        <v>0.479</v>
      </c>
      <c r="AD181" s="151" t="n"/>
      <c r="AE181" s="151" t="n"/>
      <c r="AF181" s="151" t="n"/>
      <c r="AG181" s="151" t="n"/>
      <c r="AH181" s="151" t="n"/>
      <c r="AI181" s="732" t="n">
        <v>3.041</v>
      </c>
      <c r="AJ181" s="732" t="n">
        <v>3.8534</v>
      </c>
      <c r="AK181" s="151" t="n"/>
      <c r="AL181" s="151" t="n"/>
      <c r="AM181" s="269" t="inlineStr">
        <is>
          <t>NNN; WH Expenses 2026 landlord data: RE Tax $608,209/Ins $30,594/Mgmt $36,085/CAM $95,792</t>
        </is>
      </c>
    </row>
    <row r="182" ht="14" customHeight="1" s="518">
      <c r="A182" s="285" t="inlineStr">
        <is>
          <t>P061</t>
        </is>
      </c>
      <c r="B182" s="150" t="n">
        <v>584</v>
      </c>
      <c r="C182" s="285" t="inlineStr">
        <is>
          <t>R0083935</t>
        </is>
      </c>
      <c r="D182" s="286" t="inlineStr">
        <is>
          <t>(R0083935)</t>
        </is>
      </c>
      <c r="E182" s="285" t="inlineStr">
        <is>
          <t>Adams County</t>
        </is>
      </c>
      <c r="F182" s="285" t="inlineStr">
        <is>
          <t>CO</t>
        </is>
      </c>
      <c r="G182" s="285" t="inlineStr">
        <is>
          <t>Industrial</t>
        </is>
      </c>
      <c r="H182" s="286" t="inlineStr">
        <is>
          <t>Industrial NNN</t>
        </is>
      </c>
      <c r="I182" s="287" t="n"/>
      <c r="J182" s="287" t="n">
        <v>277690</v>
      </c>
      <c r="K182" s="287" t="n">
        <v>2024</v>
      </c>
      <c r="L182" s="285" t="n"/>
      <c r="M182" s="285" t="n"/>
      <c r="N182" s="285" t="n"/>
      <c r="O182" s="731" t="n">
        <v>0.2911</v>
      </c>
      <c r="P182" s="731" t="n">
        <v>0.6228</v>
      </c>
      <c r="Q182" s="285" t="n"/>
      <c r="R182" s="285" t="n"/>
      <c r="S182" s="285" t="n"/>
      <c r="T182" s="285" t="n"/>
      <c r="U182" s="285" t="n"/>
      <c r="V182" s="285" t="n"/>
      <c r="W182" s="285" t="n"/>
      <c r="X182" s="285" t="n"/>
      <c r="Y182" s="285" t="n"/>
      <c r="Z182" s="285" t="n"/>
      <c r="AA182" s="285" t="n"/>
      <c r="AB182" s="285" t="n"/>
      <c r="AC182" s="731" t="n">
        <v>1.0179</v>
      </c>
      <c r="AD182" s="731" t="n">
        <v>0.7056</v>
      </c>
      <c r="AE182" s="285" t="n"/>
      <c r="AF182" s="731" t="n">
        <v>0.7056</v>
      </c>
      <c r="AG182" s="285" t="n"/>
      <c r="AH182" s="285" t="n"/>
      <c r="AI182" s="731" t="n">
        <v>2.8384</v>
      </c>
      <c r="AJ182" s="731" t="n">
        <v>5.4758</v>
      </c>
      <c r="AK182" s="285" t="n"/>
      <c r="AL182" s="285" t="n"/>
      <c r="AM182" s="286" t="inlineStr">
        <is>
          <t>NNN; WH Expenses 2026 landlord data 2024; ranges used (midpoints): RE Tax ~$788k/Ins ~$81k/Utils $195,945/Mgmt $172,937/CAM ~$283k</t>
        </is>
      </c>
    </row>
    <row r="183" ht="14" customHeight="1" s="518">
      <c r="A183" s="151" t="inlineStr">
        <is>
          <t>P069</t>
        </is>
      </c>
      <c r="B183" s="150" t="n">
        <v>210</v>
      </c>
      <c r="C183" s="151" t="inlineStr">
        <is>
          <t>R0098223</t>
        </is>
      </c>
      <c r="D183" s="269" t="inlineStr">
        <is>
          <t>(R0098223)</t>
        </is>
      </c>
      <c r="E183" s="151" t="inlineStr">
        <is>
          <t>Adams County</t>
        </is>
      </c>
      <c r="F183" s="151" t="inlineStr">
        <is>
          <t>CO</t>
        </is>
      </c>
      <c r="G183" s="151" t="inlineStr">
        <is>
          <t>Industrial</t>
        </is>
      </c>
      <c r="H183" s="269" t="inlineStr">
        <is>
          <t>Industrial</t>
        </is>
      </c>
      <c r="I183" s="161" t="n"/>
      <c r="J183" s="161" t="n"/>
      <c r="K183" s="161" t="n">
        <v>2023</v>
      </c>
      <c r="L183" s="151" t="n"/>
      <c r="M183" s="151" t="n"/>
      <c r="N183" s="151" t="n"/>
      <c r="O183" s="151" t="n"/>
      <c r="P183" s="151" t="n"/>
      <c r="Q183" s="151" t="n"/>
      <c r="R183" s="151" t="n"/>
      <c r="S183" s="151" t="n"/>
      <c r="T183" s="151" t="n"/>
      <c r="U183" s="151" t="n"/>
      <c r="V183" s="151" t="n"/>
      <c r="W183" s="151" t="n"/>
      <c r="X183" s="151" t="n"/>
      <c r="Y183" s="151" t="n"/>
      <c r="Z183" s="151" t="n"/>
      <c r="AA183" s="151" t="n"/>
      <c r="AB183" s="151" t="n"/>
      <c r="AC183" s="151" t="n"/>
      <c r="AD183" s="151" t="n"/>
      <c r="AE183" s="151" t="n"/>
      <c r="AF183" s="151" t="n"/>
      <c r="AG183" s="151" t="n"/>
      <c r="AH183" s="151" t="n"/>
      <c r="AI183" s="151" t="n"/>
      <c r="AJ183" s="151" t="n"/>
      <c r="AK183" s="164" t="n">
        <v>951113</v>
      </c>
      <c r="AL183" s="151" t="n"/>
      <c r="AM183" s="269" t="inlineStr">
        <is>
          <t>[NO SF] CORRECTED: previous entry had wrong NOI ($76,629). Correct 2023 NOI = $951,113 per WH Expenses 2026</t>
        </is>
      </c>
    </row>
    <row r="184" ht="14" customHeight="1" s="518">
      <c r="A184" s="285" t="inlineStr">
        <is>
          <t>P069</t>
        </is>
      </c>
      <c r="B184" s="150" t="n">
        <v>210</v>
      </c>
      <c r="C184" s="285" t="inlineStr">
        <is>
          <t>R0098223</t>
        </is>
      </c>
      <c r="D184" s="286" t="inlineStr">
        <is>
          <t>(R0098223)</t>
        </is>
      </c>
      <c r="E184" s="285" t="inlineStr">
        <is>
          <t>Adams County</t>
        </is>
      </c>
      <c r="F184" s="285" t="inlineStr">
        <is>
          <t>CO</t>
        </is>
      </c>
      <c r="G184" s="285" t="inlineStr">
        <is>
          <t>Industrial</t>
        </is>
      </c>
      <c r="H184" s="286" t="inlineStr">
        <is>
          <t>Industrial</t>
        </is>
      </c>
      <c r="I184" s="287" t="n"/>
      <c r="J184" s="287" t="n"/>
      <c r="K184" s="287" t="n">
        <v>2024</v>
      </c>
      <c r="L184" s="285" t="n"/>
      <c r="M184" s="285" t="n"/>
      <c r="N184" s="285" t="n"/>
      <c r="O184" s="285" t="n"/>
      <c r="P184" s="285" t="n"/>
      <c r="Q184" s="285" t="n"/>
      <c r="R184" s="285" t="n"/>
      <c r="S184" s="285" t="n"/>
      <c r="T184" s="285" t="n"/>
      <c r="U184" s="285" t="n"/>
      <c r="V184" s="285" t="n"/>
      <c r="W184" s="285" t="n"/>
      <c r="X184" s="285" t="n"/>
      <c r="Y184" s="285" t="n"/>
      <c r="Z184" s="285" t="n"/>
      <c r="AA184" s="285" t="n"/>
      <c r="AB184" s="285" t="n"/>
      <c r="AC184" s="285" t="n"/>
      <c r="AD184" s="285" t="n"/>
      <c r="AE184" s="285" t="n"/>
      <c r="AF184" s="285" t="n"/>
      <c r="AG184" s="285" t="n"/>
      <c r="AH184" s="285" t="n"/>
      <c r="AI184" s="285" t="n"/>
      <c r="AJ184" s="285" t="n"/>
      <c r="AK184" s="290" t="n">
        <v>1005999</v>
      </c>
      <c r="AL184" s="285" t="n"/>
      <c r="AM184" s="286" t="inlineStr">
        <is>
          <t>[NO SF] New 2024 row from WH Expenses 2026; NOI $1,005,999</t>
        </is>
      </c>
    </row>
    <row r="185" ht="14" customHeight="1" s="518">
      <c r="A185" s="151" t="inlineStr">
        <is>
          <t>P094</t>
        </is>
      </c>
      <c r="B185" s="150" t="n">
        <v>407</v>
      </c>
      <c r="C185" s="151" t="inlineStr">
        <is>
          <t>R0104122</t>
        </is>
      </c>
      <c r="D185" s="269" t="inlineStr">
        <is>
          <t>550 W 53rd Pl</t>
        </is>
      </c>
      <c r="E185" s="151" t="inlineStr">
        <is>
          <t>Denver</t>
        </is>
      </c>
      <c r="F185" s="151" t="inlineStr">
        <is>
          <t>CO</t>
        </is>
      </c>
      <c r="G185" s="151" t="inlineStr">
        <is>
          <t>Industrial</t>
        </is>
      </c>
      <c r="H185" s="269" t="inlineStr">
        <is>
          <t>Distribution Warehouse</t>
        </is>
      </c>
      <c r="I185" s="161" t="n">
        <v>1971</v>
      </c>
      <c r="J185" s="161" t="n">
        <v>127900</v>
      </c>
      <c r="K185" s="161" t="n">
        <v>2024</v>
      </c>
      <c r="L185" s="732" t="n">
        <v>6.5</v>
      </c>
      <c r="M185" s="151" t="n"/>
      <c r="N185" s="732" t="n">
        <v>6.11</v>
      </c>
      <c r="O185" s="151" t="n"/>
      <c r="P185" s="151" t="n"/>
      <c r="Q185" s="151" t="n"/>
      <c r="R185" s="151" t="n"/>
      <c r="S185" s="151" t="n"/>
      <c r="T185" s="151" t="n"/>
      <c r="U185" s="151" t="n"/>
      <c r="V185" s="151" t="n"/>
      <c r="W185" s="151" t="n"/>
      <c r="X185" s="151" t="n"/>
      <c r="Y185" s="151" t="n"/>
      <c r="Z185" s="151" t="n"/>
      <c r="AA185" s="151" t="n"/>
      <c r="AB185" s="151" t="n"/>
      <c r="AC185" s="151" t="n"/>
      <c r="AD185" s="151" t="n"/>
      <c r="AE185" s="151" t="n"/>
      <c r="AF185" s="151" t="n"/>
      <c r="AG185" s="151" t="n"/>
      <c r="AH185" s="732" t="n">
        <v>0.4888</v>
      </c>
      <c r="AI185" s="151" t="n"/>
      <c r="AJ185" s="732" t="n">
        <v>0.4888</v>
      </c>
      <c r="AK185" s="732" t="n">
        <v>5.6212</v>
      </c>
      <c r="AL185" s="151" t="n"/>
      <c r="AM185" s="269" t="inlineStr">
        <is>
          <t>Appraiser income approach (CBOE 2024 abatement); market rent $6.50/SF; vac 6%; OPX 5% + reserves 3%; 6.00% OAR; value $11,985,000</t>
        </is>
      </c>
    </row>
    <row r="186" ht="14" customHeight="1" s="518">
      <c r="A186" s="285" t="inlineStr">
        <is>
          <t>P095</t>
        </is>
      </c>
      <c r="B186" s="150" t="n">
        <v>386</v>
      </c>
      <c r="C186" s="285" t="inlineStr">
        <is>
          <t>R0086010</t>
        </is>
      </c>
      <c r="D186" s="286" t="inlineStr">
        <is>
          <t>15413 E 18th Ave</t>
        </is>
      </c>
      <c r="E186" s="285" t="inlineStr">
        <is>
          <t>Aurora</t>
        </is>
      </c>
      <c r="F186" s="285" t="inlineStr">
        <is>
          <t>CO</t>
        </is>
      </c>
      <c r="G186" s="285" t="inlineStr">
        <is>
          <t>Self-Storage</t>
        </is>
      </c>
      <c r="H186" s="286" t="inlineStr">
        <is>
          <t>Self-Storage</t>
        </is>
      </c>
      <c r="I186" s="287" t="n">
        <v>1984</v>
      </c>
      <c r="J186" s="287" t="n">
        <v>63989</v>
      </c>
      <c r="K186" s="287" t="n">
        <v>2024</v>
      </c>
      <c r="L186" s="731" t="n">
        <v>15.0547</v>
      </c>
      <c r="M186" s="731" t="n">
        <v>0.1953</v>
      </c>
      <c r="N186" s="731" t="n">
        <v>12.9919</v>
      </c>
      <c r="O186" s="285" t="n"/>
      <c r="P186" s="285" t="n"/>
      <c r="Q186" s="285" t="n"/>
      <c r="R186" s="285" t="n"/>
      <c r="S186" s="285" t="n"/>
      <c r="T186" s="285" t="n"/>
      <c r="U186" s="285" t="n"/>
      <c r="V186" s="285" t="n"/>
      <c r="W186" s="285" t="n"/>
      <c r="X186" s="285" t="n"/>
      <c r="Y186" s="285" t="n"/>
      <c r="Z186" s="285" t="n"/>
      <c r="AA186" s="285" t="n"/>
      <c r="AB186" s="285" t="n"/>
      <c r="AC186" s="285" t="n"/>
      <c r="AD186" s="285" t="n"/>
      <c r="AE186" s="285" t="n"/>
      <c r="AF186" s="285" t="n"/>
      <c r="AG186" s="285" t="n"/>
      <c r="AH186" s="731" t="n">
        <v>2.5984</v>
      </c>
      <c r="AI186" s="285" t="n"/>
      <c r="AJ186" s="731" t="n">
        <v>3.118</v>
      </c>
      <c r="AK186" s="731" t="n">
        <v>9.873799999999999</v>
      </c>
      <c r="AL186" s="731" t="n">
        <v>0.5197000000000001</v>
      </c>
      <c r="AM186" s="286" t="inlineStr">
        <is>
          <t>Appraiser pro forma (AXG CBOE 2024); NRA 57,754 SF; market rent $1.39/mo/SF NRA; vac 15%; OPX 20% EGI; reserves 4%; 7.90% loaded cap; value $8,000,000</t>
        </is>
      </c>
    </row>
    <row r="187" ht="14" customHeight="1" s="518">
      <c r="A187" s="151" t="inlineStr">
        <is>
          <t>P096</t>
        </is>
      </c>
      <c r="B187" s="150" t="n">
        <v>407</v>
      </c>
      <c r="C187" s="151" t="inlineStr">
        <is>
          <t>R0083917</t>
        </is>
      </c>
      <c r="D187" s="269" t="inlineStr">
        <is>
          <t>14701 E 38th Ave</t>
        </is>
      </c>
      <c r="E187" s="151" t="inlineStr">
        <is>
          <t>Aurora</t>
        </is>
      </c>
      <c r="F187" s="151" t="inlineStr">
        <is>
          <t>CO</t>
        </is>
      </c>
      <c r="G187" s="151" t="inlineStr">
        <is>
          <t>Industrial</t>
        </is>
      </c>
      <c r="H187" s="269" t="inlineStr">
        <is>
          <t>Industrial Owner-User</t>
        </is>
      </c>
      <c r="I187" s="161" t="n"/>
      <c r="J187" s="161" t="n">
        <v>117280</v>
      </c>
      <c r="K187" s="161" t="n">
        <v>2024</v>
      </c>
      <c r="L187" s="151" t="n"/>
      <c r="M187" s="151" t="n"/>
      <c r="N187" s="151" t="n"/>
      <c r="O187" s="732" t="n">
        <v>0.4818</v>
      </c>
      <c r="P187" s="732" t="n">
        <v>3.8578</v>
      </c>
      <c r="Q187" s="151" t="n"/>
      <c r="R187" s="151" t="n"/>
      <c r="S187" s="151" t="n"/>
      <c r="T187" s="151" t="n"/>
      <c r="U187" s="151" t="n"/>
      <c r="V187" s="151" t="n"/>
      <c r="W187" s="151" t="n"/>
      <c r="X187" s="732" t="n">
        <v>1.8719</v>
      </c>
      <c r="Y187" s="732" t="n">
        <v>1.8719</v>
      </c>
      <c r="Z187" s="732" t="n">
        <v>0.1178</v>
      </c>
      <c r="AA187" s="732" t="n">
        <v>0.04</v>
      </c>
      <c r="AB187" s="151" t="n"/>
      <c r="AC187" s="732" t="n">
        <v>0.1578</v>
      </c>
      <c r="AD187" s="151" t="n"/>
      <c r="AE187" s="151" t="n"/>
      <c r="AF187" s="732" t="n">
        <v>3.1677</v>
      </c>
      <c r="AG187" s="151" t="n"/>
      <c r="AH187" s="732" t="n">
        <v>9.537000000000001</v>
      </c>
      <c r="AI187" s="151" t="n"/>
      <c r="AJ187" s="732" t="n">
        <v>9.537000000000001</v>
      </c>
      <c r="AK187" s="151" t="n"/>
      <c r="AL187" s="151" t="n"/>
      <c r="AM187" s="269" t="inlineStr">
        <is>
          <t>I&amp;E Survey 2024; owner-user; CAUTION: expenses likely include non-RE business costs (mgmt $452k + utils $372k very high); 117,280 SF</t>
        </is>
      </c>
    </row>
    <row r="188" ht="14" customHeight="1" s="518">
      <c r="A188" s="285" t="inlineStr">
        <is>
          <t>P097</t>
        </is>
      </c>
      <c r="B188" s="150" t="n">
        <v>210</v>
      </c>
      <c r="C188" s="285" t="inlineStr">
        <is>
          <t>R0137586</t>
        </is>
      </c>
      <c r="D188" s="286" t="inlineStr">
        <is>
          <t>7273-7285 E 96th Ave</t>
        </is>
      </c>
      <c r="E188" s="285" t="inlineStr">
        <is>
          <t>Commerce City</t>
        </is>
      </c>
      <c r="F188" s="285" t="inlineStr">
        <is>
          <t>CO</t>
        </is>
      </c>
      <c r="G188" s="285" t="inlineStr">
        <is>
          <t>Industrial</t>
        </is>
      </c>
      <c r="H188" s="286" t="inlineStr">
        <is>
          <t>Multi-Tenant Industrial</t>
        </is>
      </c>
      <c r="I188" s="287" t="n"/>
      <c r="J188" s="287" t="n">
        <v>57200</v>
      </c>
      <c r="K188" s="287" t="n">
        <v>2023</v>
      </c>
      <c r="L188" s="731" t="n">
        <v>14.0542</v>
      </c>
      <c r="M188" s="285" t="n"/>
      <c r="N188" s="285" t="n"/>
      <c r="O188" s="731" t="n">
        <v>0.2194</v>
      </c>
      <c r="P188" s="731" t="n">
        <v>0.9815</v>
      </c>
      <c r="Q188" s="285" t="n"/>
      <c r="R188" s="285" t="n"/>
      <c r="S188" s="285" t="n"/>
      <c r="T188" s="285" t="n"/>
      <c r="U188" s="285" t="n"/>
      <c r="V188" s="285" t="n"/>
      <c r="W188" s="285" t="n"/>
      <c r="X188" s="731" t="n">
        <v>0.6945</v>
      </c>
      <c r="Y188" s="731" t="n">
        <v>0.6945</v>
      </c>
      <c r="Z188" s="731" t="n">
        <v>0.3918</v>
      </c>
      <c r="AA188" s="731" t="n">
        <v>0.0257</v>
      </c>
      <c r="AB188" s="285" t="n"/>
      <c r="AC188" s="731" t="n">
        <v>0.4175</v>
      </c>
      <c r="AD188" s="285" t="n"/>
      <c r="AE188" s="731" t="n">
        <v>0.1169</v>
      </c>
      <c r="AF188" s="731" t="n">
        <v>0.1169</v>
      </c>
      <c r="AG188" s="285" t="n"/>
      <c r="AH188" s="731" t="n">
        <v>2.4266</v>
      </c>
      <c r="AI188" s="285" t="n"/>
      <c r="AJ188" s="731" t="n">
        <v>2.4266</v>
      </c>
      <c r="AK188" s="285" t="n"/>
      <c r="AL188" s="285" t="n"/>
      <c r="AM188" s="286" t="inlineStr">
        <is>
          <t>I&amp;E Survey 2023; modified lease; 57,200 SF; total expenses approx (excludes RE taxes not reported)</t>
        </is>
      </c>
    </row>
    <row r="189" ht="14" customHeight="1" s="518">
      <c r="A189" s="151" t="inlineStr">
        <is>
          <t>P098</t>
        </is>
      </c>
      <c r="B189" s="150" t="n">
        <v>210</v>
      </c>
      <c r="C189" s="151" t="inlineStr">
        <is>
          <t>R0187010</t>
        </is>
      </c>
      <c r="D189" s="269" t="inlineStr">
        <is>
          <t>8020 Steele St</t>
        </is>
      </c>
      <c r="E189" s="151" t="inlineStr">
        <is>
          <t>Denver</t>
        </is>
      </c>
      <c r="F189" s="151" t="inlineStr">
        <is>
          <t>CO</t>
        </is>
      </c>
      <c r="G189" s="151" t="inlineStr">
        <is>
          <t>Industrial</t>
        </is>
      </c>
      <c r="H189" s="269" t="inlineStr">
        <is>
          <t>Industrial Modified Gross</t>
        </is>
      </c>
      <c r="I189" s="161" t="n"/>
      <c r="J189" s="161" t="n">
        <v>70000</v>
      </c>
      <c r="K189" s="161" t="n">
        <v>2024</v>
      </c>
      <c r="L189" s="732" t="n">
        <v>7.7</v>
      </c>
      <c r="M189" s="151" t="n"/>
      <c r="N189" s="151" t="n"/>
      <c r="O189" s="151" t="n"/>
      <c r="P189" s="732" t="n">
        <v>0.231</v>
      </c>
      <c r="Q189" s="151" t="n"/>
      <c r="R189" s="151" t="n"/>
      <c r="S189" s="151" t="n"/>
      <c r="T189" s="151" t="n"/>
      <c r="U189" s="151" t="n"/>
      <c r="V189" s="151" t="n"/>
      <c r="W189" s="151" t="n"/>
      <c r="X189" s="732" t="n">
        <v>0.0514</v>
      </c>
      <c r="Y189" s="732" t="n">
        <v>0.0514</v>
      </c>
      <c r="Z189" s="151" t="n"/>
      <c r="AA189" s="732" t="n">
        <v>0.0571</v>
      </c>
      <c r="AB189" s="151" t="n"/>
      <c r="AC189" s="732" t="n">
        <v>0.0571</v>
      </c>
      <c r="AD189" s="151" t="n"/>
      <c r="AE189" s="151" t="n"/>
      <c r="AF189" s="151" t="n"/>
      <c r="AG189" s="151" t="n"/>
      <c r="AH189" s="732" t="n">
        <v>0.3396</v>
      </c>
      <c r="AI189" s="151" t="n"/>
      <c r="AJ189" s="732" t="n">
        <v>0.3396</v>
      </c>
      <c r="AK189" s="151" t="n"/>
      <c r="AL189" s="151" t="n"/>
      <c r="AM189" s="269" t="inlineStr">
        <is>
          <t>I&amp;E Survey 2024; modified gross; owner pays ins/R&amp;M/mgmt only; tenant pays utils/trash; 70,000 SF; partial expense data</t>
        </is>
      </c>
    </row>
    <row r="190" ht="14" customHeight="1" s="518">
      <c r="A190" s="285" t="inlineStr">
        <is>
          <t>P099</t>
        </is>
      </c>
      <c r="B190" s="150" t="n">
        <v>210</v>
      </c>
      <c r="C190" s="285" t="inlineStr">
        <is>
          <t>R0111914</t>
        </is>
      </c>
      <c r="D190" s="286" t="inlineStr">
        <is>
          <t>1963 Jasper St</t>
        </is>
      </c>
      <c r="E190" s="285" t="inlineStr">
        <is>
          <t>Aurora</t>
        </is>
      </c>
      <c r="F190" s="285" t="inlineStr">
        <is>
          <t>CO</t>
        </is>
      </c>
      <c r="G190" s="285" t="inlineStr">
        <is>
          <t>Industrial</t>
        </is>
      </c>
      <c r="H190" s="286" t="inlineStr">
        <is>
          <t>Multi-Tenant Industrial Gross</t>
        </is>
      </c>
      <c r="I190" s="287" t="n"/>
      <c r="J190" s="287" t="n">
        <v>33574</v>
      </c>
      <c r="K190" s="287" t="n">
        <v>2024</v>
      </c>
      <c r="L190" s="731" t="n">
        <v>9.829000000000001</v>
      </c>
      <c r="M190" s="285" t="n"/>
      <c r="N190" s="731" t="n">
        <v>9.829000000000001</v>
      </c>
      <c r="O190" s="731" t="n">
        <v>0.2475</v>
      </c>
      <c r="P190" s="731" t="n">
        <v>0.4915</v>
      </c>
      <c r="Q190" s="285" t="n"/>
      <c r="R190" s="285" t="n"/>
      <c r="S190" s="285" t="n"/>
      <c r="T190" s="285" t="n"/>
      <c r="U190" s="285" t="n"/>
      <c r="V190" s="285" t="n"/>
      <c r="W190" s="285" t="n"/>
      <c r="X190" s="731" t="n">
        <v>0.5624</v>
      </c>
      <c r="Y190" s="731" t="n">
        <v>0.5624</v>
      </c>
      <c r="Z190" s="731" t="n">
        <v>0.2949</v>
      </c>
      <c r="AA190" s="731" t="n">
        <v>0.3366</v>
      </c>
      <c r="AB190" s="285" t="n"/>
      <c r="AC190" s="731" t="n">
        <v>0.6314</v>
      </c>
      <c r="AD190" s="285" t="n"/>
      <c r="AE190" s="731" t="n">
        <v>0.3437</v>
      </c>
      <c r="AF190" s="731" t="n">
        <v>0.3437</v>
      </c>
      <c r="AG190" s="285" t="n"/>
      <c r="AH190" s="731" t="n">
        <v>2.2765</v>
      </c>
      <c r="AI190" s="285" t="n"/>
      <c r="AJ190" s="731" t="n">
        <v>2.2765</v>
      </c>
      <c r="AK190" s="731" t="n">
        <v>7.5525</v>
      </c>
      <c r="AL190" s="285" t="n"/>
      <c r="AM190" s="286" t="inlineStr">
        <is>
          <t>I&amp;E Survey 2024; gross lease (tenant pays gas/elec); approx NOI = GRI minus owner expenses; 33,574 SF</t>
        </is>
      </c>
    </row>
    <row r="191" ht="14" customHeight="1" s="518">
      <c r="A191" s="291" t="inlineStr">
        <is>
          <t>P100</t>
        </is>
      </c>
      <c r="B191" s="150" t="n">
        <v>1332</v>
      </c>
      <c r="C191" s="291" t="inlineStr">
        <is>
          <t>R0111965</t>
        </is>
      </c>
      <c r="D191" s="292" t="inlineStr">
        <is>
          <t>12101 Grant St</t>
        </is>
      </c>
      <c r="E191" s="291" t="inlineStr">
        <is>
          <t>Thornton</t>
        </is>
      </c>
      <c r="F191" s="291" t="inlineStr">
        <is>
          <t>CO</t>
        </is>
      </c>
      <c r="G191" s="291" t="inlineStr">
        <is>
          <t>Hospitality</t>
        </is>
      </c>
      <c r="H191" s="292" t="inlineStr">
        <is>
          <t>Hotel Limited Service</t>
        </is>
      </c>
      <c r="I191" s="293" t="n">
        <v>1998</v>
      </c>
      <c r="J191" s="293" t="n"/>
      <c r="K191" s="293" t="n">
        <v>2024</v>
      </c>
      <c r="L191" s="294" t="n">
        <v>3007421</v>
      </c>
      <c r="M191" s="291" t="n"/>
      <c r="N191" s="294" t="n">
        <v>3007421</v>
      </c>
      <c r="O191" s="294" t="n">
        <v>45111</v>
      </c>
      <c r="P191" s="291" t="n"/>
      <c r="Q191" s="291" t="n"/>
      <c r="R191" s="291" t="n"/>
      <c r="S191" s="291" t="n"/>
      <c r="T191" s="291" t="n"/>
      <c r="U191" s="291" t="n"/>
      <c r="V191" s="291" t="n"/>
      <c r="W191" s="291" t="n"/>
      <c r="X191" s="291" t="n"/>
      <c r="Y191" s="291" t="n"/>
      <c r="Z191" s="291" t="n"/>
      <c r="AA191" s="291" t="n"/>
      <c r="AB191" s="291" t="n"/>
      <c r="AC191" s="291" t="n"/>
      <c r="AD191" s="291" t="n"/>
      <c r="AE191" s="291" t="n"/>
      <c r="AF191" s="291" t="n"/>
      <c r="AG191" s="294" t="n">
        <v>1975907</v>
      </c>
      <c r="AH191" s="294" t="n">
        <v>2143856</v>
      </c>
      <c r="AI191" s="291" t="n"/>
      <c r="AJ191" s="294" t="n">
        <v>2143856</v>
      </c>
      <c r="AK191" s="294" t="n">
        <v>863565</v>
      </c>
      <c r="AL191" s="291" t="n"/>
      <c r="AM191" s="292" t="inlineStr">
        <is>
          <t>[NO SF] Appraiser Rushmore income approach (AXG CBOE 2024); 100 rooms; ADR $115; occ 70%; RevPAR $80.50; loaded cap 11.30%; RE prop value ~$7.49M. Total Revenue breakout: Rooms+F&amp;B+Other</t>
        </is>
      </c>
    </row>
    <row r="192" ht="14" customHeight="1" s="518">
      <c r="A192" s="291" t="inlineStr">
        <is>
          <t>P101</t>
        </is>
      </c>
      <c r="B192" s="150" t="n">
        <v>332</v>
      </c>
      <c r="C192" s="291" t="inlineStr">
        <is>
          <t>R0202410</t>
        </is>
      </c>
      <c r="D192" s="292" t="inlineStr">
        <is>
          <t>2556 Oswego St</t>
        </is>
      </c>
      <c r="E192" s="291" t="inlineStr">
        <is>
          <t>Aurora</t>
        </is>
      </c>
      <c r="F192" s="291" t="inlineStr">
        <is>
          <t>CO</t>
        </is>
      </c>
      <c r="G192" s="291" t="inlineStr">
        <is>
          <t>Hospitality</t>
        </is>
      </c>
      <c r="H192" s="292" t="inlineStr">
        <is>
          <t>Hotel Full Service</t>
        </is>
      </c>
      <c r="I192" s="293" t="n">
        <v>2023</v>
      </c>
      <c r="J192" s="293" t="n"/>
      <c r="K192" s="293" t="n">
        <v>2024</v>
      </c>
      <c r="L192" s="294" t="n">
        <v>11899487</v>
      </c>
      <c r="M192" s="291" t="n"/>
      <c r="N192" s="294" t="n">
        <v>11899487</v>
      </c>
      <c r="O192" s="294" t="n">
        <v>154693</v>
      </c>
      <c r="P192" s="291" t="n"/>
      <c r="Q192" s="291" t="n"/>
      <c r="R192" s="291" t="n"/>
      <c r="S192" s="291" t="n"/>
      <c r="T192" s="291" t="n"/>
      <c r="U192" s="291" t="n"/>
      <c r="V192" s="291" t="n"/>
      <c r="W192" s="291" t="n"/>
      <c r="X192" s="291" t="n"/>
      <c r="Y192" s="291" t="n"/>
      <c r="Z192" s="291" t="n"/>
      <c r="AA192" s="291" t="n"/>
      <c r="AB192" s="291" t="n"/>
      <c r="AC192" s="291" t="n"/>
      <c r="AD192" s="291" t="n"/>
      <c r="AE192" s="291" t="n"/>
      <c r="AF192" s="291" t="n"/>
      <c r="AG192" s="294" t="n">
        <v>8760469</v>
      </c>
      <c r="AH192" s="294" t="n">
        <v>8915468</v>
      </c>
      <c r="AI192" s="291" t="n"/>
      <c r="AJ192" s="294" t="n">
        <v>9391447</v>
      </c>
      <c r="AK192" s="294" t="n">
        <v>2984019</v>
      </c>
      <c r="AL192" s="294" t="n">
        <v>475979</v>
      </c>
      <c r="AM192" s="292" t="inlineStr">
        <is>
          <t>[NO SF] Appraiser Rushmore income approach (AXG CBOE 2024); 227 rooms; built 2023; ADR $140; occ 70%; RevPAR $98; loaded cap 12.45%; RE value ~$23.47M (less FF&amp;E)</t>
        </is>
      </c>
    </row>
    <row r="193" ht="14" customHeight="1" s="518">
      <c r="A193" s="291" t="inlineStr">
        <is>
          <t>P102</t>
        </is>
      </c>
      <c r="B193" s="150" t="n">
        <v>332</v>
      </c>
      <c r="C193" s="291" t="inlineStr">
        <is>
          <t>R0024498</t>
        </is>
      </c>
      <c r="D193" s="292" t="inlineStr">
        <is>
          <t>83 E 120th Ave</t>
        </is>
      </c>
      <c r="E193" s="291" t="inlineStr">
        <is>
          <t>Thornton</t>
        </is>
      </c>
      <c r="F193" s="291" t="inlineStr">
        <is>
          <t>CO</t>
        </is>
      </c>
      <c r="G193" s="291" t="inlineStr">
        <is>
          <t>Hospitality</t>
        </is>
      </c>
      <c r="H193" s="292" t="inlineStr">
        <is>
          <t>Hotel Full Service</t>
        </is>
      </c>
      <c r="I193" s="293" t="n">
        <v>1984</v>
      </c>
      <c r="J193" s="293" t="n">
        <v>114796</v>
      </c>
      <c r="K193" s="293" t="n">
        <v>2024</v>
      </c>
      <c r="L193" s="734" t="n">
        <v>66.4378</v>
      </c>
      <c r="M193" s="291" t="n"/>
      <c r="N193" s="734" t="n">
        <v>66.4378</v>
      </c>
      <c r="O193" s="734" t="n">
        <v>0.8637</v>
      </c>
      <c r="P193" s="291" t="n"/>
      <c r="Q193" s="291" t="n"/>
      <c r="R193" s="291" t="n"/>
      <c r="S193" s="291" t="n"/>
      <c r="T193" s="291" t="n"/>
      <c r="U193" s="291" t="n"/>
      <c r="V193" s="291" t="n"/>
      <c r="W193" s="291" t="n"/>
      <c r="X193" s="291" t="n"/>
      <c r="Y193" s="291" t="n"/>
      <c r="Z193" s="291" t="n"/>
      <c r="AA193" s="291" t="n"/>
      <c r="AB193" s="291" t="n"/>
      <c r="AC193" s="291" t="n"/>
      <c r="AD193" s="291" t="n"/>
      <c r="AE193" s="291" t="n"/>
      <c r="AF193" s="291" t="n"/>
      <c r="AG193" s="734" t="n">
        <v>48.7513</v>
      </c>
      <c r="AH193" s="734" t="n">
        <v>51.4075</v>
      </c>
      <c r="AI193" s="291" t="n"/>
      <c r="AJ193" s="734" t="n">
        <v>54.0651</v>
      </c>
      <c r="AK193" s="734" t="n">
        <v>15.0303</v>
      </c>
      <c r="AL193" s="734" t="n">
        <v>2.6575</v>
      </c>
      <c r="AM193" s="292" t="inlineStr">
        <is>
          <t>Appraiser Rushmore income approach (AXG CBOE 2024); 137 rooms; 114,796 SF; 2 bldgs; 1984 YOC; ADR $142; occ 70%; loaded cap 10.56%; RE value $15.78M (less FF&amp;E); STR data: occ ~73%, ADR ~$147-161</t>
        </is>
      </c>
    </row>
    <row r="194" ht="14" customHeight="1" s="518">
      <c r="A194" s="285" t="inlineStr">
        <is>
          <t>P103</t>
        </is>
      </c>
      <c r="B194" s="150" t="n">
        <v>407</v>
      </c>
      <c r="C194" s="285" t="inlineStr">
        <is>
          <t>R0075212</t>
        </is>
      </c>
      <c r="D194" s="286" t="inlineStr">
        <is>
          <t>10500 Havana Ct</t>
        </is>
      </c>
      <c r="E194" s="285" t="inlineStr">
        <is>
          <t>Commerce City</t>
        </is>
      </c>
      <c r="F194" s="285" t="inlineStr">
        <is>
          <t>CO</t>
        </is>
      </c>
      <c r="G194" s="285" t="inlineStr">
        <is>
          <t>Industrial</t>
        </is>
      </c>
      <c r="H194" s="286" t="inlineStr">
        <is>
          <t>Industrial NNN</t>
        </is>
      </c>
      <c r="I194" s="287" t="n"/>
      <c r="J194" s="287" t="n">
        <v>30000</v>
      </c>
      <c r="K194" s="287" t="n">
        <v>2024</v>
      </c>
      <c r="L194" s="731" t="n">
        <v>8.4</v>
      </c>
      <c r="M194" s="285" t="n"/>
      <c r="N194" s="285" t="n"/>
      <c r="O194" s="731" t="n">
        <v>0.7568</v>
      </c>
      <c r="P194" s="731" t="n">
        <v>0.3167</v>
      </c>
      <c r="Q194" s="285" t="n"/>
      <c r="R194" s="285" t="n"/>
      <c r="S194" s="285" t="n"/>
      <c r="T194" s="285" t="n"/>
      <c r="U194" s="285" t="n"/>
      <c r="V194" s="285" t="n"/>
      <c r="W194" s="285" t="n"/>
      <c r="X194" s="731" t="n">
        <v>0.3647</v>
      </c>
      <c r="Y194" s="731" t="n">
        <v>0.3647</v>
      </c>
      <c r="Z194" s="731" t="n">
        <v>0.1164</v>
      </c>
      <c r="AA194" s="731" t="n">
        <v>0.2303</v>
      </c>
      <c r="AB194" s="285" t="n"/>
      <c r="AC194" s="731" t="n">
        <v>0.3468</v>
      </c>
      <c r="AD194" s="285" t="n"/>
      <c r="AE194" s="731" t="n">
        <v>0.06519999999999999</v>
      </c>
      <c r="AF194" s="731" t="n">
        <v>0.06519999999999999</v>
      </c>
      <c r="AG194" s="285" t="n"/>
      <c r="AH194" s="731" t="n">
        <v>1.8501</v>
      </c>
      <c r="AI194" s="285" t="n"/>
      <c r="AJ194" s="731" t="n">
        <v>1.8501</v>
      </c>
      <c r="AK194" s="285" t="n"/>
      <c r="AL194" s="285" t="n"/>
      <c r="AM194" s="286" t="inlineStr">
        <is>
          <t>I&amp;E Survey 2024; NNN lease; owner-reported; 30,000 SF; no NOI computed (no EGI reported)</t>
        </is>
      </c>
    </row>
    <row r="195" ht="14" customHeight="1" s="518">
      <c r="A195" s="151" t="inlineStr">
        <is>
          <t>P089</t>
        </is>
      </c>
      <c r="B195" s="150" t="n">
        <v>407</v>
      </c>
      <c r="C195" s="151" t="inlineStr">
        <is>
          <t>R0180951</t>
        </is>
      </c>
      <c r="D195" s="269" t="inlineStr">
        <is>
          <t>21200 E 36th Dr</t>
        </is>
      </c>
      <c r="E195" s="151" t="inlineStr">
        <is>
          <t>Aurora</t>
        </is>
      </c>
      <c r="F195" s="151" t="inlineStr">
        <is>
          <t>CO</t>
        </is>
      </c>
      <c r="G195" s="151" t="inlineStr">
        <is>
          <t>Industrial</t>
        </is>
      </c>
      <c r="H195" s="269" t="inlineStr">
        <is>
          <t>Industrial NNN</t>
        </is>
      </c>
      <c r="I195" s="161" t="n">
        <v>2016</v>
      </c>
      <c r="J195" s="161" t="n">
        <v>122106</v>
      </c>
      <c r="K195" s="161" t="n">
        <v>2024</v>
      </c>
      <c r="L195" s="151" t="n"/>
      <c r="M195" s="151" t="n"/>
      <c r="N195" s="151" t="n"/>
      <c r="O195" s="732" t="n">
        <v>0.0625</v>
      </c>
      <c r="P195" s="151" t="n"/>
      <c r="Q195" s="151" t="n"/>
      <c r="R195" s="151" t="n"/>
      <c r="S195" s="151" t="n"/>
      <c r="T195" s="151" t="n"/>
      <c r="U195" s="151" t="n"/>
      <c r="V195" s="151" t="n"/>
      <c r="W195" s="151" t="n"/>
      <c r="X195" s="732" t="n">
        <v>0.3183</v>
      </c>
      <c r="Y195" s="732" t="n">
        <v>0.3183</v>
      </c>
      <c r="Z195" s="732" t="n">
        <v>0.1129</v>
      </c>
      <c r="AA195" s="732" t="n">
        <v>0.09669999999999999</v>
      </c>
      <c r="AB195" s="151" t="n"/>
      <c r="AC195" s="732" t="n">
        <v>0.2096</v>
      </c>
      <c r="AD195" s="732" t="n">
        <v>0.4794</v>
      </c>
      <c r="AE195" s="151" t="n"/>
      <c r="AF195" s="732" t="n">
        <v>0.4794</v>
      </c>
      <c r="AG195" s="151" t="n"/>
      <c r="AH195" s="151" t="n"/>
      <c r="AI195" s="732" t="n">
        <v>4.358</v>
      </c>
      <c r="AJ195" s="732" t="n">
        <v>5.4279</v>
      </c>
      <c r="AK195" s="151" t="n"/>
      <c r="AL195" s="151" t="n"/>
      <c r="AM195" s="269" t="inlineStr">
        <is>
          <t>MT.xlsx 2024 survey — DETAIL UPDATE for R0180951; R&amp;M $38,871/Grd Maint $11,809/Snow-Trash $13,785 additional breakdown (matches WH Expenses totals)</t>
        </is>
      </c>
    </row>
    <row r="196" ht="14" customHeight="1" s="518">
      <c r="A196" s="285" t="inlineStr">
        <is>
          <t>P104</t>
        </is>
      </c>
      <c r="B196" s="150" t="n">
        <v>210</v>
      </c>
      <c r="C196" s="285" t="inlineStr">
        <is>
          <t>R0226379</t>
        </is>
      </c>
      <c r="D196" s="286" t="inlineStr">
        <is>
          <t>26100 E 68th Ave</t>
        </is>
      </c>
      <c r="E196" s="285" t="inlineStr">
        <is>
          <t>Aurora</t>
        </is>
      </c>
      <c r="F196" s="285" t="inlineStr">
        <is>
          <t>CO</t>
        </is>
      </c>
      <c r="G196" s="285" t="inlineStr">
        <is>
          <t>Industrial</t>
        </is>
      </c>
      <c r="H196" s="286" t="inlineStr">
        <is>
          <t>Industrial Multi-Tenant</t>
        </is>
      </c>
      <c r="I196" s="287" t="n"/>
      <c r="J196" s="287" t="n">
        <v>187720</v>
      </c>
      <c r="K196" s="287" t="n">
        <v>2024</v>
      </c>
      <c r="L196" s="731" t="n">
        <v>7.35</v>
      </c>
      <c r="M196" s="731" t="n">
        <v>6.1013</v>
      </c>
      <c r="N196" s="731" t="n">
        <v>13.4512</v>
      </c>
      <c r="O196" s="731" t="n">
        <v>0.9408</v>
      </c>
      <c r="P196" s="731" t="n">
        <v>0.6045</v>
      </c>
      <c r="Q196" s="285" t="n"/>
      <c r="R196" s="285" t="n"/>
      <c r="S196" s="731" t="n">
        <v>0.091</v>
      </c>
      <c r="T196" s="731" t="n">
        <v>0.0133</v>
      </c>
      <c r="U196" s="285" t="n"/>
      <c r="V196" s="731" t="n">
        <v>0.0316</v>
      </c>
      <c r="W196" s="731" t="n">
        <v>0.073</v>
      </c>
      <c r="X196" s="731" t="n">
        <v>0.08649999999999999</v>
      </c>
      <c r="Y196" s="731" t="n">
        <v>0.2954</v>
      </c>
      <c r="Z196" s="285" t="n"/>
      <c r="AA196" s="731" t="n">
        <v>0.0495</v>
      </c>
      <c r="AB196" s="731" t="n">
        <v>0.1714</v>
      </c>
      <c r="AC196" s="731" t="n">
        <v>0.3656</v>
      </c>
      <c r="AD196" s="731" t="n">
        <v>0.1559</v>
      </c>
      <c r="AE196" s="731" t="n">
        <v>0.0609</v>
      </c>
      <c r="AF196" s="731" t="n">
        <v>0.2168</v>
      </c>
      <c r="AG196" s="731" t="n">
        <v>0.0238</v>
      </c>
      <c r="AH196" s="731" t="n">
        <v>3.1568</v>
      </c>
      <c r="AI196" s="731" t="n">
        <v>3.6317</v>
      </c>
      <c r="AJ196" s="731" t="n">
        <v>6.7886</v>
      </c>
      <c r="AK196" s="731" t="n">
        <v>6.6627</v>
      </c>
      <c r="AL196" s="285" t="n"/>
      <c r="AM196" s="286" t="inlineStr">
        <is>
          <t>2024 actuals; CAM reimb + TBB structure; TBBs (178,730.57) included in Total OPX; RE Taxes include Metro District (179,316.74); Mgmt = CAM Mgmt + non-recov mgmt; Landscape+Snow+Security+Sweeping in Contract Svcs; SF unknown</t>
        </is>
      </c>
    </row>
    <row r="197" ht="14" customHeight="1" s="518">
      <c r="A197" s="151" t="inlineStr">
        <is>
          <t>P104</t>
        </is>
      </c>
      <c r="B197" s="150" t="n">
        <v>210</v>
      </c>
      <c r="C197" s="151" t="inlineStr">
        <is>
          <t>R0226379</t>
        </is>
      </c>
      <c r="D197" s="269" t="inlineStr">
        <is>
          <t>26100 E 68th Ave</t>
        </is>
      </c>
      <c r="E197" s="151" t="inlineStr">
        <is>
          <t>Aurora</t>
        </is>
      </c>
      <c r="F197" s="151" t="inlineStr">
        <is>
          <t>CO</t>
        </is>
      </c>
      <c r="G197" s="151" t="inlineStr">
        <is>
          <t>Industrial</t>
        </is>
      </c>
      <c r="H197" s="269" t="inlineStr">
        <is>
          <t>Industrial Multi-Tenant</t>
        </is>
      </c>
      <c r="I197" s="161" t="n"/>
      <c r="J197" s="161" t="n">
        <v>187720</v>
      </c>
      <c r="K197" s="161" t="n">
        <v>2023</v>
      </c>
      <c r="L197" s="732" t="n">
        <v>6.3132</v>
      </c>
      <c r="M197" s="732" t="n">
        <v>6.0317</v>
      </c>
      <c r="N197" s="732" t="n">
        <v>12.3449</v>
      </c>
      <c r="O197" s="732" t="n">
        <v>0.6231</v>
      </c>
      <c r="P197" s="732" t="n">
        <v>0.5661</v>
      </c>
      <c r="Q197" s="151" t="n"/>
      <c r="R197" s="151" t="n"/>
      <c r="S197" s="732" t="n">
        <v>0.0179</v>
      </c>
      <c r="T197" s="732" t="n">
        <v>0.0238</v>
      </c>
      <c r="U197" s="151" t="n"/>
      <c r="V197" s="732" t="n">
        <v>0.1469</v>
      </c>
      <c r="W197" s="732" t="n">
        <v>0.0926</v>
      </c>
      <c r="X197" s="732" t="n">
        <v>0.0829</v>
      </c>
      <c r="Y197" s="732" t="n">
        <v>0.3641</v>
      </c>
      <c r="Z197" s="151" t="n"/>
      <c r="AA197" s="732" t="n">
        <v>0.057</v>
      </c>
      <c r="AB197" s="732" t="n">
        <v>0.1505</v>
      </c>
      <c r="AC197" s="732" t="n">
        <v>0.485</v>
      </c>
      <c r="AD197" s="732" t="n">
        <v>0.138</v>
      </c>
      <c r="AE197" s="732" t="n">
        <v>0.0588</v>
      </c>
      <c r="AF197" s="732" t="n">
        <v>0.1967</v>
      </c>
      <c r="AG197" s="732" t="n">
        <v>0.0498</v>
      </c>
      <c r="AH197" s="732" t="n">
        <v>2.8811</v>
      </c>
      <c r="AI197" s="732" t="n">
        <v>3.5113</v>
      </c>
      <c r="AJ197" s="732" t="n">
        <v>6.3924</v>
      </c>
      <c r="AK197" s="732" t="n">
        <v>5.9525</v>
      </c>
      <c r="AL197" s="151" t="n"/>
      <c r="AM197" s="269" t="inlineStr">
        <is>
          <t>2023 actuals; CAM reimb + TBB structure; TBBs (171,359.08) included in Total OPX; RE Taxes include Metro District (172,730.34); Int Unit R&amp;M includes R&amp;M-Other (23,055.03); Other/Admin includes Personal Prop Tax (1,206.89); SF unknown</t>
        </is>
      </c>
    </row>
  </sheetData>
  <mergeCells count="2">
    <mergeCell ref="A2:AM2"/>
    <mergeCell ref="A1:AM1"/>
  </mergeCells>
  <pageMargins left="0.75" right="0.75" top="1" bottom="1" header="0.5" footer="0.5"/>
</worksheet>
</file>

<file path=xl/worksheets/sheet23.xml><?xml version="1.0" encoding="utf-8"?>
<worksheet xmlns="http://schemas.openxmlformats.org/spreadsheetml/2006/main">
  <sheetPr>
    <tabColor rgb="FF0E7490"/>
    <outlinePr summaryBelow="1" summaryRight="1"/>
    <pageSetUpPr/>
  </sheetPr>
  <dimension ref="A1:AI50"/>
  <sheetViews>
    <sheetView tabSelected="1" workbookViewId="0">
      <selection activeCell="H4" sqref="H4"/>
    </sheetView>
  </sheetViews>
  <sheetFormatPr baseColWidth="10" defaultRowHeight="12"/>
  <sheetData>
    <row r="1" ht="13" customHeight="1" s="518">
      <c r="A1" s="581" t="inlineStr">
        <is>
          <t>Address</t>
        </is>
      </c>
      <c r="B1" s="581" t="inlineStr">
        <is>
          <t>Section in CC</t>
        </is>
      </c>
      <c r="C1" s="581" t="inlineStr">
        <is>
          <t>Photo</t>
        </is>
      </c>
      <c r="D1" s="581" t="inlineStr">
        <is>
          <t>Building Size</t>
        </is>
      </c>
      <c r="E1" s="581" t="inlineStr">
        <is>
          <t>Lot Size</t>
        </is>
      </c>
      <c r="F1" s="581" t="inlineStr">
        <is>
          <t>Property Type</t>
        </is>
      </c>
      <c r="G1" s="581" t="inlineStr">
        <is>
          <t>Zoning</t>
        </is>
      </c>
      <c r="H1" s="581" t="inlineStr">
        <is>
          <t>Year Built</t>
        </is>
      </c>
      <c r="I1" s="581" t="inlineStr">
        <is>
          <t>Owner</t>
        </is>
      </c>
      <c r="J1" s="581" t="inlineStr">
        <is>
          <t>Previous Sale Date</t>
        </is>
      </c>
      <c r="K1" s="581" t="inlineStr">
        <is>
          <t>Previous Sale Price</t>
        </is>
      </c>
      <c r="L1" s="581" t="inlineStr">
        <is>
          <t>For Sale</t>
        </is>
      </c>
      <c r="M1" s="581" t="inlineStr">
        <is>
          <t>Status (New Development, Under Construction, Proposed Redevelopment, No current development plans )</t>
        </is>
      </c>
      <c r="N1" s="581" t="inlineStr">
        <is>
          <t>Concept Plan</t>
        </is>
      </c>
      <c r="O1" s="581" t="inlineStr">
        <is>
          <t>Concept Plan Details</t>
        </is>
      </c>
      <c r="P1" s="581" t="inlineStr">
        <is>
          <t>FSDP</t>
        </is>
      </c>
      <c r="Q1" s="581" t="inlineStr">
        <is>
          <t>FSDP Details</t>
        </is>
      </c>
      <c r="R1" s="581" t="inlineStr">
        <is>
          <t>Rezoning Application</t>
        </is>
      </c>
      <c r="S1" s="581" t="inlineStr">
        <is>
          <t>Rezoning Details</t>
        </is>
      </c>
      <c r="T1" s="581" t="inlineStr">
        <is>
          <t>Demolition Permit</t>
        </is>
      </c>
      <c r="U1" s="581" t="inlineStr">
        <is>
          <t>Capital Partner</t>
        </is>
      </c>
      <c r="V1" s="581" t="inlineStr">
        <is>
          <t>Developer</t>
        </is>
      </c>
      <c r="W1" s="581" t="inlineStr">
        <is>
          <t>Architect</t>
        </is>
      </c>
      <c r="X1" s="581" t="inlineStr">
        <is>
          <t>Engineer</t>
        </is>
      </c>
      <c r="Y1" s="581" t="inlineStr">
        <is>
          <t>AI Notes</t>
        </is>
      </c>
      <c r="Z1" s="581" t="inlineStr">
        <is>
          <t>Notes</t>
        </is>
      </c>
      <c r="AA1" s="581" t="inlineStr">
        <is>
          <t>Score</t>
        </is>
      </c>
      <c r="AB1" s="111" t="n"/>
      <c r="AC1" s="111" t="inlineStr">
        <is>
          <t>links</t>
        </is>
      </c>
      <c r="AD1" s="111" t="n"/>
      <c r="AE1" s="111" t="n"/>
      <c r="AF1" s="111" t="n"/>
      <c r="AG1" s="111" t="n"/>
      <c r="AH1" s="111" t="n"/>
      <c r="AI1" s="111" t="n"/>
    </row>
    <row r="2" ht="16" customHeight="1" s="518">
      <c r="A2" s="111" t="inlineStr">
        <is>
          <t>3035 E 3rd Avenue</t>
        </is>
      </c>
      <c r="B2" s="582" t="inlineStr">
        <is>
          <t>Cherry Creek North</t>
        </is>
      </c>
      <c r="C2" s="583" t="inlineStr">
        <is>
          <t>https://www.dropbox.com/scl/fo/4xaxocqxgv9gn6b6w4v84/ACpXrFmqmKmsZW8cGBItERk?rlkey=8f1h2afk2umpzhb3pwcuwikou&amp;st=2m9odqaz&amp;dl=0</t>
        </is>
      </c>
      <c r="D2" s="584" t="n">
        <v>6918</v>
      </c>
      <c r="E2" s="584" t="n">
        <v>18750</v>
      </c>
      <c r="F2" s="585" t="inlineStr">
        <is>
          <t>Retail</t>
        </is>
      </c>
      <c r="G2" s="585" t="inlineStr">
        <is>
          <t>C-CCN-4</t>
        </is>
      </c>
      <c r="H2" s="584" t="n">
        <v>1994</v>
      </c>
      <c r="I2" s="584" t="inlineStr">
        <is>
          <t>Phenomena LLC</t>
        </is>
      </c>
      <c r="J2" s="586" t="n">
        <v>45870</v>
      </c>
      <c r="K2" s="735" t="n">
        <v>9850000</v>
      </c>
      <c r="L2" s="584" t="inlineStr">
        <is>
          <t>No</t>
        </is>
      </c>
      <c r="M2" s="584" t="inlineStr">
        <is>
          <t>Tenant occupied</t>
        </is>
      </c>
      <c r="N2" s="584" t="inlineStr">
        <is>
          <t>Yes</t>
        </is>
      </c>
      <c r="O2" s="111" t="n"/>
      <c r="P2" s="584" t="inlineStr">
        <is>
          <t>Yes</t>
        </is>
      </c>
      <c r="Q2" s="584" t="inlineStr">
        <is>
          <t>our story, mixed-use office building of approximately 88,079 Gross Square Feet, which includes 2 levels of subgrade parking (32,824 sf), retail tenant space at the ground level, and office space in levels 2-4 (46,849 sf).</t>
        </is>
      </c>
      <c r="R2" s="111" t="inlineStr">
        <is>
          <t>N/A</t>
        </is>
      </c>
      <c r="S2" s="111" t="n"/>
      <c r="T2" s="111" t="n"/>
      <c r="U2" s="111" t="inlineStr">
        <is>
          <t>Stru Development</t>
        </is>
      </c>
      <c r="V2" s="111" t="inlineStr">
        <is>
          <t>Stru Development</t>
        </is>
      </c>
      <c r="W2" s="111" t="n"/>
      <c r="X2" s="111" t="n"/>
      <c r="Y2" s="111" t="n"/>
      <c r="Z2" s="111" t="n"/>
      <c r="AA2" s="111" t="n">
        <v>3</v>
      </c>
      <c r="AB2" s="111" t="n"/>
      <c r="AC2" s="111" t="n"/>
      <c r="AD2" s="111" t="n"/>
      <c r="AE2" s="111" t="n"/>
      <c r="AF2" s="111" t="n"/>
      <c r="AG2" s="111" t="n"/>
      <c r="AH2" s="111" t="n"/>
      <c r="AI2" s="111" t="n"/>
    </row>
    <row r="3" ht="16" customHeight="1" s="518">
      <c r="A3" s="111" t="inlineStr">
        <is>
          <t>215 Detroit Street</t>
        </is>
      </c>
      <c r="B3" s="582" t="inlineStr">
        <is>
          <t>Cherry Creek North</t>
        </is>
      </c>
      <c r="C3" s="583" t="inlineStr">
        <is>
          <t>https://www.dropbox.com/scl/fo/8llhpnnfsifme6rrq1xzt/AJN_cHWHcUTy5NMqBuvDmK4?rlkey=92zlvwaec6yi7x2209x5c14nf&amp;st=bongf4hf&amp;dl=0</t>
        </is>
      </c>
      <c r="D3" s="584" t="n">
        <v>85000</v>
      </c>
      <c r="E3" s="584" t="n">
        <v>30625</v>
      </c>
      <c r="F3" s="585" t="inlineStr">
        <is>
          <t>Retail</t>
        </is>
      </c>
      <c r="G3" s="585" t="inlineStr">
        <is>
          <t>C-CCN-8</t>
        </is>
      </c>
      <c r="H3" s="584" t="inlineStr">
        <is>
          <t>Planned</t>
        </is>
      </c>
      <c r="I3" s="584" t="inlineStr">
        <is>
          <t>Stillwater Capital</t>
        </is>
      </c>
      <c r="J3" s="584" t="n">
        <v>2022</v>
      </c>
      <c r="K3" s="735" t="n">
        <v>29000000</v>
      </c>
      <c r="L3" s="584" t="inlineStr">
        <is>
          <t>No</t>
        </is>
      </c>
      <c r="M3" s="584" t="inlineStr">
        <is>
          <t>Tenant occupied</t>
        </is>
      </c>
      <c r="N3" s="584" t="inlineStr">
        <is>
          <t>Yes</t>
        </is>
      </c>
      <c r="O3" s="111" t="n"/>
      <c r="P3" s="584" t="inlineStr">
        <is>
          <t>Yes</t>
        </is>
      </c>
      <c r="Q3" s="111" t="inlineStr">
        <is>
          <t>8-story, 42 unit Four Seasons branded condominiums with ground floor retail dedicated to an eating &amp; drinking establishment</t>
        </is>
      </c>
      <c r="R3" s="111" t="n"/>
      <c r="S3" s="111" t="n"/>
      <c r="T3" s="111" t="n"/>
      <c r="U3" s="111" t="inlineStr">
        <is>
          <t>Wexford Real Estate Investors / Brue Baukol Capital Partners / Zabel Investment Co.</t>
        </is>
      </c>
      <c r="V3" s="111" t="inlineStr">
        <is>
          <t>Stillwater Capital</t>
        </is>
      </c>
      <c r="W3" s="111" t="inlineStr">
        <is>
          <t>SB Architects</t>
        </is>
      </c>
      <c r="X3" s="111" t="n"/>
      <c r="Y3" s="111" t="n"/>
      <c r="Z3" s="111" t="n"/>
      <c r="AA3" s="111" t="n">
        <v>3</v>
      </c>
      <c r="AB3" s="111" t="n"/>
      <c r="AC3" s="111" t="n"/>
      <c r="AD3" s="111" t="n"/>
      <c r="AE3" s="111" t="n"/>
      <c r="AF3" s="111" t="n"/>
      <c r="AG3" s="111" t="n"/>
      <c r="AH3" s="111" t="n"/>
      <c r="AI3" s="111" t="n"/>
    </row>
    <row r="4" ht="16" customHeight="1" s="518">
      <c r="A4" s="111" t="inlineStr">
        <is>
          <t>3113 E 3rd Ave</t>
        </is>
      </c>
      <c r="B4" s="582" t="inlineStr">
        <is>
          <t>Cherry Creek North</t>
        </is>
      </c>
      <c r="C4" s="583" t="inlineStr">
        <is>
          <t>https://www.dropbox.com/scl/fo/gypby5fzmu7byus90iu9q/AHMPbbdZQaScR4d4SbxBrD4?rlkey=fo2dg8abe7fdviq5m2dgfxp3g&amp;st=g5qqh2bo&amp;dl=0</t>
        </is>
      </c>
      <c r="D4" s="584" t="n">
        <v>4950</v>
      </c>
      <c r="E4" s="584" t="n">
        <v>6250</v>
      </c>
      <c r="F4" s="585" t="inlineStr">
        <is>
          <t>Retail</t>
        </is>
      </c>
      <c r="G4" s="585" t="inlineStr">
        <is>
          <t>C-CCN-4</t>
        </is>
      </c>
      <c r="H4" s="584" t="n">
        <v>1974</v>
      </c>
      <c r="I4" s="584" t="inlineStr">
        <is>
          <t>ANGEL LOU INVESTMENTS LLC</t>
        </is>
      </c>
      <c r="J4" s="588" t="n">
        <v>36175</v>
      </c>
      <c r="K4" s="735" t="n">
        <v>1000000</v>
      </c>
      <c r="L4" s="584" t="inlineStr">
        <is>
          <t>No</t>
        </is>
      </c>
      <c r="M4" s="584" t="inlineStr">
        <is>
          <t>Tenant occupied</t>
        </is>
      </c>
      <c r="N4" s="584" t="inlineStr">
        <is>
          <t>No</t>
        </is>
      </c>
      <c r="O4" s="584" t="inlineStr">
        <is>
          <t>N/A</t>
        </is>
      </c>
      <c r="P4" s="584" t="inlineStr">
        <is>
          <t>No</t>
        </is>
      </c>
      <c r="Q4" s="584" t="inlineStr">
        <is>
          <t>N/A</t>
        </is>
      </c>
      <c r="R4" s="584" t="inlineStr">
        <is>
          <t>N/A</t>
        </is>
      </c>
      <c r="S4" s="584" t="inlineStr">
        <is>
          <t>N/A</t>
        </is>
      </c>
      <c r="T4" s="111" t="n"/>
      <c r="U4" s="111" t="n"/>
      <c r="V4" s="111" t="n"/>
      <c r="W4" s="111" t="n"/>
      <c r="X4" s="111" t="n"/>
      <c r="Y4" s="111" t="n"/>
      <c r="Z4" s="111" t="inlineStr">
        <is>
          <t>Owned by the Louis Family, long time cherry creek owners</t>
        </is>
      </c>
      <c r="AA4" s="111" t="n">
        <v>1</v>
      </c>
      <c r="AB4" s="111" t="n"/>
      <c r="AC4" s="111" t="n"/>
      <c r="AD4" s="111" t="n"/>
      <c r="AE4" s="111" t="n"/>
      <c r="AF4" s="111" t="n"/>
      <c r="AG4" s="111" t="n"/>
      <c r="AH4" s="111" t="n"/>
      <c r="AI4" s="111" t="n"/>
    </row>
    <row r="5" ht="16" customHeight="1" s="518">
      <c r="A5" s="111" t="inlineStr">
        <is>
          <t>311 Steele Street</t>
        </is>
      </c>
      <c r="B5" s="584" t="inlineStr">
        <is>
          <t>Cherry Creek North</t>
        </is>
      </c>
      <c r="C5" s="583" t="inlineStr">
        <is>
          <t>https://www.dropbox.com/scl/fo/zag8ck7ap07k341rqp1pe/AJdF_9WYCwZ_vCWNTll3coQ?rlkey=5xrtclp5ogcsuuyxewlpqkqyo&amp;st=vupt093d&amp;dl=0</t>
        </is>
      </c>
      <c r="D5" s="589" t="n">
        <v>14005</v>
      </c>
      <c r="E5" s="584" t="n">
        <v>18750</v>
      </c>
      <c r="F5" s="585" t="inlineStr">
        <is>
          <t>Medical Office</t>
        </is>
      </c>
      <c r="G5" s="585" t="inlineStr">
        <is>
          <t>C-CCN-4</t>
        </is>
      </c>
      <c r="H5" s="584" t="n">
        <v>1980</v>
      </c>
      <c r="I5" s="584" t="inlineStr">
        <is>
          <t>UNIVERSITY OF COLORADO HEALTH</t>
        </is>
      </c>
      <c r="J5" s="588" t="n">
        <v>42502</v>
      </c>
      <c r="K5" s="735" t="n">
        <v>8400100</v>
      </c>
      <c r="L5" s="584" t="inlineStr">
        <is>
          <t>No</t>
        </is>
      </c>
      <c r="M5" s="584" t="inlineStr">
        <is>
          <t>Owner Occupied by University of Colorado Health</t>
        </is>
      </c>
      <c r="N5" s="584" t="inlineStr">
        <is>
          <t>No</t>
        </is>
      </c>
      <c r="O5" s="584" t="inlineStr">
        <is>
          <t>N/A</t>
        </is>
      </c>
      <c r="P5" s="584" t="inlineStr">
        <is>
          <t>No</t>
        </is>
      </c>
      <c r="Q5" s="584" t="inlineStr">
        <is>
          <t>N/A</t>
        </is>
      </c>
      <c r="R5" s="584" t="inlineStr">
        <is>
          <t>N/A</t>
        </is>
      </c>
      <c r="S5" s="584" t="inlineStr">
        <is>
          <t>N/A</t>
        </is>
      </c>
      <c r="T5" s="111" t="n"/>
      <c r="U5" s="111" t="n"/>
      <c r="V5" s="111" t="n"/>
      <c r="W5" s="111" t="n"/>
      <c r="X5" s="111" t="n"/>
      <c r="Y5" s="111" t="n"/>
      <c r="Z5" s="111" t="inlineStr">
        <is>
          <t>Owner occupoied by University of Colorado Health who acquired the building a decade ago.</t>
        </is>
      </c>
      <c r="AA5" s="111" t="n">
        <v>2</v>
      </c>
      <c r="AB5" s="111" t="n"/>
      <c r="AC5" s="111" t="n"/>
      <c r="AD5" s="111" t="n"/>
      <c r="AE5" s="111" t="n"/>
      <c r="AF5" s="111" t="n"/>
      <c r="AG5" s="111" t="n"/>
      <c r="AH5" s="111" t="n"/>
      <c r="AI5" s="111" t="n"/>
    </row>
    <row r="6" ht="16" customHeight="1" s="518">
      <c r="A6" s="111" t="inlineStr">
        <is>
          <t>3201 E 3rd Avenue</t>
        </is>
      </c>
      <c r="B6" s="582" t="inlineStr">
        <is>
          <t>Cherry Creek North</t>
        </is>
      </c>
      <c r="C6" s="583" t="inlineStr">
        <is>
          <t>https://www.dropbox.com/scl/fo/eqs0mi7fura72bug36mtf/AEaPFDzilEZzDanov3JiLkQ?rlkey=bsw6gay3pdp6o03pdqr3omsm8&amp;st=us7zqk1k&amp;dl=0</t>
        </is>
      </c>
      <c r="D6" s="584" t="n">
        <v>4291</v>
      </c>
      <c r="E6" s="589" t="n">
        <v>6250</v>
      </c>
      <c r="F6" s="584" t="inlineStr">
        <is>
          <t>Retail bldg</t>
        </is>
      </c>
      <c r="G6" s="585" t="inlineStr">
        <is>
          <t>C-CCN-4</t>
        </is>
      </c>
      <c r="H6" s="584" t="n">
        <v>1976</v>
      </c>
      <c r="I6" s="584" t="inlineStr">
        <is>
          <t>3201 JOINT VENTURE</t>
        </is>
      </c>
      <c r="J6" s="584" t="inlineStr">
        <is>
          <t>N/A</t>
        </is>
      </c>
      <c r="K6" s="584" t="inlineStr">
        <is>
          <t>N/A</t>
        </is>
      </c>
      <c r="L6" s="584" t="inlineStr">
        <is>
          <t>Maybe</t>
        </is>
      </c>
      <c r="M6" s="111" t="n"/>
      <c r="N6" s="584" t="inlineStr">
        <is>
          <t>No</t>
        </is>
      </c>
      <c r="O6" s="584" t="inlineStr">
        <is>
          <t>N/A</t>
        </is>
      </c>
      <c r="P6" s="584" t="inlineStr">
        <is>
          <t>N/A</t>
        </is>
      </c>
      <c r="Q6" s="584" t="inlineStr">
        <is>
          <t>N/A</t>
        </is>
      </c>
      <c r="R6" s="584" t="inlineStr">
        <is>
          <t>N/A</t>
        </is>
      </c>
      <c r="S6" s="584" t="inlineStr">
        <is>
          <t>N/A</t>
        </is>
      </c>
      <c r="T6" s="111" t="inlineStr">
        <is>
          <t>Demo permit issued in 2022</t>
        </is>
      </c>
      <c r="U6" s="111" t="n"/>
      <c r="V6" s="111" t="n"/>
      <c r="W6" s="111" t="n"/>
      <c r="X6" s="111" t="n"/>
      <c r="Y6" s="111" t="n"/>
      <c r="Z6" s="111" t="inlineStr">
        <is>
          <t>Was listed on the market by Buellco, listing appears to be taken down</t>
        </is>
      </c>
      <c r="AA6" s="111" t="n">
        <v>3</v>
      </c>
      <c r="AB6" s="111" t="n"/>
      <c r="AC6" s="583" t="inlineStr">
        <is>
          <t>https://buellco.com/listing/310-steele-st/</t>
        </is>
      </c>
      <c r="AD6" s="111" t="n"/>
      <c r="AE6" s="111" t="n"/>
      <c r="AF6" s="111" t="n"/>
      <c r="AG6" s="111" t="n"/>
      <c r="AH6" s="111" t="n"/>
      <c r="AI6" s="111" t="n"/>
    </row>
    <row r="7" ht="16" customHeight="1" s="518">
      <c r="A7" s="111" t="inlineStr">
        <is>
          <t>310 N Steele Street</t>
        </is>
      </c>
      <c r="B7" s="584" t="inlineStr">
        <is>
          <t>Cherry Creek East</t>
        </is>
      </c>
      <c r="C7" s="583" t="inlineStr">
        <is>
          <t>https://www.dropbox.com/scl/fo/eqs0mi7fura72bug36mtf/AEaPFDzilEZzDanov3JiLkQ?rlkey=bsw6gay3pdp6o03pdqr3omsm8&amp;st=us7zqk1k&amp;dl=0</t>
        </is>
      </c>
      <c r="D7" s="584" t="n">
        <v>4490</v>
      </c>
      <c r="E7" s="584" t="n">
        <v>6250</v>
      </c>
      <c r="F7" s="584" t="inlineStr">
        <is>
          <t>Office</t>
        </is>
      </c>
      <c r="G7" s="585" t="inlineStr">
        <is>
          <t>C-CCN-4</t>
        </is>
      </c>
      <c r="H7" s="584" t="n">
        <v>1976</v>
      </c>
      <c r="I7" s="590" t="inlineStr">
        <is>
          <t>HIRSCHFELD,A BARRY</t>
        </is>
      </c>
      <c r="J7" s="588" t="n">
        <v>43889</v>
      </c>
      <c r="K7" s="735" t="n">
        <v>827100</v>
      </c>
      <c r="L7" s="584" t="inlineStr">
        <is>
          <t>Maybe</t>
        </is>
      </c>
      <c r="M7" s="111" t="n"/>
      <c r="N7" s="584" t="inlineStr">
        <is>
          <t>No</t>
        </is>
      </c>
      <c r="O7" s="584" t="inlineStr">
        <is>
          <t>N/A</t>
        </is>
      </c>
      <c r="P7" s="584" t="inlineStr">
        <is>
          <t>N/A</t>
        </is>
      </c>
      <c r="Q7" s="584" t="inlineStr">
        <is>
          <t>N/A</t>
        </is>
      </c>
      <c r="R7" s="584" t="inlineStr">
        <is>
          <t>N/A</t>
        </is>
      </c>
      <c r="S7" s="584" t="inlineStr">
        <is>
          <t>N/A</t>
        </is>
      </c>
      <c r="T7" s="111" t="inlineStr">
        <is>
          <t>Demo permit issued in 2022</t>
        </is>
      </c>
      <c r="U7" s="111" t="n"/>
      <c r="V7" s="111" t="n"/>
      <c r="W7" s="111" t="n"/>
      <c r="X7" s="111" t="n"/>
      <c r="Y7" s="111" t="n"/>
      <c r="Z7" s="111" t="inlineStr">
        <is>
          <t>Was listed on the market by Buellco, listing appears to be taken down</t>
        </is>
      </c>
      <c r="AA7" s="111" t="n">
        <v>3</v>
      </c>
      <c r="AB7" s="111" t="n"/>
      <c r="AC7" s="583" t="inlineStr">
        <is>
          <t>https://buellco.com/listing/310-steele-st/</t>
        </is>
      </c>
      <c r="AD7" s="111" t="n"/>
      <c r="AE7" s="111" t="n"/>
      <c r="AF7" s="111" t="n"/>
      <c r="AG7" s="111" t="n"/>
      <c r="AH7" s="111" t="n"/>
      <c r="AI7" s="111" t="n"/>
    </row>
    <row r="8" ht="16" customHeight="1" s="518">
      <c r="A8" s="111" t="inlineStr">
        <is>
          <t>272 N Steele Street</t>
        </is>
      </c>
      <c r="B8" s="584" t="inlineStr">
        <is>
          <t>Cherry Creek North</t>
        </is>
      </c>
      <c r="C8" s="583" t="inlineStr">
        <is>
          <t>https://www.dropbox.com/scl/fo/0dfz3nys5kwv7mofmg8xl/ADKy9O9f8LV0EVCNMWy_Jn8?rlkey=2bjxh7uclcnnwi848kcuqtq67&amp;st=b1v1t9bj&amp;dl=0</t>
        </is>
      </c>
      <c r="D8" s="584" t="n">
        <v>1444</v>
      </c>
      <c r="E8" s="589" t="n">
        <v>6250</v>
      </c>
      <c r="F8" s="584" t="inlineStr">
        <is>
          <t>Retail/Office</t>
        </is>
      </c>
      <c r="G8" s="585" t="inlineStr">
        <is>
          <t>C-CCN-4</t>
        </is>
      </c>
      <c r="H8" s="584" t="inlineStr">
        <is>
          <t>2000s</t>
        </is>
      </c>
      <c r="I8" s="584" t="inlineStr">
        <is>
          <t>BAGHER,HOSSEIN A</t>
        </is>
      </c>
      <c r="J8" s="584" t="inlineStr">
        <is>
          <t>N/A</t>
        </is>
      </c>
      <c r="K8" s="584" t="inlineStr">
        <is>
          <t>N/A</t>
        </is>
      </c>
      <c r="L8" s="584" t="inlineStr">
        <is>
          <t>No</t>
        </is>
      </c>
      <c r="M8" s="584" t="inlineStr">
        <is>
          <t>Tenant occupied</t>
        </is>
      </c>
      <c r="N8" s="584" t="inlineStr">
        <is>
          <t>No</t>
        </is>
      </c>
      <c r="O8" s="584" t="inlineStr">
        <is>
          <t>N/A</t>
        </is>
      </c>
      <c r="P8" s="584" t="inlineStr">
        <is>
          <t>N/A</t>
        </is>
      </c>
      <c r="Q8" s="584" t="inlineStr">
        <is>
          <t>N/A</t>
        </is>
      </c>
      <c r="R8" s="584" t="inlineStr">
        <is>
          <t>N/A</t>
        </is>
      </c>
      <c r="S8" s="584" t="inlineStr">
        <is>
          <t>N/A</t>
        </is>
      </c>
      <c r="T8" s="584" t="inlineStr">
        <is>
          <t>N/A</t>
        </is>
      </c>
      <c r="U8" s="111" t="n"/>
      <c r="V8" s="111" t="n"/>
      <c r="W8" s="111" t="n"/>
      <c r="X8" s="111" t="n"/>
      <c r="Y8" s="111" t="n"/>
      <c r="Z8" s="111" t="inlineStr">
        <is>
          <t>Single story building originally built in 1953 and last sold in 1994 for $242,500</t>
        </is>
      </c>
      <c r="AA8" s="111" t="n">
        <v>2</v>
      </c>
      <c r="AB8" s="111" t="n"/>
      <c r="AC8" s="111" t="n"/>
      <c r="AD8" s="111" t="n"/>
      <c r="AE8" s="111" t="n"/>
      <c r="AF8" s="111" t="n"/>
      <c r="AG8" s="111" t="n"/>
      <c r="AH8" s="111" t="n"/>
      <c r="AI8" s="111" t="n"/>
    </row>
    <row r="9" ht="16" customHeight="1" s="518">
      <c r="A9" s="111" t="inlineStr">
        <is>
          <t>3150 E 3rd Avenue</t>
        </is>
      </c>
      <c r="B9" s="582" t="inlineStr">
        <is>
          <t>Cherry Creek North</t>
        </is>
      </c>
      <c r="C9" s="583" t="inlineStr">
        <is>
          <t>https://www.dropbox.com/scl/fo/5oen4ywdvqpvbwgdnrmrw/AAtvbp3j0hgRwBrC0s9P3-M?rlkey=n2gg145396n1qevnk7cjjintu&amp;st=5fts4mat&amp;dl=0</t>
        </is>
      </c>
      <c r="D9" s="584" t="n">
        <v>7080</v>
      </c>
      <c r="E9" s="584" t="n">
        <v>6250</v>
      </c>
      <c r="F9" s="585" t="inlineStr">
        <is>
          <t>Office</t>
        </is>
      </c>
      <c r="G9" s="585" t="inlineStr">
        <is>
          <t>C-CCN-5</t>
        </is>
      </c>
      <c r="H9" s="584" t="n">
        <v>1969</v>
      </c>
      <c r="I9" s="584" t="inlineStr">
        <is>
          <t>EB HOLDINGS LLC</t>
        </is>
      </c>
      <c r="J9" s="588" t="n">
        <v>41611</v>
      </c>
      <c r="K9" s="735" t="n">
        <v>2600000</v>
      </c>
      <c r="L9" s="584" t="inlineStr">
        <is>
          <t>No</t>
        </is>
      </c>
      <c r="M9" s="584" t="inlineStr">
        <is>
          <t>Tenant occupied</t>
        </is>
      </c>
      <c r="N9" s="584" t="inlineStr">
        <is>
          <t>No</t>
        </is>
      </c>
      <c r="O9" s="584" t="inlineStr">
        <is>
          <t>N/A</t>
        </is>
      </c>
      <c r="P9" s="584" t="inlineStr">
        <is>
          <t>N/A</t>
        </is>
      </c>
      <c r="Q9" s="584" t="inlineStr">
        <is>
          <t>N/A</t>
        </is>
      </c>
      <c r="R9" s="584" t="inlineStr">
        <is>
          <t>N/A</t>
        </is>
      </c>
      <c r="S9" s="584" t="inlineStr">
        <is>
          <t>N/A</t>
        </is>
      </c>
      <c r="T9" s="584" t="inlineStr">
        <is>
          <t>N/A</t>
        </is>
      </c>
      <c r="U9" s="111" t="n"/>
      <c r="V9" s="111" t="n"/>
      <c r="W9" s="111" t="n"/>
      <c r="X9" s="111" t="n"/>
      <c r="Y9" s="111" t="n"/>
      <c r="Z9" s="111" t="inlineStr">
        <is>
          <t>multi-tenant medical office built in 1969</t>
        </is>
      </c>
      <c r="AA9" s="111" t="n">
        <v>2</v>
      </c>
      <c r="AB9" s="111" t="n"/>
      <c r="AC9" s="111" t="n"/>
      <c r="AD9" s="111" t="n"/>
      <c r="AE9" s="111" t="n"/>
      <c r="AF9" s="111" t="n"/>
      <c r="AG9" s="111" t="n"/>
      <c r="AH9" s="111" t="n"/>
      <c r="AI9" s="111" t="n"/>
    </row>
    <row r="10" ht="16" customHeight="1" s="518">
      <c r="A10" s="111" t="inlineStr">
        <is>
          <t>3003 E 3rd Ave</t>
        </is>
      </c>
      <c r="B10" s="582" t="inlineStr">
        <is>
          <t>Cherry Creek North</t>
        </is>
      </c>
      <c r="C10" s="583" t="inlineStr">
        <is>
          <t>https://www.dropbox.com/scl/fo/uy2xmm8r5078llf2hjb6z/ACu1Z7rKe0QK0Uxhkdizc4w?rlkey=ank694f8859b5naopnmth5wfi&amp;st=bxd36pg8&amp;dl=0</t>
        </is>
      </c>
      <c r="D10" s="584" t="n">
        <v>24475</v>
      </c>
      <c r="E10" s="584" t="n">
        <v>18750</v>
      </c>
      <c r="F10" s="585" t="inlineStr">
        <is>
          <t>Office</t>
        </is>
      </c>
      <c r="G10" s="585" t="inlineStr">
        <is>
          <t>C-CCN-4</t>
        </is>
      </c>
      <c r="H10" s="584" t="n">
        <v>1976</v>
      </c>
      <c r="I10" s="584" t="inlineStr">
        <is>
          <t>SOLOMAN INVESTMENTS LLC</t>
        </is>
      </c>
      <c r="J10" s="586" t="n">
        <v>41334</v>
      </c>
      <c r="K10" s="735" t="n">
        <v>4700000</v>
      </c>
      <c r="L10" s="584" t="inlineStr">
        <is>
          <t>No</t>
        </is>
      </c>
      <c r="M10" s="584" t="inlineStr">
        <is>
          <t>Tenant occupied</t>
        </is>
      </c>
      <c r="N10" s="584" t="inlineStr">
        <is>
          <t>No</t>
        </is>
      </c>
      <c r="O10" s="584" t="inlineStr">
        <is>
          <t>N/A</t>
        </is>
      </c>
      <c r="P10" s="584" t="inlineStr">
        <is>
          <t>N/A</t>
        </is>
      </c>
      <c r="Q10" s="584" t="inlineStr">
        <is>
          <t>N/A</t>
        </is>
      </c>
      <c r="R10" s="584" t="inlineStr">
        <is>
          <t>N/A</t>
        </is>
      </c>
      <c r="S10" s="584" t="inlineStr">
        <is>
          <t>N/A</t>
        </is>
      </c>
      <c r="T10" s="584" t="inlineStr">
        <is>
          <t>N/A</t>
        </is>
      </c>
      <c r="U10" s="111" t="n"/>
      <c r="V10" s="111" t="n"/>
      <c r="W10" s="111" t="n"/>
      <c r="X10" s="111" t="n"/>
      <c r="Y10" s="111" t="n"/>
      <c r="Z10" s="111" t="inlineStr">
        <is>
          <t>currently leased to chici's a national womens clothing retailer and other local brands.. multitenant office built in 70's. Previously sold in 2013 for $4,700,000</t>
        </is>
      </c>
      <c r="AA10" s="111" t="n">
        <v>2</v>
      </c>
      <c r="AB10" s="111" t="n"/>
      <c r="AC10" s="111" t="n"/>
      <c r="AD10" s="111" t="n"/>
      <c r="AE10" s="111" t="n"/>
      <c r="AF10" s="111" t="n"/>
      <c r="AG10" s="111" t="n"/>
      <c r="AH10" s="111" t="n"/>
      <c r="AI10" s="111" t="n"/>
    </row>
    <row r="11" ht="16" customHeight="1" s="518">
      <c r="A11" s="111" t="inlineStr">
        <is>
          <t>2827-2829 E 3rd Avenue</t>
        </is>
      </c>
      <c r="B11" s="582" t="inlineStr">
        <is>
          <t>Cherry Creek North</t>
        </is>
      </c>
      <c r="C11" s="583" t="inlineStr">
        <is>
          <t>https://www.dropbox.com/scl/fo/fw9cd2axalefmo98fmmyj/AEUgwcrhgB9ztV0NUzyzftY?rlkey=2pg25wmi04c67torc4a86fsde&amp;st=sg2fgiiq&amp;dl=0</t>
        </is>
      </c>
      <c r="D11" s="584" t="n">
        <v>14780</v>
      </c>
      <c r="E11" s="584" t="n">
        <v>12500</v>
      </c>
      <c r="F11" s="585" t="inlineStr">
        <is>
          <t>Retail</t>
        </is>
      </c>
      <c r="G11" s="585" t="inlineStr">
        <is>
          <t>C-CCN-4</t>
        </is>
      </c>
      <c r="H11" s="584" t="inlineStr">
        <is>
          <t>1970s</t>
        </is>
      </c>
      <c r="I11" s="584" t="inlineStr">
        <is>
          <t>2827 E 3RD AVE LLC/315 FILMORE LLC</t>
        </is>
      </c>
      <c r="J11" s="584" t="n">
        <v>1997</v>
      </c>
      <c r="K11" s="584" t="inlineStr">
        <is>
          <t>N/A</t>
        </is>
      </c>
      <c r="L11" s="584" t="inlineStr">
        <is>
          <t>No</t>
        </is>
      </c>
      <c r="M11" s="584" t="inlineStr">
        <is>
          <t>Tenant occupied</t>
        </is>
      </c>
      <c r="N11" s="584" t="inlineStr">
        <is>
          <t>No</t>
        </is>
      </c>
      <c r="O11" s="584" t="inlineStr">
        <is>
          <t>N/A</t>
        </is>
      </c>
      <c r="P11" s="584" t="inlineStr">
        <is>
          <t>N/A</t>
        </is>
      </c>
      <c r="Q11" s="584" t="inlineStr">
        <is>
          <t>N/A</t>
        </is>
      </c>
      <c r="R11" s="584" t="inlineStr">
        <is>
          <t>N/A</t>
        </is>
      </c>
      <c r="S11" s="584" t="inlineStr">
        <is>
          <t>N/A</t>
        </is>
      </c>
      <c r="T11" s="111" t="inlineStr">
        <is>
          <t>N/A</t>
        </is>
      </c>
      <c r="U11" s="111" t="n"/>
      <c r="V11" s="111" t="n"/>
      <c r="W11" s="111" t="n"/>
      <c r="X11" s="111" t="n"/>
      <c r="Y11" s="111" t="n"/>
      <c r="Z11" s="111" t="inlineStr">
        <is>
          <t>Single story multi-tenant retail building with parking lot located on a prime corner. The property previously sold in 1997 for an undisclosed amount.</t>
        </is>
      </c>
      <c r="AA11" s="111" t="n">
        <v>2</v>
      </c>
      <c r="AB11" s="111" t="n"/>
      <c r="AC11" s="111" t="n"/>
      <c r="AD11" s="111" t="n"/>
      <c r="AE11" s="111" t="n"/>
      <c r="AF11" s="111" t="n"/>
      <c r="AG11" s="111" t="n"/>
      <c r="AH11" s="111" t="n"/>
      <c r="AI11" s="111" t="n"/>
    </row>
    <row r="12" ht="68" customHeight="1" s="518">
      <c r="A12" s="111" t="inlineStr">
        <is>
          <t>2817 E 3rd Avenue</t>
        </is>
      </c>
      <c r="B12" s="582" t="inlineStr">
        <is>
          <t>Cherry Creek North</t>
        </is>
      </c>
      <c r="C12" s="583" t="inlineStr">
        <is>
          <t>https://www.dropbox.com/scl/fo/59zhyn2l3zcvka98dtkdp/AI95_GuHJBVfRgiHfSqtf8E?rlkey=2cmrx71c6ye63szgsffi4pao4&amp;st=3m590ugb&amp;dl=0</t>
        </is>
      </c>
      <c r="D12" s="584" t="n">
        <v>13328</v>
      </c>
      <c r="E12" s="584" t="n">
        <v>18750</v>
      </c>
      <c r="F12" s="585" t="inlineStr">
        <is>
          <t>Retail</t>
        </is>
      </c>
      <c r="G12" s="585" t="inlineStr">
        <is>
          <t>C-CCN-4</t>
        </is>
      </c>
      <c r="H12" s="584" t="n">
        <v>1972</v>
      </c>
      <c r="I12" s="591" t="inlineStr">
        <is>
          <t xml:space="preserve">NEW SNEE LLC
</t>
        </is>
      </c>
      <c r="J12" s="588" t="n">
        <v>44540</v>
      </c>
      <c r="K12" s="735" t="n">
        <v>9875000</v>
      </c>
      <c r="L12" s="584" t="inlineStr">
        <is>
          <t>No</t>
        </is>
      </c>
      <c r="M12" s="584" t="inlineStr">
        <is>
          <t>Partially owner occupied</t>
        </is>
      </c>
      <c r="N12" s="584" t="inlineStr">
        <is>
          <t>No</t>
        </is>
      </c>
      <c r="O12" s="584" t="inlineStr">
        <is>
          <t>N/A</t>
        </is>
      </c>
      <c r="P12" s="584" t="inlineStr">
        <is>
          <t>N/A</t>
        </is>
      </c>
      <c r="Q12" s="584" t="inlineStr">
        <is>
          <t>N/A</t>
        </is>
      </c>
      <c r="R12" s="584" t="inlineStr">
        <is>
          <t>N/A</t>
        </is>
      </c>
      <c r="S12" s="584" t="inlineStr">
        <is>
          <t>N/A</t>
        </is>
      </c>
      <c r="T12" s="584" t="inlineStr">
        <is>
          <t>N/A</t>
        </is>
      </c>
      <c r="U12" s="111" t="n"/>
      <c r="V12" s="111" t="n"/>
      <c r="W12" s="111" t="n"/>
      <c r="X12" s="111" t="n"/>
      <c r="Y12" s="111" t="n"/>
      <c r="Z12" s="111" t="inlineStr">
        <is>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is>
      </c>
      <c r="AA12" s="111" t="n">
        <v>2</v>
      </c>
      <c r="AB12" s="111" t="n"/>
      <c r="AC12" s="111" t="n"/>
      <c r="AD12" s="111" t="n"/>
      <c r="AE12" s="111" t="n"/>
      <c r="AF12" s="111" t="n"/>
      <c r="AG12" s="111" t="n"/>
      <c r="AH12" s="111" t="n"/>
      <c r="AI12" s="111" t="n"/>
    </row>
    <row r="13" ht="16" customHeight="1" s="518">
      <c r="A13" s="111" t="inlineStr">
        <is>
          <t>2700 E 3rd Avenue</t>
        </is>
      </c>
      <c r="B13" s="582" t="inlineStr">
        <is>
          <t>Cherry Creek North</t>
        </is>
      </c>
      <c r="C13" s="583" t="inlineStr">
        <is>
          <t>https://www.dropbox.com/scl/fo/eryvklpzvfdk8t0aufj67/AIyacsZ0JzXngDSJGfD0XSs?rlkey=7nmffcn1rih0mjxxtiph643rb&amp;st=fkuofsq6&amp;dl=0</t>
        </is>
      </c>
      <c r="D13" s="584" t="n">
        <v>19326</v>
      </c>
      <c r="E13" s="592" t="n">
        <v>16700</v>
      </c>
      <c r="F13" s="585" t="inlineStr">
        <is>
          <t>Office / Retail</t>
        </is>
      </c>
      <c r="G13" s="585" t="inlineStr">
        <is>
          <t>C-CCN-5</t>
        </is>
      </c>
      <c r="H13" s="593" t="n">
        <v>1966</v>
      </c>
      <c r="I13" s="593" t="inlineStr">
        <is>
          <t>LARIO INVESTMENTS LLC</t>
        </is>
      </c>
      <c r="J13" s="594" t="n">
        <v>45026</v>
      </c>
      <c r="K13" s="736" t="n">
        <v>12500000</v>
      </c>
      <c r="L13" s="584" t="inlineStr">
        <is>
          <t>No</t>
        </is>
      </c>
      <c r="M13" s="584" t="inlineStr">
        <is>
          <t>Tenant Occupied</t>
        </is>
      </c>
      <c r="N13" s="584" t="inlineStr">
        <is>
          <t>No</t>
        </is>
      </c>
      <c r="O13" s="584" t="inlineStr">
        <is>
          <t>N/A</t>
        </is>
      </c>
      <c r="P13" s="584" t="inlineStr">
        <is>
          <t>N/A</t>
        </is>
      </c>
      <c r="Q13" s="584" t="inlineStr">
        <is>
          <t>N/A</t>
        </is>
      </c>
      <c r="R13" s="584" t="inlineStr">
        <is>
          <t>N/A</t>
        </is>
      </c>
      <c r="S13" s="584" t="inlineStr">
        <is>
          <t>N/A</t>
        </is>
      </c>
      <c r="T13" s="584" t="inlineStr">
        <is>
          <t>N/A</t>
        </is>
      </c>
      <c r="U13" s="111" t="n"/>
      <c r="V13" s="111" t="n"/>
      <c r="W13" s="111" t="n"/>
      <c r="X13" s="111" t="n"/>
      <c r="Y13" s="111" t="n"/>
      <c r="Z13" s="111" t="inlineStr">
        <is>
          <t>Multi-tenant retail office building located along prime corner lot.</t>
        </is>
      </c>
      <c r="AA13" s="111" t="n">
        <v>2</v>
      </c>
      <c r="AB13" s="111" t="n"/>
      <c r="AC13" s="111" t="n"/>
      <c r="AD13" s="111" t="n"/>
      <c r="AE13" s="111" t="n"/>
      <c r="AF13" s="111" t="n"/>
      <c r="AG13" s="111" t="n"/>
      <c r="AH13" s="111" t="n"/>
      <c r="AI13" s="111" t="n"/>
    </row>
    <row r="14" ht="16" customHeight="1" s="518">
      <c r="A14" s="111" t="inlineStr">
        <is>
          <t>2440 E 3rd Avenue / 283 Columbine Street</t>
        </is>
      </c>
      <c r="B14" s="111" t="inlineStr">
        <is>
          <t>Cherry Creek North</t>
        </is>
      </c>
      <c r="C14" s="583" t="inlineStr">
        <is>
          <t>https://www.dropbox.com/scl/fo/o99wfsnsoapto0bcb6mb5/AJHyOB0tuez-R430_ExmcMY?rlkey=fp7hygjnzs7jq8wzvnpxsjvi5&amp;st=k3ifr3ej&amp;dl=0</t>
        </is>
      </c>
      <c r="D14" s="111" t="n">
        <v>3477</v>
      </c>
      <c r="E14" s="596" t="n">
        <v>5000</v>
      </c>
      <c r="F14" s="585" t="inlineStr">
        <is>
          <t>Retail</t>
        </is>
      </c>
      <c r="G14" s="585" t="inlineStr">
        <is>
          <t>C-CCN-5</t>
        </is>
      </c>
      <c r="H14" s="111" t="n">
        <v>1953</v>
      </c>
      <c r="I14" s="597" t="inlineStr">
        <is>
          <t>ANGEL LOU COLUMBINE LLC</t>
        </is>
      </c>
      <c r="J14" s="594" t="n">
        <v>41266</v>
      </c>
      <c r="K14" s="736" t="n">
        <v>1200000</v>
      </c>
      <c r="L14" s="111" t="inlineStr">
        <is>
          <t>No</t>
        </is>
      </c>
      <c r="M14" s="584" t="inlineStr">
        <is>
          <t>Tenant Occupied</t>
        </is>
      </c>
      <c r="N14" s="111" t="inlineStr">
        <is>
          <t>No</t>
        </is>
      </c>
      <c r="O14" s="584" t="inlineStr">
        <is>
          <t>N/A</t>
        </is>
      </c>
      <c r="P14" s="584" t="inlineStr">
        <is>
          <t>N/A</t>
        </is>
      </c>
      <c r="Q14" s="584" t="inlineStr">
        <is>
          <t>N/A</t>
        </is>
      </c>
      <c r="R14" s="584" t="inlineStr">
        <is>
          <t>N/A</t>
        </is>
      </c>
      <c r="S14" s="584" t="inlineStr">
        <is>
          <t>N/A</t>
        </is>
      </c>
      <c r="T14" s="584" t="inlineStr">
        <is>
          <t>N/A</t>
        </is>
      </c>
      <c r="U14" s="111" t="n"/>
      <c r="V14" s="111" t="n"/>
      <c r="W14" s="111" t="n"/>
      <c r="X14" s="111" t="n"/>
      <c r="Y14" s="111" t="n"/>
      <c r="Z14" s="111" t="inlineStr">
        <is>
          <t>Multi-tenant retail building occupied by White Peackcok &amp; Pink Nails and Spa. Owned by Louis FAmily, long time cherry creek residents</t>
        </is>
      </c>
      <c r="AA14" s="111" t="n">
        <v>1</v>
      </c>
      <c r="AB14" s="111" t="inlineStr">
        <is>
          <t>Low</t>
        </is>
      </c>
      <c r="AC14" s="111" t="n"/>
      <c r="AD14" s="111" t="n"/>
      <c r="AE14" s="111" t="n"/>
      <c r="AF14" s="111" t="n"/>
      <c r="AG14" s="111" t="n"/>
      <c r="AH14" s="111" t="n"/>
      <c r="AI14" s="111" t="n"/>
    </row>
    <row r="15" ht="16" customHeight="1" s="518">
      <c r="A15" s="111" t="inlineStr">
        <is>
          <t>2422-2426 E 3rd Avenue</t>
        </is>
      </c>
      <c r="B15" s="582" t="inlineStr">
        <is>
          <t>Cherry Creek North</t>
        </is>
      </c>
      <c r="C15" s="583" t="inlineStr">
        <is>
          <t>https://www.dropbox.com/scl/fo/3fx4v2xcmatxkasf29ia4/AMjvPQZX2yqvMuPmdr7FbaE?rlkey=yuwec52mukhqn9kv2o6bigq9h&amp;st=x4ld0txk&amp;dl=0</t>
        </is>
      </c>
      <c r="D15" s="111" t="n">
        <v>2496</v>
      </c>
      <c r="E15" s="592" t="n">
        <v>3750</v>
      </c>
      <c r="F15" s="585" t="inlineStr">
        <is>
          <t>Retail</t>
        </is>
      </c>
      <c r="G15" s="585" t="inlineStr">
        <is>
          <t>C-CCN-5</t>
        </is>
      </c>
      <c r="H15" s="593" t="n">
        <v>1965</v>
      </c>
      <c r="I15" s="598" t="inlineStr">
        <is>
          <t>ANGEL LOU COLUMBINE WEST LLC</t>
        </is>
      </c>
      <c r="J15" s="594" t="n">
        <v>41266</v>
      </c>
      <c r="K15" s="736" t="n">
        <v>1200000</v>
      </c>
      <c r="L15" s="111" t="inlineStr">
        <is>
          <t>No</t>
        </is>
      </c>
      <c r="M15" s="584" t="inlineStr">
        <is>
          <t>Tenant Occupied</t>
        </is>
      </c>
      <c r="N15" s="111" t="inlineStr">
        <is>
          <t>No</t>
        </is>
      </c>
      <c r="O15" s="584" t="inlineStr">
        <is>
          <t>N/A</t>
        </is>
      </c>
      <c r="P15" s="584" t="inlineStr">
        <is>
          <t>N/A</t>
        </is>
      </c>
      <c r="Q15" s="584" t="inlineStr">
        <is>
          <t>N/A</t>
        </is>
      </c>
      <c r="R15" s="599" t="inlineStr">
        <is>
          <t>N/A</t>
        </is>
      </c>
      <c r="S15" s="584" t="inlineStr">
        <is>
          <t>N/A</t>
        </is>
      </c>
      <c r="T15" s="584" t="inlineStr">
        <is>
          <t>N/A</t>
        </is>
      </c>
      <c r="U15" s="111" t="n"/>
      <c r="V15" s="111" t="n"/>
      <c r="W15" s="111" t="n"/>
      <c r="X15" s="111" t="n"/>
      <c r="Y15" s="111" t="n"/>
      <c r="Z15" s="111" t="inlineStr">
        <is>
          <t>Multi-tenant retail building occupied by JK Diamond Co &amp; Hawels Auto Group. Owned by Louis Family, long time cherry creek residents</t>
        </is>
      </c>
      <c r="AA15" s="111" t="n">
        <v>1</v>
      </c>
      <c r="AB15" s="111" t="inlineStr">
        <is>
          <t>Low</t>
        </is>
      </c>
      <c r="AC15" s="583" t="inlineStr">
        <is>
          <t>https://businessden.com/2020/11/02/cherry-creek-wine-shop-owner-pays-3-3m-for-coveted-building-next-door/</t>
        </is>
      </c>
      <c r="AD15" s="111" t="n"/>
      <c r="AE15" s="111" t="n"/>
      <c r="AF15" s="111" t="n"/>
      <c r="AG15" s="111" t="n"/>
      <c r="AH15" s="111" t="n"/>
      <c r="AI15" s="111" t="n"/>
    </row>
    <row r="16" ht="16" customHeight="1" s="518">
      <c r="A16" s="111" t="inlineStr">
        <is>
          <t>2432 E 3rd Avenue</t>
        </is>
      </c>
      <c r="B16" s="582" t="inlineStr">
        <is>
          <t>Cherry Creek North</t>
        </is>
      </c>
      <c r="C16" s="583" t="inlineStr">
        <is>
          <t>https://www.dropbox.com/scl/fi/0eiqc5juwc4n0jh1j5myk/DSC03206.JPG?rlkey=ip1veqgroq46zvnqxqq1k87en&amp;st=dbkb8hev&amp;dl=0</t>
        </is>
      </c>
      <c r="D16" s="111" t="n">
        <v>1692</v>
      </c>
      <c r="E16" s="111" t="n">
        <v>3750</v>
      </c>
      <c r="F16" s="585" t="inlineStr">
        <is>
          <t>Retail</t>
        </is>
      </c>
      <c r="G16" s="585" t="inlineStr">
        <is>
          <t>C-CCN-5</t>
        </is>
      </c>
      <c r="H16" s="600" t="n">
        <v>1890</v>
      </c>
      <c r="I16" s="598" t="inlineStr">
        <is>
          <t>ANGEL LOU COLUMBINE WEST LLC</t>
        </is>
      </c>
      <c r="J16" s="594" t="n">
        <v>42011</v>
      </c>
      <c r="K16" s="736" t="n">
        <v>1400000</v>
      </c>
      <c r="L16" s="111" t="inlineStr">
        <is>
          <t>No</t>
        </is>
      </c>
      <c r="M16" s="584" t="inlineStr">
        <is>
          <t>Tenant Occupied</t>
        </is>
      </c>
      <c r="N16" s="111" t="inlineStr">
        <is>
          <t>No</t>
        </is>
      </c>
      <c r="O16" s="584" t="inlineStr">
        <is>
          <t>N/A</t>
        </is>
      </c>
      <c r="P16" s="584" t="inlineStr">
        <is>
          <t>N/A</t>
        </is>
      </c>
      <c r="Q16" s="584" t="inlineStr">
        <is>
          <t>N/A</t>
        </is>
      </c>
      <c r="R16" s="599" t="inlineStr">
        <is>
          <t>N/A</t>
        </is>
      </c>
      <c r="S16" s="584" t="inlineStr">
        <is>
          <t>N/A</t>
        </is>
      </c>
      <c r="T16" s="584" t="inlineStr">
        <is>
          <t>N/A</t>
        </is>
      </c>
      <c r="U16" s="111" t="n"/>
      <c r="V16" s="111" t="n"/>
      <c r="W16" s="111" t="n"/>
      <c r="X16" s="111" t="n"/>
      <c r="Y16" s="111" t="n"/>
      <c r="Z16" s="111" t="inlineStr">
        <is>
          <t>Single-tenant retail building occupied by Greyson Clothiers. Owned by Louis Family, long time cherry creek residents</t>
        </is>
      </c>
      <c r="AA16" s="111" t="n">
        <v>1</v>
      </c>
      <c r="AB16" s="111" t="inlineStr">
        <is>
          <t>Low</t>
        </is>
      </c>
      <c r="AC16" s="111" t="n"/>
      <c r="AD16" s="111" t="n"/>
      <c r="AE16" s="111" t="n"/>
      <c r="AF16" s="111" t="n"/>
      <c r="AG16" s="111" t="n"/>
      <c r="AH16" s="111" t="n"/>
      <c r="AI16" s="111" t="n"/>
    </row>
    <row r="17" ht="16" customHeight="1" s="518">
      <c r="A17" s="111" t="inlineStr">
        <is>
          <t>2360 E 3rd Avenue</t>
        </is>
      </c>
      <c r="B17" s="582" t="inlineStr">
        <is>
          <t>Cherry Creek North</t>
        </is>
      </c>
      <c r="C17" s="111" t="n"/>
      <c r="D17" s="111" t="n"/>
      <c r="E17" s="111" t="n">
        <v>120124</v>
      </c>
      <c r="F17" s="601" t="inlineStr">
        <is>
          <t>Retail</t>
        </is>
      </c>
      <c r="G17" s="585" t="inlineStr">
        <is>
          <t>C-CCN-5</t>
        </is>
      </c>
      <c r="H17" s="111" t="n">
        <v>1979</v>
      </c>
      <c r="I17" s="598" t="inlineStr">
        <is>
          <t>ANGEL LOU COLUMBINE LLC</t>
        </is>
      </c>
      <c r="J17" s="594" t="n">
        <v>41266</v>
      </c>
      <c r="K17" s="736" t="n">
        <v>1200000</v>
      </c>
      <c r="L17" s="111" t="inlineStr">
        <is>
          <t>No</t>
        </is>
      </c>
      <c r="M17" s="111" t="n"/>
      <c r="N17" s="111" t="inlineStr">
        <is>
          <t>No</t>
        </is>
      </c>
      <c r="O17" s="111" t="n"/>
      <c r="P17" s="584" t="inlineStr">
        <is>
          <t>N/A</t>
        </is>
      </c>
      <c r="Q17" s="111" t="n"/>
      <c r="R17" s="111" t="n"/>
      <c r="S17" s="111" t="n"/>
      <c r="T17" s="111" t="n"/>
      <c r="U17" s="111" t="n"/>
      <c r="V17" s="111" t="n"/>
      <c r="W17" s="111" t="n"/>
      <c r="X17" s="111" t="n"/>
      <c r="Y17" s="111" t="n"/>
      <c r="Z17" s="111" t="n"/>
      <c r="AA17" s="111" t="n"/>
      <c r="AB17" s="111" t="inlineStr">
        <is>
          <t>Low</t>
        </is>
      </c>
      <c r="AC17" s="111" t="n"/>
      <c r="AD17" s="111" t="n"/>
      <c r="AE17" s="111" t="n"/>
      <c r="AF17" s="111" t="n"/>
      <c r="AG17" s="111" t="n"/>
      <c r="AH17" s="111" t="n"/>
      <c r="AI17" s="111" t="n"/>
    </row>
    <row r="18" ht="16" customHeight="1" s="518">
      <c r="A18" s="111" t="inlineStr">
        <is>
          <t>278 University Blvd</t>
        </is>
      </c>
      <c r="B18" s="111" t="inlineStr">
        <is>
          <t>Cherry Creek North</t>
        </is>
      </c>
      <c r="C18" s="583" t="inlineStr">
        <is>
          <t>https://www.dropbox.com/scl/fo/qbcd04do41rxt8tiefj1z/ALMayo1BP-mu13_XFymTf6E?rlkey=m0x5678vlnwmxv1as3ggpwtxk&amp;st=bq528v1k&amp;dl=0</t>
        </is>
      </c>
      <c r="D18" s="111" t="n">
        <v>6356</v>
      </c>
      <c r="E18" s="111" t="n">
        <v>7500</v>
      </c>
      <c r="F18" s="585" t="inlineStr">
        <is>
          <t>Office</t>
        </is>
      </c>
      <c r="G18" s="585" t="inlineStr">
        <is>
          <t>C-CCN-5</t>
        </is>
      </c>
      <c r="H18" s="598" t="n">
        <v>2006</v>
      </c>
      <c r="I18" s="598" t="inlineStr">
        <is>
          <t>HENRICOLL LLC</t>
        </is>
      </c>
      <c r="J18" s="594" t="n">
        <v>39173</v>
      </c>
      <c r="K18" s="736" t="n">
        <v>569000</v>
      </c>
      <c r="L18" s="111" t="inlineStr">
        <is>
          <t>No</t>
        </is>
      </c>
      <c r="M18" s="584" t="inlineStr">
        <is>
          <t>Tenant Occupied</t>
        </is>
      </c>
      <c r="N18" s="111" t="inlineStr">
        <is>
          <t>No</t>
        </is>
      </c>
      <c r="O18" s="584" t="inlineStr">
        <is>
          <t>N/A</t>
        </is>
      </c>
      <c r="P18" s="584" t="inlineStr">
        <is>
          <t>N/A</t>
        </is>
      </c>
      <c r="Q18" s="584" t="inlineStr">
        <is>
          <t>N/A</t>
        </is>
      </c>
      <c r="R18" s="584" t="inlineStr">
        <is>
          <t>N/A</t>
        </is>
      </c>
      <c r="S18" s="584" t="inlineStr">
        <is>
          <t>N/A</t>
        </is>
      </c>
      <c r="T18" s="584" t="inlineStr">
        <is>
          <t>N/A</t>
        </is>
      </c>
      <c r="U18" s="111" t="n"/>
      <c r="V18" s="111" t="n"/>
      <c r="W18" s="111" t="n"/>
      <c r="X18" s="111" t="n"/>
      <c r="Y18" s="111" t="n"/>
      <c r="Z18" s="111" t="inlineStr">
        <is>
          <t>Corner office building tenant occupied by Sunflower Bank</t>
        </is>
      </c>
      <c r="AA18" s="111" t="n"/>
      <c r="AB18" s="111" t="n"/>
      <c r="AC18" s="111" t="n"/>
      <c r="AD18" s="111" t="n"/>
      <c r="AE18" s="111" t="n"/>
      <c r="AF18" s="111" t="n"/>
      <c r="AG18" s="111" t="n"/>
      <c r="AH18" s="111" t="n"/>
      <c r="AI18" s="111" t="n"/>
    </row>
    <row r="19" ht="16" customHeight="1" s="518">
      <c r="A19" s="111" t="inlineStr">
        <is>
          <t>3155 E 1st Avenue</t>
        </is>
      </c>
      <c r="B19" s="111" t="inlineStr">
        <is>
          <t>Cherry Creek North</t>
        </is>
      </c>
      <c r="C19" s="583" t="inlineStr">
        <is>
          <t>https://www.dropbox.com/scl/fo/gw0hg9e85okyunnb7vp93/AF1u-Ym7dmnvQqCxHawS8NQ?rlkey=1hb5y815kyycpkdpurq1uyylm&amp;st=cncv260a&amp;dl=0</t>
        </is>
      </c>
      <c r="D19" s="111" t="n">
        <v>5183</v>
      </c>
      <c r="E19" s="111" t="n">
        <v>11615</v>
      </c>
      <c r="F19" s="585" t="inlineStr">
        <is>
          <t>Retail</t>
        </is>
      </c>
      <c r="G19" s="585" t="inlineStr">
        <is>
          <t>C-CCN-12</t>
        </is>
      </c>
      <c r="H19" s="601" t="n">
        <v>1985</v>
      </c>
      <c r="I19" s="598" t="inlineStr">
        <is>
          <t>WORLD S &amp; L ASSN</t>
        </is>
      </c>
      <c r="J19" s="111" t="n"/>
      <c r="K19" s="111" t="n"/>
      <c r="L19" s="111" t="inlineStr">
        <is>
          <t>No</t>
        </is>
      </c>
      <c r="M19" s="111" t="inlineStr">
        <is>
          <t>Owner Occupied</t>
        </is>
      </c>
      <c r="N19" s="111" t="inlineStr">
        <is>
          <t>No</t>
        </is>
      </c>
      <c r="O19" s="584" t="inlineStr">
        <is>
          <t>N/A</t>
        </is>
      </c>
      <c r="P19" s="584" t="inlineStr">
        <is>
          <t>N/A</t>
        </is>
      </c>
      <c r="Q19" s="584" t="inlineStr">
        <is>
          <t>N/A</t>
        </is>
      </c>
      <c r="R19" s="584" t="inlineStr">
        <is>
          <t>N/A</t>
        </is>
      </c>
      <c r="S19" s="584" t="inlineStr">
        <is>
          <t>N/A</t>
        </is>
      </c>
      <c r="T19" s="584" t="inlineStr">
        <is>
          <t>N/A</t>
        </is>
      </c>
      <c r="U19" s="111" t="n"/>
      <c r="V19" s="111" t="n"/>
      <c r="W19" s="111" t="n"/>
      <c r="X19" s="111" t="n"/>
      <c r="Y19" s="111" t="n"/>
      <c r="Z19" s="111" t="inlineStr">
        <is>
          <t>Owner Occupied Wells Fargo Branch located at a prime corner lot.</t>
        </is>
      </c>
      <c r="AA19" s="111" t="n"/>
      <c r="AB19" s="111" t="n"/>
      <c r="AC19" s="111" t="n"/>
      <c r="AD19" s="111" t="n"/>
      <c r="AE19" s="111" t="n"/>
      <c r="AF19" s="111" t="n"/>
      <c r="AG19" s="111" t="n"/>
      <c r="AH19" s="111" t="n"/>
      <c r="AI19" s="111" t="n"/>
    </row>
    <row r="20" ht="16" customHeight="1" s="518">
      <c r="A20" s="111" t="inlineStr">
        <is>
          <t>248-250 Detroit Street</t>
        </is>
      </c>
      <c r="B20" s="111" t="inlineStr">
        <is>
          <t>Cherry Creek North</t>
        </is>
      </c>
      <c r="C20" s="583" t="inlineStr">
        <is>
          <t>https://www.dropbox.com/scl/fo/1jwcagm70ospkdf5olcx4/AB1-Uutxa5bPLHiunp4wkTo?rlkey=af72j73bf08md0jpv47h1agcd&amp;st=6txvtb9g&amp;dl=0</t>
        </is>
      </c>
      <c r="D20" s="111" t="n">
        <v>3360</v>
      </c>
      <c r="E20" s="111" t="n">
        <v>5563</v>
      </c>
      <c r="F20" s="585" t="inlineStr">
        <is>
          <t>Retail</t>
        </is>
      </c>
      <c r="G20" s="585" t="inlineStr">
        <is>
          <t>C-CCN-5</t>
        </is>
      </c>
      <c r="H20" s="111" t="n">
        <v>1957</v>
      </c>
      <c r="I20" s="602" t="inlineStr">
        <is>
          <t>248-250 DETROIT LLC</t>
        </is>
      </c>
      <c r="J20" s="594" t="n">
        <v>44073</v>
      </c>
      <c r="K20" s="736" t="n">
        <v>3050000</v>
      </c>
      <c r="L20" s="111" t="inlineStr">
        <is>
          <t>Yes</t>
        </is>
      </c>
      <c r="M20" s="111" t="inlineStr">
        <is>
          <t>Tenant Occupied</t>
        </is>
      </c>
      <c r="N20" s="111" t="inlineStr">
        <is>
          <t>No</t>
        </is>
      </c>
      <c r="O20" s="584" t="inlineStr">
        <is>
          <t>N/A</t>
        </is>
      </c>
      <c r="P20" s="584" t="inlineStr">
        <is>
          <t>N/A</t>
        </is>
      </c>
      <c r="Q20" s="584" t="inlineStr">
        <is>
          <t>N/A</t>
        </is>
      </c>
      <c r="R20" s="584" t="inlineStr">
        <is>
          <t>N/A</t>
        </is>
      </c>
      <c r="S20" s="584" t="inlineStr">
        <is>
          <t>N/A</t>
        </is>
      </c>
      <c r="T20" s="584" t="inlineStr">
        <is>
          <t>N/A</t>
        </is>
      </c>
      <c r="U20" s="111" t="n"/>
      <c r="V20" s="111" t="n"/>
      <c r="W20" s="111" t="n"/>
      <c r="X20" s="111" t="n"/>
      <c r="Y20" s="111" t="n"/>
      <c r="Z20" s="111" t="inlineStr">
        <is>
          <t>Two-unit tenant occupied retail building occupied by Beer + Pollen &amp; Ay Papi. The property is currently underutilized and is currently on the market for sale. Redevelopment likely</t>
        </is>
      </c>
      <c r="AA20" s="111" t="n"/>
      <c r="AB20" s="111" t="n"/>
      <c r="AC20" s="111" t="n"/>
      <c r="AD20" s="111" t="n"/>
      <c r="AE20" s="111" t="n"/>
      <c r="AF20" s="111" t="n"/>
      <c r="AG20" s="111" t="n"/>
      <c r="AH20" s="111" t="n"/>
      <c r="AI20" s="111" t="n"/>
    </row>
    <row r="21" ht="16" customHeight="1" s="518">
      <c r="A21" s="111" t="inlineStr">
        <is>
          <t>280 Detroit Street</t>
        </is>
      </c>
      <c r="B21" s="111" t="inlineStr">
        <is>
          <t>Cherry Creek North</t>
        </is>
      </c>
      <c r="C21" s="583" t="inlineStr">
        <is>
          <t>https://www.dropbox.com/scl/fo/nf0m5zcyvb5rbihpqb31b/AD4fY5L8dibsj3fA0TnpzjU?rlkey=afvdgehixvevbk21am34gnuid&amp;st=vvdew37c&amp;dl=0</t>
        </is>
      </c>
      <c r="D21" s="111" t="n">
        <v>6613</v>
      </c>
      <c r="E21" s="111" t="n">
        <v>6000</v>
      </c>
      <c r="F21" s="585" t="inlineStr">
        <is>
          <t>Retail</t>
        </is>
      </c>
      <c r="G21" s="585" t="inlineStr">
        <is>
          <t>C-CCN-5</t>
        </is>
      </c>
      <c r="H21" s="111" t="n">
        <v>1908</v>
      </c>
      <c r="I21" s="602" t="inlineStr">
        <is>
          <t>MCDOUGAL &amp; CO</t>
        </is>
      </c>
      <c r="J21" s="111" t="n"/>
      <c r="K21" s="111" t="n"/>
      <c r="L21" s="111" t="inlineStr">
        <is>
          <t>No</t>
        </is>
      </c>
      <c r="M21" s="111" t="inlineStr">
        <is>
          <t>Tenant Occupied</t>
        </is>
      </c>
      <c r="N21" s="111" t="inlineStr">
        <is>
          <t>No</t>
        </is>
      </c>
      <c r="O21" s="584" t="inlineStr">
        <is>
          <t>N/A</t>
        </is>
      </c>
      <c r="P21" s="584" t="inlineStr">
        <is>
          <t>N/A</t>
        </is>
      </c>
      <c r="Q21" s="584" t="inlineStr">
        <is>
          <t>N/A</t>
        </is>
      </c>
      <c r="R21" s="584" t="inlineStr">
        <is>
          <t>N/A</t>
        </is>
      </c>
      <c r="S21" s="584" t="inlineStr">
        <is>
          <t>N/A</t>
        </is>
      </c>
      <c r="T21" s="584" t="inlineStr">
        <is>
          <t>N/A</t>
        </is>
      </c>
      <c r="U21" s="111" t="n"/>
      <c r="V21" s="111" t="n"/>
      <c r="W21" s="111" t="n"/>
      <c r="X21" s="111" t="n"/>
      <c r="Y21" s="111" t="n"/>
      <c r="Z21" s="111" t="inlineStr">
        <is>
          <t>Two story, corner building. Ground floor will be leased to the four seasons sales center. No current plans and the property sold a while ago. High chance of redevelopemnt once the four seasons nears completion.</t>
        </is>
      </c>
      <c r="AA21" s="111" t="n"/>
      <c r="AB21" s="111" t="n"/>
      <c r="AC21" s="111" t="n"/>
      <c r="AD21" s="111" t="n"/>
      <c r="AE21" s="111" t="n"/>
      <c r="AF21" s="111" t="n"/>
      <c r="AG21" s="111" t="n"/>
      <c r="AH21" s="111" t="n"/>
      <c r="AI21" s="111" t="n"/>
    </row>
    <row r="22" ht="16" customHeight="1" s="518">
      <c r="A22" s="111" t="inlineStr">
        <is>
          <t>180 Adams Street</t>
        </is>
      </c>
      <c r="B22" s="111" t="inlineStr">
        <is>
          <t>Cherry Creek East</t>
        </is>
      </c>
      <c r="C22" s="111" t="n"/>
      <c r="D22" s="111" t="n">
        <v>7027</v>
      </c>
      <c r="E22" s="111" t="n">
        <v>7800</v>
      </c>
      <c r="F22" s="585" t="inlineStr">
        <is>
          <t>Office</t>
        </is>
      </c>
      <c r="G22" s="585" t="inlineStr">
        <is>
          <t>C-MX-5</t>
        </is>
      </c>
      <c r="H22" s="111" t="n">
        <v>1985</v>
      </c>
      <c r="I22" s="597" t="inlineStr">
        <is>
          <t>ID ONE LLC</t>
        </is>
      </c>
      <c r="J22" s="594" t="n">
        <v>43888</v>
      </c>
      <c r="K22" s="736" t="n">
        <v>3425000</v>
      </c>
      <c r="L22" s="111" t="inlineStr">
        <is>
          <t>No</t>
        </is>
      </c>
      <c r="M22" s="111" t="inlineStr">
        <is>
          <t>Tenant Occupied</t>
        </is>
      </c>
      <c r="N22" s="111" t="inlineStr">
        <is>
          <t>No</t>
        </is>
      </c>
      <c r="O22" s="584" t="inlineStr">
        <is>
          <t>N/A</t>
        </is>
      </c>
      <c r="P22" s="584" t="inlineStr">
        <is>
          <t>N/A</t>
        </is>
      </c>
      <c r="Q22" s="584" t="inlineStr">
        <is>
          <t>N/A</t>
        </is>
      </c>
      <c r="R22" s="584" t="inlineStr">
        <is>
          <t>N/A</t>
        </is>
      </c>
      <c r="S22" s="584" t="inlineStr">
        <is>
          <t>N/A</t>
        </is>
      </c>
      <c r="T22" s="584" t="inlineStr">
        <is>
          <t>N/A</t>
        </is>
      </c>
      <c r="U22" s="111" t="n"/>
      <c r="V22" s="111" t="n"/>
      <c r="W22" s="111" t="n"/>
      <c r="X22" s="111" t="n"/>
      <c r="Y22" s="111" t="n"/>
      <c r="Z22" s="111" t="inlineStr">
        <is>
          <t>Two story office building with parking located on a prime corner parcel. Sold in 2020, good chance of redevelopment in next 10 years.</t>
        </is>
      </c>
      <c r="AA22" s="111" t="n"/>
      <c r="AB22" s="111" t="n"/>
      <c r="AC22" s="111" t="n"/>
      <c r="AD22" s="111" t="n"/>
      <c r="AE22" s="111" t="n"/>
      <c r="AF22" s="111" t="n"/>
      <c r="AG22" s="111" t="n"/>
      <c r="AH22" s="111" t="n"/>
      <c r="AI22" s="111" t="n"/>
    </row>
    <row r="23" ht="16" customHeight="1" s="518">
      <c r="A23" s="111" t="inlineStr">
        <is>
          <t>162 N Adams Street</t>
        </is>
      </c>
      <c r="B23" s="111" t="inlineStr">
        <is>
          <t>Cherry Creek East</t>
        </is>
      </c>
      <c r="C23" s="111" t="n"/>
      <c r="D23" s="111" t="n">
        <v>6752</v>
      </c>
      <c r="E23" s="111" t="n">
        <v>12500</v>
      </c>
      <c r="F23" s="585" t="inlineStr">
        <is>
          <t>Office</t>
        </is>
      </c>
      <c r="G23" s="585" t="inlineStr">
        <is>
          <t>C-MX-5</t>
        </is>
      </c>
      <c r="H23" s="111" t="n">
        <v>2000</v>
      </c>
      <c r="I23" s="593" t="inlineStr">
        <is>
          <t>162 ADAMS ST. LLC</t>
        </is>
      </c>
      <c r="J23" s="603" t="n">
        <v>37243</v>
      </c>
      <c r="K23" s="737" t="n">
        <v>950000</v>
      </c>
      <c r="L23" s="111" t="inlineStr">
        <is>
          <t>No</t>
        </is>
      </c>
      <c r="M23" s="111" t="inlineStr">
        <is>
          <t>Tenant Occupied</t>
        </is>
      </c>
      <c r="N23" s="111" t="inlineStr">
        <is>
          <t>No</t>
        </is>
      </c>
      <c r="O23" s="584" t="inlineStr">
        <is>
          <t>N/A</t>
        </is>
      </c>
      <c r="P23" s="584" t="inlineStr">
        <is>
          <t>N/A</t>
        </is>
      </c>
      <c r="Q23" s="584" t="inlineStr">
        <is>
          <t>N/A</t>
        </is>
      </c>
      <c r="R23" s="584" t="inlineStr">
        <is>
          <t>N/A</t>
        </is>
      </c>
      <c r="S23" s="584" t="inlineStr">
        <is>
          <t>N/A</t>
        </is>
      </c>
      <c r="T23" s="584" t="inlineStr">
        <is>
          <t>N/A</t>
        </is>
      </c>
      <c r="U23" s="111" t="n"/>
      <c r="V23" s="111" t="n"/>
      <c r="W23" s="111" t="n"/>
      <c r="X23" s="111" t="n"/>
      <c r="Y23" s="111" t="n"/>
      <c r="Z23" s="111" t="inlineStr">
        <is>
          <t>Tenant occupied multi-tenant office building</t>
        </is>
      </c>
      <c r="AA23" s="111" t="n"/>
      <c r="AB23" s="111" t="n"/>
      <c r="AC23" s="111" t="n"/>
      <c r="AD23" s="111" t="n"/>
      <c r="AE23" s="111" t="n"/>
      <c r="AF23" s="111" t="n"/>
      <c r="AG23" s="111" t="n"/>
      <c r="AH23" s="111" t="n"/>
      <c r="AI23" s="111" t="n"/>
    </row>
    <row r="24" ht="15" customHeight="1" s="518">
      <c r="A24" s="605" t="inlineStr">
        <is>
          <t>150 N ADAMS ST</t>
        </is>
      </c>
      <c r="B24" s="111" t="inlineStr">
        <is>
          <t>Cherry Creek East</t>
        </is>
      </c>
      <c r="C24" s="111" t="n"/>
      <c r="D24" s="111" t="n">
        <v>9223</v>
      </c>
      <c r="E24" s="111" t="n">
        <v>9375</v>
      </c>
      <c r="F24" s="585" t="inlineStr">
        <is>
          <t>Office</t>
        </is>
      </c>
      <c r="G24" s="585" t="inlineStr">
        <is>
          <t>C-MX-5</t>
        </is>
      </c>
      <c r="H24" s="111" t="n">
        <v>1982</v>
      </c>
      <c r="I24" s="593" t="inlineStr">
        <is>
          <t>GWM/EMM LLC</t>
        </is>
      </c>
      <c r="J24" s="111" t="n"/>
      <c r="K24" s="111" t="n"/>
      <c r="L24" s="111" t="inlineStr">
        <is>
          <t>No</t>
        </is>
      </c>
      <c r="M24" s="111" t="n"/>
      <c r="N24" s="111" t="n"/>
      <c r="O24" s="111" t="n"/>
      <c r="P24" s="111" t="n"/>
      <c r="Q24" s="111" t="n"/>
      <c r="R24" s="111" t="n"/>
      <c r="S24" s="111" t="n"/>
      <c r="T24" s="111" t="n"/>
      <c r="U24" s="111" t="inlineStr">
        <is>
          <t>Bow River Capital</t>
        </is>
      </c>
      <c r="V24" s="111" t="inlineStr">
        <is>
          <t>Magnetic Capital</t>
        </is>
      </c>
      <c r="W24" s="111" t="inlineStr">
        <is>
          <t>OZ Architecture</t>
        </is>
      </c>
      <c r="X24" s="111" t="inlineStr">
        <is>
          <t>Mortenson</t>
        </is>
      </c>
      <c r="Y24" s="111" t="n"/>
      <c r="Z24" s="111" t="n"/>
      <c r="AA24" s="111" t="n"/>
      <c r="AB24" s="111" t="n"/>
      <c r="AC24" s="111" t="n"/>
      <c r="AD24" s="111" t="n"/>
      <c r="AE24" s="111" t="n"/>
      <c r="AF24" s="111" t="n"/>
      <c r="AG24" s="111" t="n"/>
      <c r="AH24" s="111" t="n"/>
      <c r="AI24" s="111" t="n"/>
    </row>
    <row r="25" ht="15" customHeight="1" s="518">
      <c r="A25" s="605" t="inlineStr">
        <is>
          <t>128 N ADAMS ST</t>
        </is>
      </c>
      <c r="B25" s="111" t="inlineStr">
        <is>
          <t>Cherry Creek East</t>
        </is>
      </c>
      <c r="C25" s="111" t="n"/>
      <c r="D25" s="111" t="n">
        <v>11934</v>
      </c>
      <c r="E25" s="111" t="n">
        <v>9913</v>
      </c>
      <c r="F25" s="585" t="inlineStr">
        <is>
          <t>Office</t>
        </is>
      </c>
      <c r="G25" s="585" t="inlineStr">
        <is>
          <t>B-1</t>
        </is>
      </c>
      <c r="H25" s="111" t="n">
        <v>1997</v>
      </c>
      <c r="I25" s="598" t="inlineStr">
        <is>
          <t>ID ONE LLC</t>
        </is>
      </c>
      <c r="J25" s="111" t="n"/>
      <c r="K25" s="111" t="n"/>
      <c r="L25" s="111" t="inlineStr">
        <is>
          <t>No</t>
        </is>
      </c>
      <c r="M25" s="111" t="n"/>
      <c r="N25" s="111" t="n"/>
      <c r="O25" s="111" t="n"/>
      <c r="P25" s="111" t="n"/>
      <c r="Q25" s="111" t="n"/>
      <c r="R25" s="111" t="n"/>
      <c r="S25" s="111" t="n"/>
      <c r="T25" s="111" t="n"/>
      <c r="U25" s="111" t="inlineStr">
        <is>
          <t>Bow River Capital</t>
        </is>
      </c>
      <c r="V25" s="111" t="inlineStr">
        <is>
          <t>Magnetic Capital</t>
        </is>
      </c>
      <c r="W25" s="111" t="inlineStr">
        <is>
          <t>OZ Architecture</t>
        </is>
      </c>
      <c r="X25" s="111" t="inlineStr">
        <is>
          <t>Mortenson</t>
        </is>
      </c>
      <c r="Y25" s="111" t="n"/>
      <c r="Z25" s="111" t="n"/>
      <c r="AA25" s="111" t="n"/>
      <c r="AB25" s="111" t="n"/>
      <c r="AC25" s="111" t="n"/>
      <c r="AD25" s="111" t="n"/>
      <c r="AE25" s="111" t="n"/>
      <c r="AF25" s="111" t="n"/>
      <c r="AG25" s="111" t="n"/>
      <c r="AH25" s="111" t="n"/>
      <c r="AI25" s="111" t="n"/>
    </row>
    <row r="26" ht="68" customHeight="1" s="518">
      <c r="A26" s="606" t="inlineStr">
        <is>
          <t>3301 E 1st Ave</t>
        </is>
      </c>
      <c r="B26" s="111" t="inlineStr">
        <is>
          <t>Cherry Creek East</t>
        </is>
      </c>
      <c r="C26" s="583" t="inlineStr">
        <is>
          <t>https://www.dropbox.com/scl/fo/19ob6t6bsfnv31g92rp1v/AAaaH2NkdSuJ9Yjfu-aa7FY?rlkey=vemuqzhkjugz50jygpy8bf7oe&amp;st=pnhygp9c&amp;dl=0</t>
        </is>
      </c>
      <c r="D26" s="111" t="n">
        <v>12431</v>
      </c>
      <c r="E26" s="111" t="n">
        <v>19037</v>
      </c>
      <c r="F26" s="598" t="inlineStr">
        <is>
          <t>Office</t>
        </is>
      </c>
      <c r="G26" s="585" t="inlineStr">
        <is>
          <t>C-MX-5</t>
        </is>
      </c>
      <c r="H26" s="598" t="n">
        <v>1998</v>
      </c>
      <c r="I26" s="607" t="inlineStr">
        <is>
          <t xml:space="preserve">AKA GENE LLC
</t>
        </is>
      </c>
      <c r="J26" s="111" t="n"/>
      <c r="K26" s="111" t="n"/>
      <c r="L26" s="111" t="inlineStr">
        <is>
          <t>No</t>
        </is>
      </c>
      <c r="M26" s="111" t="n"/>
      <c r="N26" s="111" t="n"/>
      <c r="O26" s="111" t="n"/>
      <c r="P26" s="111" t="n"/>
      <c r="Q26" s="111" t="n"/>
      <c r="R26" s="111" t="n"/>
      <c r="S26" s="111" t="n"/>
      <c r="T26" s="111" t="n"/>
      <c r="U26" s="111" t="n"/>
      <c r="V26" s="111" t="n"/>
      <c r="W26" s="111" t="n"/>
      <c r="X26" s="111" t="n"/>
      <c r="Y26" s="111" t="n"/>
      <c r="Z26" s="111" t="n"/>
      <c r="AA26" s="111" t="n"/>
      <c r="AB26" s="111" t="n"/>
      <c r="AC26" s="111" t="n"/>
      <c r="AD26" s="111" t="n"/>
      <c r="AE26" s="111" t="n"/>
      <c r="AF26" s="111" t="n"/>
      <c r="AG26" s="111" t="n"/>
      <c r="AH26" s="111" t="n"/>
      <c r="AI26" s="111" t="n"/>
    </row>
    <row r="27" ht="16" customHeight="1" s="518">
      <c r="A27" s="111" t="inlineStr">
        <is>
          <t>3320 E 2ND AVE</t>
        </is>
      </c>
      <c r="B27" s="111" t="inlineStr">
        <is>
          <t>Cherry Creek East</t>
        </is>
      </c>
      <c r="C27" s="111" t="n"/>
      <c r="D27" s="111" t="n">
        <v>1547</v>
      </c>
      <c r="E27" s="111" t="n">
        <v>4700</v>
      </c>
      <c r="F27" s="111" t="n"/>
      <c r="G27" s="585" t="inlineStr">
        <is>
          <t>C-MX-5</t>
        </is>
      </c>
      <c r="H27" s="111" t="n"/>
      <c r="I27" s="602" t="inlineStr">
        <is>
          <t>FULLER,ROBERT K</t>
        </is>
      </c>
      <c r="J27" s="111" t="n"/>
      <c r="K27" s="111" t="n"/>
      <c r="L27" s="111" t="inlineStr">
        <is>
          <t>No</t>
        </is>
      </c>
      <c r="M27" s="111" t="n"/>
      <c r="N27" s="111" t="inlineStr">
        <is>
          <t>No</t>
        </is>
      </c>
      <c r="O27" s="111" t="n"/>
      <c r="P27" s="584" t="inlineStr">
        <is>
          <t>N/A</t>
        </is>
      </c>
      <c r="Q27" s="111" t="n"/>
      <c r="R27" s="111" t="n"/>
      <c r="S27" s="111" t="n"/>
      <c r="T27" s="111" t="n"/>
      <c r="U27" s="111" t="n"/>
      <c r="V27" s="111" t="n"/>
      <c r="W27" s="111" t="n"/>
      <c r="X27" s="111" t="n"/>
      <c r="Y27" s="111" t="n"/>
      <c r="Z27" s="111" t="n"/>
      <c r="AA27" s="111" t="n"/>
      <c r="AB27" s="111" t="n"/>
      <c r="AC27" s="111" t="n"/>
      <c r="AD27" s="111" t="n"/>
      <c r="AE27" s="111" t="n"/>
      <c r="AF27" s="111" t="n"/>
      <c r="AG27" s="111" t="n"/>
      <c r="AH27" s="111" t="n"/>
      <c r="AI27" s="111" t="n"/>
    </row>
    <row r="28" ht="16" customHeight="1" s="518">
      <c r="A28" s="111" t="inlineStr">
        <is>
          <t>3201 E 2nd Avenue</t>
        </is>
      </c>
      <c r="B28" s="111" t="inlineStr">
        <is>
          <t>Cherry Creek East</t>
        </is>
      </c>
      <c r="C28" s="583" t="inlineStr">
        <is>
          <t>https://www.dropbox.com/scl/fo/szednjhq5eqjxzgqk8pen/AFIT3ASSeufg7BoCQEXwdYM?rlkey=kv61rmbk5uudsymyy8eyz6tz7&amp;st=ge65mycb&amp;dl=0</t>
        </is>
      </c>
      <c r="D28" s="111" t="n">
        <v>14044</v>
      </c>
      <c r="E28" s="111" t="n">
        <v>12500</v>
      </c>
      <c r="F28" s="111" t="n"/>
      <c r="G28" s="585" t="inlineStr">
        <is>
          <t>C-CCN-5</t>
        </is>
      </c>
      <c r="H28" s="111" t="n">
        <v>1964</v>
      </c>
      <c r="I28" s="602" t="inlineStr">
        <is>
          <t>GM PROPERTIES SECOND AVE LLC</t>
        </is>
      </c>
      <c r="J28" s="594" t="n">
        <v>38369</v>
      </c>
      <c r="K28" s="736" t="n">
        <v>10</v>
      </c>
      <c r="L28" s="111" t="inlineStr">
        <is>
          <t>No</t>
        </is>
      </c>
      <c r="M28" s="111" t="n"/>
      <c r="N28" s="111" t="inlineStr">
        <is>
          <t>No</t>
        </is>
      </c>
      <c r="O28" s="111" t="n"/>
      <c r="P28" s="584" t="inlineStr">
        <is>
          <t>N/A</t>
        </is>
      </c>
      <c r="Q28" s="111" t="n"/>
      <c r="R28" s="111" t="n"/>
      <c r="S28" s="111" t="n"/>
      <c r="T28" s="111" t="n"/>
      <c r="U28" s="111" t="n"/>
      <c r="V28" s="111" t="n"/>
      <c r="W28" s="111" t="n"/>
      <c r="X28" s="111" t="n"/>
      <c r="Y28" s="111" t="n"/>
      <c r="Z28" s="111" t="n"/>
      <c r="AA28" s="111" t="n"/>
      <c r="AB28" s="111" t="n"/>
      <c r="AC28" s="111" t="n"/>
      <c r="AD28" s="111" t="n"/>
      <c r="AE28" s="111" t="n"/>
      <c r="AF28" s="111" t="n"/>
      <c r="AG28" s="111" t="n"/>
      <c r="AH28" s="111" t="n"/>
      <c r="AI28" s="111" t="n"/>
    </row>
    <row r="29" ht="16" customHeight="1" s="518">
      <c r="A29" s="111" t="inlineStr">
        <is>
          <t>3410 E 1st Avenue</t>
        </is>
      </c>
      <c r="B29" s="111" t="inlineStr">
        <is>
          <t>Cherry Creek East</t>
        </is>
      </c>
      <c r="C29" s="583" t="inlineStr">
        <is>
          <t>https://www.dropbox.com/scl/fo/70aguetv9as7cbrzt2en1/APY4EfZJgY3pzURJuj7Ufjg?rlkey=kub7ojd1ou0a1tvsplevpqp2i&amp;st=7cn34g8z&amp;dl=0</t>
        </is>
      </c>
      <c r="D29" s="111" t="n">
        <v>5118</v>
      </c>
      <c r="E29" s="111" t="n">
        <v>20551</v>
      </c>
      <c r="F29" s="585" t="inlineStr">
        <is>
          <t>Retail</t>
        </is>
      </c>
      <c r="G29" s="585" t="inlineStr">
        <is>
          <t>C-MX-5, DO-9</t>
        </is>
      </c>
      <c r="H29" s="111" t="n">
        <v>2014</v>
      </c>
      <c r="I29" s="602" t="inlineStr">
        <is>
          <t>CENTURY BANK &amp; TRUST</t>
        </is>
      </c>
      <c r="J29" s="111" t="n"/>
      <c r="K29" s="111" t="n"/>
      <c r="L29" s="111" t="inlineStr">
        <is>
          <t>No</t>
        </is>
      </c>
      <c r="M29" s="111" t="n"/>
      <c r="N29" s="111" t="inlineStr">
        <is>
          <t>No</t>
        </is>
      </c>
      <c r="O29" s="111" t="n"/>
      <c r="P29" s="584" t="inlineStr">
        <is>
          <t>N/A</t>
        </is>
      </c>
      <c r="Q29" s="111" t="n"/>
      <c r="R29" s="111" t="n"/>
      <c r="S29" s="111" t="n"/>
      <c r="T29" s="111" t="n"/>
      <c r="U29" s="111" t="n"/>
      <c r="V29" s="111" t="n"/>
      <c r="W29" s="111" t="n"/>
      <c r="X29" s="111" t="n"/>
      <c r="Y29" s="111" t="n"/>
      <c r="Z29" s="111" t="n"/>
      <c r="AA29" s="111" t="n"/>
      <c r="AB29" s="111" t="n"/>
      <c r="AC29" s="111" t="n"/>
      <c r="AD29" s="111" t="n"/>
      <c r="AE29" s="111" t="n"/>
      <c r="AF29" s="111" t="n"/>
      <c r="AG29" s="111" t="n"/>
      <c r="AH29" s="111" t="n"/>
      <c r="AI29" s="111" t="n"/>
    </row>
    <row r="30" ht="16" customHeight="1" s="518">
      <c r="A30" s="111" t="inlineStr">
        <is>
          <t>101 N Adams Street</t>
        </is>
      </c>
      <c r="B30" s="111" t="inlineStr">
        <is>
          <t>Cherry Creek East</t>
        </is>
      </c>
      <c r="C30" s="583" t="inlineStr">
        <is>
          <t>https://www.dropbox.com/scl/fo/rd49ehvd1j844w2xlcv4s/ALD0TyL6am14F045kapbwh8?rlkey=q709m416gjwp9w3etmwe3b1kr&amp;st=recwayb0&amp;dl=0</t>
        </is>
      </c>
      <c r="D30" s="111" t="n">
        <v>9263</v>
      </c>
      <c r="E30" s="111" t="n">
        <v>25728</v>
      </c>
      <c r="F30" s="111" t="n"/>
      <c r="G30" s="585" t="inlineStr">
        <is>
          <t>C-MX-5</t>
        </is>
      </c>
      <c r="H30" s="598" t="n">
        <v>1956</v>
      </c>
      <c r="I30" s="598" t="inlineStr">
        <is>
          <t>FIRST AVENUE &amp; ADAMS ASSOCIATES LLC</t>
        </is>
      </c>
      <c r="J30" s="594" t="n">
        <v>34681</v>
      </c>
      <c r="K30" s="111" t="n"/>
      <c r="L30" s="111" t="inlineStr">
        <is>
          <t>No</t>
        </is>
      </c>
      <c r="M30" s="111" t="n"/>
      <c r="N30" s="111" t="inlineStr">
        <is>
          <t>No</t>
        </is>
      </c>
      <c r="O30" s="111" t="n"/>
      <c r="P30" s="584" t="inlineStr">
        <is>
          <t>N/A</t>
        </is>
      </c>
      <c r="Q30" s="111" t="n"/>
      <c r="R30" s="111" t="n"/>
      <c r="S30" s="111" t="n"/>
      <c r="T30" s="111" t="n"/>
      <c r="U30" s="111" t="n"/>
      <c r="V30" s="111" t="n"/>
      <c r="W30" s="111" t="n"/>
      <c r="X30" s="111" t="n"/>
      <c r="Y30" s="111" t="n"/>
      <c r="Z30" s="111" t="n"/>
      <c r="AA30" s="111" t="n"/>
      <c r="AB30" s="111" t="n"/>
      <c r="AC30" s="111" t="n"/>
      <c r="AD30" s="111" t="n"/>
      <c r="AE30" s="111" t="n"/>
      <c r="AF30" s="111" t="n"/>
      <c r="AG30" s="111" t="n"/>
      <c r="AH30" s="111" t="n"/>
      <c r="AI30" s="111" t="n"/>
    </row>
    <row r="31" ht="16" customHeight="1" s="518">
      <c r="A31" s="111" t="inlineStr">
        <is>
          <t>101 N University Blvd</t>
        </is>
      </c>
      <c r="B31" s="111" t="inlineStr">
        <is>
          <t>Cherry Creek North</t>
        </is>
      </c>
      <c r="C31" s="583" t="inlineStr">
        <is>
          <t>https://www.dropbox.com/scl/fo/tfc6kj3ib7ifd2qkg0c9c/AA1s6dt7p3ltvpNAfoLhUyU?rlkey=x877nhacb0te40ngqfiiw7dkm&amp;st=y7hezaji&amp;dl=0</t>
        </is>
      </c>
      <c r="D31" s="111" t="n">
        <v>52147</v>
      </c>
      <c r="E31" s="596" t="n">
        <v>51360</v>
      </c>
      <c r="F31" s="111" t="n"/>
      <c r="G31" s="585" t="inlineStr">
        <is>
          <t>C-CCN-5</t>
        </is>
      </c>
      <c r="H31" s="601" t="n">
        <v>1970</v>
      </c>
      <c r="I31" s="602" t="inlineStr">
        <is>
          <t>MDC NICOLA 101 UNIVERSITY LP</t>
        </is>
      </c>
      <c r="J31" s="594" t="n">
        <v>43754</v>
      </c>
      <c r="K31" s="736" t="n">
        <v>26000000</v>
      </c>
      <c r="L31" s="111" t="inlineStr">
        <is>
          <t>No</t>
        </is>
      </c>
      <c r="M31" s="111" t="n"/>
      <c r="N31" s="111" t="inlineStr">
        <is>
          <t>No</t>
        </is>
      </c>
      <c r="O31" s="111" t="n"/>
      <c r="P31" s="584" t="inlineStr">
        <is>
          <t>N/A</t>
        </is>
      </c>
      <c r="Q31" s="111" t="n"/>
      <c r="R31" s="111" t="n"/>
      <c r="S31" s="111" t="n"/>
      <c r="T31" s="111" t="n"/>
      <c r="U31" s="111" t="n"/>
      <c r="V31" s="111" t="n"/>
      <c r="W31" s="111" t="n"/>
      <c r="X31" s="111" t="n"/>
      <c r="Y31" s="111" t="n"/>
      <c r="Z31" s="111" t="n"/>
      <c r="AA31" s="111" t="n"/>
      <c r="AB31" s="111" t="n"/>
      <c r="AC31" s="111" t="n"/>
      <c r="AD31" s="111" t="n"/>
      <c r="AE31" s="111" t="n"/>
      <c r="AF31" s="111" t="n"/>
      <c r="AG31" s="111" t="n"/>
      <c r="AH31" s="111" t="n"/>
      <c r="AI31" s="111" t="n"/>
    </row>
    <row r="32" ht="16" customHeight="1" s="518">
      <c r="A32" s="111" t="inlineStr">
        <is>
          <t>3610 E 1st Avenue</t>
        </is>
      </c>
      <c r="B32" s="111" t="inlineStr">
        <is>
          <t>Cherry Creek East</t>
        </is>
      </c>
      <c r="C32" s="583" t="inlineStr">
        <is>
          <t>https://www.dropbox.com/scl/fo/2fcg39ebtwtkear5xtst3/AB2InigZds8OeWnAPglF9Ww?rlkey=n6nlbk0xn6k73xnhzs73xxn58&amp;st=x2ag8eqp&amp;dl=0</t>
        </is>
      </c>
      <c r="D32" s="111" t="n">
        <v>6492</v>
      </c>
      <c r="E32" s="111" t="n">
        <v>18203</v>
      </c>
      <c r="F32" s="585" t="inlineStr">
        <is>
          <t>Retail</t>
        </is>
      </c>
      <c r="G32" s="585" t="inlineStr">
        <is>
          <t>G-MX-3, DO-9</t>
        </is>
      </c>
      <c r="H32" s="111" t="n">
        <v>1979</v>
      </c>
      <c r="I32" s="602" t="inlineStr">
        <is>
          <t>COLORADO STATE BANK &amp; TRUST</t>
        </is>
      </c>
      <c r="J32" s="594" t="n">
        <v>36145</v>
      </c>
      <c r="K32" s="736" t="n">
        <v>1500000</v>
      </c>
      <c r="L32" s="111" t="inlineStr">
        <is>
          <t>No</t>
        </is>
      </c>
      <c r="M32" s="111" t="n"/>
      <c r="N32" s="111" t="inlineStr">
        <is>
          <t>No</t>
        </is>
      </c>
      <c r="O32" s="111" t="n"/>
      <c r="P32" s="584" t="inlineStr">
        <is>
          <t>N/A</t>
        </is>
      </c>
      <c r="Q32" s="111" t="n"/>
      <c r="R32" s="111" t="n"/>
      <c r="S32" s="111" t="n"/>
      <c r="T32" s="111" t="n"/>
      <c r="U32" s="111" t="n"/>
      <c r="V32" s="111" t="n"/>
      <c r="W32" s="111" t="n"/>
      <c r="X32" s="111" t="n"/>
      <c r="Y32" s="111" t="n"/>
      <c r="Z32" s="111" t="n"/>
      <c r="AA32" s="111" t="n"/>
      <c r="AB32" s="111" t="n"/>
      <c r="AC32" s="111" t="n"/>
      <c r="AD32" s="111" t="n"/>
      <c r="AE32" s="111" t="n"/>
      <c r="AF32" s="111" t="n"/>
      <c r="AG32" s="111" t="n"/>
      <c r="AH32" s="111" t="n"/>
      <c r="AI32" s="111" t="n"/>
    </row>
    <row r="33" ht="16" customHeight="1" s="518">
      <c r="A33" s="111" t="inlineStr">
        <is>
          <t>101 Garfield Street</t>
        </is>
      </c>
      <c r="B33" s="111" t="inlineStr">
        <is>
          <t>Cherry Creek East</t>
        </is>
      </c>
      <c r="C33" s="583" t="inlineStr">
        <is>
          <t>https://www.dropbox.com/scl/fo/tgsw0msn9w225tyy029ag/AJ6peCHtQOcmmdqid_eW8Qg?rlkey=drerd269zoddj597x6kk0321w&amp;st=820kawfr&amp;dl=0</t>
        </is>
      </c>
      <c r="D33" s="111" t="n">
        <v>4716</v>
      </c>
      <c r="E33" s="111" t="n">
        <v>13725</v>
      </c>
      <c r="F33" s="585" t="inlineStr">
        <is>
          <t>Retail</t>
        </is>
      </c>
      <c r="G33" s="585" t="inlineStr">
        <is>
          <t>G-MX-3</t>
        </is>
      </c>
      <c r="H33" s="111" t="n">
        <v>1981</v>
      </c>
      <c r="I33" s="602" t="inlineStr">
        <is>
          <t>FIRSTSTATE BANK OF COLO</t>
        </is>
      </c>
      <c r="J33" s="594" t="n">
        <v>34969</v>
      </c>
      <c r="K33" s="736" t="n">
        <v>620000</v>
      </c>
      <c r="L33" s="111" t="inlineStr">
        <is>
          <t>No</t>
        </is>
      </c>
      <c r="M33" s="111" t="n"/>
      <c r="N33" s="111" t="inlineStr">
        <is>
          <t>No</t>
        </is>
      </c>
      <c r="O33" s="111" t="n"/>
      <c r="P33" s="584" t="inlineStr">
        <is>
          <t>N/A</t>
        </is>
      </c>
      <c r="Q33" s="111" t="n"/>
      <c r="R33" s="111" t="n"/>
      <c r="S33" s="111" t="n"/>
      <c r="T33" s="111" t="n"/>
      <c r="U33" s="111" t="n"/>
      <c r="V33" s="111" t="n"/>
      <c r="W33" s="111" t="n"/>
      <c r="X33" s="111" t="n"/>
      <c r="Y33" s="111" t="n"/>
      <c r="Z33" s="111" t="n"/>
      <c r="AA33" s="111" t="n"/>
      <c r="AB33" s="111" t="n"/>
      <c r="AC33" s="111" t="n"/>
      <c r="AD33" s="111" t="n"/>
      <c r="AE33" s="111" t="n"/>
      <c r="AF33" s="111" t="n"/>
      <c r="AG33" s="111" t="n"/>
      <c r="AH33" s="111" t="n"/>
      <c r="AI33" s="111" t="n"/>
    </row>
    <row r="34" ht="16" customHeight="1" s="518">
      <c r="A34" s="111" t="inlineStr">
        <is>
          <t>3650 E 1st Ave</t>
        </is>
      </c>
      <c r="B34" s="111" t="inlineStr">
        <is>
          <t>Cherry Creek East</t>
        </is>
      </c>
      <c r="C34" s="583" t="inlineStr">
        <is>
          <t>https://www.dropbox.com/scl/fo/37bzft22elixs6kbxnl82/AJ3LhDyGiYLy1TA4AGnjyGw?rlkey=fqjxnqzbw0gbdqw4r2m0shxte&amp;st=4d4nemrz&amp;dl=0</t>
        </is>
      </c>
      <c r="D34" s="111" t="n">
        <v>15710</v>
      </c>
      <c r="E34" s="111" t="n">
        <v>12165</v>
      </c>
      <c r="F34" s="111" t="n"/>
      <c r="G34" s="585" t="inlineStr">
        <is>
          <t>PUD</t>
        </is>
      </c>
      <c r="H34" s="111" t="n">
        <v>2006</v>
      </c>
      <c r="I34" s="598" t="inlineStr">
        <is>
          <t>GREAT WESTERN BANK</t>
        </is>
      </c>
      <c r="J34" s="594" t="n">
        <v>41515</v>
      </c>
      <c r="K34" s="736" t="n">
        <v>4300000</v>
      </c>
      <c r="L34" s="111" t="inlineStr">
        <is>
          <t>No</t>
        </is>
      </c>
      <c r="M34" s="111" t="n"/>
      <c r="N34" s="111" t="inlineStr">
        <is>
          <t>No</t>
        </is>
      </c>
      <c r="O34" s="111" t="n"/>
      <c r="P34" s="584" t="inlineStr">
        <is>
          <t>N/A</t>
        </is>
      </c>
      <c r="Q34" s="111" t="n"/>
      <c r="R34" s="111" t="n"/>
      <c r="S34" s="111" t="n"/>
      <c r="T34" s="111" t="n"/>
      <c r="U34" s="111" t="n"/>
      <c r="V34" s="111" t="n"/>
      <c r="W34" s="111" t="n"/>
      <c r="X34" s="111" t="n"/>
      <c r="Y34" s="111" t="n"/>
      <c r="Z34" s="111" t="n"/>
      <c r="AA34" s="111" t="n"/>
      <c r="AB34" s="111" t="n"/>
      <c r="AC34" s="111" t="n"/>
      <c r="AD34" s="111" t="n"/>
      <c r="AE34" s="111" t="n"/>
      <c r="AF34" s="111" t="n"/>
      <c r="AG34" s="111" t="n"/>
      <c r="AH34" s="111" t="n"/>
      <c r="AI34" s="111" t="n"/>
    </row>
    <row r="35" ht="16" customHeight="1" s="518">
      <c r="A35" s="111" t="inlineStr">
        <is>
          <t>3410 E 1st Avenue</t>
        </is>
      </c>
      <c r="B35" s="111" t="inlineStr">
        <is>
          <t>Cherry Creek East</t>
        </is>
      </c>
      <c r="C35" s="583" t="inlineStr">
        <is>
          <t>https://www.dropbox.com/scl/fo/70aguetv9as7cbrzt2en1/APY4EfZJgY3pzURJuj7Ufjg?rlkey=kub7ojd1ou0a1tvsplevpqp2i&amp;st=r92ymv49&amp;dl=0</t>
        </is>
      </c>
      <c r="D35" s="111" t="n">
        <v>5118</v>
      </c>
      <c r="E35" s="111" t="n">
        <v>20551</v>
      </c>
      <c r="F35" s="585" t="inlineStr">
        <is>
          <t>Retail</t>
        </is>
      </c>
      <c r="G35" s="585" t="inlineStr">
        <is>
          <t>PUD</t>
        </is>
      </c>
      <c r="H35" s="111" t="n">
        <v>2014</v>
      </c>
      <c r="I35" s="598" t="inlineStr">
        <is>
          <t>CENTURY BANK &amp; TRUST</t>
        </is>
      </c>
      <c r="J35" s="111" t="n"/>
      <c r="K35" s="111" t="n"/>
      <c r="L35" s="111" t="inlineStr">
        <is>
          <t>No</t>
        </is>
      </c>
      <c r="M35" s="111" t="n"/>
      <c r="N35" s="111" t="inlineStr">
        <is>
          <t>No</t>
        </is>
      </c>
      <c r="O35" s="111" t="n"/>
      <c r="P35" s="584" t="inlineStr">
        <is>
          <t>N/A</t>
        </is>
      </c>
      <c r="Q35" s="111" t="n"/>
      <c r="R35" s="111" t="n"/>
      <c r="S35" s="111" t="n"/>
      <c r="T35" s="111" t="n"/>
      <c r="U35" s="111" t="n"/>
      <c r="V35" s="111" t="n"/>
      <c r="W35" s="111" t="n"/>
      <c r="X35" s="111" t="n"/>
      <c r="Y35" s="111" t="n"/>
      <c r="Z35" s="111" t="n"/>
      <c r="AA35" s="111" t="n"/>
      <c r="AB35" s="111" t="n"/>
      <c r="AC35" s="111" t="n"/>
      <c r="AD35" s="111" t="n"/>
      <c r="AE35" s="111" t="n"/>
      <c r="AF35" s="111" t="n"/>
      <c r="AG35" s="111" t="n"/>
      <c r="AH35" s="111" t="n"/>
      <c r="AI35" s="111" t="n"/>
    </row>
    <row r="36" ht="16" customHeight="1" s="518">
      <c r="A36" s="111" t="inlineStr">
        <is>
          <t>303 University Blvd</t>
        </is>
      </c>
      <c r="B36" s="111" t="inlineStr">
        <is>
          <t>Cherry Creek North</t>
        </is>
      </c>
      <c r="C36" s="583" t="inlineStr">
        <is>
          <t>https://www.dropbox.com/scl/fo/u7rvuixecuym4iy157oxr/AKuPAZlnwyqkTrYmaxkmH4U?rlkey=5jss54warf3frzxp8jyhh4tyc&amp;st=3cxzrdg3&amp;dl=0</t>
        </is>
      </c>
      <c r="D36" s="111" t="n">
        <v>2016</v>
      </c>
      <c r="E36" s="111" t="n"/>
      <c r="F36" s="111" t="inlineStr">
        <is>
          <t>Retail</t>
        </is>
      </c>
      <c r="G36" s="585" t="inlineStr">
        <is>
          <t>PUD</t>
        </is>
      </c>
      <c r="H36" s="111" t="n"/>
      <c r="I36" s="593" t="inlineStr">
        <is>
          <t>UNIVERSITY SQUARE LLC</t>
        </is>
      </c>
      <c r="J36" s="111" t="n"/>
      <c r="K36" s="111" t="n"/>
      <c r="L36" s="111" t="inlineStr">
        <is>
          <t>No</t>
        </is>
      </c>
      <c r="M36" s="111" t="n"/>
      <c r="N36" s="111" t="inlineStr">
        <is>
          <t>No</t>
        </is>
      </c>
      <c r="O36" s="111" t="n"/>
      <c r="P36" s="584" t="inlineStr">
        <is>
          <t>N/A</t>
        </is>
      </c>
      <c r="Q36" s="111" t="n"/>
      <c r="R36" s="111" t="n"/>
      <c r="S36" s="111" t="n"/>
      <c r="T36" s="111" t="n"/>
      <c r="U36" s="111" t="n"/>
      <c r="V36" s="111" t="n"/>
      <c r="W36" s="111" t="n"/>
      <c r="X36" s="111" t="n"/>
      <c r="Y36" s="111" t="n"/>
      <c r="Z36" s="111" t="n"/>
      <c r="AA36" s="111" t="n"/>
      <c r="AB36" s="111" t="n"/>
      <c r="AC36" s="111" t="n"/>
      <c r="AD36" s="111" t="n"/>
      <c r="AE36" s="111" t="n"/>
      <c r="AF36" s="111" t="n"/>
      <c r="AG36" s="111" t="n"/>
      <c r="AH36" s="111" t="n"/>
      <c r="AI36" s="111" t="n"/>
    </row>
    <row r="37" ht="15" customHeight="1" s="518">
      <c r="A37" s="111" t="inlineStr">
        <is>
          <t>97 Colorado Blvd / 98 Harrison Street / 45-51 Colorado Blvd</t>
        </is>
      </c>
      <c r="B37" s="111" t="inlineStr">
        <is>
          <t>Cherry Creek East</t>
        </is>
      </c>
      <c r="C37" s="583" t="inlineStr">
        <is>
          <t>https://www.dropbox.com/scl/fo/dmxknqn3pmieu7134u548/AG37VdwwCYxPaxS9PtOFf-w?rlkey=dfy5zdtm6mp945txjvcfobmo2&amp;st=lb9wfe99&amp;dl=0</t>
        </is>
      </c>
      <c r="D37" s="111" t="n"/>
      <c r="E37" s="111" t="n">
        <v>20245</v>
      </c>
      <c r="F37" s="111" t="inlineStr">
        <is>
          <t>Land</t>
        </is>
      </c>
      <c r="G37" s="585" t="inlineStr">
        <is>
          <t>G-RH-3 , DO-10, (G-RO-5)?</t>
        </is>
      </c>
      <c r="H37" s="111" t="inlineStr">
        <is>
          <t>undeveloped</t>
        </is>
      </c>
      <c r="I37" s="593" t="inlineStr">
        <is>
          <t>CC GATEWAY OWNERS LLC</t>
        </is>
      </c>
      <c r="J37" s="111" t="n"/>
      <c r="K37" s="111" t="n"/>
      <c r="L37" s="111" t="inlineStr">
        <is>
          <t>Yes</t>
        </is>
      </c>
      <c r="M37" s="111" t="n"/>
      <c r="N37" s="111" t="n"/>
      <c r="O37" s="111" t="n"/>
      <c r="P37" s="111" t="n"/>
      <c r="Q37" s="111" t="n"/>
      <c r="R37" s="111" t="n"/>
      <c r="S37" s="111" t="n"/>
      <c r="T37" s="111" t="n"/>
      <c r="U37" s="111" t="inlineStr">
        <is>
          <t>Crosbie Real Estate Group</t>
        </is>
      </c>
      <c r="V37" s="111" t="inlineStr">
        <is>
          <t>Crosbie Real Estate Group</t>
        </is>
      </c>
      <c r="W37" s="111" t="n"/>
      <c r="X37" s="111" t="n"/>
      <c r="Y37" s="111" t="n"/>
      <c r="Z37" s="111" t="n"/>
      <c r="AA37" s="111" t="n">
        <v>3</v>
      </c>
      <c r="AB37" s="111" t="n"/>
      <c r="AC37" s="111" t="n"/>
      <c r="AD37" s="111" t="n"/>
      <c r="AE37" s="111" t="n"/>
      <c r="AF37" s="111" t="n"/>
      <c r="AG37" s="111" t="n"/>
      <c r="AH37" s="111" t="n"/>
      <c r="AI37" s="111" t="n"/>
    </row>
    <row r="38" ht="15" customHeight="1" s="518">
      <c r="A38" s="111" t="inlineStr">
        <is>
          <t>101 Colorado Blvd</t>
        </is>
      </c>
      <c r="B38" s="111" t="inlineStr">
        <is>
          <t>Cherry Creek East</t>
        </is>
      </c>
      <c r="C38" s="583" t="inlineStr">
        <is>
          <t>https://www.dropbox.com/scl/fo/ahe437padrpgdilohdny7/AHXAQorrN--T2XwcnJgkrMI?rlkey=424m798acs9yrbh2jc0u1ynub&amp;st=xx2gsw9e&amp;dl=0</t>
        </is>
      </c>
      <c r="D38" s="111" t="n"/>
      <c r="E38" s="111" t="n">
        <v>11228</v>
      </c>
      <c r="F38" s="111" t="inlineStr">
        <is>
          <t>Land</t>
        </is>
      </c>
      <c r="G38" s="585" t="inlineStr">
        <is>
          <t>G-MU-5</t>
        </is>
      </c>
      <c r="H38" s="111" t="inlineStr">
        <is>
          <t>undeveloped</t>
        </is>
      </c>
      <c r="I38" s="593" t="inlineStr">
        <is>
          <t>CC GATEWAY OWNERS LLC</t>
        </is>
      </c>
      <c r="J38" s="111" t="n"/>
      <c r="K38" s="111" t="n"/>
      <c r="L38" s="111" t="inlineStr">
        <is>
          <t>Yes</t>
        </is>
      </c>
      <c r="M38" s="111" t="n"/>
      <c r="N38" s="111" t="n"/>
      <c r="O38" s="111" t="n"/>
      <c r="P38" s="111" t="n"/>
      <c r="Q38" s="111" t="n"/>
      <c r="R38" s="111" t="n"/>
      <c r="S38" s="111" t="n"/>
      <c r="T38" s="111" t="n"/>
      <c r="U38" s="111" t="inlineStr">
        <is>
          <t>Crosbie Real Estate Group</t>
        </is>
      </c>
      <c r="V38" s="111" t="inlineStr">
        <is>
          <t>Crosbie Real Estate Group</t>
        </is>
      </c>
      <c r="W38" s="111" t="n"/>
      <c r="X38" s="111" t="n"/>
      <c r="Y38" s="111" t="n"/>
      <c r="Z38" s="111" t="n"/>
      <c r="AA38" s="111" t="n">
        <v>3</v>
      </c>
      <c r="AB38" s="111" t="n"/>
      <c r="AC38" s="111" t="n"/>
      <c r="AD38" s="111" t="n"/>
      <c r="AE38" s="111" t="n"/>
      <c r="AF38" s="111" t="n"/>
      <c r="AG38" s="111" t="n"/>
      <c r="AH38" s="111" t="n"/>
      <c r="AI38" s="111" t="n"/>
    </row>
    <row r="39" ht="13" customHeight="1" s="518">
      <c r="A39" s="111" t="inlineStr">
        <is>
          <t>50 Colorado Blvd</t>
        </is>
      </c>
      <c r="B39" s="111" t="inlineStr">
        <is>
          <t>Cherry Creek East</t>
        </is>
      </c>
      <c r="C39" s="583" t="inlineStr">
        <is>
          <t>https://www.dropbox.com/scl/fo/x67r3lp392vc56u98fjn3/AKEFx2ctJo8R7c8uN2pmdPQ?rlkey=5zru3rtwdcttj7uvbnf1o41o6&amp;st=dd1aeb5t&amp;dl=0</t>
        </is>
      </c>
      <c r="D39" s="111" t="n"/>
      <c r="E39" s="111" t="n">
        <v>45900</v>
      </c>
      <c r="F39" s="111" t="inlineStr">
        <is>
          <t>Land</t>
        </is>
      </c>
      <c r="G39" s="111" t="inlineStr">
        <is>
          <t>PUD-G</t>
        </is>
      </c>
      <c r="H39" s="111" t="inlineStr">
        <is>
          <t>undeveloped</t>
        </is>
      </c>
      <c r="I39" s="111" t="inlineStr">
        <is>
          <t>30-50 Colorado Blvd Development LLC</t>
        </is>
      </c>
      <c r="J39" s="111" t="n"/>
      <c r="K39" s="111" t="n"/>
      <c r="L39" s="111" t="inlineStr">
        <is>
          <t>No</t>
        </is>
      </c>
      <c r="M39" s="111" t="n"/>
      <c r="N39" s="111" t="n"/>
      <c r="O39" s="111" t="n"/>
      <c r="P39" s="111" t="n"/>
      <c r="Q39" s="111" t="n"/>
      <c r="R39" s="111" t="n"/>
      <c r="S39" s="111" t="n"/>
      <c r="T39" s="111" t="n"/>
      <c r="U39" s="111" t="inlineStr">
        <is>
          <t>First Stone Development</t>
        </is>
      </c>
      <c r="V39" s="111" t="inlineStr">
        <is>
          <t>First Stone Development</t>
        </is>
      </c>
      <c r="W39" s="111" t="inlineStr">
        <is>
          <t>McKinnon &amp; Associates</t>
        </is>
      </c>
      <c r="X39" s="111" t="n"/>
      <c r="Y39" s="111" t="n"/>
      <c r="Z39" s="111" t="n"/>
      <c r="AA39" s="111" t="n"/>
      <c r="AB39" s="111" t="n"/>
      <c r="AC39" s="111" t="n"/>
      <c r="AD39" s="111" t="n"/>
      <c r="AE39" s="111" t="n"/>
      <c r="AF39" s="111" t="n"/>
      <c r="AG39" s="111" t="n"/>
      <c r="AH39" s="111" t="n"/>
      <c r="AI39" s="111" t="n"/>
    </row>
    <row r="40" ht="13" customHeight="1" s="518">
      <c r="A40" s="111" t="inlineStr">
        <is>
          <t>233 Clayton Avenue</t>
        </is>
      </c>
      <c r="B40" s="111" t="inlineStr">
        <is>
          <t>Cherry Creek North</t>
        </is>
      </c>
      <c r="C40" s="583" t="inlineStr">
        <is>
          <t>https://www.dropbox.com/scl/fo/fazfntdgro1hcwb01da54/AM4WPevH1Dgqe-CS88X-FLw?rlkey=g0an1ogm2vakodmulm20oscsr&amp;st=p8zzq44c&amp;dl=0</t>
        </is>
      </c>
      <c r="D40" s="111" t="n"/>
      <c r="E40" s="111" t="n"/>
      <c r="F40" s="111" t="inlineStr">
        <is>
          <t>Hotel</t>
        </is>
      </c>
      <c r="G40" s="111" t="inlineStr">
        <is>
          <t>C-CCN-7</t>
        </is>
      </c>
      <c r="H40" s="111" t="n">
        <v>2021</v>
      </c>
      <c r="I40" s="111" t="n"/>
      <c r="J40" s="111" t="n"/>
      <c r="K40" s="111" t="n"/>
      <c r="L40" s="111" t="inlineStr">
        <is>
          <t>No</t>
        </is>
      </c>
      <c r="M40" s="111" t="inlineStr">
        <is>
          <t>New Construction Completed 2021 - Clayton Hotel &amp; Members Club (63 rooms)</t>
        </is>
      </c>
      <c r="N40" s="111" t="n"/>
      <c r="O40" s="111" t="n"/>
      <c r="P40" s="111" t="n"/>
      <c r="Q40" s="111" t="n"/>
      <c r="R40" s="111" t="n"/>
      <c r="S40" s="111" t="n"/>
      <c r="T40" s="111" t="n"/>
      <c r="U40" s="111" t="inlineStr">
        <is>
          <t>Rockbridge</t>
        </is>
      </c>
      <c r="V40" s="111" t="inlineStr">
        <is>
          <t>BMC Investments</t>
        </is>
      </c>
      <c r="W40" s="111" t="inlineStr">
        <is>
          <t>4240 Architecture</t>
        </is>
      </c>
      <c r="X40" s="111" t="inlineStr">
        <is>
          <t>Haselden Construction</t>
        </is>
      </c>
      <c r="Y40" s="111" t="n"/>
      <c r="Z40" s="111" t="n"/>
      <c r="AA40" s="111" t="n"/>
      <c r="AB40" s="111" t="n"/>
      <c r="AC40" s="111" t="n"/>
      <c r="AD40" s="111" t="n"/>
      <c r="AE40" s="111" t="n"/>
      <c r="AF40" s="111" t="n"/>
      <c r="AG40" s="111" t="n"/>
      <c r="AH40" s="111" t="n"/>
      <c r="AI40" s="111" t="n"/>
    </row>
    <row r="41" ht="13" customHeight="1" s="518">
      <c r="A41" s="111" t="n"/>
      <c r="B41" s="111" t="n"/>
      <c r="C41" s="111" t="n"/>
      <c r="D41" s="111" t="n"/>
      <c r="E41" s="111" t="n"/>
      <c r="F41" s="111" t="n"/>
      <c r="G41" s="111" t="n"/>
      <c r="H41" s="111" t="n"/>
      <c r="I41" s="111" t="n"/>
      <c r="J41" s="111" t="n"/>
      <c r="K41" s="111" t="n"/>
      <c r="L41" s="111" t="n"/>
      <c r="M41" s="111" t="n"/>
      <c r="N41" s="111" t="n"/>
      <c r="O41" s="111" t="n"/>
      <c r="P41" s="111" t="n"/>
      <c r="Q41" s="111" t="n"/>
      <c r="R41" s="111" t="n"/>
      <c r="S41" s="111" t="n"/>
      <c r="T41" s="111" t="n"/>
      <c r="U41" s="111" t="n"/>
      <c r="V41" s="111" t="n"/>
      <c r="W41" s="111" t="n"/>
      <c r="X41" s="111" t="n"/>
      <c r="Y41" s="111" t="n"/>
      <c r="Z41" s="111" t="n"/>
      <c r="AA41" s="111" t="n"/>
      <c r="AB41" s="111" t="n"/>
      <c r="AC41" s="111" t="n"/>
      <c r="AD41" s="111" t="n"/>
      <c r="AE41" s="111" t="n"/>
      <c r="AF41" s="111" t="n"/>
      <c r="AG41" s="111" t="n"/>
      <c r="AH41" s="111" t="n"/>
      <c r="AI41" s="111" t="n"/>
    </row>
    <row r="42" ht="13" customHeight="1" s="518">
      <c r="A42" s="111" t="inlineStr">
        <is>
          <t>100 Cook Street</t>
        </is>
      </c>
      <c r="B42" s="111" t="n"/>
      <c r="C42" s="111" t="n"/>
      <c r="D42" s="111" t="n">
        <v>89000</v>
      </c>
      <c r="E42" s="111" t="n"/>
      <c r="F42" s="111" t="inlineStr">
        <is>
          <t>Medical Office</t>
        </is>
      </c>
      <c r="G42" s="111" t="n"/>
      <c r="H42" s="111" t="n">
        <v>2020</v>
      </c>
      <c r="I42" s="111" t="n"/>
      <c r="J42" s="111" t="n"/>
      <c r="K42" s="111" t="n"/>
      <c r="L42" s="111" t="inlineStr">
        <is>
          <t>No</t>
        </is>
      </c>
      <c r="M42" s="111" t="inlineStr">
        <is>
          <t>New Construction Completed 2020 - UCHealth Cherry Creek Medical Center</t>
        </is>
      </c>
      <c r="N42" s="111" t="n"/>
      <c r="O42" s="111" t="n"/>
      <c r="P42" s="111" t="n"/>
      <c r="Q42" s="111" t="n"/>
      <c r="R42" s="111" t="n"/>
      <c r="S42" s="111" t="n"/>
      <c r="T42" s="111" t="n"/>
      <c r="U42" s="111" t="inlineStr">
        <is>
          <t>Brookhaven Capital Partners</t>
        </is>
      </c>
      <c r="V42" s="111" t="inlineStr">
        <is>
          <t>Brookhaven Capital Partners</t>
        </is>
      </c>
      <c r="W42" s="111" t="inlineStr">
        <is>
          <t>Davis Partnership / Gallun Snow</t>
        </is>
      </c>
      <c r="X42" s="111" t="inlineStr">
        <is>
          <t>Swinerton</t>
        </is>
      </c>
      <c r="Y42" s="111" t="n"/>
      <c r="Z42" s="111" t="n"/>
      <c r="AA42" s="111" t="n"/>
      <c r="AB42" s="111" t="n"/>
      <c r="AC42" s="111" t="n"/>
      <c r="AD42" s="111" t="n"/>
      <c r="AE42" s="111" t="n"/>
      <c r="AF42" s="111" t="n"/>
      <c r="AG42" s="111" t="n"/>
      <c r="AH42" s="111" t="n"/>
      <c r="AI42" s="111" t="n"/>
    </row>
    <row r="43" ht="13" customHeight="1" s="518">
      <c r="A43" s="111" t="inlineStr">
        <is>
          <t>109 S Harrison Street</t>
        </is>
      </c>
      <c r="B43" s="111" t="n"/>
      <c r="C43" s="111" t="n"/>
      <c r="D43" s="111" t="n"/>
      <c r="E43" s="111" t="n"/>
      <c r="F43" s="111" t="inlineStr">
        <is>
          <t>Residential</t>
        </is>
      </c>
      <c r="G43" s="111" t="n"/>
      <c r="H43" s="111" t="n">
        <v>2020</v>
      </c>
      <c r="I43" s="111" t="n"/>
      <c r="J43" s="111" t="n"/>
      <c r="K43" s="111" t="n"/>
      <c r="L43" s="111" t="inlineStr">
        <is>
          <t>No</t>
        </is>
      </c>
      <c r="M43" s="111" t="inlineStr">
        <is>
          <t>New Construction Completed 2020 - The Cassidy (Residential)</t>
        </is>
      </c>
      <c r="N43" s="111" t="n"/>
      <c r="O43" s="111" t="n"/>
      <c r="P43" s="111" t="n"/>
      <c r="Q43" s="111" t="n"/>
      <c r="R43" s="111" t="n"/>
      <c r="S43" s="111" t="n"/>
      <c r="T43" s="111" t="n"/>
      <c r="U43" s="111" t="inlineStr">
        <is>
          <t>Nest Home Company</t>
        </is>
      </c>
      <c r="V43" s="111" t="inlineStr">
        <is>
          <t>Nest Home Company</t>
        </is>
      </c>
      <c r="W43" s="111" t="inlineStr">
        <is>
          <t>Studio Architecture</t>
        </is>
      </c>
      <c r="X43" s="111" t="inlineStr">
        <is>
          <t>Symmetry Builders</t>
        </is>
      </c>
      <c r="Y43" s="111" t="n"/>
      <c r="Z43" s="111" t="n"/>
      <c r="AA43" s="111" t="n"/>
      <c r="AB43" s="111" t="n"/>
      <c r="AC43" s="111" t="n"/>
      <c r="AD43" s="111" t="n"/>
      <c r="AE43" s="111" t="n"/>
      <c r="AF43" s="111" t="n"/>
      <c r="AG43" s="111" t="n"/>
      <c r="AH43" s="111" t="n"/>
      <c r="AI43" s="111" t="n"/>
    </row>
    <row r="44" ht="13" customHeight="1" s="518">
      <c r="A44" s="111" t="inlineStr">
        <is>
          <t>375 S Jackson Street</t>
        </is>
      </c>
      <c r="B44" s="111" t="n"/>
      <c r="C44" s="111" t="n"/>
      <c r="D44" s="111" t="n">
        <v>250000</v>
      </c>
      <c r="E44" s="111" t="n"/>
      <c r="F44" s="111" t="inlineStr">
        <is>
          <t>Multi-Family Residential</t>
        </is>
      </c>
      <c r="G44" s="111" t="n"/>
      <c r="H44" s="111" t="n">
        <v>2020</v>
      </c>
      <c r="I44" s="111" t="n"/>
      <c r="J44" s="111" t="n"/>
      <c r="K44" s="111" t="n"/>
      <c r="L44" s="111" t="inlineStr">
        <is>
          <t>No</t>
        </is>
      </c>
      <c r="M44" s="111" t="inlineStr">
        <is>
          <t>New Construction Completed 2020 - Gables Vista (255 units, 12 stories)</t>
        </is>
      </c>
      <c r="N44" s="111" t="n"/>
      <c r="O44" s="111" t="n"/>
      <c r="P44" s="111" t="n"/>
      <c r="Q44" s="111" t="n"/>
      <c r="R44" s="111" t="n"/>
      <c r="S44" s="111" t="n"/>
      <c r="T44" s="111" t="n"/>
      <c r="U44" s="111" t="inlineStr">
        <is>
          <t>Gables Residential</t>
        </is>
      </c>
      <c r="V44" s="111" t="inlineStr">
        <is>
          <t>Gables Residential</t>
        </is>
      </c>
      <c r="W44" s="111" t="inlineStr">
        <is>
          <t>Open Studio Architecture</t>
        </is>
      </c>
      <c r="X44" s="111" t="inlineStr">
        <is>
          <t>GE Johnson</t>
        </is>
      </c>
      <c r="Y44" s="111" t="n"/>
      <c r="Z44" s="111" t="n"/>
      <c r="AA44" s="111" t="n"/>
      <c r="AB44" s="111" t="n"/>
      <c r="AC44" s="111" t="n"/>
      <c r="AD44" s="111" t="n"/>
      <c r="AE44" s="111" t="n"/>
      <c r="AF44" s="111" t="n"/>
      <c r="AG44" s="111" t="n"/>
      <c r="AH44" s="111" t="n"/>
      <c r="AI44" s="111" t="n"/>
    </row>
    <row r="45" ht="13" customHeight="1" s="518">
      <c r="A45" s="111" t="inlineStr">
        <is>
          <t>242 Milwaukee Street</t>
        </is>
      </c>
      <c r="B45" s="111" t="n"/>
      <c r="C45" s="111" t="n"/>
      <c r="D45" s="111" t="n"/>
      <c r="E45" s="111" t="n"/>
      <c r="F45" s="111" t="inlineStr">
        <is>
          <t>Office</t>
        </is>
      </c>
      <c r="G45" s="111" t="n"/>
      <c r="H45" s="111" t="n"/>
      <c r="I45" s="111" t="n"/>
      <c r="J45" s="111" t="n"/>
      <c r="K45" s="111" t="n"/>
      <c r="L45" s="111" t="n"/>
      <c r="M45" s="111" t="inlineStr">
        <is>
          <t>Under Construction</t>
        </is>
      </c>
      <c r="N45" s="111" t="n"/>
      <c r="O45" s="111" t="n"/>
      <c r="P45" s="111" t="n"/>
      <c r="Q45" s="111" t="n"/>
      <c r="R45" s="111" t="n"/>
      <c r="S45" s="111" t="n"/>
      <c r="T45" s="111" t="n"/>
      <c r="U45" s="111" t="inlineStr">
        <is>
          <t>Brue Baukol Capital Partners</t>
        </is>
      </c>
      <c r="V45" s="111" t="inlineStr">
        <is>
          <t>BMC Investments</t>
        </is>
      </c>
      <c r="W45" s="111" t="inlineStr">
        <is>
          <t>4240 Architecture</t>
        </is>
      </c>
      <c r="X45" s="111" t="inlineStr">
        <is>
          <t>Haselden Construction</t>
        </is>
      </c>
      <c r="Y45" s="111" t="n"/>
      <c r="Z45" s="111" t="n"/>
      <c r="AA45" s="111" t="n"/>
      <c r="AB45" s="111" t="n"/>
      <c r="AC45" s="111" t="n"/>
      <c r="AD45" s="111" t="n"/>
      <c r="AE45" s="111" t="n"/>
      <c r="AF45" s="111" t="n"/>
      <c r="AG45" s="111" t="n"/>
      <c r="AH45" s="111" t="n"/>
      <c r="AI45" s="111" t="n"/>
    </row>
    <row r="46" ht="13" customHeight="1" s="518">
      <c r="A46" s="111" t="inlineStr">
        <is>
          <t>Cherry Creek West</t>
        </is>
      </c>
      <c r="B46" s="111" t="n"/>
      <c r="C46" s="111" t="n"/>
      <c r="D46" s="111" t="n"/>
      <c r="E46" s="111" t="n"/>
      <c r="F46" s="111" t="n"/>
      <c r="G46" s="111" t="n"/>
      <c r="H46" s="111" t="n"/>
      <c r="I46" s="111" t="n"/>
      <c r="J46" s="111" t="n"/>
      <c r="K46" s="111" t="n"/>
      <c r="L46" s="111" t="n"/>
      <c r="M46" s="111" t="n"/>
      <c r="N46" s="111" t="n"/>
      <c r="O46" s="111" t="n"/>
      <c r="P46" s="111" t="n"/>
      <c r="Q46" s="111" t="n"/>
      <c r="R46" s="111" t="n"/>
      <c r="S46" s="111" t="n"/>
      <c r="T46" s="111" t="n"/>
      <c r="U46" s="111" t="inlineStr">
        <is>
          <t>Ascentris</t>
        </is>
      </c>
      <c r="V46" s="111" t="inlineStr">
        <is>
          <t>East West Partners</t>
        </is>
      </c>
      <c r="W46" s="111" t="inlineStr">
        <is>
          <t>Gensler / GBD Architects</t>
        </is>
      </c>
      <c r="X46" s="111" t="inlineStr">
        <is>
          <t>S.A. Miro (Civil) / Fortis Structural / CMTA (MEP)</t>
        </is>
      </c>
      <c r="Y46" s="111" t="n"/>
      <c r="Z46" s="111" t="n"/>
      <c r="AA46" s="111" t="n"/>
      <c r="AB46" s="111" t="n"/>
      <c r="AC46" s="111" t="n"/>
      <c r="AD46" s="111" t="n"/>
      <c r="AE46" s="111" t="n"/>
      <c r="AF46" s="111" t="n"/>
      <c r="AG46" s="111" t="n"/>
      <c r="AH46" s="111" t="n"/>
      <c r="AI46" s="111" t="n"/>
    </row>
    <row r="47" ht="13" customHeight="1" s="518">
      <c r="A47" s="111" t="inlineStr">
        <is>
          <t>Cherry Lane</t>
        </is>
      </c>
      <c r="B47" s="111" t="n"/>
      <c r="C47" s="111" t="n"/>
      <c r="D47" s="111" t="n"/>
      <c r="E47" s="111" t="n"/>
      <c r="F47" s="111" t="n"/>
      <c r="G47" s="111" t="n"/>
      <c r="H47" s="111" t="n"/>
      <c r="I47" s="111" t="n"/>
      <c r="J47" s="111" t="n"/>
      <c r="K47" s="111" t="n"/>
      <c r="L47" s="111" t="n"/>
      <c r="M47" s="111" t="n"/>
      <c r="N47" s="111" t="n"/>
      <c r="O47" s="111" t="n"/>
      <c r="P47" s="111" t="n"/>
      <c r="Q47" s="111" t="n"/>
      <c r="R47" s="111" t="n"/>
      <c r="S47" s="111" t="n"/>
      <c r="T47" s="111" t="n"/>
      <c r="U47" s="111" t="inlineStr">
        <is>
          <t>Invesco Real Estate</t>
        </is>
      </c>
      <c r="V47" s="111" t="inlineStr">
        <is>
          <t>BMC Investments / Prism Places</t>
        </is>
      </c>
      <c r="W47" s="111" t="inlineStr">
        <is>
          <t>Tryba Architects / Michael Hsu Office of Architecture</t>
        </is>
      </c>
      <c r="X47" s="111" t="inlineStr">
        <is>
          <t>S.A. Miro (Civil) / Fortis Structural / CMTA (MEP)</t>
        </is>
      </c>
      <c r="Y47" s="111" t="n"/>
      <c r="Z47" s="111" t="n"/>
      <c r="AA47" s="111" t="n"/>
      <c r="AB47" s="111" t="n"/>
      <c r="AC47" s="111" t="n"/>
      <c r="AD47" s="111" t="n"/>
      <c r="AE47" s="111" t="n"/>
      <c r="AF47" s="111" t="n"/>
      <c r="AG47" s="111" t="n"/>
      <c r="AH47" s="111" t="n"/>
      <c r="AI47" s="111" t="n"/>
    </row>
    <row r="48" ht="13" customHeight="1" s="518">
      <c r="A48" s="111" t="inlineStr">
        <is>
          <t>299 Milwaukee Street</t>
        </is>
      </c>
      <c r="B48" s="111" t="n"/>
      <c r="C48" s="111" t="n"/>
      <c r="D48" s="111" t="n"/>
      <c r="E48" s="111" t="n"/>
      <c r="F48" s="111" t="n"/>
      <c r="G48" s="111" t="n"/>
      <c r="H48" s="111" t="n"/>
      <c r="I48" s="111" t="n"/>
      <c r="J48" s="111" t="n"/>
      <c r="K48" s="111" t="n"/>
      <c r="L48" s="111" t="n"/>
      <c r="M48" s="111" t="n"/>
      <c r="N48" s="111" t="n"/>
      <c r="O48" s="111" t="n"/>
      <c r="P48" s="111" t="n"/>
      <c r="Q48" s="111" t="n"/>
      <c r="R48" s="111" t="n"/>
      <c r="S48" s="111" t="n"/>
      <c r="T48" s="111" t="n"/>
      <c r="U48" s="111" t="inlineStr">
        <is>
          <t>Rockpoint</t>
        </is>
      </c>
      <c r="V48" s="111" t="inlineStr">
        <is>
          <t>BMC Investments</t>
        </is>
      </c>
      <c r="W48" s="111" t="inlineStr">
        <is>
          <t>Shears Adkins Rockmore (SAR+)</t>
        </is>
      </c>
      <c r="X48" s="111" t="inlineStr">
        <is>
          <t>S.A. Miro (Civil) / Fortis Structural / CMTA (MEP)</t>
        </is>
      </c>
      <c r="Y48" s="111" t="n"/>
      <c r="Z48" s="111" t="n"/>
      <c r="AA48" s="111" t="n"/>
      <c r="AB48" s="111" t="n"/>
      <c r="AC48" s="111" t="n"/>
      <c r="AD48" s="111" t="n"/>
      <c r="AE48" s="111" t="n"/>
      <c r="AF48" s="111" t="n"/>
      <c r="AG48" s="111" t="n"/>
      <c r="AH48" s="111" t="n"/>
      <c r="AI48" s="111" t="n"/>
    </row>
    <row r="49" ht="13" customHeight="1" s="518">
      <c r="A49" s="111" t="inlineStr">
        <is>
          <t>250 Clayton</t>
        </is>
      </c>
      <c r="B49" s="111" t="n"/>
      <c r="C49" s="111" t="n"/>
      <c r="D49" s="111" t="n"/>
      <c r="E49" s="111" t="n"/>
      <c r="F49" s="111" t="n"/>
      <c r="G49" s="111" t="n"/>
      <c r="H49" s="111" t="n"/>
      <c r="I49" s="111" t="n"/>
      <c r="J49" s="111" t="n"/>
      <c r="K49" s="111" t="n"/>
      <c r="L49" s="111" t="n"/>
      <c r="M49" s="111" t="n"/>
      <c r="N49" s="111" t="n"/>
      <c r="O49" s="111" t="n"/>
      <c r="P49" s="111" t="n"/>
      <c r="Q49" s="111" t="n"/>
      <c r="R49" s="111" t="n"/>
      <c r="S49" s="111" t="n"/>
      <c r="T49" s="111" t="n"/>
      <c r="U49" s="111" t="inlineStr">
        <is>
          <t>Ascentris</t>
        </is>
      </c>
      <c r="V49" s="111" t="inlineStr">
        <is>
          <t>The Broe Group</t>
        </is>
      </c>
      <c r="W49" s="111" t="inlineStr">
        <is>
          <t>The Beck Group</t>
        </is>
      </c>
      <c r="X49" s="111" t="inlineStr">
        <is>
          <t>Raptor Civil Engineering / KL&amp;A Structural</t>
        </is>
      </c>
      <c r="Y49" s="111" t="n"/>
      <c r="Z49" s="111" t="n"/>
      <c r="AA49" s="111" t="n"/>
      <c r="AB49" s="111" t="n"/>
      <c r="AC49" s="111" t="n"/>
      <c r="AD49" s="111" t="n"/>
      <c r="AE49" s="111" t="n"/>
      <c r="AF49" s="111" t="n"/>
      <c r="AG49" s="111" t="n"/>
      <c r="AH49" s="111" t="n"/>
      <c r="AI49" s="111" t="n"/>
    </row>
    <row r="50" ht="13" customHeight="1" s="518">
      <c r="A50" s="111" t="n"/>
      <c r="B50" s="111" t="n"/>
      <c r="C50" s="111" t="n"/>
      <c r="D50" s="111" t="n"/>
      <c r="E50" s="111" t="n"/>
      <c r="F50" s="111" t="n"/>
      <c r="G50" s="111" t="n"/>
      <c r="H50" s="111" t="n"/>
      <c r="I50" s="111" t="n"/>
      <c r="J50" s="111" t="n"/>
      <c r="K50" s="111" t="n"/>
      <c r="L50" s="111" t="n"/>
      <c r="M50" s="111" t="n"/>
      <c r="N50" s="111" t="n"/>
      <c r="O50" s="111" t="n"/>
      <c r="P50" s="111" t="n"/>
      <c r="Q50" s="111" t="n"/>
      <c r="R50" s="111" t="n"/>
      <c r="S50" s="111" t="n"/>
      <c r="T50" s="111" t="n"/>
      <c r="U50" s="111" t="n"/>
      <c r="V50" s="111" t="n"/>
      <c r="W50" s="111" t="n"/>
      <c r="X50" s="111" t="n"/>
      <c r="Y50" s="111" t="n"/>
      <c r="Z50" s="111" t="n"/>
      <c r="AA50" s="111" t="n"/>
      <c r="AB50" s="111" t="n"/>
      <c r="AC50" s="111" t="n"/>
      <c r="AD50" s="111" t="n"/>
      <c r="AE50" s="111" t="n"/>
      <c r="AF50" s="111" t="n"/>
      <c r="AG50" s="111" t="n"/>
      <c r="AH50" s="111" t="n"/>
      <c r="AI50" s="111" t="n"/>
    </row>
  </sheetData>
  <hyperlinks>
    <hyperlink xmlns:r="http://schemas.openxmlformats.org/officeDocument/2006/relationships" ref="C2" r:id="rId1"/>
    <hyperlink xmlns:r="http://schemas.openxmlformats.org/officeDocument/2006/relationships" ref="C3" r:id="rId2"/>
    <hyperlink xmlns:r="http://schemas.openxmlformats.org/officeDocument/2006/relationships" ref="C4" r:id="rId3"/>
    <hyperlink xmlns:r="http://schemas.openxmlformats.org/officeDocument/2006/relationships" ref="C5" r:id="rId4"/>
    <hyperlink xmlns:r="http://schemas.openxmlformats.org/officeDocument/2006/relationships" ref="C6" r:id="rId5"/>
    <hyperlink xmlns:r="http://schemas.openxmlformats.org/officeDocument/2006/relationships" ref="AC6" r:id="rId6"/>
    <hyperlink xmlns:r="http://schemas.openxmlformats.org/officeDocument/2006/relationships" ref="C7" r:id="rId7"/>
    <hyperlink xmlns:r="http://schemas.openxmlformats.org/officeDocument/2006/relationships" ref="AC7" r:id="rId8"/>
    <hyperlink xmlns:r="http://schemas.openxmlformats.org/officeDocument/2006/relationships" ref="C8" r:id="rId9"/>
    <hyperlink xmlns:r="http://schemas.openxmlformats.org/officeDocument/2006/relationships" ref="C9" r:id="rId10"/>
    <hyperlink xmlns:r="http://schemas.openxmlformats.org/officeDocument/2006/relationships" ref="C10" r:id="rId11"/>
    <hyperlink xmlns:r="http://schemas.openxmlformats.org/officeDocument/2006/relationships" ref="C11" r:id="rId12"/>
    <hyperlink xmlns:r="http://schemas.openxmlformats.org/officeDocument/2006/relationships" ref="C12" r:id="rId13"/>
    <hyperlink xmlns:r="http://schemas.openxmlformats.org/officeDocument/2006/relationships" ref="C13" r:id="rId14"/>
    <hyperlink xmlns:r="http://schemas.openxmlformats.org/officeDocument/2006/relationships" ref="C14" r:id="rId15"/>
    <hyperlink xmlns:r="http://schemas.openxmlformats.org/officeDocument/2006/relationships" ref="C15" r:id="rId16"/>
    <hyperlink xmlns:r="http://schemas.openxmlformats.org/officeDocument/2006/relationships" ref="AC15" r:id="rId17"/>
    <hyperlink xmlns:r="http://schemas.openxmlformats.org/officeDocument/2006/relationships" ref="C16" r:id="rId18"/>
    <hyperlink xmlns:r="http://schemas.openxmlformats.org/officeDocument/2006/relationships" ref="C18" r:id="rId19"/>
    <hyperlink xmlns:r="http://schemas.openxmlformats.org/officeDocument/2006/relationships" ref="C19" r:id="rId20"/>
    <hyperlink xmlns:r="http://schemas.openxmlformats.org/officeDocument/2006/relationships" ref="C20" r:id="rId21"/>
    <hyperlink xmlns:r="http://schemas.openxmlformats.org/officeDocument/2006/relationships" ref="C21" r:id="rId22"/>
    <hyperlink xmlns:r="http://schemas.openxmlformats.org/officeDocument/2006/relationships" ref="C26" r:id="rId23"/>
    <hyperlink xmlns:r="http://schemas.openxmlformats.org/officeDocument/2006/relationships" ref="C28" r:id="rId24"/>
    <hyperlink xmlns:r="http://schemas.openxmlformats.org/officeDocument/2006/relationships" ref="C29" r:id="rId25"/>
    <hyperlink xmlns:r="http://schemas.openxmlformats.org/officeDocument/2006/relationships" ref="C30" r:id="rId26"/>
    <hyperlink xmlns:r="http://schemas.openxmlformats.org/officeDocument/2006/relationships" ref="C31" r:id="rId27"/>
    <hyperlink xmlns:r="http://schemas.openxmlformats.org/officeDocument/2006/relationships" ref="C32" r:id="rId28"/>
    <hyperlink xmlns:r="http://schemas.openxmlformats.org/officeDocument/2006/relationships" ref="C33" r:id="rId29"/>
    <hyperlink xmlns:r="http://schemas.openxmlformats.org/officeDocument/2006/relationships" ref="C34" r:id="rId30"/>
    <hyperlink xmlns:r="http://schemas.openxmlformats.org/officeDocument/2006/relationships" ref="C35" r:id="rId31"/>
    <hyperlink xmlns:r="http://schemas.openxmlformats.org/officeDocument/2006/relationships" ref="C36" r:id="rId32"/>
    <hyperlink xmlns:r="http://schemas.openxmlformats.org/officeDocument/2006/relationships" ref="C37" r:id="rId33"/>
    <hyperlink xmlns:r="http://schemas.openxmlformats.org/officeDocument/2006/relationships" ref="C38" r:id="rId34"/>
    <hyperlink xmlns:r="http://schemas.openxmlformats.org/officeDocument/2006/relationships" ref="C39" r:id="rId35"/>
    <hyperlink xmlns:r="http://schemas.openxmlformats.org/officeDocument/2006/relationships" ref="C40" r:id="rId36"/>
  </hyperlinks>
  <pageMargins left="0.7" right="0.7" top="0.75" bottom="0.75" header="0.3" footer="0.3"/>
</worksheet>
</file>

<file path=xl/worksheets/sheet24.xml><?xml version="1.0" encoding="utf-8"?>
<worksheet xmlns="http://schemas.openxmlformats.org/spreadsheetml/2006/main">
  <sheetPr>
    <outlinePr summaryBelow="1" summaryRight="1"/>
    <pageSetUpPr/>
  </sheetPr>
  <dimension ref="A1:T447"/>
  <sheetViews>
    <sheetView showGridLines="0" workbookViewId="0">
      <pane xSplit="2" ySplit="10" topLeftCell="C11" activePane="bottomRight" state="frozen"/>
      <selection pane="topRight"/>
      <selection pane="bottomLeft"/>
      <selection pane="bottomRight" activeCell="A1" sqref="A1"/>
    </sheetView>
  </sheetViews>
  <sheetFormatPr baseColWidth="8" defaultRowHeight="15"/>
  <cols>
    <col width="8" customWidth="1" style="518" min="1" max="1"/>
    <col width="24" customWidth="1" style="518" min="2" max="2"/>
    <col width="13" customWidth="1" style="518" min="3" max="3"/>
    <col width="11" customWidth="1" style="518" min="4" max="4"/>
    <col width="13" customWidth="1" style="518" min="5" max="5"/>
    <col width="20" customWidth="1" style="518" min="6" max="6"/>
    <col width="8" customWidth="1" style="518" min="7" max="7"/>
    <col width="26" customWidth="1" style="518" min="8" max="8"/>
    <col width="26" customWidth="1" style="518" min="9" max="9"/>
    <col width="13" customWidth="1" style="518" min="10" max="10"/>
    <col width="11" customWidth="1" style="518" min="11" max="11"/>
    <col width="10" customWidth="1" style="518" min="12" max="12"/>
    <col width="8" customWidth="1" style="518" min="13" max="13"/>
    <col width="9" customWidth="1" style="518" min="14" max="14"/>
    <col width="9" customWidth="1" style="518" min="15" max="15"/>
    <col width="9" customWidth="1" style="518" min="16" max="16"/>
    <col width="10" customWidth="1" style="518" min="17" max="17"/>
    <col width="12" customWidth="1" style="518" min="18" max="18"/>
    <col width="14" customWidth="1" style="518" min="19" max="19"/>
    <col width="22" customWidth="1" style="518" min="20" max="20"/>
  </cols>
  <sheetData>
    <row r="1">
      <c r="A1" s="738" t="inlineStr">
        <is>
          <t>Cost Approach — Marshall &amp; Swift Inputs for Added Sales</t>
        </is>
      </c>
    </row>
    <row r="2">
      <c r="A2" s="739" t="inlineStr">
        <is>
          <t>One row per property added to the Sales sheet (rows 715–1151). These are the property-level inputs the MVS cost-approach engine needs.</t>
        </is>
      </c>
    </row>
    <row r="3">
      <c r="A3" s="739" t="inlineStr">
        <is>
          <t>To develop the cost approach on a property: on the Subject Property sheet set OCC Code (col H label), Building SF, Site SF, Condition, Quality, Year Built;</t>
        </is>
      </c>
    </row>
    <row r="4">
      <c r="A4" s="739" t="inlineStr">
        <is>
          <t>on the Cost Approach sheet set Building Class and Quality. The engine then auto-resolves MVS occupancy, base cost, life and depreciation.</t>
        </is>
      </c>
    </row>
    <row r="5">
      <c r="A5" s="739" t="inlineStr">
        <is>
          <t>OCC Code, Building SF, Site SF and Year Built are derived from the source data. MVS Class (default C = masonry/concrete),</t>
        </is>
      </c>
    </row>
    <row r="6">
      <c r="A6" s="739" t="inlineStr">
        <is>
          <t>Quality (Average; Good for premium/newer brands) and Condition (Typical) are reasonable defaults an appraiser should verify per inspection.</t>
        </is>
      </c>
    </row>
    <row r="7">
      <c r="A7" s="739" t="inlineStr">
        <is>
          <t>Base $/SF and Indicative RCN are pulled from this workbook’s MVS table for a quick sanity check only — they exclude height/area/current-cost/local</t>
        </is>
      </c>
    </row>
    <row r="8">
      <c r="A8" s="739" t="inlineStr">
        <is>
          <t>multipliers, site improvements, indirect costs and entrepreneurial profit, all of which the Cost Approach sheet applies (global defaults there).</t>
        </is>
      </c>
    </row>
    <row r="9">
      <c r="A9" s="739" t="inlineStr">
        <is>
          <t>Yellow = fields to load/verify per property.</t>
        </is>
      </c>
    </row>
    <row r="10">
      <c r="A10" s="740" t="inlineStr">
        <is>
          <t>Grid Row</t>
        </is>
      </c>
      <c r="B10" s="740" t="inlineStr">
        <is>
          <t>Property Address</t>
        </is>
      </c>
      <c r="C10" s="740" t="inlineStr">
        <is>
          <t>City</t>
        </is>
      </c>
      <c r="D10" s="740" t="inlineStr">
        <is>
          <t>County</t>
        </is>
      </c>
      <c r="E10" s="740" t="inlineStr">
        <is>
          <t>Category</t>
        </is>
      </c>
      <c r="F10" s="740" t="inlineStr">
        <is>
          <t>Brand</t>
        </is>
      </c>
      <c r="G10" s="740" t="inlineStr">
        <is>
          <t>OCC Code</t>
        </is>
      </c>
      <c r="H10" s="740" t="inlineStr">
        <is>
          <t>OCC Label (for Subject C13)</t>
        </is>
      </c>
      <c r="I10" s="740" t="inlineStr">
        <is>
          <t>MVS Occupancy</t>
        </is>
      </c>
      <c r="J10" s="740" t="inlineStr">
        <is>
          <t>MVS Sec/Page</t>
        </is>
      </c>
      <c r="K10" s="740" t="inlineStr">
        <is>
          <t>Bldg SF (GBA)</t>
        </is>
      </c>
      <c r="L10" s="740" t="inlineStr">
        <is>
          <t>Site SF</t>
        </is>
      </c>
      <c r="M10" s="740" t="inlineStr">
        <is>
          <t>MVS Class</t>
        </is>
      </c>
      <c r="N10" s="740" t="inlineStr">
        <is>
          <t>Quality</t>
        </is>
      </c>
      <c r="O10" s="740" t="inlineStr">
        <is>
          <t>Condition</t>
        </is>
      </c>
      <c r="P10" s="740" t="inlineStr">
        <is>
          <t>Year Built</t>
        </is>
      </c>
      <c r="Q10" s="740" t="inlineStr">
        <is>
          <t>Actual Age (yrs)</t>
        </is>
      </c>
      <c r="R10" s="740" t="inlineStr">
        <is>
          <t>Base $/SF (MVS)</t>
        </is>
      </c>
      <c r="S10" s="740" t="inlineStr">
        <is>
          <t>Indicative RCN ($)</t>
        </is>
      </c>
      <c r="T10" s="740" t="inlineStr">
        <is>
          <t>Notes / Flags</t>
        </is>
      </c>
    </row>
    <row r="11">
      <c r="A11" s="741" t="n">
        <v>715</v>
      </c>
      <c r="B11" s="742" t="inlineStr">
        <is>
          <t>3841 W 88th Ave</t>
        </is>
      </c>
      <c r="C11" s="741" t="inlineStr">
        <is>
          <t>Westminster</t>
        </is>
      </c>
      <c r="D11" s="741" t="inlineStr">
        <is>
          <t>Adams</t>
        </is>
      </c>
      <c r="E11" s="741" t="inlineStr">
        <is>
          <t>Auto Service</t>
        </is>
      </c>
      <c r="F11" s="741" t="inlineStr">
        <is>
          <t>Andy's Automotive</t>
        </is>
      </c>
      <c r="G11" s="741" t="n">
        <v>325</v>
      </c>
      <c r="H11" s="743" t="inlineStr">
        <is>
          <t>325 - Service Garage</t>
        </is>
      </c>
      <c r="I11" s="742" t="inlineStr">
        <is>
          <t>Service Garages (Commercial/Repair)</t>
        </is>
      </c>
      <c r="J11" s="741" t="inlineStr">
        <is>
          <t>Sec.14 p.32</t>
        </is>
      </c>
      <c r="K11" s="744" t="n">
        <v>1412</v>
      </c>
      <c r="L11" s="744" t="n">
        <v>16988</v>
      </c>
      <c r="M11" s="745" t="inlineStr">
        <is>
          <t>C</t>
        </is>
      </c>
      <c r="N11" s="745" t="inlineStr">
        <is>
          <t>Average</t>
        </is>
      </c>
      <c r="O11" s="745" t="inlineStr">
        <is>
          <t>Typical</t>
        </is>
      </c>
      <c r="P11" s="745" t="n">
        <v>1965</v>
      </c>
      <c r="Q11" s="741" t="n">
        <v>59</v>
      </c>
      <c r="R11" s="746" t="n">
        <v>79.5</v>
      </c>
      <c r="S11" s="747" t="n">
        <v>112254</v>
      </c>
      <c r="T11" s="742" t="inlineStr"/>
    </row>
    <row r="12">
      <c r="A12" s="748" t="n">
        <v>716</v>
      </c>
      <c r="B12" s="749" t="inlineStr">
        <is>
          <t>850 W 104th Ave</t>
        </is>
      </c>
      <c r="C12" s="748" t="inlineStr">
        <is>
          <t>Northglenn</t>
        </is>
      </c>
      <c r="D12" s="748" t="inlineStr">
        <is>
          <t>Adams</t>
        </is>
      </c>
      <c r="E12" s="748" t="inlineStr">
        <is>
          <t>Fast Food</t>
        </is>
      </c>
      <c r="F12" s="748" t="inlineStr">
        <is>
          <t>Arby's</t>
        </is>
      </c>
      <c r="G12" s="748" t="n">
        <v>349</v>
      </c>
      <c r="H12" s="743" t="inlineStr">
        <is>
          <t>349 - Fast Food Restaurant</t>
        </is>
      </c>
      <c r="I12" s="749" t="inlineStr">
        <is>
          <t>Restaurants – Fast Food</t>
        </is>
      </c>
      <c r="J12" s="748" t="inlineStr">
        <is>
          <t>Sec.13 p.17</t>
        </is>
      </c>
      <c r="K12" s="744" t="n">
        <v>2400</v>
      </c>
      <c r="L12" s="744" t="n">
        <v>24829</v>
      </c>
      <c r="M12" s="745" t="inlineStr">
        <is>
          <t>C</t>
        </is>
      </c>
      <c r="N12" s="745" t="inlineStr">
        <is>
          <t>Average</t>
        </is>
      </c>
      <c r="O12" s="745" t="inlineStr">
        <is>
          <t>Typical</t>
        </is>
      </c>
      <c r="P12" s="745" t="n"/>
      <c r="Q12" s="748" t="n"/>
      <c r="R12" s="750" t="n">
        <v>191</v>
      </c>
      <c r="S12" s="751" t="n">
        <v>458400</v>
      </c>
      <c r="T12" s="749" t="inlineStr">
        <is>
          <t>YOC missing</t>
        </is>
      </c>
    </row>
    <row r="13">
      <c r="A13" s="741" t="n">
        <v>717</v>
      </c>
      <c r="B13" s="742" t="inlineStr">
        <is>
          <t>5995 Dexter St</t>
        </is>
      </c>
      <c r="C13" s="741" t="inlineStr">
        <is>
          <t>Commerce City</t>
        </is>
      </c>
      <c r="D13" s="741" t="inlineStr">
        <is>
          <t>Adams</t>
        </is>
      </c>
      <c r="E13" s="741" t="inlineStr">
        <is>
          <t>Fast Food</t>
        </is>
      </c>
      <c r="F13" s="741" t="inlineStr">
        <is>
          <t>Arby's</t>
        </is>
      </c>
      <c r="G13" s="741" t="n">
        <v>349</v>
      </c>
      <c r="H13" s="743" t="inlineStr">
        <is>
          <t>349 - Fast Food Restaurant</t>
        </is>
      </c>
      <c r="I13" s="742" t="inlineStr">
        <is>
          <t>Restaurants – Fast Food</t>
        </is>
      </c>
      <c r="J13" s="741" t="inlineStr">
        <is>
          <t>Sec.13 p.17</t>
        </is>
      </c>
      <c r="K13" s="744" t="n">
        <v>4050</v>
      </c>
      <c r="L13" s="744" t="n">
        <v>114563</v>
      </c>
      <c r="M13" s="745" t="inlineStr">
        <is>
          <t>C</t>
        </is>
      </c>
      <c r="N13" s="745" t="inlineStr">
        <is>
          <t>Average</t>
        </is>
      </c>
      <c r="O13" s="745" t="inlineStr">
        <is>
          <t>Typical</t>
        </is>
      </c>
      <c r="P13" s="745" t="n">
        <v>1998</v>
      </c>
      <c r="Q13" s="741" t="n">
        <v>26</v>
      </c>
      <c r="R13" s="746" t="n">
        <v>191</v>
      </c>
      <c r="S13" s="747" t="n">
        <v>773550</v>
      </c>
      <c r="T13" s="742" t="inlineStr"/>
    </row>
    <row r="14">
      <c r="A14" s="748" t="n">
        <v>718</v>
      </c>
      <c r="B14" s="749" t="inlineStr">
        <is>
          <t>200 E 144th Ave</t>
        </is>
      </c>
      <c r="C14" s="748" t="inlineStr">
        <is>
          <t>Thornton</t>
        </is>
      </c>
      <c r="D14" s="748" t="inlineStr">
        <is>
          <t>Adams</t>
        </is>
      </c>
      <c r="E14" s="748" t="inlineStr">
        <is>
          <t>Fast Food</t>
        </is>
      </c>
      <c r="F14" s="748" t="inlineStr">
        <is>
          <t>Arby's</t>
        </is>
      </c>
      <c r="G14" s="748" t="n">
        <v>349</v>
      </c>
      <c r="H14" s="743" t="inlineStr">
        <is>
          <t>349 - Fast Food Restaurant</t>
        </is>
      </c>
      <c r="I14" s="749" t="inlineStr">
        <is>
          <t>Restaurants – Fast Food</t>
        </is>
      </c>
      <c r="J14" s="748" t="inlineStr">
        <is>
          <t>Sec.13 p.17</t>
        </is>
      </c>
      <c r="K14" s="744" t="n">
        <v>3003</v>
      </c>
      <c r="L14" s="744" t="n">
        <v>46609</v>
      </c>
      <c r="M14" s="745" t="inlineStr">
        <is>
          <t>C</t>
        </is>
      </c>
      <c r="N14" s="745" t="inlineStr">
        <is>
          <t>Good</t>
        </is>
      </c>
      <c r="O14" s="745" t="inlineStr">
        <is>
          <t>Typical</t>
        </is>
      </c>
      <c r="P14" s="745" t="n">
        <v>2016</v>
      </c>
      <c r="Q14" s="748" t="n">
        <v>8</v>
      </c>
      <c r="R14" s="750" t="n">
        <v>246</v>
      </c>
      <c r="S14" s="751" t="n">
        <v>738738</v>
      </c>
      <c r="T14" s="749" t="inlineStr"/>
    </row>
    <row r="15">
      <c r="A15" s="741" t="n">
        <v>719</v>
      </c>
      <c r="B15" s="742" t="inlineStr">
        <is>
          <t>11953 Holly St</t>
        </is>
      </c>
      <c r="C15" s="741" t="inlineStr">
        <is>
          <t>Thornton</t>
        </is>
      </c>
      <c r="D15" s="741" t="inlineStr">
        <is>
          <t>Adams</t>
        </is>
      </c>
      <c r="E15" s="741" t="inlineStr">
        <is>
          <t>Fast Food</t>
        </is>
      </c>
      <c r="F15" s="741" t="inlineStr">
        <is>
          <t>Burger King</t>
        </is>
      </c>
      <c r="G15" s="741" t="n">
        <v>349</v>
      </c>
      <c r="H15" s="743" t="inlineStr">
        <is>
          <t>349 - Fast Food Restaurant</t>
        </is>
      </c>
      <c r="I15" s="742" t="inlineStr">
        <is>
          <t>Restaurants – Fast Food</t>
        </is>
      </c>
      <c r="J15" s="741" t="inlineStr">
        <is>
          <t>Sec.13 p.17</t>
        </is>
      </c>
      <c r="K15" s="744" t="n">
        <v>4000</v>
      </c>
      <c r="L15" s="744" t="n">
        <v>40946</v>
      </c>
      <c r="M15" s="745" t="inlineStr">
        <is>
          <t>C</t>
        </is>
      </c>
      <c r="N15" s="745" t="inlineStr">
        <is>
          <t>Good</t>
        </is>
      </c>
      <c r="O15" s="745" t="inlineStr">
        <is>
          <t>Typical</t>
        </is>
      </c>
      <c r="P15" s="745" t="n">
        <v>2018</v>
      </c>
      <c r="Q15" s="741" t="n">
        <v>6</v>
      </c>
      <c r="R15" s="746" t="n">
        <v>246</v>
      </c>
      <c r="S15" s="747" t="n">
        <v>984000</v>
      </c>
      <c r="T15" s="742" t="inlineStr"/>
    </row>
    <row r="16">
      <c r="A16" s="748" t="n">
        <v>720</v>
      </c>
      <c r="B16" s="749" t="inlineStr">
        <is>
          <t>5156 E Bromley Ln</t>
        </is>
      </c>
      <c r="C16" s="748" t="inlineStr">
        <is>
          <t>Brighton</t>
        </is>
      </c>
      <c r="D16" s="748" t="inlineStr">
        <is>
          <t>Adams</t>
        </is>
      </c>
      <c r="E16" s="748" t="inlineStr">
        <is>
          <t>Auto Service</t>
        </is>
      </c>
      <c r="F16" s="748" t="inlineStr">
        <is>
          <t>Caliber Collision</t>
        </is>
      </c>
      <c r="G16" s="748" t="n">
        <v>410</v>
      </c>
      <c r="H16" s="743" t="inlineStr">
        <is>
          <t>410 - Automotive Center</t>
        </is>
      </c>
      <c r="I16" s="749" t="inlineStr">
        <is>
          <t>Automotive Service Centers</t>
        </is>
      </c>
      <c r="J16" s="748" t="inlineStr">
        <is>
          <t>Sec.14 p.31</t>
        </is>
      </c>
      <c r="K16" s="744" t="n">
        <v>18027</v>
      </c>
      <c r="L16" s="744" t="n">
        <v>124146</v>
      </c>
      <c r="M16" s="745" t="inlineStr">
        <is>
          <t>S</t>
        </is>
      </c>
      <c r="N16" s="745" t="inlineStr">
        <is>
          <t>Average</t>
        </is>
      </c>
      <c r="O16" s="745" t="inlineStr">
        <is>
          <t>Typical</t>
        </is>
      </c>
      <c r="P16" s="745" t="n">
        <v>2019</v>
      </c>
      <c r="Q16" s="748" t="n">
        <v>5</v>
      </c>
      <c r="R16" s="750" t="n">
        <v>97.5</v>
      </c>
      <c r="S16" s="751" t="n">
        <v>1757632</v>
      </c>
      <c r="T16" s="749" t="inlineStr">
        <is>
          <t>quality fell back to Average</t>
        </is>
      </c>
    </row>
    <row r="17">
      <c r="A17" s="741" t="n">
        <v>721</v>
      </c>
      <c r="B17" s="742" t="inlineStr">
        <is>
          <t>5156 E Bromley Ln</t>
        </is>
      </c>
      <c r="C17" s="741" t="inlineStr">
        <is>
          <t>Brighton</t>
        </is>
      </c>
      <c r="D17" s="741" t="inlineStr">
        <is>
          <t>Adams</t>
        </is>
      </c>
      <c r="E17" s="741" t="inlineStr">
        <is>
          <t>Auto Service</t>
        </is>
      </c>
      <c r="F17" s="741" t="inlineStr">
        <is>
          <t>Caliber Collision</t>
        </is>
      </c>
      <c r="G17" s="741" t="n">
        <v>410</v>
      </c>
      <c r="H17" s="743" t="inlineStr">
        <is>
          <t>410 - Automotive Center</t>
        </is>
      </c>
      <c r="I17" s="742" t="inlineStr">
        <is>
          <t>Automotive Service Centers</t>
        </is>
      </c>
      <c r="J17" s="741" t="inlineStr">
        <is>
          <t>Sec.14 p.31</t>
        </is>
      </c>
      <c r="K17" s="744" t="n">
        <v>18027</v>
      </c>
      <c r="L17" s="744" t="n">
        <v>124146</v>
      </c>
      <c r="M17" s="745" t="inlineStr">
        <is>
          <t>S</t>
        </is>
      </c>
      <c r="N17" s="745" t="inlineStr">
        <is>
          <t>Average</t>
        </is>
      </c>
      <c r="O17" s="745" t="inlineStr">
        <is>
          <t>Typical</t>
        </is>
      </c>
      <c r="P17" s="745" t="n">
        <v>2019</v>
      </c>
      <c r="Q17" s="741" t="n">
        <v>5</v>
      </c>
      <c r="R17" s="746" t="n">
        <v>97.5</v>
      </c>
      <c r="S17" s="747" t="n">
        <v>1757632</v>
      </c>
      <c r="T17" s="742" t="inlineStr">
        <is>
          <t>quality fell back to Average</t>
        </is>
      </c>
    </row>
    <row r="18">
      <c r="A18" s="748" t="n">
        <v>722</v>
      </c>
      <c r="B18" s="749" t="inlineStr">
        <is>
          <t>5703 E 136th Ave</t>
        </is>
      </c>
      <c r="C18" s="748" t="inlineStr">
        <is>
          <t>Thornton</t>
        </is>
      </c>
      <c r="D18" s="748" t="inlineStr">
        <is>
          <t>Adams</t>
        </is>
      </c>
      <c r="E18" s="748" t="inlineStr">
        <is>
          <t>Auto Service</t>
        </is>
      </c>
      <c r="F18" s="748" t="inlineStr">
        <is>
          <t>Christian Brothers Automotive</t>
        </is>
      </c>
      <c r="G18" s="748" t="n">
        <v>410</v>
      </c>
      <c r="H18" s="743" t="inlineStr">
        <is>
          <t>410 - Automotive Center</t>
        </is>
      </c>
      <c r="I18" s="749" t="inlineStr">
        <is>
          <t>Automotive Service Centers</t>
        </is>
      </c>
      <c r="J18" s="748" t="inlineStr">
        <is>
          <t>Sec.14 p.31</t>
        </is>
      </c>
      <c r="K18" s="744" t="n">
        <v>4921</v>
      </c>
      <c r="L18" s="744" t="n">
        <v>46174</v>
      </c>
      <c r="M18" s="745" t="inlineStr">
        <is>
          <t>S</t>
        </is>
      </c>
      <c r="N18" s="745" t="inlineStr">
        <is>
          <t>Average</t>
        </is>
      </c>
      <c r="O18" s="745" t="inlineStr">
        <is>
          <t>Typical</t>
        </is>
      </c>
      <c r="P18" s="745" t="n">
        <v>2017</v>
      </c>
      <c r="Q18" s="748" t="n">
        <v>7</v>
      </c>
      <c r="R18" s="750" t="n">
        <v>97.5</v>
      </c>
      <c r="S18" s="751" t="n">
        <v>479798</v>
      </c>
      <c r="T18" s="749" t="inlineStr">
        <is>
          <t>quality fell back to Average</t>
        </is>
      </c>
    </row>
    <row r="19">
      <c r="A19" s="741" t="n">
        <v>723</v>
      </c>
      <c r="B19" s="742" t="inlineStr">
        <is>
          <t>15690 E 104th Ave</t>
        </is>
      </c>
      <c r="C19" s="741" t="inlineStr">
        <is>
          <t>Commerce City</t>
        </is>
      </c>
      <c r="D19" s="741" t="inlineStr">
        <is>
          <t>Adams</t>
        </is>
      </c>
      <c r="E19" s="741" t="inlineStr">
        <is>
          <t>Auto Service</t>
        </is>
      </c>
      <c r="F19" s="741" t="inlineStr">
        <is>
          <t>Christian Brothers Automotive</t>
        </is>
      </c>
      <c r="G19" s="741" t="n">
        <v>410</v>
      </c>
      <c r="H19" s="743" t="inlineStr">
        <is>
          <t>410 - Automotive Center</t>
        </is>
      </c>
      <c r="I19" s="742" t="inlineStr">
        <is>
          <t>Automotive Service Centers</t>
        </is>
      </c>
      <c r="J19" s="741" t="inlineStr">
        <is>
          <t>Sec.14 p.31</t>
        </is>
      </c>
      <c r="K19" s="744" t="n">
        <v>4896</v>
      </c>
      <c r="L19" s="744" t="n">
        <v>43996</v>
      </c>
      <c r="M19" s="745" t="inlineStr">
        <is>
          <t>S</t>
        </is>
      </c>
      <c r="N19" s="745" t="inlineStr">
        <is>
          <t>Average</t>
        </is>
      </c>
      <c r="O19" s="745" t="inlineStr">
        <is>
          <t>Typical</t>
        </is>
      </c>
      <c r="P19" s="745" t="n">
        <v>2018</v>
      </c>
      <c r="Q19" s="741" t="n">
        <v>6</v>
      </c>
      <c r="R19" s="746" t="n">
        <v>97.5</v>
      </c>
      <c r="S19" s="747" t="n">
        <v>477360</v>
      </c>
      <c r="T19" s="742" t="inlineStr">
        <is>
          <t>quality fell back to Average</t>
        </is>
      </c>
    </row>
    <row r="20">
      <c r="A20" s="748" t="n">
        <v>724</v>
      </c>
      <c r="B20" s="749" t="inlineStr">
        <is>
          <t>15690 E 104th Ave</t>
        </is>
      </c>
      <c r="C20" s="748" t="inlineStr">
        <is>
          <t>Commerce City</t>
        </is>
      </c>
      <c r="D20" s="748" t="inlineStr">
        <is>
          <t>Adams</t>
        </is>
      </c>
      <c r="E20" s="748" t="inlineStr">
        <is>
          <t>Auto Service</t>
        </is>
      </c>
      <c r="F20" s="748" t="inlineStr">
        <is>
          <t>Christian Brothers Automotive</t>
        </is>
      </c>
      <c r="G20" s="748" t="n">
        <v>410</v>
      </c>
      <c r="H20" s="743" t="inlineStr">
        <is>
          <t>410 - Automotive Center</t>
        </is>
      </c>
      <c r="I20" s="749" t="inlineStr">
        <is>
          <t>Automotive Service Centers</t>
        </is>
      </c>
      <c r="J20" s="748" t="inlineStr">
        <is>
          <t>Sec.14 p.31</t>
        </is>
      </c>
      <c r="K20" s="744" t="n">
        <v>4896</v>
      </c>
      <c r="L20" s="744" t="n">
        <v>43996</v>
      </c>
      <c r="M20" s="745" t="inlineStr">
        <is>
          <t>S</t>
        </is>
      </c>
      <c r="N20" s="745" t="inlineStr">
        <is>
          <t>Average</t>
        </is>
      </c>
      <c r="O20" s="745" t="inlineStr">
        <is>
          <t>Typical</t>
        </is>
      </c>
      <c r="P20" s="745" t="n">
        <v>2018</v>
      </c>
      <c r="Q20" s="748" t="n">
        <v>6</v>
      </c>
      <c r="R20" s="750" t="n">
        <v>97.5</v>
      </c>
      <c r="S20" s="751" t="n">
        <v>477360</v>
      </c>
      <c r="T20" s="749" t="inlineStr">
        <is>
          <t>quality fell back to Average</t>
        </is>
      </c>
    </row>
    <row r="21">
      <c r="A21" s="741" t="n">
        <v>725</v>
      </c>
      <c r="B21" s="742" t="inlineStr">
        <is>
          <t>14901 E Colfax Ave</t>
        </is>
      </c>
      <c r="C21" s="741" t="inlineStr">
        <is>
          <t>Aurora</t>
        </is>
      </c>
      <c r="D21" s="741" t="inlineStr">
        <is>
          <t>Adams</t>
        </is>
      </c>
      <c r="E21" s="741" t="inlineStr">
        <is>
          <t>Fast Food</t>
        </is>
      </c>
      <c r="F21" s="741" t="inlineStr">
        <is>
          <t>Dairy Queen</t>
        </is>
      </c>
      <c r="G21" s="741" t="n">
        <v>349</v>
      </c>
      <c r="H21" s="743" t="inlineStr">
        <is>
          <t>349 - Fast Food Restaurant</t>
        </is>
      </c>
      <c r="I21" s="742" t="inlineStr">
        <is>
          <t>Restaurants – Fast Food</t>
        </is>
      </c>
      <c r="J21" s="741" t="inlineStr">
        <is>
          <t>Sec.13 p.17</t>
        </is>
      </c>
      <c r="K21" s="744" t="n">
        <v>1295</v>
      </c>
      <c r="L21" s="744" t="n">
        <v>21436</v>
      </c>
      <c r="M21" s="745" t="inlineStr">
        <is>
          <t>C</t>
        </is>
      </c>
      <c r="N21" s="745" t="inlineStr">
        <is>
          <t>Average</t>
        </is>
      </c>
      <c r="O21" s="745" t="inlineStr">
        <is>
          <t>Typical</t>
        </is>
      </c>
      <c r="P21" s="745" t="n">
        <v>1973</v>
      </c>
      <c r="Q21" s="741" t="n">
        <v>51</v>
      </c>
      <c r="R21" s="746" t="n">
        <v>191</v>
      </c>
      <c r="S21" s="747" t="n">
        <v>247345</v>
      </c>
      <c r="T21" s="742" t="inlineStr"/>
    </row>
    <row r="22">
      <c r="A22" s="748" t="n">
        <v>726</v>
      </c>
      <c r="B22" s="749" t="inlineStr">
        <is>
          <t>3701 Tower Rd</t>
        </is>
      </c>
      <c r="C22" s="748" t="inlineStr">
        <is>
          <t>Aurora</t>
        </is>
      </c>
      <c r="D22" s="748" t="inlineStr">
        <is>
          <t>Adams</t>
        </is>
      </c>
      <c r="E22" s="748" t="inlineStr">
        <is>
          <t>Fast Food</t>
        </is>
      </c>
      <c r="F22" s="748" t="inlineStr">
        <is>
          <t>Dairy Queen</t>
        </is>
      </c>
      <c r="G22" s="748" t="n">
        <v>349</v>
      </c>
      <c r="H22" s="743" t="inlineStr">
        <is>
          <t>349 - Fast Food Restaurant</t>
        </is>
      </c>
      <c r="I22" s="749" t="inlineStr">
        <is>
          <t>Restaurants – Fast Food</t>
        </is>
      </c>
      <c r="J22" s="748" t="inlineStr">
        <is>
          <t>Sec.13 p.17</t>
        </is>
      </c>
      <c r="K22" s="744" t="n">
        <v>1886</v>
      </c>
      <c r="L22" s="744" t="n">
        <v>56963</v>
      </c>
      <c r="M22" s="745" t="inlineStr">
        <is>
          <t>C</t>
        </is>
      </c>
      <c r="N22" s="745" t="inlineStr">
        <is>
          <t>Average</t>
        </is>
      </c>
      <c r="O22" s="745" t="inlineStr">
        <is>
          <t>Typical</t>
        </is>
      </c>
      <c r="P22" s="745" t="n">
        <v>2013</v>
      </c>
      <c r="Q22" s="748" t="n">
        <v>11</v>
      </c>
      <c r="R22" s="750" t="n">
        <v>191</v>
      </c>
      <c r="S22" s="751" t="n">
        <v>360226</v>
      </c>
      <c r="T22" s="749" t="inlineStr"/>
    </row>
    <row r="23">
      <c r="A23" s="741" t="n">
        <v>727</v>
      </c>
      <c r="B23" s="742" t="inlineStr">
        <is>
          <t>14950 E 104th Ave</t>
        </is>
      </c>
      <c r="C23" s="741" t="inlineStr">
        <is>
          <t>Commerce City</t>
        </is>
      </c>
      <c r="D23" s="741" t="inlineStr">
        <is>
          <t>Adams</t>
        </is>
      </c>
      <c r="E23" s="741" t="inlineStr">
        <is>
          <t>Fast Food</t>
        </is>
      </c>
      <c r="F23" s="741" t="inlineStr">
        <is>
          <t>Dairy Queen</t>
        </is>
      </c>
      <c r="G23" s="741" t="n">
        <v>349</v>
      </c>
      <c r="H23" s="743" t="inlineStr">
        <is>
          <t>349 - Fast Food Restaurant</t>
        </is>
      </c>
      <c r="I23" s="742" t="inlineStr">
        <is>
          <t>Restaurants – Fast Food</t>
        </is>
      </c>
      <c r="J23" s="741" t="inlineStr">
        <is>
          <t>Sec.13 p.17</t>
        </is>
      </c>
      <c r="K23" s="744" t="n">
        <v>3286</v>
      </c>
      <c r="L23" s="744" t="n">
        <v>35284</v>
      </c>
      <c r="M23" s="745" t="inlineStr">
        <is>
          <t>C</t>
        </is>
      </c>
      <c r="N23" s="745" t="inlineStr">
        <is>
          <t>Good</t>
        </is>
      </c>
      <c r="O23" s="745" t="inlineStr">
        <is>
          <t>Typical</t>
        </is>
      </c>
      <c r="P23" s="745" t="n">
        <v>2020</v>
      </c>
      <c r="Q23" s="741" t="n">
        <v>4</v>
      </c>
      <c r="R23" s="746" t="n">
        <v>246</v>
      </c>
      <c r="S23" s="747" t="n">
        <v>808356</v>
      </c>
      <c r="T23" s="742" t="inlineStr"/>
    </row>
    <row r="24">
      <c r="A24" s="748" t="n">
        <v>728</v>
      </c>
      <c r="B24" s="749" t="inlineStr">
        <is>
          <t>18260 E 104th Ave</t>
        </is>
      </c>
      <c r="C24" s="748" t="inlineStr">
        <is>
          <t>Commerce City</t>
        </is>
      </c>
      <c r="D24" s="748" t="inlineStr">
        <is>
          <t>Adams</t>
        </is>
      </c>
      <c r="E24" s="748" t="inlineStr">
        <is>
          <t>Fast Food</t>
        </is>
      </c>
      <c r="F24" s="748" t="inlineStr">
        <is>
          <t>Del Taco</t>
        </is>
      </c>
      <c r="G24" s="748" t="n">
        <v>349</v>
      </c>
      <c r="H24" s="743" t="inlineStr">
        <is>
          <t>349 - Fast Food Restaurant</t>
        </is>
      </c>
      <c r="I24" s="749" t="inlineStr">
        <is>
          <t>Restaurants – Fast Food</t>
        </is>
      </c>
      <c r="J24" s="748" t="inlineStr">
        <is>
          <t>Sec.13 p.17</t>
        </is>
      </c>
      <c r="K24" s="744" t="n">
        <v>2234</v>
      </c>
      <c r="L24" s="744" t="n">
        <v>19166</v>
      </c>
      <c r="M24" s="745" t="inlineStr">
        <is>
          <t>C</t>
        </is>
      </c>
      <c r="N24" s="745" t="inlineStr">
        <is>
          <t>Average</t>
        </is>
      </c>
      <c r="O24" s="745" t="inlineStr">
        <is>
          <t>Typical</t>
        </is>
      </c>
      <c r="P24" s="745" t="n">
        <v>2007</v>
      </c>
      <c r="Q24" s="748" t="n">
        <v>17</v>
      </c>
      <c r="R24" s="750" t="n">
        <v>191</v>
      </c>
      <c r="S24" s="751" t="n">
        <v>426694</v>
      </c>
      <c r="T24" s="749" t="inlineStr"/>
    </row>
    <row r="25">
      <c r="A25" s="741" t="n">
        <v>729</v>
      </c>
      <c r="B25" s="742" t="inlineStr">
        <is>
          <t>350 E 104th Ave</t>
        </is>
      </c>
      <c r="C25" s="741" t="inlineStr">
        <is>
          <t>Thornton</t>
        </is>
      </c>
      <c r="D25" s="741" t="inlineStr">
        <is>
          <t>Adams</t>
        </is>
      </c>
      <c r="E25" s="741" t="inlineStr">
        <is>
          <t>Retail Center</t>
        </is>
      </c>
      <c r="F25" s="741" t="inlineStr">
        <is>
          <t>Denny's</t>
        </is>
      </c>
      <c r="G25" s="741" t="n">
        <v>353</v>
      </c>
      <c r="H25" s="743" t="inlineStr">
        <is>
          <t>353 - Retail Store</t>
        </is>
      </c>
      <c r="I25" s="742" t="inlineStr">
        <is>
          <t>Retail Stores</t>
        </is>
      </c>
      <c r="J25" s="741" t="inlineStr">
        <is>
          <t>Sec.13 p.26</t>
        </is>
      </c>
      <c r="K25" s="744" t="n">
        <v>4095</v>
      </c>
      <c r="L25" s="744" t="n">
        <v>26572</v>
      </c>
      <c r="M25" s="745" t="inlineStr">
        <is>
          <t>C</t>
        </is>
      </c>
      <c r="N25" s="745" t="inlineStr">
        <is>
          <t>Average</t>
        </is>
      </c>
      <c r="O25" s="745" t="inlineStr">
        <is>
          <t>Typical</t>
        </is>
      </c>
      <c r="P25" s="745" t="n">
        <v>1977</v>
      </c>
      <c r="Q25" s="741" t="n">
        <v>47</v>
      </c>
      <c r="R25" s="746" t="n">
        <v>117</v>
      </c>
      <c r="S25" s="747" t="n">
        <v>479115</v>
      </c>
      <c r="T25" s="742" t="inlineStr"/>
    </row>
    <row r="26">
      <c r="A26" s="748" t="n">
        <v>730</v>
      </c>
      <c r="B26" s="749" t="inlineStr">
        <is>
          <t>350 E 104th Ave</t>
        </is>
      </c>
      <c r="C26" s="748" t="inlineStr">
        <is>
          <t>Thornton</t>
        </is>
      </c>
      <c r="D26" s="748" t="inlineStr">
        <is>
          <t>Adams</t>
        </is>
      </c>
      <c r="E26" s="748" t="inlineStr">
        <is>
          <t>Retail Center</t>
        </is>
      </c>
      <c r="F26" s="748" t="inlineStr">
        <is>
          <t>Denny's</t>
        </is>
      </c>
      <c r="G26" s="748" t="n">
        <v>353</v>
      </c>
      <c r="H26" s="743" t="inlineStr">
        <is>
          <t>353 - Retail Store</t>
        </is>
      </c>
      <c r="I26" s="749" t="inlineStr">
        <is>
          <t>Retail Stores</t>
        </is>
      </c>
      <c r="J26" s="748" t="inlineStr">
        <is>
          <t>Sec.13 p.26</t>
        </is>
      </c>
      <c r="K26" s="744" t="n">
        <v>4095</v>
      </c>
      <c r="L26" s="744" t="n">
        <v>26572</v>
      </c>
      <c r="M26" s="745" t="inlineStr">
        <is>
          <t>C</t>
        </is>
      </c>
      <c r="N26" s="745" t="inlineStr">
        <is>
          <t>Average</t>
        </is>
      </c>
      <c r="O26" s="745" t="inlineStr">
        <is>
          <t>Typical</t>
        </is>
      </c>
      <c r="P26" s="745" t="n">
        <v>1977</v>
      </c>
      <c r="Q26" s="748" t="n">
        <v>47</v>
      </c>
      <c r="R26" s="750" t="n">
        <v>117</v>
      </c>
      <c r="S26" s="751" t="n">
        <v>479115</v>
      </c>
      <c r="T26" s="749" t="inlineStr"/>
    </row>
    <row r="27">
      <c r="A27" s="741" t="n">
        <v>731</v>
      </c>
      <c r="B27" s="742" t="inlineStr">
        <is>
          <t>6011 Dexter St</t>
        </is>
      </c>
      <c r="C27" s="741" t="inlineStr">
        <is>
          <t>Commerce City</t>
        </is>
      </c>
      <c r="D27" s="741" t="inlineStr">
        <is>
          <t>Adams</t>
        </is>
      </c>
      <c r="E27" s="741" t="inlineStr">
        <is>
          <t>Dollar Store</t>
        </is>
      </c>
      <c r="F27" s="741" t="inlineStr">
        <is>
          <t>Dollar Tree</t>
        </is>
      </c>
      <c r="G27" s="741" t="n">
        <v>319</v>
      </c>
      <c r="H27" s="743" t="inlineStr">
        <is>
          <t>319 - Discount Store</t>
        </is>
      </c>
      <c r="I27" s="742" t="inlineStr">
        <is>
          <t>Discount Stores</t>
        </is>
      </c>
      <c r="J27" s="741" t="inlineStr">
        <is>
          <t>Sec.13 p.28</t>
        </is>
      </c>
      <c r="K27" s="744" t="n">
        <v>14490</v>
      </c>
      <c r="L27" s="744" t="n">
        <v>112820</v>
      </c>
      <c r="M27" s="745" t="inlineStr">
        <is>
          <t>C</t>
        </is>
      </c>
      <c r="N27" s="745" t="inlineStr">
        <is>
          <t>Average</t>
        </is>
      </c>
      <c r="O27" s="745" t="inlineStr">
        <is>
          <t>Typical</t>
        </is>
      </c>
      <c r="P27" s="745" t="n">
        <v>2005</v>
      </c>
      <c r="Q27" s="741" t="n">
        <v>19</v>
      </c>
      <c r="R27" s="746" t="n">
        <v>94</v>
      </c>
      <c r="S27" s="747" t="n">
        <v>1362060</v>
      </c>
      <c r="T27" s="742" t="inlineStr"/>
    </row>
    <row r="28">
      <c r="A28" s="748" t="n">
        <v>732</v>
      </c>
      <c r="B28" s="749" t="inlineStr">
        <is>
          <t>270 W 136th Ave</t>
        </is>
      </c>
      <c r="C28" s="748" t="inlineStr">
        <is>
          <t>Westminster</t>
        </is>
      </c>
      <c r="D28" s="748" t="inlineStr">
        <is>
          <t>Adams</t>
        </is>
      </c>
      <c r="E28" s="748" t="inlineStr">
        <is>
          <t>Coffee</t>
        </is>
      </c>
      <c r="F28" s="748" t="inlineStr">
        <is>
          <t>Dutch Bros</t>
        </is>
      </c>
      <c r="G28" s="748" t="n">
        <v>349</v>
      </c>
      <c r="H28" s="743" t="inlineStr">
        <is>
          <t>349 - Fast Food Restaurant</t>
        </is>
      </c>
      <c r="I28" s="749" t="inlineStr">
        <is>
          <t>Restaurants – Fast Food</t>
        </is>
      </c>
      <c r="J28" s="748" t="inlineStr">
        <is>
          <t>Sec.13 p.17</t>
        </is>
      </c>
      <c r="K28" s="744" t="n">
        <v>833</v>
      </c>
      <c r="L28" s="744" t="n">
        <v>32714</v>
      </c>
      <c r="M28" s="745" t="inlineStr">
        <is>
          <t>C</t>
        </is>
      </c>
      <c r="N28" s="745" t="inlineStr">
        <is>
          <t>Good</t>
        </is>
      </c>
      <c r="O28" s="745" t="inlineStr">
        <is>
          <t>Typical</t>
        </is>
      </c>
      <c r="P28" s="745" t="n">
        <v>2019</v>
      </c>
      <c r="Q28" s="748" t="n">
        <v>5</v>
      </c>
      <c r="R28" s="750" t="n">
        <v>246</v>
      </c>
      <c r="S28" s="751" t="n">
        <v>204918</v>
      </c>
      <c r="T28" s="749" t="inlineStr"/>
    </row>
    <row r="29">
      <c r="A29" s="741" t="n">
        <v>733</v>
      </c>
      <c r="B29" s="742" t="inlineStr">
        <is>
          <t>15431 E 104th Ave</t>
        </is>
      </c>
      <c r="C29" s="741" t="inlineStr">
        <is>
          <t>Commerce City</t>
        </is>
      </c>
      <c r="D29" s="741" t="inlineStr">
        <is>
          <t>Adams</t>
        </is>
      </c>
      <c r="E29" s="741" t="inlineStr">
        <is>
          <t>Coffee</t>
        </is>
      </c>
      <c r="F29" s="741" t="inlineStr">
        <is>
          <t>Dutch Bros</t>
        </is>
      </c>
      <c r="G29" s="741" t="n">
        <v>349</v>
      </c>
      <c r="H29" s="743" t="inlineStr">
        <is>
          <t>349 - Fast Food Restaurant</t>
        </is>
      </c>
      <c r="I29" s="742" t="inlineStr">
        <is>
          <t>Restaurants – Fast Food</t>
        </is>
      </c>
      <c r="J29" s="741" t="inlineStr">
        <is>
          <t>Sec.13 p.17</t>
        </is>
      </c>
      <c r="K29" s="744" t="n">
        <v>860</v>
      </c>
      <c r="L29" s="744" t="n">
        <v>35719</v>
      </c>
      <c r="M29" s="745" t="inlineStr">
        <is>
          <t>C</t>
        </is>
      </c>
      <c r="N29" s="745" t="inlineStr">
        <is>
          <t>Good</t>
        </is>
      </c>
      <c r="O29" s="745" t="inlineStr">
        <is>
          <t>Typical</t>
        </is>
      </c>
      <c r="P29" s="745" t="n">
        <v>2020</v>
      </c>
      <c r="Q29" s="741" t="n">
        <v>4</v>
      </c>
      <c r="R29" s="746" t="n">
        <v>246</v>
      </c>
      <c r="S29" s="747" t="n">
        <v>211560</v>
      </c>
      <c r="T29" s="742" t="inlineStr"/>
    </row>
    <row r="30">
      <c r="A30" s="748" t="n">
        <v>734</v>
      </c>
      <c r="B30" s="749" t="inlineStr">
        <is>
          <t>41 W 84th Ave</t>
        </is>
      </c>
      <c r="C30" s="748" t="inlineStr">
        <is>
          <t>Thornton</t>
        </is>
      </c>
      <c r="D30" s="748" t="inlineStr">
        <is>
          <t>Adams</t>
        </is>
      </c>
      <c r="E30" s="748" t="inlineStr">
        <is>
          <t>Coffee</t>
        </is>
      </c>
      <c r="F30" s="748" t="inlineStr">
        <is>
          <t>Dutch Bros</t>
        </is>
      </c>
      <c r="G30" s="748" t="n">
        <v>349</v>
      </c>
      <c r="H30" s="743" t="inlineStr">
        <is>
          <t>349 - Fast Food Restaurant</t>
        </is>
      </c>
      <c r="I30" s="749" t="inlineStr">
        <is>
          <t>Restaurants – Fast Food</t>
        </is>
      </c>
      <c r="J30" s="748" t="inlineStr">
        <is>
          <t>Sec.13 p.17</t>
        </is>
      </c>
      <c r="K30" s="744" t="n">
        <v>824</v>
      </c>
      <c r="L30" s="744" t="n">
        <v>23522</v>
      </c>
      <c r="M30" s="745" t="inlineStr">
        <is>
          <t>C</t>
        </is>
      </c>
      <c r="N30" s="745" t="inlineStr">
        <is>
          <t>Good</t>
        </is>
      </c>
      <c r="O30" s="745" t="inlineStr">
        <is>
          <t>Typical</t>
        </is>
      </c>
      <c r="P30" s="745" t="n">
        <v>2019</v>
      </c>
      <c r="Q30" s="748" t="n">
        <v>5</v>
      </c>
      <c r="R30" s="750" t="n">
        <v>246</v>
      </c>
      <c r="S30" s="751" t="n">
        <v>202704</v>
      </c>
      <c r="T30" s="749" t="inlineStr"/>
    </row>
    <row r="31">
      <c r="A31" s="741" t="n">
        <v>735</v>
      </c>
      <c r="B31" s="742" t="inlineStr">
        <is>
          <t>1571 E 120th</t>
        </is>
      </c>
      <c r="C31" s="741" t="inlineStr">
        <is>
          <t>Northglenn</t>
        </is>
      </c>
      <c r="D31" s="741" t="inlineStr">
        <is>
          <t>Adams</t>
        </is>
      </c>
      <c r="E31" s="741" t="inlineStr">
        <is>
          <t>Coffee</t>
        </is>
      </c>
      <c r="F31" s="741" t="inlineStr">
        <is>
          <t>Dutch Bros</t>
        </is>
      </c>
      <c r="G31" s="741" t="n">
        <v>349</v>
      </c>
      <c r="H31" s="743" t="inlineStr">
        <is>
          <t>349 - Fast Food Restaurant</t>
        </is>
      </c>
      <c r="I31" s="742" t="inlineStr">
        <is>
          <t>Restaurants – Fast Food</t>
        </is>
      </c>
      <c r="J31" s="741" t="inlineStr">
        <is>
          <t>Sec.13 p.17</t>
        </is>
      </c>
      <c r="K31" s="744" t="n">
        <v>950</v>
      </c>
      <c r="L31" s="744" t="n">
        <v>43829</v>
      </c>
      <c r="M31" s="745" t="inlineStr">
        <is>
          <t>C</t>
        </is>
      </c>
      <c r="N31" s="745" t="inlineStr">
        <is>
          <t>Good</t>
        </is>
      </c>
      <c r="O31" s="745" t="inlineStr">
        <is>
          <t>Typical</t>
        </is>
      </c>
      <c r="P31" s="745" t="n">
        <v>2023</v>
      </c>
      <c r="Q31" s="741" t="n">
        <v>1</v>
      </c>
      <c r="R31" s="746" t="n">
        <v>246</v>
      </c>
      <c r="S31" s="747" t="n">
        <v>233700</v>
      </c>
      <c r="T31" s="742" t="inlineStr"/>
    </row>
    <row r="32">
      <c r="A32" s="748" t="n">
        <v>736</v>
      </c>
      <c r="B32" s="749" t="inlineStr">
        <is>
          <t>16743 Washington St</t>
        </is>
      </c>
      <c r="C32" s="748" t="inlineStr">
        <is>
          <t>Thornton</t>
        </is>
      </c>
      <c r="D32" s="748" t="inlineStr">
        <is>
          <t>Adams</t>
        </is>
      </c>
      <c r="E32" s="748" t="inlineStr">
        <is>
          <t>Coffee</t>
        </is>
      </c>
      <c r="F32" s="748" t="inlineStr">
        <is>
          <t>Dutch Bros</t>
        </is>
      </c>
      <c r="G32" s="748" t="n">
        <v>349</v>
      </c>
      <c r="H32" s="743" t="inlineStr">
        <is>
          <t>349 - Fast Food Restaurant</t>
        </is>
      </c>
      <c r="I32" s="749" t="inlineStr">
        <is>
          <t>Restaurants – Fast Food</t>
        </is>
      </c>
      <c r="J32" s="748" t="inlineStr">
        <is>
          <t>Sec.13 p.17</t>
        </is>
      </c>
      <c r="K32" s="744" t="n">
        <v>950</v>
      </c>
      <c r="L32" s="744" t="n">
        <v>30056</v>
      </c>
      <c r="M32" s="745" t="inlineStr">
        <is>
          <t>C</t>
        </is>
      </c>
      <c r="N32" s="745" t="inlineStr">
        <is>
          <t>Good</t>
        </is>
      </c>
      <c r="O32" s="745" t="inlineStr">
        <is>
          <t>Typical</t>
        </is>
      </c>
      <c r="P32" s="745" t="n">
        <v>2023</v>
      </c>
      <c r="Q32" s="748" t="n">
        <v>1</v>
      </c>
      <c r="R32" s="750" t="n">
        <v>246</v>
      </c>
      <c r="S32" s="751" t="n">
        <v>233700</v>
      </c>
      <c r="T32" s="749" t="inlineStr"/>
    </row>
    <row r="33">
      <c r="A33" s="741" t="n">
        <v>737</v>
      </c>
      <c r="B33" s="742" t="inlineStr">
        <is>
          <t>10360 Colorado Blvd</t>
        </is>
      </c>
      <c r="C33" s="741" t="inlineStr">
        <is>
          <t>Thornton</t>
        </is>
      </c>
      <c r="D33" s="741" t="inlineStr">
        <is>
          <t>Adams</t>
        </is>
      </c>
      <c r="E33" s="741" t="inlineStr">
        <is>
          <t>Dollar Store</t>
        </is>
      </c>
      <c r="F33" s="741" t="inlineStr">
        <is>
          <t>Family Dollar</t>
        </is>
      </c>
      <c r="G33" s="741" t="n">
        <v>319</v>
      </c>
      <c r="H33" s="743" t="inlineStr">
        <is>
          <t>319 - Discount Store</t>
        </is>
      </c>
      <c r="I33" s="742" t="inlineStr">
        <is>
          <t>Discount Stores</t>
        </is>
      </c>
      <c r="J33" s="741" t="inlineStr">
        <is>
          <t>Sec.13 p.28</t>
        </is>
      </c>
      <c r="K33" s="744" t="n">
        <v>8320</v>
      </c>
      <c r="L33" s="744" t="n">
        <v>38247</v>
      </c>
      <c r="M33" s="745" t="inlineStr">
        <is>
          <t>C</t>
        </is>
      </c>
      <c r="N33" s="745" t="inlineStr">
        <is>
          <t>Good</t>
        </is>
      </c>
      <c r="O33" s="745" t="inlineStr">
        <is>
          <t>Typical</t>
        </is>
      </c>
      <c r="P33" s="745" t="n">
        <v>2016</v>
      </c>
      <c r="Q33" s="741" t="n">
        <v>8</v>
      </c>
      <c r="R33" s="746" t="n">
        <v>118</v>
      </c>
      <c r="S33" s="747" t="n">
        <v>981760</v>
      </c>
      <c r="T33" s="742" t="inlineStr"/>
    </row>
    <row r="34">
      <c r="A34" s="748" t="n">
        <v>738</v>
      </c>
      <c r="B34" s="749" t="inlineStr">
        <is>
          <t>208 N 50th Ave</t>
        </is>
      </c>
      <c r="C34" s="748" t="inlineStr">
        <is>
          <t>Brighton</t>
        </is>
      </c>
      <c r="D34" s="748" t="inlineStr">
        <is>
          <t>Adams</t>
        </is>
      </c>
      <c r="E34" s="748" t="inlineStr">
        <is>
          <t>Auto Service</t>
        </is>
      </c>
      <c r="F34" s="748" t="inlineStr">
        <is>
          <t>Firestone</t>
        </is>
      </c>
      <c r="G34" s="748" t="n">
        <v>410</v>
      </c>
      <c r="H34" s="743" t="inlineStr">
        <is>
          <t>410 - Automotive Center</t>
        </is>
      </c>
      <c r="I34" s="749" t="inlineStr">
        <is>
          <t>Automotive Service Centers</t>
        </is>
      </c>
      <c r="J34" s="748" t="inlineStr">
        <is>
          <t>Sec.14 p.31</t>
        </is>
      </c>
      <c r="K34" s="744" t="n">
        <v>6116</v>
      </c>
      <c r="L34" s="744" t="n">
        <v>131686</v>
      </c>
      <c r="M34" s="745" t="inlineStr">
        <is>
          <t>S</t>
        </is>
      </c>
      <c r="N34" s="745" t="inlineStr">
        <is>
          <t>Average</t>
        </is>
      </c>
      <c r="O34" s="745" t="inlineStr">
        <is>
          <t>Typical</t>
        </is>
      </c>
      <c r="P34" s="745" t="n">
        <v>2020</v>
      </c>
      <c r="Q34" s="748" t="n">
        <v>4</v>
      </c>
      <c r="R34" s="750" t="n">
        <v>97.5</v>
      </c>
      <c r="S34" s="751" t="n">
        <v>596310</v>
      </c>
      <c r="T34" s="749" t="inlineStr">
        <is>
          <t>quality fell back to Average</t>
        </is>
      </c>
    </row>
    <row r="35">
      <c r="A35" s="741" t="n">
        <v>739</v>
      </c>
      <c r="B35" s="742" t="inlineStr">
        <is>
          <t>14255 LINCOLN St</t>
        </is>
      </c>
      <c r="C35" s="741" t="inlineStr">
        <is>
          <t>Thornton</t>
        </is>
      </c>
      <c r="D35" s="741" t="inlineStr">
        <is>
          <t>Adams</t>
        </is>
      </c>
      <c r="E35" s="741" t="inlineStr">
        <is>
          <t>Fast Food</t>
        </is>
      </c>
      <c r="F35" s="741" t="inlineStr">
        <is>
          <t>Freddy's Steakburgers</t>
        </is>
      </c>
      <c r="G35" s="741" t="n">
        <v>349</v>
      </c>
      <c r="H35" s="743" t="inlineStr">
        <is>
          <t>349 - Fast Food Restaurant</t>
        </is>
      </c>
      <c r="I35" s="742" t="inlineStr">
        <is>
          <t>Restaurants – Fast Food</t>
        </is>
      </c>
      <c r="J35" s="741" t="inlineStr">
        <is>
          <t>Sec.13 p.17</t>
        </is>
      </c>
      <c r="K35" s="744" t="n">
        <v>3612</v>
      </c>
      <c r="L35" s="744" t="n">
        <v>55757</v>
      </c>
      <c r="M35" s="745" t="inlineStr">
        <is>
          <t>C</t>
        </is>
      </c>
      <c r="N35" s="745" t="inlineStr">
        <is>
          <t>Good</t>
        </is>
      </c>
      <c r="O35" s="745" t="inlineStr">
        <is>
          <t>Typical</t>
        </is>
      </c>
      <c r="P35" s="745" t="n">
        <v>2015</v>
      </c>
      <c r="Q35" s="741" t="n">
        <v>9</v>
      </c>
      <c r="R35" s="746" t="n">
        <v>246</v>
      </c>
      <c r="S35" s="747" t="n">
        <v>888552</v>
      </c>
      <c r="T35" s="742" t="inlineStr"/>
    </row>
    <row r="36">
      <c r="A36" s="748" t="n">
        <v>740</v>
      </c>
      <c r="B36" s="749" t="inlineStr">
        <is>
          <t>550 E Bromley Ln</t>
        </is>
      </c>
      <c r="C36" s="748" t="inlineStr">
        <is>
          <t>Brighton</t>
        </is>
      </c>
      <c r="D36" s="748" t="inlineStr">
        <is>
          <t>Adams</t>
        </is>
      </c>
      <c r="E36" s="748" t="inlineStr">
        <is>
          <t>Fast Food</t>
        </is>
      </c>
      <c r="F36" s="748" t="inlineStr">
        <is>
          <t>Good Times Burgers &amp; Frozen Custard</t>
        </is>
      </c>
      <c r="G36" s="748" t="n">
        <v>349</v>
      </c>
      <c r="H36" s="743" t="inlineStr">
        <is>
          <t>349 - Fast Food Restaurant</t>
        </is>
      </c>
      <c r="I36" s="749" t="inlineStr">
        <is>
          <t>Restaurants – Fast Food</t>
        </is>
      </c>
      <c r="J36" s="748" t="inlineStr">
        <is>
          <t>Sec.13 p.17</t>
        </is>
      </c>
      <c r="K36" s="744" t="n">
        <v>1797</v>
      </c>
      <c r="L36" s="744" t="n">
        <v>30492</v>
      </c>
      <c r="M36" s="745" t="inlineStr">
        <is>
          <t>C</t>
        </is>
      </c>
      <c r="N36" s="745" t="inlineStr">
        <is>
          <t>Average</t>
        </is>
      </c>
      <c r="O36" s="745" t="inlineStr">
        <is>
          <t>Typical</t>
        </is>
      </c>
      <c r="P36" s="745" t="n">
        <v>2000</v>
      </c>
      <c r="Q36" s="748" t="n">
        <v>24</v>
      </c>
      <c r="R36" s="750" t="n">
        <v>191</v>
      </c>
      <c r="S36" s="751" t="n">
        <v>343227</v>
      </c>
      <c r="T36" s="749" t="inlineStr"/>
    </row>
    <row r="37">
      <c r="A37" s="741" t="n">
        <v>741</v>
      </c>
      <c r="B37" s="742" t="inlineStr">
        <is>
          <t>595 E 88th Ave</t>
        </is>
      </c>
      <c r="C37" s="741" t="inlineStr">
        <is>
          <t>Thornton</t>
        </is>
      </c>
      <c r="D37" s="741" t="inlineStr">
        <is>
          <t>Adams</t>
        </is>
      </c>
      <c r="E37" s="741" t="inlineStr">
        <is>
          <t>Fast Food</t>
        </is>
      </c>
      <c r="F37" s="741" t="inlineStr">
        <is>
          <t>Jim's Burger Haven</t>
        </is>
      </c>
      <c r="G37" s="741" t="n">
        <v>349</v>
      </c>
      <c r="H37" s="743" t="inlineStr">
        <is>
          <t>349 - Fast Food Restaurant</t>
        </is>
      </c>
      <c r="I37" s="742" t="inlineStr">
        <is>
          <t>Restaurants – Fast Food</t>
        </is>
      </c>
      <c r="J37" s="741" t="inlineStr">
        <is>
          <t>Sec.13 p.17</t>
        </is>
      </c>
      <c r="K37" s="744" t="n">
        <v>1584</v>
      </c>
      <c r="L37" s="744" t="n">
        <v>44688</v>
      </c>
      <c r="M37" s="745" t="inlineStr">
        <is>
          <t>C</t>
        </is>
      </c>
      <c r="N37" s="745" t="inlineStr">
        <is>
          <t>Average</t>
        </is>
      </c>
      <c r="O37" s="745" t="inlineStr">
        <is>
          <t>Typical</t>
        </is>
      </c>
      <c r="P37" s="745" t="n">
        <v>1974</v>
      </c>
      <c r="Q37" s="741" t="n">
        <v>50</v>
      </c>
      <c r="R37" s="746" t="n">
        <v>191</v>
      </c>
      <c r="S37" s="747" t="n">
        <v>302544</v>
      </c>
      <c r="T37" s="742" t="inlineStr"/>
    </row>
    <row r="38">
      <c r="A38" s="748" t="n">
        <v>742</v>
      </c>
      <c r="B38" s="749" t="inlineStr">
        <is>
          <t>7231 Bradburn Blvd</t>
        </is>
      </c>
      <c r="C38" s="748" t="inlineStr">
        <is>
          <t>Westminster</t>
        </is>
      </c>
      <c r="D38" s="748" t="inlineStr">
        <is>
          <t>Adams</t>
        </is>
      </c>
      <c r="E38" s="748" t="inlineStr">
        <is>
          <t>Auto Service</t>
        </is>
      </c>
      <c r="F38" s="748" t="inlineStr">
        <is>
          <t>Larry's Automotive</t>
        </is>
      </c>
      <c r="G38" s="748" t="n">
        <v>325</v>
      </c>
      <c r="H38" s="743" t="inlineStr">
        <is>
          <t>325 - Service Garage</t>
        </is>
      </c>
      <c r="I38" s="749" t="inlineStr">
        <is>
          <t>Service Garages (Commercial/Repair)</t>
        </is>
      </c>
      <c r="J38" s="748" t="inlineStr">
        <is>
          <t>Sec.14 p.32</t>
        </is>
      </c>
      <c r="K38" s="744" t="n">
        <v>4000</v>
      </c>
      <c r="L38" s="744" t="n">
        <v>10890</v>
      </c>
      <c r="M38" s="745" t="inlineStr">
        <is>
          <t>C</t>
        </is>
      </c>
      <c r="N38" s="745" t="inlineStr">
        <is>
          <t>Average</t>
        </is>
      </c>
      <c r="O38" s="745" t="inlineStr">
        <is>
          <t>Typical</t>
        </is>
      </c>
      <c r="P38" s="745" t="n">
        <v>1973</v>
      </c>
      <c r="Q38" s="748" t="n">
        <v>51</v>
      </c>
      <c r="R38" s="750" t="n">
        <v>79.5</v>
      </c>
      <c r="S38" s="751" t="n">
        <v>318000</v>
      </c>
      <c r="T38" s="749" t="inlineStr"/>
    </row>
    <row r="39">
      <c r="A39" s="741" t="n">
        <v>743</v>
      </c>
      <c r="B39" s="742" t="inlineStr">
        <is>
          <t>1517 Beeler St</t>
        </is>
      </c>
      <c r="C39" s="741" t="inlineStr">
        <is>
          <t>Aurora</t>
        </is>
      </c>
      <c r="D39" s="741" t="inlineStr">
        <is>
          <t>Adams</t>
        </is>
      </c>
      <c r="E39" s="741" t="inlineStr">
        <is>
          <t>Auto Service</t>
        </is>
      </c>
      <c r="F39" s="741" t="inlineStr">
        <is>
          <t>Mountain States Transmission</t>
        </is>
      </c>
      <c r="G39" s="741" t="n">
        <v>325</v>
      </c>
      <c r="H39" s="743" t="inlineStr">
        <is>
          <t>325 - Service Garage</t>
        </is>
      </c>
      <c r="I39" s="742" t="inlineStr">
        <is>
          <t>Service Garages (Commercial/Repair)</t>
        </is>
      </c>
      <c r="J39" s="741" t="inlineStr">
        <is>
          <t>Sec.14 p.32</t>
        </is>
      </c>
      <c r="K39" s="744" t="n">
        <v>3378</v>
      </c>
      <c r="L39" s="744" t="n">
        <v>13939</v>
      </c>
      <c r="M39" s="745" t="inlineStr">
        <is>
          <t>C</t>
        </is>
      </c>
      <c r="N39" s="745" t="inlineStr">
        <is>
          <t>Average</t>
        </is>
      </c>
      <c r="O39" s="745" t="inlineStr">
        <is>
          <t>Typical</t>
        </is>
      </c>
      <c r="P39" s="745" t="n">
        <v>1970</v>
      </c>
      <c r="Q39" s="741" t="n">
        <v>54</v>
      </c>
      <c r="R39" s="746" t="n">
        <v>79.5</v>
      </c>
      <c r="S39" s="747" t="n">
        <v>268551</v>
      </c>
      <c r="T39" s="742" t="inlineStr"/>
    </row>
    <row r="40">
      <c r="A40" s="748" t="n">
        <v>744</v>
      </c>
      <c r="B40" s="749" t="inlineStr">
        <is>
          <t>6500 N Federal Blvd</t>
        </is>
      </c>
      <c r="C40" s="748" t="inlineStr">
        <is>
          <t>Denver</t>
        </is>
      </c>
      <c r="D40" s="748" t="inlineStr">
        <is>
          <t>Adams</t>
        </is>
      </c>
      <c r="E40" s="748" t="inlineStr">
        <is>
          <t>Auto Service</t>
        </is>
      </c>
      <c r="F40" s="748" t="inlineStr">
        <is>
          <t>Northlawn Auto Center</t>
        </is>
      </c>
      <c r="G40" s="748" t="n">
        <v>325</v>
      </c>
      <c r="H40" s="743" t="inlineStr">
        <is>
          <t>325 - Service Garage</t>
        </is>
      </c>
      <c r="I40" s="749" t="inlineStr">
        <is>
          <t>Service Garages (Commercial/Repair)</t>
        </is>
      </c>
      <c r="J40" s="748" t="inlineStr">
        <is>
          <t>Sec.14 p.32</t>
        </is>
      </c>
      <c r="K40" s="744" t="n">
        <v>17458</v>
      </c>
      <c r="L40" s="744" t="n">
        <v>54014</v>
      </c>
      <c r="M40" s="745" t="inlineStr">
        <is>
          <t>C</t>
        </is>
      </c>
      <c r="N40" s="745" t="inlineStr">
        <is>
          <t>Average</t>
        </is>
      </c>
      <c r="O40" s="745" t="inlineStr">
        <is>
          <t>Typical</t>
        </is>
      </c>
      <c r="P40" s="745" t="n">
        <v>1964</v>
      </c>
      <c r="Q40" s="748" t="n">
        <v>60</v>
      </c>
      <c r="R40" s="750" t="n">
        <v>79.5</v>
      </c>
      <c r="S40" s="751" t="n">
        <v>1387911</v>
      </c>
      <c r="T40" s="749" t="inlineStr"/>
    </row>
    <row r="41">
      <c r="A41" s="741" t="n">
        <v>745</v>
      </c>
      <c r="B41" s="742" t="inlineStr">
        <is>
          <t>1121 E Bridge St</t>
        </is>
      </c>
      <c r="C41" s="741" t="inlineStr">
        <is>
          <t>Brighton</t>
        </is>
      </c>
      <c r="D41" s="741" t="inlineStr">
        <is>
          <t>Adams</t>
        </is>
      </c>
      <c r="E41" s="741" t="inlineStr">
        <is>
          <t>Auto Parts</t>
        </is>
      </c>
      <c r="F41" s="741" t="inlineStr">
        <is>
          <t>O'Reilly Auto Parts</t>
        </is>
      </c>
      <c r="G41" s="741" t="n">
        <v>353</v>
      </c>
      <c r="H41" s="743" t="inlineStr">
        <is>
          <t>353 - Retail Store</t>
        </is>
      </c>
      <c r="I41" s="742" t="inlineStr">
        <is>
          <t>Retail Stores</t>
        </is>
      </c>
      <c r="J41" s="741" t="inlineStr">
        <is>
          <t>Sec.13 p.26</t>
        </is>
      </c>
      <c r="K41" s="744" t="n">
        <v>6000</v>
      </c>
      <c r="L41" s="744" t="n">
        <v>32670</v>
      </c>
      <c r="M41" s="745" t="inlineStr">
        <is>
          <t>C</t>
        </is>
      </c>
      <c r="N41" s="745" t="inlineStr">
        <is>
          <t>Average</t>
        </is>
      </c>
      <c r="O41" s="745" t="inlineStr">
        <is>
          <t>Typical</t>
        </is>
      </c>
      <c r="P41" s="745" t="n">
        <v>1999</v>
      </c>
      <c r="Q41" s="741" t="n">
        <v>25</v>
      </c>
      <c r="R41" s="746" t="n">
        <v>117</v>
      </c>
      <c r="S41" s="747" t="n">
        <v>702000</v>
      </c>
      <c r="T41" s="742" t="inlineStr"/>
    </row>
    <row r="42">
      <c r="A42" s="748" t="n">
        <v>746</v>
      </c>
      <c r="B42" s="749" t="inlineStr">
        <is>
          <t>9280 Federal Blvd</t>
        </is>
      </c>
      <c r="C42" s="748" t="inlineStr">
        <is>
          <t>Federal Heights</t>
        </is>
      </c>
      <c r="D42" s="748" t="inlineStr">
        <is>
          <t>Adams</t>
        </is>
      </c>
      <c r="E42" s="748" t="inlineStr">
        <is>
          <t>Auto Parts</t>
        </is>
      </c>
      <c r="F42" s="748" t="inlineStr">
        <is>
          <t>O'Reilly Auto Parts</t>
        </is>
      </c>
      <c r="G42" s="748" t="n">
        <v>353</v>
      </c>
      <c r="H42" s="743" t="inlineStr">
        <is>
          <t>353 - Retail Store</t>
        </is>
      </c>
      <c r="I42" s="749" t="inlineStr">
        <is>
          <t>Retail Stores</t>
        </is>
      </c>
      <c r="J42" s="748" t="inlineStr">
        <is>
          <t>Sec.13 p.26</t>
        </is>
      </c>
      <c r="K42" s="744" t="n">
        <v>11012</v>
      </c>
      <c r="L42" s="744" t="n">
        <v>28314</v>
      </c>
      <c r="M42" s="745" t="inlineStr">
        <is>
          <t>C</t>
        </is>
      </c>
      <c r="N42" s="745" t="inlineStr">
        <is>
          <t>Average</t>
        </is>
      </c>
      <c r="O42" s="745" t="inlineStr">
        <is>
          <t>Typical</t>
        </is>
      </c>
      <c r="P42" s="745" t="n">
        <v>1995</v>
      </c>
      <c r="Q42" s="748" t="n">
        <v>29</v>
      </c>
      <c r="R42" s="750" t="n">
        <v>117</v>
      </c>
      <c r="S42" s="751" t="n">
        <v>1288404</v>
      </c>
      <c r="T42" s="749" t="inlineStr"/>
    </row>
    <row r="43">
      <c r="A43" s="741" t="n">
        <v>747</v>
      </c>
      <c r="B43" s="742" t="inlineStr">
        <is>
          <t>13587 N Huron St</t>
        </is>
      </c>
      <c r="C43" s="741" t="inlineStr">
        <is>
          <t>Westminster</t>
        </is>
      </c>
      <c r="D43" s="741" t="inlineStr">
        <is>
          <t>Adams</t>
        </is>
      </c>
      <c r="E43" s="741" t="inlineStr">
        <is>
          <t>Auto Parts</t>
        </is>
      </c>
      <c r="F43" s="741" t="inlineStr">
        <is>
          <t>O'Reilly Auto Parts</t>
        </is>
      </c>
      <c r="G43" s="741" t="n">
        <v>353</v>
      </c>
      <c r="H43" s="743" t="inlineStr">
        <is>
          <t>353 - Retail Store</t>
        </is>
      </c>
      <c r="I43" s="742" t="inlineStr">
        <is>
          <t>Retail Stores</t>
        </is>
      </c>
      <c r="J43" s="741" t="inlineStr">
        <is>
          <t>Sec.13 p.26</t>
        </is>
      </c>
      <c r="K43" s="744" t="n">
        <v>7000</v>
      </c>
      <c r="L43" s="744" t="n"/>
      <c r="M43" s="745" t="inlineStr">
        <is>
          <t>C</t>
        </is>
      </c>
      <c r="N43" s="745" t="inlineStr">
        <is>
          <t>Good</t>
        </is>
      </c>
      <c r="O43" s="745" t="inlineStr">
        <is>
          <t>Typical</t>
        </is>
      </c>
      <c r="P43" s="745" t="n">
        <v>2021</v>
      </c>
      <c r="Q43" s="741" t="n">
        <v>3</v>
      </c>
      <c r="R43" s="746" t="n">
        <v>154</v>
      </c>
      <c r="S43" s="747" t="n">
        <v>1078000</v>
      </c>
      <c r="T43" s="742" t="inlineStr">
        <is>
          <t>Site SF missing</t>
        </is>
      </c>
    </row>
    <row r="44">
      <c r="A44" s="748" t="n">
        <v>748</v>
      </c>
      <c r="B44" s="749" t="inlineStr">
        <is>
          <t>1611 E 120th Ave</t>
        </is>
      </c>
      <c r="C44" s="748" t="inlineStr">
        <is>
          <t>Northglenn</t>
        </is>
      </c>
      <c r="D44" s="748" t="inlineStr">
        <is>
          <t>Adams</t>
        </is>
      </c>
      <c r="E44" s="748" t="inlineStr">
        <is>
          <t>Fast Food</t>
        </is>
      </c>
      <c r="F44" s="748" t="inlineStr">
        <is>
          <t>Raising Cane's</t>
        </is>
      </c>
      <c r="G44" s="748" t="n">
        <v>349</v>
      </c>
      <c r="H44" s="743" t="inlineStr">
        <is>
          <t>349 - Fast Food Restaurant</t>
        </is>
      </c>
      <c r="I44" s="749" t="inlineStr">
        <is>
          <t>Restaurants – Fast Food</t>
        </is>
      </c>
      <c r="J44" s="748" t="inlineStr">
        <is>
          <t>Sec.13 p.17</t>
        </is>
      </c>
      <c r="K44" s="744" t="n">
        <v>4018</v>
      </c>
      <c r="L44" s="744" t="n">
        <v>349908</v>
      </c>
      <c r="M44" s="745" t="inlineStr">
        <is>
          <t>C</t>
        </is>
      </c>
      <c r="N44" s="745" t="inlineStr">
        <is>
          <t>Good</t>
        </is>
      </c>
      <c r="O44" s="745" t="inlineStr">
        <is>
          <t>Typical</t>
        </is>
      </c>
      <c r="P44" s="745" t="n">
        <v>2023</v>
      </c>
      <c r="Q44" s="748" t="n">
        <v>1</v>
      </c>
      <c r="R44" s="750" t="n">
        <v>246</v>
      </c>
      <c r="S44" s="751" t="n">
        <v>988428</v>
      </c>
      <c r="T44" s="749" t="inlineStr"/>
    </row>
    <row r="45">
      <c r="A45" s="741" t="n">
        <v>749</v>
      </c>
      <c r="B45" s="742" t="inlineStr">
        <is>
          <t>3900 Tower Rd</t>
        </is>
      </c>
      <c r="C45" s="741" t="inlineStr">
        <is>
          <t>Aurora</t>
        </is>
      </c>
      <c r="D45" s="741" t="inlineStr">
        <is>
          <t>Adams</t>
        </is>
      </c>
      <c r="E45" s="741" t="inlineStr">
        <is>
          <t>Fast Food</t>
        </is>
      </c>
      <c r="F45" s="741" t="inlineStr">
        <is>
          <t>Slim Chickens</t>
        </is>
      </c>
      <c r="G45" s="741" t="n">
        <v>349</v>
      </c>
      <c r="H45" s="743" t="inlineStr">
        <is>
          <t>349 - Fast Food Restaurant</t>
        </is>
      </c>
      <c r="I45" s="742" t="inlineStr">
        <is>
          <t>Restaurants – Fast Food</t>
        </is>
      </c>
      <c r="J45" s="741" t="inlineStr">
        <is>
          <t>Sec.13 p.17</t>
        </is>
      </c>
      <c r="K45" s="744" t="n">
        <v>3337</v>
      </c>
      <c r="L45" s="744" t="n">
        <v>44431</v>
      </c>
      <c r="M45" s="745" t="inlineStr">
        <is>
          <t>C</t>
        </is>
      </c>
      <c r="N45" s="745" t="inlineStr">
        <is>
          <t>Good</t>
        </is>
      </c>
      <c r="O45" s="745" t="inlineStr">
        <is>
          <t>Typical</t>
        </is>
      </c>
      <c r="P45" s="745" t="n">
        <v>2019</v>
      </c>
      <c r="Q45" s="741" t="n">
        <v>5</v>
      </c>
      <c r="R45" s="746" t="n">
        <v>246</v>
      </c>
      <c r="S45" s="747" t="n">
        <v>820902</v>
      </c>
      <c r="T45" s="742" t="inlineStr"/>
    </row>
    <row r="46">
      <c r="A46" s="748" t="n">
        <v>750</v>
      </c>
      <c r="B46" s="749" t="inlineStr">
        <is>
          <t>4850 E 60th Ave</t>
        </is>
      </c>
      <c r="C46" s="748" t="inlineStr">
        <is>
          <t>Commerce City</t>
        </is>
      </c>
      <c r="D46" s="748" t="inlineStr">
        <is>
          <t>Adams</t>
        </is>
      </c>
      <c r="E46" s="748" t="inlineStr">
        <is>
          <t>Coffee</t>
        </is>
      </c>
      <c r="F46" s="748" t="inlineStr">
        <is>
          <t>Starbuck's - Remo'd</t>
        </is>
      </c>
      <c r="G46" s="748" t="n">
        <v>349</v>
      </c>
      <c r="H46" s="743" t="inlineStr">
        <is>
          <t>349 - Fast Food Restaurant</t>
        </is>
      </c>
      <c r="I46" s="749" t="inlineStr">
        <is>
          <t>Restaurants – Fast Food</t>
        </is>
      </c>
      <c r="J46" s="748" t="inlineStr">
        <is>
          <t>Sec.13 p.17</t>
        </is>
      </c>
      <c r="K46" s="744" t="n">
        <v>2738</v>
      </c>
      <c r="L46" s="744" t="n">
        <v>27007</v>
      </c>
      <c r="M46" s="745" t="inlineStr">
        <is>
          <t>C</t>
        </is>
      </c>
      <c r="N46" s="745" t="inlineStr">
        <is>
          <t>Average</t>
        </is>
      </c>
      <c r="O46" s="745" t="inlineStr">
        <is>
          <t>Typical</t>
        </is>
      </c>
      <c r="P46" s="745" t="n">
        <v>1998</v>
      </c>
      <c r="Q46" s="748" t="n">
        <v>26</v>
      </c>
      <c r="R46" s="750" t="n">
        <v>191</v>
      </c>
      <c r="S46" s="751" t="n">
        <v>522958</v>
      </c>
      <c r="T46" s="749" t="inlineStr"/>
    </row>
    <row r="47">
      <c r="A47" s="741" t="n">
        <v>751</v>
      </c>
      <c r="B47" s="742" t="inlineStr">
        <is>
          <t>7358 Federal Blvd</t>
        </is>
      </c>
      <c r="C47" s="741" t="inlineStr">
        <is>
          <t>Westminster</t>
        </is>
      </c>
      <c r="D47" s="741" t="inlineStr">
        <is>
          <t>Adams</t>
        </is>
      </c>
      <c r="E47" s="741" t="inlineStr">
        <is>
          <t>Coffee</t>
        </is>
      </c>
      <c r="F47" s="741" t="inlineStr">
        <is>
          <t>Starbucks</t>
        </is>
      </c>
      <c r="G47" s="741" t="n">
        <v>349</v>
      </c>
      <c r="H47" s="743" t="inlineStr">
        <is>
          <t>349 - Fast Food Restaurant</t>
        </is>
      </c>
      <c r="I47" s="742" t="inlineStr">
        <is>
          <t>Restaurants – Fast Food</t>
        </is>
      </c>
      <c r="J47" s="741" t="inlineStr">
        <is>
          <t>Sec.13 p.17</t>
        </is>
      </c>
      <c r="K47" s="744" t="n">
        <v>2000</v>
      </c>
      <c r="L47" s="744" t="n">
        <v>17224</v>
      </c>
      <c r="M47" s="745" t="inlineStr">
        <is>
          <t>C</t>
        </is>
      </c>
      <c r="N47" s="745" t="inlineStr">
        <is>
          <t>Good</t>
        </is>
      </c>
      <c r="O47" s="745" t="inlineStr">
        <is>
          <t>Typical</t>
        </is>
      </c>
      <c r="P47" s="745" t="n">
        <v>2018</v>
      </c>
      <c r="Q47" s="741" t="n">
        <v>6</v>
      </c>
      <c r="R47" s="746" t="n">
        <v>246</v>
      </c>
      <c r="S47" s="747" t="n">
        <v>492000</v>
      </c>
      <c r="T47" s="742" t="inlineStr"/>
    </row>
    <row r="48">
      <c r="A48" s="748" t="n">
        <v>752</v>
      </c>
      <c r="B48" s="749" t="inlineStr">
        <is>
          <t>550 W 104th Ave</t>
        </is>
      </c>
      <c r="C48" s="748" t="inlineStr">
        <is>
          <t>Northglenn</t>
        </is>
      </c>
      <c r="D48" s="748" t="inlineStr">
        <is>
          <t>Adams</t>
        </is>
      </c>
      <c r="E48" s="748" t="inlineStr">
        <is>
          <t>Coffee</t>
        </is>
      </c>
      <c r="F48" s="748" t="inlineStr">
        <is>
          <t>Starbucks</t>
        </is>
      </c>
      <c r="G48" s="748" t="n">
        <v>349</v>
      </c>
      <c r="H48" s="743" t="inlineStr">
        <is>
          <t>349 - Fast Food Restaurant</t>
        </is>
      </c>
      <c r="I48" s="749" t="inlineStr">
        <is>
          <t>Restaurants – Fast Food</t>
        </is>
      </c>
      <c r="J48" s="748" t="inlineStr">
        <is>
          <t>Sec.13 p.17</t>
        </is>
      </c>
      <c r="K48" s="744" t="n">
        <v>2400</v>
      </c>
      <c r="L48" s="744" t="n">
        <v>30492</v>
      </c>
      <c r="M48" s="745" t="inlineStr">
        <is>
          <t>C</t>
        </is>
      </c>
      <c r="N48" s="745" t="inlineStr">
        <is>
          <t>Good</t>
        </is>
      </c>
      <c r="O48" s="745" t="inlineStr">
        <is>
          <t>Typical</t>
        </is>
      </c>
      <c r="P48" s="745" t="n">
        <v>2017</v>
      </c>
      <c r="Q48" s="748" t="n">
        <v>7</v>
      </c>
      <c r="R48" s="750" t="n">
        <v>246</v>
      </c>
      <c r="S48" s="751" t="n">
        <v>590400</v>
      </c>
      <c r="T48" s="749" t="inlineStr"/>
    </row>
    <row r="49">
      <c r="A49" s="741" t="n">
        <v>753</v>
      </c>
      <c r="B49" s="742" t="inlineStr">
        <is>
          <t>5043 E Bridge St</t>
        </is>
      </c>
      <c r="C49" s="741" t="inlineStr">
        <is>
          <t>Brighton</t>
        </is>
      </c>
      <c r="D49" s="741" t="inlineStr">
        <is>
          <t>Adams</t>
        </is>
      </c>
      <c r="E49" s="741" t="inlineStr">
        <is>
          <t>Coffee</t>
        </is>
      </c>
      <c r="F49" s="741" t="inlineStr">
        <is>
          <t>Starbucks</t>
        </is>
      </c>
      <c r="G49" s="741" t="n">
        <v>349</v>
      </c>
      <c r="H49" s="743" t="inlineStr">
        <is>
          <t>349 - Fast Food Restaurant</t>
        </is>
      </c>
      <c r="I49" s="742" t="inlineStr">
        <is>
          <t>Restaurants – Fast Food</t>
        </is>
      </c>
      <c r="J49" s="741" t="inlineStr">
        <is>
          <t>Sec.13 p.17</t>
        </is>
      </c>
      <c r="K49" s="744" t="n">
        <v>2200</v>
      </c>
      <c r="L49" s="744" t="n">
        <v>51401</v>
      </c>
      <c r="M49" s="745" t="inlineStr">
        <is>
          <t>C</t>
        </is>
      </c>
      <c r="N49" s="745" t="inlineStr">
        <is>
          <t>Good</t>
        </is>
      </c>
      <c r="O49" s="745" t="inlineStr">
        <is>
          <t>Typical</t>
        </is>
      </c>
      <c r="P49" s="745" t="n">
        <v>2019</v>
      </c>
      <c r="Q49" s="741" t="n">
        <v>5</v>
      </c>
      <c r="R49" s="746" t="n">
        <v>246</v>
      </c>
      <c r="S49" s="747" t="n">
        <v>541200</v>
      </c>
      <c r="T49" s="742" t="inlineStr"/>
    </row>
    <row r="50">
      <c r="A50" s="748" t="n">
        <v>754</v>
      </c>
      <c r="B50" s="749" t="inlineStr">
        <is>
          <t>12311 E 104th Ave</t>
        </is>
      </c>
      <c r="C50" s="748" t="inlineStr">
        <is>
          <t>Commerce City</t>
        </is>
      </c>
      <c r="D50" s="748" t="inlineStr">
        <is>
          <t>Adams</t>
        </is>
      </c>
      <c r="E50" s="748" t="inlineStr">
        <is>
          <t>Coffee</t>
        </is>
      </c>
      <c r="F50" s="748" t="inlineStr">
        <is>
          <t>Starbucks</t>
        </is>
      </c>
      <c r="G50" s="748" t="n">
        <v>349</v>
      </c>
      <c r="H50" s="743" t="inlineStr">
        <is>
          <t>349 - Fast Food Restaurant</t>
        </is>
      </c>
      <c r="I50" s="749" t="inlineStr">
        <is>
          <t>Restaurants – Fast Food</t>
        </is>
      </c>
      <c r="J50" s="748" t="inlineStr">
        <is>
          <t>Sec.13 p.17</t>
        </is>
      </c>
      <c r="K50" s="744" t="n">
        <v>2200</v>
      </c>
      <c r="L50" s="744" t="n">
        <v>40502</v>
      </c>
      <c r="M50" s="745" t="inlineStr">
        <is>
          <t>C</t>
        </is>
      </c>
      <c r="N50" s="745" t="inlineStr">
        <is>
          <t>Good</t>
        </is>
      </c>
      <c r="O50" s="745" t="inlineStr">
        <is>
          <t>Typical</t>
        </is>
      </c>
      <c r="P50" s="745" t="n">
        <v>2019</v>
      </c>
      <c r="Q50" s="748" t="n">
        <v>5</v>
      </c>
      <c r="R50" s="750" t="n">
        <v>246</v>
      </c>
      <c r="S50" s="751" t="n">
        <v>541200</v>
      </c>
      <c r="T50" s="749" t="inlineStr"/>
    </row>
    <row r="51">
      <c r="A51" s="741" t="n">
        <v>755</v>
      </c>
      <c r="B51" s="742" t="inlineStr">
        <is>
          <t>189 S 50th Ave</t>
        </is>
      </c>
      <c r="C51" s="741" t="inlineStr">
        <is>
          <t>Brighton</t>
        </is>
      </c>
      <c r="D51" s="741" t="inlineStr">
        <is>
          <t>Adams</t>
        </is>
      </c>
      <c r="E51" s="741" t="inlineStr">
        <is>
          <t>Daycare</t>
        </is>
      </c>
      <c r="F51" s="741" t="inlineStr">
        <is>
          <t>The Learning Experience</t>
        </is>
      </c>
      <c r="G51" s="741" t="n">
        <v>426</v>
      </c>
      <c r="H51" s="743" t="inlineStr">
        <is>
          <t>426 - Day Care Center</t>
        </is>
      </c>
      <c r="I51" s="742" t="inlineStr">
        <is>
          <t>Day Care Centers</t>
        </is>
      </c>
      <c r="J51" s="741" t="inlineStr">
        <is>
          <t>Sec.18 p.13</t>
        </is>
      </c>
      <c r="K51" s="744" t="n">
        <v>10000</v>
      </c>
      <c r="L51" s="744" t="n">
        <v>60113</v>
      </c>
      <c r="M51" s="745" t="inlineStr">
        <is>
          <t>C</t>
        </is>
      </c>
      <c r="N51" s="745" t="inlineStr">
        <is>
          <t>Good</t>
        </is>
      </c>
      <c r="O51" s="745" t="inlineStr">
        <is>
          <t>Typical</t>
        </is>
      </c>
      <c r="P51" s="745" t="n">
        <v>2017</v>
      </c>
      <c r="Q51" s="741" t="n">
        <v>7</v>
      </c>
      <c r="R51" s="746" t="n">
        <v>225</v>
      </c>
      <c r="S51" s="747" t="n">
        <v>2250000</v>
      </c>
      <c r="T51" s="742" t="inlineStr"/>
    </row>
    <row r="52">
      <c r="A52" s="748" t="n">
        <v>756</v>
      </c>
      <c r="B52" s="749" t="inlineStr">
        <is>
          <t>5170 W 120th Ave</t>
        </is>
      </c>
      <c r="C52" s="748" t="inlineStr">
        <is>
          <t>Westminster</t>
        </is>
      </c>
      <c r="D52" s="748" t="inlineStr">
        <is>
          <t>Adams</t>
        </is>
      </c>
      <c r="E52" s="748" t="inlineStr">
        <is>
          <t>Auto Service</t>
        </is>
      </c>
      <c r="F52" s="748" t="inlineStr">
        <is>
          <t>Tires Plus</t>
        </is>
      </c>
      <c r="G52" s="748" t="n">
        <v>410</v>
      </c>
      <c r="H52" s="743" t="inlineStr">
        <is>
          <t>410 - Automotive Center</t>
        </is>
      </c>
      <c r="I52" s="749" t="inlineStr">
        <is>
          <t>Automotive Service Centers</t>
        </is>
      </c>
      <c r="J52" s="748" t="inlineStr">
        <is>
          <t>Sec.14 p.31</t>
        </is>
      </c>
      <c r="K52" s="744" t="n">
        <v>6600</v>
      </c>
      <c r="L52" s="744" t="n">
        <v>38333</v>
      </c>
      <c r="M52" s="745" t="inlineStr">
        <is>
          <t>S</t>
        </is>
      </c>
      <c r="N52" s="745" t="inlineStr">
        <is>
          <t>Average</t>
        </is>
      </c>
      <c r="O52" s="745" t="inlineStr">
        <is>
          <t>Typical</t>
        </is>
      </c>
      <c r="P52" s="745" t="n">
        <v>2000</v>
      </c>
      <c r="Q52" s="748" t="n">
        <v>24</v>
      </c>
      <c r="R52" s="750" t="n">
        <v>97.5</v>
      </c>
      <c r="S52" s="751" t="n">
        <v>643500</v>
      </c>
      <c r="T52" s="749" t="inlineStr"/>
    </row>
    <row r="53">
      <c r="A53" s="741" t="n">
        <v>757</v>
      </c>
      <c r="B53" s="742" t="inlineStr">
        <is>
          <t>4351 E 104th Ave</t>
        </is>
      </c>
      <c r="C53" s="741" t="inlineStr">
        <is>
          <t>Thornton</t>
        </is>
      </c>
      <c r="D53" s="741" t="inlineStr">
        <is>
          <t>Adams</t>
        </is>
      </c>
      <c r="E53" s="741" t="inlineStr">
        <is>
          <t>Drugstore</t>
        </is>
      </c>
      <c r="F53" s="741" t="inlineStr">
        <is>
          <t>Walgreen's</t>
        </is>
      </c>
      <c r="G53" s="741" t="n">
        <v>353</v>
      </c>
      <c r="H53" s="743" t="inlineStr">
        <is>
          <t>353 - Retail Store</t>
        </is>
      </c>
      <c r="I53" s="742" t="inlineStr">
        <is>
          <t>Retail Stores</t>
        </is>
      </c>
      <c r="J53" s="741" t="inlineStr">
        <is>
          <t>Sec.13 p.26</t>
        </is>
      </c>
      <c r="K53" s="744" t="n">
        <v>14749</v>
      </c>
      <c r="L53" s="744" t="n">
        <v>84071</v>
      </c>
      <c r="M53" s="745" t="inlineStr">
        <is>
          <t>C</t>
        </is>
      </c>
      <c r="N53" s="745" t="inlineStr">
        <is>
          <t>Average</t>
        </is>
      </c>
      <c r="O53" s="745" t="inlineStr">
        <is>
          <t>Typical</t>
        </is>
      </c>
      <c r="P53" s="745" t="n">
        <v>2007</v>
      </c>
      <c r="Q53" s="741" t="n">
        <v>17</v>
      </c>
      <c r="R53" s="746" t="n">
        <v>117</v>
      </c>
      <c r="S53" s="747" t="n">
        <v>1725633</v>
      </c>
      <c r="T53" s="742" t="inlineStr"/>
    </row>
    <row r="54">
      <c r="A54" s="748" t="n">
        <v>758</v>
      </c>
      <c r="B54" s="749" t="inlineStr">
        <is>
          <t>8799 Washington St</t>
        </is>
      </c>
      <c r="C54" s="748" t="inlineStr">
        <is>
          <t>Thornton</t>
        </is>
      </c>
      <c r="D54" s="748" t="inlineStr">
        <is>
          <t>Adams</t>
        </is>
      </c>
      <c r="E54" s="748" t="inlineStr">
        <is>
          <t>Drugstore</t>
        </is>
      </c>
      <c r="F54" s="748" t="inlineStr">
        <is>
          <t>Walgreen's</t>
        </is>
      </c>
      <c r="G54" s="748" t="n">
        <v>353</v>
      </c>
      <c r="H54" s="743" t="inlineStr">
        <is>
          <t>353 - Retail Store</t>
        </is>
      </c>
      <c r="I54" s="749" t="inlineStr">
        <is>
          <t>Retail Stores</t>
        </is>
      </c>
      <c r="J54" s="748" t="inlineStr">
        <is>
          <t>Sec.13 p.26</t>
        </is>
      </c>
      <c r="K54" s="744" t="n">
        <v>14490</v>
      </c>
      <c r="L54" s="744" t="n">
        <v>71438</v>
      </c>
      <c r="M54" s="745" t="inlineStr">
        <is>
          <t>C</t>
        </is>
      </c>
      <c r="N54" s="745" t="inlineStr">
        <is>
          <t>Average</t>
        </is>
      </c>
      <c r="O54" s="745" t="inlineStr">
        <is>
          <t>Typical</t>
        </is>
      </c>
      <c r="P54" s="745" t="n">
        <v>2003</v>
      </c>
      <c r="Q54" s="748" t="n">
        <v>21</v>
      </c>
      <c r="R54" s="750" t="n">
        <v>117</v>
      </c>
      <c r="S54" s="751" t="n">
        <v>1695330</v>
      </c>
      <c r="T54" s="749" t="inlineStr"/>
    </row>
    <row r="55">
      <c r="A55" s="741" t="n">
        <v>759</v>
      </c>
      <c r="B55" s="742" t="inlineStr">
        <is>
          <t>8799 Washington St</t>
        </is>
      </c>
      <c r="C55" s="741" t="inlineStr">
        <is>
          <t>Thornton</t>
        </is>
      </c>
      <c r="D55" s="741" t="inlineStr">
        <is>
          <t>Adams</t>
        </is>
      </c>
      <c r="E55" s="741" t="inlineStr">
        <is>
          <t>Drugstore</t>
        </is>
      </c>
      <c r="F55" s="741" t="inlineStr">
        <is>
          <t>Walgreen's</t>
        </is>
      </c>
      <c r="G55" s="741" t="n">
        <v>353</v>
      </c>
      <c r="H55" s="743" t="inlineStr">
        <is>
          <t>353 - Retail Store</t>
        </is>
      </c>
      <c r="I55" s="742" t="inlineStr">
        <is>
          <t>Retail Stores</t>
        </is>
      </c>
      <c r="J55" s="741" t="inlineStr">
        <is>
          <t>Sec.13 p.26</t>
        </is>
      </c>
      <c r="K55" s="744" t="n">
        <v>14490</v>
      </c>
      <c r="L55" s="744" t="n">
        <v>71438</v>
      </c>
      <c r="M55" s="745" t="inlineStr">
        <is>
          <t>C</t>
        </is>
      </c>
      <c r="N55" s="745" t="inlineStr">
        <is>
          <t>Average</t>
        </is>
      </c>
      <c r="O55" s="745" t="inlineStr">
        <is>
          <t>Typical</t>
        </is>
      </c>
      <c r="P55" s="745" t="n">
        <v>2003</v>
      </c>
      <c r="Q55" s="741" t="n">
        <v>21</v>
      </c>
      <c r="R55" s="746" t="n">
        <v>117</v>
      </c>
      <c r="S55" s="747" t="n">
        <v>1695330</v>
      </c>
      <c r="T55" s="742" t="inlineStr"/>
    </row>
    <row r="56">
      <c r="A56" s="748" t="n">
        <v>760</v>
      </c>
      <c r="B56" s="749" t="inlineStr">
        <is>
          <t>10390 Federal Blvd</t>
        </is>
      </c>
      <c r="C56" s="748" t="inlineStr">
        <is>
          <t>Federal Heights</t>
        </is>
      </c>
      <c r="D56" s="748" t="inlineStr">
        <is>
          <t>Adams</t>
        </is>
      </c>
      <c r="E56" s="748" t="inlineStr">
        <is>
          <t>Drugstore</t>
        </is>
      </c>
      <c r="F56" s="748" t="inlineStr">
        <is>
          <t>Walgreens</t>
        </is>
      </c>
      <c r="G56" s="748" t="n">
        <v>353</v>
      </c>
      <c r="H56" s="743" t="inlineStr">
        <is>
          <t>353 - Retail Store</t>
        </is>
      </c>
      <c r="I56" s="749" t="inlineStr">
        <is>
          <t>Retail Stores</t>
        </is>
      </c>
      <c r="J56" s="748" t="inlineStr">
        <is>
          <t>Sec.13 p.26</t>
        </is>
      </c>
      <c r="K56" s="744" t="n">
        <v>12694</v>
      </c>
      <c r="L56" s="744" t="n">
        <v>42689</v>
      </c>
      <c r="M56" s="745" t="inlineStr">
        <is>
          <t>C</t>
        </is>
      </c>
      <c r="N56" s="745" t="inlineStr">
        <is>
          <t>Average</t>
        </is>
      </c>
      <c r="O56" s="745" t="inlineStr">
        <is>
          <t>Typical</t>
        </is>
      </c>
      <c r="P56" s="745" t="n">
        <v>2000</v>
      </c>
      <c r="Q56" s="748" t="n">
        <v>24</v>
      </c>
      <c r="R56" s="750" t="n">
        <v>117</v>
      </c>
      <c r="S56" s="751" t="n">
        <v>1485198</v>
      </c>
      <c r="T56" s="749" t="inlineStr"/>
    </row>
    <row r="57">
      <c r="A57" s="741" t="n">
        <v>761</v>
      </c>
      <c r="B57" s="742" t="inlineStr">
        <is>
          <t>10390 Federal Blvd</t>
        </is>
      </c>
      <c r="C57" s="741" t="inlineStr">
        <is>
          <t>Federal Heights</t>
        </is>
      </c>
      <c r="D57" s="741" t="inlineStr">
        <is>
          <t>Adams</t>
        </is>
      </c>
      <c r="E57" s="741" t="inlineStr">
        <is>
          <t>Drugstore</t>
        </is>
      </c>
      <c r="F57" s="741" t="inlineStr">
        <is>
          <t>Walgreens</t>
        </is>
      </c>
      <c r="G57" s="741" t="n">
        <v>353</v>
      </c>
      <c r="H57" s="743" t="inlineStr">
        <is>
          <t>353 - Retail Store</t>
        </is>
      </c>
      <c r="I57" s="742" t="inlineStr">
        <is>
          <t>Retail Stores</t>
        </is>
      </c>
      <c r="J57" s="741" t="inlineStr">
        <is>
          <t>Sec.13 p.26</t>
        </is>
      </c>
      <c r="K57" s="744" t="n">
        <v>12694</v>
      </c>
      <c r="L57" s="744" t="n">
        <v>42689</v>
      </c>
      <c r="M57" s="745" t="inlineStr">
        <is>
          <t>C</t>
        </is>
      </c>
      <c r="N57" s="745" t="inlineStr">
        <is>
          <t>Average</t>
        </is>
      </c>
      <c r="O57" s="745" t="inlineStr">
        <is>
          <t>Typical</t>
        </is>
      </c>
      <c r="P57" s="745" t="n">
        <v>2000</v>
      </c>
      <c r="Q57" s="741" t="n">
        <v>24</v>
      </c>
      <c r="R57" s="746" t="n">
        <v>117</v>
      </c>
      <c r="S57" s="747" t="n">
        <v>1485198</v>
      </c>
      <c r="T57" s="742" t="inlineStr"/>
    </row>
    <row r="58">
      <c r="A58" s="748" t="n">
        <v>762</v>
      </c>
      <c r="B58" s="749" t="inlineStr">
        <is>
          <t>7211 Federal Blvd</t>
        </is>
      </c>
      <c r="C58" s="748" t="inlineStr">
        <is>
          <t>Westminster</t>
        </is>
      </c>
      <c r="D58" s="748" t="inlineStr">
        <is>
          <t>Adams</t>
        </is>
      </c>
      <c r="E58" s="748" t="inlineStr">
        <is>
          <t>Drugstore</t>
        </is>
      </c>
      <c r="F58" s="748" t="inlineStr">
        <is>
          <t>Walgreens</t>
        </is>
      </c>
      <c r="G58" s="748" t="n">
        <v>353</v>
      </c>
      <c r="H58" s="743" t="inlineStr">
        <is>
          <t>353 - Retail Store</t>
        </is>
      </c>
      <c r="I58" s="749" t="inlineStr">
        <is>
          <t>Retail Stores</t>
        </is>
      </c>
      <c r="J58" s="748" t="inlineStr">
        <is>
          <t>Sec.13 p.26</t>
        </is>
      </c>
      <c r="K58" s="744" t="n">
        <v>13714</v>
      </c>
      <c r="L58" s="744" t="n">
        <v>46827</v>
      </c>
      <c r="M58" s="745" t="inlineStr">
        <is>
          <t>C</t>
        </is>
      </c>
      <c r="N58" s="745" t="inlineStr">
        <is>
          <t>Average</t>
        </is>
      </c>
      <c r="O58" s="745" t="inlineStr">
        <is>
          <t>Typical</t>
        </is>
      </c>
      <c r="P58" s="745" t="n">
        <v>1999</v>
      </c>
      <c r="Q58" s="748" t="n">
        <v>25</v>
      </c>
      <c r="R58" s="750" t="n">
        <v>117</v>
      </c>
      <c r="S58" s="751" t="n">
        <v>1604538</v>
      </c>
      <c r="T58" s="749" t="inlineStr"/>
    </row>
    <row r="59">
      <c r="A59" s="741" t="n">
        <v>763</v>
      </c>
      <c r="B59" s="742" t="inlineStr">
        <is>
          <t>1601 W 84th Ave</t>
        </is>
      </c>
      <c r="C59" s="741" t="inlineStr">
        <is>
          <t>Federal Heights</t>
        </is>
      </c>
      <c r="D59" s="741" t="inlineStr">
        <is>
          <t>Adams</t>
        </is>
      </c>
      <c r="E59" s="741" t="inlineStr">
        <is>
          <t>Drugstore</t>
        </is>
      </c>
      <c r="F59" s="741" t="inlineStr">
        <is>
          <t>Walgreens</t>
        </is>
      </c>
      <c r="G59" s="741" t="n">
        <v>353</v>
      </c>
      <c r="H59" s="743" t="inlineStr">
        <is>
          <t>353 - Retail Store</t>
        </is>
      </c>
      <c r="I59" s="742" t="inlineStr">
        <is>
          <t>Retail Stores</t>
        </is>
      </c>
      <c r="J59" s="741" t="inlineStr">
        <is>
          <t>Sec.13 p.26</t>
        </is>
      </c>
      <c r="K59" s="744" t="n">
        <v>13905</v>
      </c>
      <c r="L59" s="744" t="n">
        <v>69130</v>
      </c>
      <c r="M59" s="745" t="inlineStr">
        <is>
          <t>C</t>
        </is>
      </c>
      <c r="N59" s="745" t="inlineStr">
        <is>
          <t>Average</t>
        </is>
      </c>
      <c r="O59" s="745" t="inlineStr">
        <is>
          <t>Typical</t>
        </is>
      </c>
      <c r="P59" s="745" t="n">
        <v>1999</v>
      </c>
      <c r="Q59" s="741" t="n">
        <v>25</v>
      </c>
      <c r="R59" s="746" t="n">
        <v>117</v>
      </c>
      <c r="S59" s="747" t="n">
        <v>1626885</v>
      </c>
      <c r="T59" s="742" t="inlineStr"/>
    </row>
    <row r="60">
      <c r="A60" s="748" t="n">
        <v>764</v>
      </c>
      <c r="B60" s="749" t="inlineStr">
        <is>
          <t>13611 Colorado Blvd</t>
        </is>
      </c>
      <c r="C60" s="748" t="inlineStr">
        <is>
          <t>Thornton</t>
        </is>
      </c>
      <c r="D60" s="748" t="inlineStr">
        <is>
          <t>Adams</t>
        </is>
      </c>
      <c r="E60" s="748" t="inlineStr">
        <is>
          <t>Drugstore</t>
        </is>
      </c>
      <c r="F60" s="748" t="inlineStr">
        <is>
          <t>Walgreens</t>
        </is>
      </c>
      <c r="G60" s="748" t="n">
        <v>353</v>
      </c>
      <c r="H60" s="743" t="inlineStr">
        <is>
          <t>353 - Retail Store</t>
        </is>
      </c>
      <c r="I60" s="749" t="inlineStr">
        <is>
          <t>Retail Stores</t>
        </is>
      </c>
      <c r="J60" s="748" t="inlineStr">
        <is>
          <t>Sec.13 p.26</t>
        </is>
      </c>
      <c r="K60" s="744" t="n">
        <v>14820</v>
      </c>
      <c r="L60" s="744" t="n">
        <v>67853</v>
      </c>
      <c r="M60" s="745" t="inlineStr">
        <is>
          <t>C</t>
        </is>
      </c>
      <c r="N60" s="745" t="inlineStr">
        <is>
          <t>Average</t>
        </is>
      </c>
      <c r="O60" s="745" t="inlineStr">
        <is>
          <t>Typical</t>
        </is>
      </c>
      <c r="P60" s="745" t="n">
        <v>2007</v>
      </c>
      <c r="Q60" s="748" t="n">
        <v>17</v>
      </c>
      <c r="R60" s="750" t="n">
        <v>117</v>
      </c>
      <c r="S60" s="751" t="n">
        <v>1733940</v>
      </c>
      <c r="T60" s="749" t="inlineStr"/>
    </row>
    <row r="61">
      <c r="A61" s="741" t="n">
        <v>765</v>
      </c>
      <c r="B61" s="742" t="inlineStr">
        <is>
          <t>1821 E Bridge St</t>
        </is>
      </c>
      <c r="C61" s="741" t="inlineStr">
        <is>
          <t>Brighton</t>
        </is>
      </c>
      <c r="D61" s="741" t="inlineStr">
        <is>
          <t>Adams</t>
        </is>
      </c>
      <c r="E61" s="741" t="inlineStr">
        <is>
          <t>Drugstore</t>
        </is>
      </c>
      <c r="F61" s="741" t="inlineStr">
        <is>
          <t>Walgreens</t>
        </is>
      </c>
      <c r="G61" s="741" t="n">
        <v>353</v>
      </c>
      <c r="H61" s="743" t="inlineStr">
        <is>
          <t>353 - Retail Store</t>
        </is>
      </c>
      <c r="I61" s="742" t="inlineStr">
        <is>
          <t>Retail Stores</t>
        </is>
      </c>
      <c r="J61" s="741" t="inlineStr">
        <is>
          <t>Sec.13 p.26</t>
        </is>
      </c>
      <c r="K61" s="744" t="n">
        <v>14490</v>
      </c>
      <c r="L61" s="744" t="n">
        <v>94525</v>
      </c>
      <c r="M61" s="745" t="inlineStr">
        <is>
          <t>C</t>
        </is>
      </c>
      <c r="N61" s="745" t="inlineStr">
        <is>
          <t>Average</t>
        </is>
      </c>
      <c r="O61" s="745" t="inlineStr">
        <is>
          <t>Typical</t>
        </is>
      </c>
      <c r="P61" s="745" t="n">
        <v>2001</v>
      </c>
      <c r="Q61" s="741" t="n">
        <v>23</v>
      </c>
      <c r="R61" s="746" t="n">
        <v>117</v>
      </c>
      <c r="S61" s="747" t="n">
        <v>1695330</v>
      </c>
      <c r="T61" s="742" t="inlineStr"/>
    </row>
    <row r="62">
      <c r="A62" s="748" t="n">
        <v>766</v>
      </c>
      <c r="B62" s="749" t="inlineStr">
        <is>
          <t>10501 E Colfax Ave</t>
        </is>
      </c>
      <c r="C62" s="748" t="inlineStr">
        <is>
          <t>Aurora</t>
        </is>
      </c>
      <c r="D62" s="748" t="inlineStr">
        <is>
          <t>Adams</t>
        </is>
      </c>
      <c r="E62" s="748" t="inlineStr">
        <is>
          <t>Drugstore</t>
        </is>
      </c>
      <c r="F62" s="748" t="inlineStr">
        <is>
          <t>Walgreens</t>
        </is>
      </c>
      <c r="G62" s="748" t="n">
        <v>353</v>
      </c>
      <c r="H62" s="743" t="inlineStr">
        <is>
          <t>353 - Retail Store</t>
        </is>
      </c>
      <c r="I62" s="749" t="inlineStr">
        <is>
          <t>Retail Stores</t>
        </is>
      </c>
      <c r="J62" s="748" t="inlineStr">
        <is>
          <t>Sec.13 p.26</t>
        </is>
      </c>
      <c r="K62" s="744" t="n">
        <v>13450</v>
      </c>
      <c r="L62" s="744" t="n"/>
      <c r="M62" s="745" t="inlineStr">
        <is>
          <t>C</t>
        </is>
      </c>
      <c r="N62" s="745" t="inlineStr">
        <is>
          <t>Average</t>
        </is>
      </c>
      <c r="O62" s="745" t="inlineStr">
        <is>
          <t>Typical</t>
        </is>
      </c>
      <c r="P62" s="745" t="n">
        <v>1996</v>
      </c>
      <c r="Q62" s="748" t="n">
        <v>28</v>
      </c>
      <c r="R62" s="750" t="n">
        <v>117</v>
      </c>
      <c r="S62" s="751" t="n">
        <v>1573650</v>
      </c>
      <c r="T62" s="749" t="inlineStr">
        <is>
          <t>Site SF missing</t>
        </is>
      </c>
    </row>
    <row r="63">
      <c r="A63" s="741" t="n">
        <v>767</v>
      </c>
      <c r="B63" s="742" t="inlineStr">
        <is>
          <t>10390 Federal Blvd</t>
        </is>
      </c>
      <c r="C63" s="741" t="inlineStr">
        <is>
          <t>Federal Heights</t>
        </is>
      </c>
      <c r="D63" s="741" t="inlineStr">
        <is>
          <t>Adams</t>
        </is>
      </c>
      <c r="E63" s="741" t="inlineStr">
        <is>
          <t>Drugstore</t>
        </is>
      </c>
      <c r="F63" s="741" t="inlineStr">
        <is>
          <t>Walgreens</t>
        </is>
      </c>
      <c r="G63" s="741" t="n">
        <v>353</v>
      </c>
      <c r="H63" s="743" t="inlineStr">
        <is>
          <t>353 - Retail Store</t>
        </is>
      </c>
      <c r="I63" s="742" t="inlineStr">
        <is>
          <t>Retail Stores</t>
        </is>
      </c>
      <c r="J63" s="741" t="inlineStr">
        <is>
          <t>Sec.13 p.26</t>
        </is>
      </c>
      <c r="K63" s="744" t="n">
        <v>12694</v>
      </c>
      <c r="L63" s="744" t="n">
        <v>42689</v>
      </c>
      <c r="M63" s="745" t="inlineStr">
        <is>
          <t>C</t>
        </is>
      </c>
      <c r="N63" s="745" t="inlineStr">
        <is>
          <t>Average</t>
        </is>
      </c>
      <c r="O63" s="745" t="inlineStr">
        <is>
          <t>Typical</t>
        </is>
      </c>
      <c r="P63" s="745" t="n">
        <v>2000</v>
      </c>
      <c r="Q63" s="741" t="n">
        <v>24</v>
      </c>
      <c r="R63" s="746" t="n">
        <v>117</v>
      </c>
      <c r="S63" s="747" t="n">
        <v>1485198</v>
      </c>
      <c r="T63" s="742" t="inlineStr"/>
    </row>
    <row r="64">
      <c r="A64" s="748" t="n">
        <v>768</v>
      </c>
      <c r="B64" s="749" t="inlineStr">
        <is>
          <t>4001 E 120th Ave</t>
        </is>
      </c>
      <c r="C64" s="748" t="inlineStr">
        <is>
          <t>Thornton</t>
        </is>
      </c>
      <c r="D64" s="748" t="inlineStr">
        <is>
          <t>Adams</t>
        </is>
      </c>
      <c r="E64" s="748" t="inlineStr">
        <is>
          <t>Drugstore</t>
        </is>
      </c>
      <c r="F64" s="748" t="inlineStr">
        <is>
          <t>Walgreens</t>
        </is>
      </c>
      <c r="G64" s="748" t="n">
        <v>353</v>
      </c>
      <c r="H64" s="743" t="inlineStr">
        <is>
          <t>353 - Retail Store</t>
        </is>
      </c>
      <c r="I64" s="749" t="inlineStr">
        <is>
          <t>Retail Stores</t>
        </is>
      </c>
      <c r="J64" s="748" t="inlineStr">
        <is>
          <t>Sec.13 p.26</t>
        </is>
      </c>
      <c r="K64" s="744" t="n">
        <v>13450</v>
      </c>
      <c r="L64" s="744" t="n">
        <v>62940</v>
      </c>
      <c r="M64" s="745" t="inlineStr">
        <is>
          <t>C</t>
        </is>
      </c>
      <c r="N64" s="745" t="inlineStr">
        <is>
          <t>Average</t>
        </is>
      </c>
      <c r="O64" s="745" t="inlineStr">
        <is>
          <t>Typical</t>
        </is>
      </c>
      <c r="P64" s="745" t="n">
        <v>1994</v>
      </c>
      <c r="Q64" s="748" t="n">
        <v>30</v>
      </c>
      <c r="R64" s="750" t="n">
        <v>117</v>
      </c>
      <c r="S64" s="751" t="n">
        <v>1573650</v>
      </c>
      <c r="T64" s="749" t="inlineStr"/>
    </row>
    <row r="65">
      <c r="A65" s="741" t="n">
        <v>769</v>
      </c>
      <c r="B65" s="742" t="inlineStr">
        <is>
          <t>15310 E 104th Ave</t>
        </is>
      </c>
      <c r="C65" s="741" t="inlineStr">
        <is>
          <t>Commerce City</t>
        </is>
      </c>
      <c r="D65" s="741" t="inlineStr">
        <is>
          <t>Adams</t>
        </is>
      </c>
      <c r="E65" s="741" t="inlineStr">
        <is>
          <t>Drugstore</t>
        </is>
      </c>
      <c r="F65" s="741" t="inlineStr">
        <is>
          <t>Walgreens</t>
        </is>
      </c>
      <c r="G65" s="741" t="n">
        <v>353</v>
      </c>
      <c r="H65" s="743" t="inlineStr">
        <is>
          <t>353 - Retail Store</t>
        </is>
      </c>
      <c r="I65" s="742" t="inlineStr">
        <is>
          <t>Retail Stores</t>
        </is>
      </c>
      <c r="J65" s="741" t="inlineStr">
        <is>
          <t>Sec.13 p.26</t>
        </is>
      </c>
      <c r="K65" s="744" t="n">
        <v>14820</v>
      </c>
      <c r="L65" s="744" t="n">
        <v>68991</v>
      </c>
      <c r="M65" s="745" t="inlineStr">
        <is>
          <t>C</t>
        </is>
      </c>
      <c r="N65" s="745" t="inlineStr">
        <is>
          <t>Average</t>
        </is>
      </c>
      <c r="O65" s="745" t="inlineStr">
        <is>
          <t>Typical</t>
        </is>
      </c>
      <c r="P65" s="745" t="n">
        <v>2014</v>
      </c>
      <c r="Q65" s="741" t="n">
        <v>10</v>
      </c>
      <c r="R65" s="746" t="n">
        <v>117</v>
      </c>
      <c r="S65" s="747" t="n">
        <v>1733940</v>
      </c>
      <c r="T65" s="742" t="inlineStr"/>
    </row>
    <row r="66">
      <c r="A66" s="748" t="n">
        <v>770</v>
      </c>
      <c r="B66" s="749" t="inlineStr">
        <is>
          <t>10501 E Colfax Ave</t>
        </is>
      </c>
      <c r="C66" s="748" t="inlineStr">
        <is>
          <t>Aurora</t>
        </is>
      </c>
      <c r="D66" s="748" t="inlineStr">
        <is>
          <t>Adams</t>
        </is>
      </c>
      <c r="E66" s="748" t="inlineStr">
        <is>
          <t>Drugstore</t>
        </is>
      </c>
      <c r="F66" s="748" t="inlineStr">
        <is>
          <t>Walgreens</t>
        </is>
      </c>
      <c r="G66" s="748" t="n">
        <v>353</v>
      </c>
      <c r="H66" s="743" t="inlineStr">
        <is>
          <t>353 - Retail Store</t>
        </is>
      </c>
      <c r="I66" s="749" t="inlineStr">
        <is>
          <t>Retail Stores</t>
        </is>
      </c>
      <c r="J66" s="748" t="inlineStr">
        <is>
          <t>Sec.13 p.26</t>
        </is>
      </c>
      <c r="K66" s="744" t="n">
        <v>13450</v>
      </c>
      <c r="L66" s="744" t="n"/>
      <c r="M66" s="745" t="inlineStr">
        <is>
          <t>C</t>
        </is>
      </c>
      <c r="N66" s="745" t="inlineStr">
        <is>
          <t>Average</t>
        </is>
      </c>
      <c r="O66" s="745" t="inlineStr">
        <is>
          <t>Typical</t>
        </is>
      </c>
      <c r="P66" s="745" t="n">
        <v>1996</v>
      </c>
      <c r="Q66" s="748" t="n">
        <v>28</v>
      </c>
      <c r="R66" s="750" t="n">
        <v>117</v>
      </c>
      <c r="S66" s="751" t="n">
        <v>1573650</v>
      </c>
      <c r="T66" s="749" t="inlineStr">
        <is>
          <t>Site SF missing</t>
        </is>
      </c>
    </row>
    <row r="67">
      <c r="A67" s="741" t="n">
        <v>771</v>
      </c>
      <c r="B67" s="742" t="inlineStr">
        <is>
          <t>150 E 144th Ave</t>
        </is>
      </c>
      <c r="C67" s="741" t="inlineStr">
        <is>
          <t>Thornton</t>
        </is>
      </c>
      <c r="D67" s="741" t="inlineStr">
        <is>
          <t>Adams</t>
        </is>
      </c>
      <c r="E67" s="741" t="inlineStr">
        <is>
          <t>Fast Food</t>
        </is>
      </c>
      <c r="F67" s="741" t="inlineStr">
        <is>
          <t>Wendy's</t>
        </is>
      </c>
      <c r="G67" s="741" t="n">
        <v>349</v>
      </c>
      <c r="H67" s="743" t="inlineStr">
        <is>
          <t>349 - Fast Food Restaurant</t>
        </is>
      </c>
      <c r="I67" s="742" t="inlineStr">
        <is>
          <t>Restaurants – Fast Food</t>
        </is>
      </c>
      <c r="J67" s="741" t="inlineStr">
        <is>
          <t>Sec.13 p.17</t>
        </is>
      </c>
      <c r="K67" s="744" t="n">
        <v>3500</v>
      </c>
      <c r="L67" s="744" t="n">
        <v>18731</v>
      </c>
      <c r="M67" s="745" t="inlineStr">
        <is>
          <t>C</t>
        </is>
      </c>
      <c r="N67" s="745" t="inlineStr">
        <is>
          <t>Good</t>
        </is>
      </c>
      <c r="O67" s="745" t="inlineStr">
        <is>
          <t>Typical</t>
        </is>
      </c>
      <c r="P67" s="745" t="n">
        <v>2017</v>
      </c>
      <c r="Q67" s="741" t="n">
        <v>7</v>
      </c>
      <c r="R67" s="746" t="n">
        <v>246</v>
      </c>
      <c r="S67" s="747" t="n">
        <v>861000</v>
      </c>
      <c r="T67" s="742" t="inlineStr"/>
    </row>
    <row r="68">
      <c r="A68" s="748" t="n">
        <v>772</v>
      </c>
      <c r="B68" s="749" t="inlineStr">
        <is>
          <t>8970 Washington St</t>
        </is>
      </c>
      <c r="C68" s="748" t="inlineStr">
        <is>
          <t>Thornton</t>
        </is>
      </c>
      <c r="D68" s="748" t="inlineStr">
        <is>
          <t>Adams</t>
        </is>
      </c>
      <c r="E68" s="748" t="inlineStr">
        <is>
          <t>Fast Food</t>
        </is>
      </c>
      <c r="F68" s="748" t="inlineStr">
        <is>
          <t>Wendy's</t>
        </is>
      </c>
      <c r="G68" s="748" t="n">
        <v>349</v>
      </c>
      <c r="H68" s="743" t="inlineStr">
        <is>
          <t>349 - Fast Food Restaurant</t>
        </is>
      </c>
      <c r="I68" s="749" t="inlineStr">
        <is>
          <t>Restaurants – Fast Food</t>
        </is>
      </c>
      <c r="J68" s="748" t="inlineStr">
        <is>
          <t>Sec.13 p.17</t>
        </is>
      </c>
      <c r="K68" s="744" t="n">
        <v>2730</v>
      </c>
      <c r="L68" s="744" t="n">
        <v>32234</v>
      </c>
      <c r="M68" s="745" t="inlineStr">
        <is>
          <t>C</t>
        </is>
      </c>
      <c r="N68" s="745" t="inlineStr">
        <is>
          <t>Average</t>
        </is>
      </c>
      <c r="O68" s="745" t="inlineStr">
        <is>
          <t>Typical</t>
        </is>
      </c>
      <c r="P68" s="745" t="n">
        <v>1979</v>
      </c>
      <c r="Q68" s="748" t="n">
        <v>45</v>
      </c>
      <c r="R68" s="750" t="n">
        <v>191</v>
      </c>
      <c r="S68" s="751" t="n">
        <v>521430</v>
      </c>
      <c r="T68" s="749" t="inlineStr"/>
    </row>
    <row r="69">
      <c r="A69" s="741" t="n">
        <v>773</v>
      </c>
      <c r="B69" s="742" t="inlineStr">
        <is>
          <t>8970 Washington St</t>
        </is>
      </c>
      <c r="C69" s="741" t="inlineStr">
        <is>
          <t>Thornton</t>
        </is>
      </c>
      <c r="D69" s="741" t="inlineStr">
        <is>
          <t>Adams</t>
        </is>
      </c>
      <c r="E69" s="741" t="inlineStr">
        <is>
          <t>Fast Food</t>
        </is>
      </c>
      <c r="F69" s="741" t="inlineStr">
        <is>
          <t>Wendy's</t>
        </is>
      </c>
      <c r="G69" s="741" t="n">
        <v>349</v>
      </c>
      <c r="H69" s="743" t="inlineStr">
        <is>
          <t>349 - Fast Food Restaurant</t>
        </is>
      </c>
      <c r="I69" s="742" t="inlineStr">
        <is>
          <t>Restaurants – Fast Food</t>
        </is>
      </c>
      <c r="J69" s="741" t="inlineStr">
        <is>
          <t>Sec.13 p.17</t>
        </is>
      </c>
      <c r="K69" s="744" t="n">
        <v>2730</v>
      </c>
      <c r="L69" s="744" t="n">
        <v>32234</v>
      </c>
      <c r="M69" s="745" t="inlineStr">
        <is>
          <t>C</t>
        </is>
      </c>
      <c r="N69" s="745" t="inlineStr">
        <is>
          <t>Average</t>
        </is>
      </c>
      <c r="O69" s="745" t="inlineStr">
        <is>
          <t>Typical</t>
        </is>
      </c>
      <c r="P69" s="745" t="n">
        <v>1979</v>
      </c>
      <c r="Q69" s="741" t="n">
        <v>45</v>
      </c>
      <c r="R69" s="746" t="n">
        <v>191</v>
      </c>
      <c r="S69" s="747" t="n">
        <v>521430</v>
      </c>
      <c r="T69" s="742" t="inlineStr"/>
    </row>
    <row r="70">
      <c r="A70" s="748" t="n">
        <v>774</v>
      </c>
      <c r="B70" s="749" t="inlineStr">
        <is>
          <t>958 S Havana St</t>
        </is>
      </c>
      <c r="C70" s="748" t="inlineStr">
        <is>
          <t>Aurora</t>
        </is>
      </c>
      <c r="D70" s="748" t="inlineStr">
        <is>
          <t>Arapahoe</t>
        </is>
      </c>
      <c r="E70" s="748" t="inlineStr">
        <is>
          <t>Auto Parts</t>
        </is>
      </c>
      <c r="F70" s="748" t="inlineStr">
        <is>
          <t>Advance Auto Parts</t>
        </is>
      </c>
      <c r="G70" s="748" t="n">
        <v>353</v>
      </c>
      <c r="H70" s="743" t="inlineStr">
        <is>
          <t>353 - Retail Store</t>
        </is>
      </c>
      <c r="I70" s="749" t="inlineStr">
        <is>
          <t>Retail Stores</t>
        </is>
      </c>
      <c r="J70" s="748" t="inlineStr">
        <is>
          <t>Sec.13 p.26</t>
        </is>
      </c>
      <c r="K70" s="744" t="n">
        <v>8000</v>
      </c>
      <c r="L70" s="744" t="n">
        <v>39152</v>
      </c>
      <c r="M70" s="745" t="inlineStr">
        <is>
          <t>C</t>
        </is>
      </c>
      <c r="N70" s="745" t="inlineStr">
        <is>
          <t>Average</t>
        </is>
      </c>
      <c r="O70" s="745" t="inlineStr">
        <is>
          <t>Typical</t>
        </is>
      </c>
      <c r="P70" s="745" t="n">
        <v>2005</v>
      </c>
      <c r="Q70" s="748" t="n">
        <v>19</v>
      </c>
      <c r="R70" s="750" t="n">
        <v>117</v>
      </c>
      <c r="S70" s="751" t="n">
        <v>936000</v>
      </c>
      <c r="T70" s="749" t="inlineStr"/>
    </row>
    <row r="71">
      <c r="A71" s="741" t="n">
        <v>775</v>
      </c>
      <c r="B71" s="742" t="inlineStr">
        <is>
          <t>958 S Havana St</t>
        </is>
      </c>
      <c r="C71" s="741" t="inlineStr">
        <is>
          <t>Aurora</t>
        </is>
      </c>
      <c r="D71" s="741" t="inlineStr">
        <is>
          <t>Arapahoe</t>
        </is>
      </c>
      <c r="E71" s="741" t="inlineStr">
        <is>
          <t>Auto Parts</t>
        </is>
      </c>
      <c r="F71" s="741" t="inlineStr">
        <is>
          <t>Advance Auto Parts</t>
        </is>
      </c>
      <c r="G71" s="741" t="n">
        <v>353</v>
      </c>
      <c r="H71" s="743" t="inlineStr">
        <is>
          <t>353 - Retail Store</t>
        </is>
      </c>
      <c r="I71" s="742" t="inlineStr">
        <is>
          <t>Retail Stores</t>
        </is>
      </c>
      <c r="J71" s="741" t="inlineStr">
        <is>
          <t>Sec.13 p.26</t>
        </is>
      </c>
      <c r="K71" s="744" t="n">
        <v>8000</v>
      </c>
      <c r="L71" s="744" t="n">
        <v>39152</v>
      </c>
      <c r="M71" s="745" t="inlineStr">
        <is>
          <t>C</t>
        </is>
      </c>
      <c r="N71" s="745" t="inlineStr">
        <is>
          <t>Average</t>
        </is>
      </c>
      <c r="O71" s="745" t="inlineStr">
        <is>
          <t>Typical</t>
        </is>
      </c>
      <c r="P71" s="745" t="n">
        <v>2005</v>
      </c>
      <c r="Q71" s="741" t="n">
        <v>19</v>
      </c>
      <c r="R71" s="746" t="n">
        <v>117</v>
      </c>
      <c r="S71" s="747" t="n">
        <v>936000</v>
      </c>
      <c r="T71" s="742" t="inlineStr"/>
    </row>
    <row r="72">
      <c r="A72" s="748" t="n">
        <v>776</v>
      </c>
      <c r="B72" s="749" t="inlineStr">
        <is>
          <t>6985 S Broadway</t>
        </is>
      </c>
      <c r="C72" s="748" t="inlineStr">
        <is>
          <t>Littleton</t>
        </is>
      </c>
      <c r="D72" s="748" t="inlineStr">
        <is>
          <t>Arapahoe</t>
        </is>
      </c>
      <c r="E72" s="748" t="inlineStr">
        <is>
          <t>Fast Food</t>
        </is>
      </c>
      <c r="F72" s="748" t="inlineStr">
        <is>
          <t>Andy's Frozen Custard</t>
        </is>
      </c>
      <c r="G72" s="748" t="n">
        <v>349</v>
      </c>
      <c r="H72" s="743" t="inlineStr">
        <is>
          <t>349 - Fast Food Restaurant</t>
        </is>
      </c>
      <c r="I72" s="749" t="inlineStr">
        <is>
          <t>Restaurants – Fast Food</t>
        </is>
      </c>
      <c r="J72" s="748" t="inlineStr">
        <is>
          <t>Sec.13 p.17</t>
        </is>
      </c>
      <c r="K72" s="744" t="n">
        <v>1590</v>
      </c>
      <c r="L72" s="744" t="n">
        <v>27443</v>
      </c>
      <c r="M72" s="745" t="inlineStr">
        <is>
          <t>C</t>
        </is>
      </c>
      <c r="N72" s="745" t="inlineStr">
        <is>
          <t>Average</t>
        </is>
      </c>
      <c r="O72" s="745" t="inlineStr">
        <is>
          <t>Typical</t>
        </is>
      </c>
      <c r="P72" s="745" t="n">
        <v>1971</v>
      </c>
      <c r="Q72" s="748" t="n">
        <v>53</v>
      </c>
      <c r="R72" s="750" t="n">
        <v>191</v>
      </c>
      <c r="S72" s="751" t="n">
        <v>303690</v>
      </c>
      <c r="T72" s="749" t="inlineStr"/>
    </row>
    <row r="73">
      <c r="A73" s="741" t="n">
        <v>777</v>
      </c>
      <c r="B73" s="742" t="inlineStr">
        <is>
          <t>161 W Mineral Ave</t>
        </is>
      </c>
      <c r="C73" s="741" t="inlineStr">
        <is>
          <t>Littleton</t>
        </is>
      </c>
      <c r="D73" s="741" t="inlineStr">
        <is>
          <t>Arapahoe</t>
        </is>
      </c>
      <c r="E73" s="741" t="inlineStr">
        <is>
          <t>Fast Food</t>
        </is>
      </c>
      <c r="F73" s="741" t="inlineStr">
        <is>
          <t>Arby's</t>
        </is>
      </c>
      <c r="G73" s="741" t="n">
        <v>349</v>
      </c>
      <c r="H73" s="743" t="inlineStr">
        <is>
          <t>349 - Fast Food Restaurant</t>
        </is>
      </c>
      <c r="I73" s="742" t="inlineStr">
        <is>
          <t>Restaurants – Fast Food</t>
        </is>
      </c>
      <c r="J73" s="741" t="inlineStr">
        <is>
          <t>Sec.13 p.17</t>
        </is>
      </c>
      <c r="K73" s="744" t="n">
        <v>3140</v>
      </c>
      <c r="L73" s="744" t="n">
        <v>43124</v>
      </c>
      <c r="M73" s="745" t="inlineStr">
        <is>
          <t>C</t>
        </is>
      </c>
      <c r="N73" s="745" t="inlineStr">
        <is>
          <t>Average</t>
        </is>
      </c>
      <c r="O73" s="745" t="inlineStr">
        <is>
          <t>Typical</t>
        </is>
      </c>
      <c r="P73" s="745" t="n">
        <v>2000</v>
      </c>
      <c r="Q73" s="741" t="n">
        <v>24</v>
      </c>
      <c r="R73" s="746" t="n">
        <v>191</v>
      </c>
      <c r="S73" s="747" t="n">
        <v>599740</v>
      </c>
      <c r="T73" s="742" t="inlineStr"/>
    </row>
    <row r="74">
      <c r="A74" s="748" t="n">
        <v>778</v>
      </c>
      <c r="B74" s="749" t="inlineStr">
        <is>
          <t>14442 E Cedar Ave</t>
        </is>
      </c>
      <c r="C74" s="748" t="inlineStr">
        <is>
          <t>Aurora</t>
        </is>
      </c>
      <c r="D74" s="748" t="inlineStr">
        <is>
          <t>Arapahoe</t>
        </is>
      </c>
      <c r="E74" s="748" t="inlineStr">
        <is>
          <t>Retail Center</t>
        </is>
      </c>
      <c r="F74" s="748" t="inlineStr">
        <is>
          <t>BJ's Restaurant Brewhouse</t>
        </is>
      </c>
      <c r="G74" s="748" t="n">
        <v>414</v>
      </c>
      <c r="H74" s="743" t="inlineStr">
        <is>
          <t>414 - Regional Shopping Center</t>
        </is>
      </c>
      <c r="I74" s="749" t="inlineStr">
        <is>
          <t>Regional Shopping Centers</t>
        </is>
      </c>
      <c r="J74" s="748" t="inlineStr">
        <is>
          <t>Sec.13 p.35</t>
        </is>
      </c>
      <c r="K74" s="744" t="n">
        <v>8374</v>
      </c>
      <c r="L74" s="744" t="n">
        <v>49223</v>
      </c>
      <c r="M74" s="745" t="inlineStr">
        <is>
          <t>C</t>
        </is>
      </c>
      <c r="N74" s="745" t="inlineStr">
        <is>
          <t>Average</t>
        </is>
      </c>
      <c r="O74" s="745" t="inlineStr">
        <is>
          <t>Typical</t>
        </is>
      </c>
      <c r="P74" s="745" t="n">
        <v>2005</v>
      </c>
      <c r="Q74" s="748" t="n">
        <v>19</v>
      </c>
      <c r="R74" s="750" t="n">
        <v>153</v>
      </c>
      <c r="S74" s="751" t="n">
        <v>1281222</v>
      </c>
      <c r="T74" s="749" t="inlineStr"/>
    </row>
    <row r="75">
      <c r="A75" s="741" t="n">
        <v>779</v>
      </c>
      <c r="B75" s="742" t="inlineStr">
        <is>
          <t>5574 S Gibraltar Way</t>
        </is>
      </c>
      <c r="C75" s="741" t="inlineStr">
        <is>
          <t>Centennial</t>
        </is>
      </c>
      <c r="D75" s="741" t="inlineStr">
        <is>
          <t>Arapahoe</t>
        </is>
      </c>
      <c r="E75" s="741" t="inlineStr">
        <is>
          <t>Auto Service</t>
        </is>
      </c>
      <c r="F75" s="741" t="inlineStr">
        <is>
          <t>Big Nick'S Auto</t>
        </is>
      </c>
      <c r="G75" s="741" t="n">
        <v>325</v>
      </c>
      <c r="H75" s="743" t="inlineStr">
        <is>
          <t>325 - Service Garage</t>
        </is>
      </c>
      <c r="I75" s="742" t="inlineStr">
        <is>
          <t>Service Garages (Commercial/Repair)</t>
        </is>
      </c>
      <c r="J75" s="741" t="inlineStr">
        <is>
          <t>Sec.14 p.32</t>
        </is>
      </c>
      <c r="K75" s="744" t="n">
        <v>2144</v>
      </c>
      <c r="L75" s="744" t="n">
        <v>36670</v>
      </c>
      <c r="M75" s="745" t="inlineStr">
        <is>
          <t>C</t>
        </is>
      </c>
      <c r="N75" s="745" t="inlineStr">
        <is>
          <t>Average</t>
        </is>
      </c>
      <c r="O75" s="745" t="inlineStr">
        <is>
          <t>Typical</t>
        </is>
      </c>
      <c r="P75" s="745" t="n">
        <v>1999</v>
      </c>
      <c r="Q75" s="741" t="n">
        <v>25</v>
      </c>
      <c r="R75" s="746" t="n">
        <v>79.5</v>
      </c>
      <c r="S75" s="747" t="n">
        <v>170448</v>
      </c>
      <c r="T75" s="742" t="inlineStr"/>
    </row>
    <row r="76">
      <c r="A76" s="748" t="n">
        <v>780</v>
      </c>
      <c r="B76" s="749" t="inlineStr">
        <is>
          <t>15405 E 6th Ave</t>
        </is>
      </c>
      <c r="C76" s="748" t="inlineStr">
        <is>
          <t>Aurora</t>
        </is>
      </c>
      <c r="D76" s="748" t="inlineStr">
        <is>
          <t>Arapahoe</t>
        </is>
      </c>
      <c r="E76" s="748" t="inlineStr">
        <is>
          <t>Auto Service</t>
        </is>
      </c>
      <c r="F76" s="748" t="inlineStr">
        <is>
          <t>Big O Tires</t>
        </is>
      </c>
      <c r="G76" s="748" t="n">
        <v>410</v>
      </c>
      <c r="H76" s="743" t="inlineStr">
        <is>
          <t>410 - Automotive Center</t>
        </is>
      </c>
      <c r="I76" s="749" t="inlineStr">
        <is>
          <t>Automotive Service Centers</t>
        </is>
      </c>
      <c r="J76" s="748" t="inlineStr">
        <is>
          <t>Sec.14 p.31</t>
        </is>
      </c>
      <c r="K76" s="744" t="n">
        <v>5778</v>
      </c>
      <c r="L76" s="744" t="n">
        <v>28066</v>
      </c>
      <c r="M76" s="745" t="inlineStr">
        <is>
          <t>S</t>
        </is>
      </c>
      <c r="N76" s="745" t="inlineStr">
        <is>
          <t>Average</t>
        </is>
      </c>
      <c r="O76" s="745" t="inlineStr">
        <is>
          <t>Typical</t>
        </is>
      </c>
      <c r="P76" s="745" t="n">
        <v>2001</v>
      </c>
      <c r="Q76" s="748" t="n">
        <v>23</v>
      </c>
      <c r="R76" s="750" t="n">
        <v>97.5</v>
      </c>
      <c r="S76" s="751" t="n">
        <v>563355</v>
      </c>
      <c r="T76" s="749" t="inlineStr"/>
    </row>
    <row r="77">
      <c r="A77" s="741" t="n">
        <v>781</v>
      </c>
      <c r="B77" s="742" t="inlineStr">
        <is>
          <t>6711 S Potomac St</t>
        </is>
      </c>
      <c r="C77" s="741" t="inlineStr">
        <is>
          <t>Centennial</t>
        </is>
      </c>
      <c r="D77" s="741" t="inlineStr">
        <is>
          <t>Arapahoe</t>
        </is>
      </c>
      <c r="E77" s="741" t="inlineStr">
        <is>
          <t>Auto Service</t>
        </is>
      </c>
      <c r="F77" s="741" t="inlineStr">
        <is>
          <t>Big O Tires</t>
        </is>
      </c>
      <c r="G77" s="741" t="n">
        <v>410</v>
      </c>
      <c r="H77" s="743" t="inlineStr">
        <is>
          <t>410 - Automotive Center</t>
        </is>
      </c>
      <c r="I77" s="742" t="inlineStr">
        <is>
          <t>Automotive Service Centers</t>
        </is>
      </c>
      <c r="J77" s="741" t="inlineStr">
        <is>
          <t>Sec.14 p.31</t>
        </is>
      </c>
      <c r="K77" s="744" t="n">
        <v>9660</v>
      </c>
      <c r="L77" s="744" t="n">
        <v>53098</v>
      </c>
      <c r="M77" s="745" t="inlineStr">
        <is>
          <t>S</t>
        </is>
      </c>
      <c r="N77" s="745" t="inlineStr">
        <is>
          <t>Average</t>
        </is>
      </c>
      <c r="O77" s="745" t="inlineStr">
        <is>
          <t>Typical</t>
        </is>
      </c>
      <c r="P77" s="745" t="n">
        <v>2003</v>
      </c>
      <c r="Q77" s="741" t="n">
        <v>21</v>
      </c>
      <c r="R77" s="746" t="n">
        <v>97.5</v>
      </c>
      <c r="S77" s="747" t="n">
        <v>941850</v>
      </c>
      <c r="T77" s="742" t="inlineStr"/>
    </row>
    <row r="78">
      <c r="A78" s="748" t="n">
        <v>782</v>
      </c>
      <c r="B78" s="749" t="inlineStr">
        <is>
          <t>22994 E Smoky Hill Rd</t>
        </is>
      </c>
      <c r="C78" s="748" t="inlineStr">
        <is>
          <t>Aurora</t>
        </is>
      </c>
      <c r="D78" s="748" t="inlineStr">
        <is>
          <t>Arapahoe</t>
        </is>
      </c>
      <c r="E78" s="748" t="inlineStr">
        <is>
          <t>Auto Service</t>
        </is>
      </c>
      <c r="F78" s="748" t="inlineStr">
        <is>
          <t>Big O Tires</t>
        </is>
      </c>
      <c r="G78" s="748" t="n">
        <v>410</v>
      </c>
      <c r="H78" s="743" t="inlineStr">
        <is>
          <t>410 - Automotive Center</t>
        </is>
      </c>
      <c r="I78" s="749" t="inlineStr">
        <is>
          <t>Automotive Service Centers</t>
        </is>
      </c>
      <c r="J78" s="748" t="inlineStr">
        <is>
          <t>Sec.14 p.31</t>
        </is>
      </c>
      <c r="K78" s="744" t="n">
        <v>8500</v>
      </c>
      <c r="L78" s="744" t="n">
        <v>102845</v>
      </c>
      <c r="M78" s="745" t="inlineStr">
        <is>
          <t>S</t>
        </is>
      </c>
      <c r="N78" s="745" t="inlineStr">
        <is>
          <t>Average</t>
        </is>
      </c>
      <c r="O78" s="745" t="inlineStr">
        <is>
          <t>Typical</t>
        </is>
      </c>
      <c r="P78" s="745" t="n">
        <v>2000</v>
      </c>
      <c r="Q78" s="748" t="n">
        <v>24</v>
      </c>
      <c r="R78" s="750" t="n">
        <v>97.5</v>
      </c>
      <c r="S78" s="751" t="n">
        <v>828750</v>
      </c>
      <c r="T78" s="749" t="inlineStr"/>
    </row>
    <row r="79">
      <c r="A79" s="741" t="n">
        <v>783</v>
      </c>
      <c r="B79" s="742" t="inlineStr">
        <is>
          <t>8507 E Arapahoe Rd</t>
        </is>
      </c>
      <c r="C79" s="741" t="inlineStr">
        <is>
          <t>Greenwood Village</t>
        </is>
      </c>
      <c r="D79" s="741" t="inlineStr">
        <is>
          <t>Arapahoe</t>
        </is>
      </c>
      <c r="E79" s="741" t="inlineStr">
        <is>
          <t>Fast Food</t>
        </is>
      </c>
      <c r="F79" s="741" t="inlineStr">
        <is>
          <t>Boston Market</t>
        </is>
      </c>
      <c r="G79" s="741" t="n">
        <v>349</v>
      </c>
      <c r="H79" s="743" t="inlineStr">
        <is>
          <t>349 - Fast Food Restaurant</t>
        </is>
      </c>
      <c r="I79" s="742" t="inlineStr">
        <is>
          <t>Restaurants – Fast Food</t>
        </is>
      </c>
      <c r="J79" s="741" t="inlineStr">
        <is>
          <t>Sec.13 p.17</t>
        </is>
      </c>
      <c r="K79" s="744" t="n">
        <v>3170</v>
      </c>
      <c r="L79" s="744" t="n">
        <v>17860</v>
      </c>
      <c r="M79" s="745" t="inlineStr">
        <is>
          <t>C</t>
        </is>
      </c>
      <c r="N79" s="745" t="inlineStr">
        <is>
          <t>Average</t>
        </is>
      </c>
      <c r="O79" s="745" t="inlineStr">
        <is>
          <t>Typical</t>
        </is>
      </c>
      <c r="P79" s="745" t="n">
        <v>1985</v>
      </c>
      <c r="Q79" s="741" t="n">
        <v>39</v>
      </c>
      <c r="R79" s="746" t="n">
        <v>191</v>
      </c>
      <c r="S79" s="747" t="n">
        <v>605470</v>
      </c>
      <c r="T79" s="742" t="inlineStr"/>
    </row>
    <row r="80">
      <c r="A80" s="748" t="n">
        <v>784</v>
      </c>
      <c r="B80" s="749" t="inlineStr">
        <is>
          <t>16770 E Iliff Ave</t>
        </is>
      </c>
      <c r="C80" s="748" t="inlineStr">
        <is>
          <t>Aurora</t>
        </is>
      </c>
      <c r="D80" s="748" t="inlineStr">
        <is>
          <t>Arapahoe</t>
        </is>
      </c>
      <c r="E80" s="748" t="inlineStr">
        <is>
          <t>Auto Service</t>
        </is>
      </c>
      <c r="F80" s="748" t="inlineStr">
        <is>
          <t>Brakes Plus</t>
        </is>
      </c>
      <c r="G80" s="748" t="n">
        <v>410</v>
      </c>
      <c r="H80" s="743" t="inlineStr">
        <is>
          <t>410 - Automotive Center</t>
        </is>
      </c>
      <c r="I80" s="749" t="inlineStr">
        <is>
          <t>Automotive Service Centers</t>
        </is>
      </c>
      <c r="J80" s="748" t="inlineStr">
        <is>
          <t>Sec.14 p.31</t>
        </is>
      </c>
      <c r="K80" s="744" t="n">
        <v>5197</v>
      </c>
      <c r="L80" s="744" t="n">
        <v>37374</v>
      </c>
      <c r="M80" s="745" t="inlineStr">
        <is>
          <t>S</t>
        </is>
      </c>
      <c r="N80" s="745" t="inlineStr">
        <is>
          <t>Average</t>
        </is>
      </c>
      <c r="O80" s="745" t="inlineStr">
        <is>
          <t>Typical</t>
        </is>
      </c>
      <c r="P80" s="745" t="n">
        <v>1979</v>
      </c>
      <c r="Q80" s="748" t="n">
        <v>45</v>
      </c>
      <c r="R80" s="750" t="n">
        <v>97.5</v>
      </c>
      <c r="S80" s="751" t="n">
        <v>506708</v>
      </c>
      <c r="T80" s="749" t="inlineStr"/>
    </row>
    <row r="81">
      <c r="A81" s="741" t="n">
        <v>785</v>
      </c>
      <c r="B81" s="742" t="inlineStr">
        <is>
          <t>4901 S Broadway</t>
        </is>
      </c>
      <c r="C81" s="741" t="inlineStr">
        <is>
          <t>Englewood</t>
        </is>
      </c>
      <c r="D81" s="741" t="inlineStr">
        <is>
          <t>Arapahoe</t>
        </is>
      </c>
      <c r="E81" s="741" t="inlineStr">
        <is>
          <t>Fast Food</t>
        </is>
      </c>
      <c r="F81" s="741" t="inlineStr">
        <is>
          <t>Burger King</t>
        </is>
      </c>
      <c r="G81" s="741" t="n">
        <v>349</v>
      </c>
      <c r="H81" s="743" t="inlineStr">
        <is>
          <t>349 - Fast Food Restaurant</t>
        </is>
      </c>
      <c r="I81" s="742" t="inlineStr">
        <is>
          <t>Restaurants – Fast Food</t>
        </is>
      </c>
      <c r="J81" s="741" t="inlineStr">
        <is>
          <t>Sec.13 p.17</t>
        </is>
      </c>
      <c r="K81" s="744" t="n">
        <v>2917</v>
      </c>
      <c r="L81" s="744" t="n">
        <v>33541</v>
      </c>
      <c r="M81" s="745" t="inlineStr">
        <is>
          <t>C</t>
        </is>
      </c>
      <c r="N81" s="745" t="inlineStr">
        <is>
          <t>Average</t>
        </is>
      </c>
      <c r="O81" s="745" t="inlineStr">
        <is>
          <t>Typical</t>
        </is>
      </c>
      <c r="P81" s="745" t="n">
        <v>1998</v>
      </c>
      <c r="Q81" s="741" t="n">
        <v>26</v>
      </c>
      <c r="R81" s="746" t="n">
        <v>191</v>
      </c>
      <c r="S81" s="747" t="n">
        <v>557147</v>
      </c>
      <c r="T81" s="742" t="inlineStr"/>
    </row>
    <row r="82">
      <c r="A82" s="748" t="n">
        <v>786</v>
      </c>
      <c r="B82" s="749" t="inlineStr">
        <is>
          <t>161 W Mineral Ave</t>
        </is>
      </c>
      <c r="C82" s="748" t="inlineStr">
        <is>
          <t>Littleton</t>
        </is>
      </c>
      <c r="D82" s="748" t="inlineStr">
        <is>
          <t>Arapahoe</t>
        </is>
      </c>
      <c r="E82" s="748" t="inlineStr">
        <is>
          <t>Fast Food</t>
        </is>
      </c>
      <c r="F82" s="748" t="inlineStr">
        <is>
          <t>Carl's Jr</t>
        </is>
      </c>
      <c r="G82" s="748" t="n">
        <v>349</v>
      </c>
      <c r="H82" s="743" t="inlineStr">
        <is>
          <t>349 - Fast Food Restaurant</t>
        </is>
      </c>
      <c r="I82" s="749" t="inlineStr">
        <is>
          <t>Restaurants – Fast Food</t>
        </is>
      </c>
      <c r="J82" s="748" t="inlineStr">
        <is>
          <t>Sec.13 p.17</t>
        </is>
      </c>
      <c r="K82" s="744" t="n">
        <v>3140</v>
      </c>
      <c r="L82" s="744" t="n">
        <v>36590</v>
      </c>
      <c r="M82" s="745" t="inlineStr">
        <is>
          <t>C</t>
        </is>
      </c>
      <c r="N82" s="745" t="inlineStr">
        <is>
          <t>Average</t>
        </is>
      </c>
      <c r="O82" s="745" t="inlineStr">
        <is>
          <t>Typical</t>
        </is>
      </c>
      <c r="P82" s="745" t="n">
        <v>2000</v>
      </c>
      <c r="Q82" s="748" t="n">
        <v>24</v>
      </c>
      <c r="R82" s="750" t="n">
        <v>191</v>
      </c>
      <c r="S82" s="751" t="n">
        <v>599740</v>
      </c>
      <c r="T82" s="749" t="inlineStr"/>
    </row>
    <row r="83">
      <c r="A83" s="741" t="n">
        <v>787</v>
      </c>
      <c r="B83" s="742" t="inlineStr">
        <is>
          <t>1683 W Sheri Ln</t>
        </is>
      </c>
      <c r="C83" s="741" t="inlineStr">
        <is>
          <t>Littleton</t>
        </is>
      </c>
      <c r="D83" s="741" t="inlineStr">
        <is>
          <t>Arapahoe</t>
        </is>
      </c>
      <c r="E83" s="741" t="inlineStr">
        <is>
          <t>Auto Service</t>
        </is>
      </c>
      <c r="F83" s="741" t="inlineStr">
        <is>
          <t>Carstar</t>
        </is>
      </c>
      <c r="G83" s="741" t="n">
        <v>410</v>
      </c>
      <c r="H83" s="743" t="inlineStr">
        <is>
          <t>410 - Automotive Center</t>
        </is>
      </c>
      <c r="I83" s="742" t="inlineStr">
        <is>
          <t>Automotive Service Centers</t>
        </is>
      </c>
      <c r="J83" s="741" t="inlineStr">
        <is>
          <t>Sec.14 p.31</t>
        </is>
      </c>
      <c r="K83" s="744" t="n">
        <v>8736</v>
      </c>
      <c r="L83" s="744" t="n">
        <v>36155</v>
      </c>
      <c r="M83" s="745" t="inlineStr">
        <is>
          <t>S</t>
        </is>
      </c>
      <c r="N83" s="745" t="inlineStr">
        <is>
          <t>Average</t>
        </is>
      </c>
      <c r="O83" s="745" t="inlineStr">
        <is>
          <t>Typical</t>
        </is>
      </c>
      <c r="P83" s="745" t="n">
        <v>1973</v>
      </c>
      <c r="Q83" s="741" t="n">
        <v>51</v>
      </c>
      <c r="R83" s="746" t="n">
        <v>97.5</v>
      </c>
      <c r="S83" s="747" t="n">
        <v>851760</v>
      </c>
      <c r="T83" s="742" t="inlineStr"/>
    </row>
    <row r="84">
      <c r="A84" s="748" t="n">
        <v>788</v>
      </c>
      <c r="B84" s="749" t="inlineStr">
        <is>
          <t>5600 S Parker Rd</t>
        </is>
      </c>
      <c r="C84" s="748" t="inlineStr">
        <is>
          <t>Aurora</t>
        </is>
      </c>
      <c r="D84" s="748" t="inlineStr">
        <is>
          <t>Arapahoe</t>
        </is>
      </c>
      <c r="E84" s="748" t="inlineStr">
        <is>
          <t>Fast Food</t>
        </is>
      </c>
      <c r="F84" s="748" t="inlineStr">
        <is>
          <t>Chick-fil-A</t>
        </is>
      </c>
      <c r="G84" s="748" t="n">
        <v>349</v>
      </c>
      <c r="H84" s="743" t="inlineStr">
        <is>
          <t>349 - Fast Food Restaurant</t>
        </is>
      </c>
      <c r="I84" s="749" t="inlineStr">
        <is>
          <t>Restaurants – Fast Food</t>
        </is>
      </c>
      <c r="J84" s="748" t="inlineStr">
        <is>
          <t>Sec.13 p.17</t>
        </is>
      </c>
      <c r="K84" s="744" t="n">
        <v>4304</v>
      </c>
      <c r="L84" s="744" t="n">
        <v>1</v>
      </c>
      <c r="M84" s="745" t="inlineStr">
        <is>
          <t>C</t>
        </is>
      </c>
      <c r="N84" s="745" t="inlineStr">
        <is>
          <t>Good</t>
        </is>
      </c>
      <c r="O84" s="745" t="inlineStr">
        <is>
          <t>Typical</t>
        </is>
      </c>
      <c r="P84" s="745" t="n">
        <v>2002</v>
      </c>
      <c r="Q84" s="748" t="n">
        <v>22</v>
      </c>
      <c r="R84" s="750" t="n">
        <v>246</v>
      </c>
      <c r="S84" s="751" t="n">
        <v>1058784</v>
      </c>
      <c r="T84" s="749" t="inlineStr"/>
    </row>
    <row r="85">
      <c r="A85" s="741" t="n">
        <v>789</v>
      </c>
      <c r="B85" s="742" t="inlineStr">
        <is>
          <t>6997 S University Blvd</t>
        </is>
      </c>
      <c r="C85" s="741" t="inlineStr">
        <is>
          <t>Centennial</t>
        </is>
      </c>
      <c r="D85" s="741" t="inlineStr">
        <is>
          <t>Arapahoe</t>
        </is>
      </c>
      <c r="E85" s="741" t="inlineStr">
        <is>
          <t>Fast Food</t>
        </is>
      </c>
      <c r="F85" s="741" t="inlineStr">
        <is>
          <t>Chick-fil-A</t>
        </is>
      </c>
      <c r="G85" s="741" t="n">
        <v>349</v>
      </c>
      <c r="H85" s="743" t="inlineStr">
        <is>
          <t>349 - Fast Food Restaurant</t>
        </is>
      </c>
      <c r="I85" s="742" t="inlineStr">
        <is>
          <t>Restaurants – Fast Food</t>
        </is>
      </c>
      <c r="J85" s="741" t="inlineStr">
        <is>
          <t>Sec.13 p.17</t>
        </is>
      </c>
      <c r="K85" s="744" t="n">
        <v>7350</v>
      </c>
      <c r="L85" s="744" t="n">
        <v>0</v>
      </c>
      <c r="M85" s="745" t="inlineStr">
        <is>
          <t>C</t>
        </is>
      </c>
      <c r="N85" s="745" t="inlineStr">
        <is>
          <t>Good</t>
        </is>
      </c>
      <c r="O85" s="745" t="inlineStr">
        <is>
          <t>Typical</t>
        </is>
      </c>
      <c r="P85" s="745" t="n">
        <v>2013</v>
      </c>
      <c r="Q85" s="741" t="n">
        <v>11</v>
      </c>
      <c r="R85" s="746" t="n">
        <v>246</v>
      </c>
      <c r="S85" s="747" t="n">
        <v>1808100</v>
      </c>
      <c r="T85" s="742" t="inlineStr"/>
    </row>
    <row r="86">
      <c r="A86" s="748" t="n">
        <v>790</v>
      </c>
      <c r="B86" s="749" t="inlineStr">
        <is>
          <t>5600 S Parker Rd</t>
        </is>
      </c>
      <c r="C86" s="748" t="inlineStr">
        <is>
          <t>Aurora</t>
        </is>
      </c>
      <c r="D86" s="748" t="inlineStr">
        <is>
          <t>Arapahoe</t>
        </is>
      </c>
      <c r="E86" s="748" t="inlineStr">
        <is>
          <t>Fast Food</t>
        </is>
      </c>
      <c r="F86" s="748" t="inlineStr">
        <is>
          <t>Chick-fil-A</t>
        </is>
      </c>
      <c r="G86" s="748" t="n">
        <v>349</v>
      </c>
      <c r="H86" s="743" t="inlineStr">
        <is>
          <t>349 - Fast Food Restaurant</t>
        </is>
      </c>
      <c r="I86" s="749" t="inlineStr">
        <is>
          <t>Restaurants – Fast Food</t>
        </is>
      </c>
      <c r="J86" s="748" t="inlineStr">
        <is>
          <t>Sec.13 p.17</t>
        </is>
      </c>
      <c r="K86" s="744" t="n">
        <v>4304</v>
      </c>
      <c r="L86" s="744" t="n">
        <v>43560</v>
      </c>
      <c r="M86" s="745" t="inlineStr">
        <is>
          <t>C</t>
        </is>
      </c>
      <c r="N86" s="745" t="inlineStr">
        <is>
          <t>Good</t>
        </is>
      </c>
      <c r="O86" s="745" t="inlineStr">
        <is>
          <t>Typical</t>
        </is>
      </c>
      <c r="P86" s="745" t="n">
        <v>2002</v>
      </c>
      <c r="Q86" s="748" t="n">
        <v>22</v>
      </c>
      <c r="R86" s="750" t="n">
        <v>246</v>
      </c>
      <c r="S86" s="751" t="n">
        <v>1058784</v>
      </c>
      <c r="T86" s="749" t="inlineStr"/>
    </row>
    <row r="87">
      <c r="A87" s="741" t="n">
        <v>791</v>
      </c>
      <c r="B87" s="742" t="inlineStr">
        <is>
          <t>11900 E Colfax Ave</t>
        </is>
      </c>
      <c r="C87" s="741" t="inlineStr">
        <is>
          <t>Aurora</t>
        </is>
      </c>
      <c r="D87" s="741" t="inlineStr">
        <is>
          <t>Arapahoe</t>
        </is>
      </c>
      <c r="E87" s="741" t="inlineStr">
        <is>
          <t>Fast Food</t>
        </is>
      </c>
      <c r="F87" s="741" t="inlineStr">
        <is>
          <t>Church's Texas Chicken</t>
        </is>
      </c>
      <c r="G87" s="741" t="n">
        <v>349</v>
      </c>
      <c r="H87" s="743" t="inlineStr">
        <is>
          <t>349 - Fast Food Restaurant</t>
        </is>
      </c>
      <c r="I87" s="742" t="inlineStr">
        <is>
          <t>Restaurants – Fast Food</t>
        </is>
      </c>
      <c r="J87" s="741" t="inlineStr">
        <is>
          <t>Sec.13 p.17</t>
        </is>
      </c>
      <c r="K87" s="744" t="n">
        <v>1228</v>
      </c>
      <c r="L87" s="744" t="n">
        <v>9583</v>
      </c>
      <c r="M87" s="745" t="inlineStr">
        <is>
          <t>C</t>
        </is>
      </c>
      <c r="N87" s="745" t="inlineStr">
        <is>
          <t>Average</t>
        </is>
      </c>
      <c r="O87" s="745" t="inlineStr">
        <is>
          <t>Typical</t>
        </is>
      </c>
      <c r="P87" s="745" t="n">
        <v>1963</v>
      </c>
      <c r="Q87" s="741" t="n">
        <v>61</v>
      </c>
      <c r="R87" s="746" t="n">
        <v>191</v>
      </c>
      <c r="S87" s="747" t="n">
        <v>234548</v>
      </c>
      <c r="T87" s="742" t="inlineStr"/>
    </row>
    <row r="88">
      <c r="A88" s="748" t="n">
        <v>792</v>
      </c>
      <c r="B88" s="749" t="inlineStr">
        <is>
          <t>5311 S Broadway Cir</t>
        </is>
      </c>
      <c r="C88" s="748" t="inlineStr">
        <is>
          <t>Englewood</t>
        </is>
      </c>
      <c r="D88" s="748" t="inlineStr">
        <is>
          <t>Arapahoe</t>
        </is>
      </c>
      <c r="E88" s="748" t="inlineStr">
        <is>
          <t>Auto Service</t>
        </is>
      </c>
      <c r="F88" s="748" t="inlineStr">
        <is>
          <t>Colorado Car Clinic</t>
        </is>
      </c>
      <c r="G88" s="748" t="n">
        <v>325</v>
      </c>
      <c r="H88" s="743" t="inlineStr">
        <is>
          <t>325 - Service Garage</t>
        </is>
      </c>
      <c r="I88" s="749" t="inlineStr">
        <is>
          <t>Service Garages (Commercial/Repair)</t>
        </is>
      </c>
      <c r="J88" s="748" t="inlineStr">
        <is>
          <t>Sec.14 p.32</t>
        </is>
      </c>
      <c r="K88" s="744" t="n">
        <v>6916</v>
      </c>
      <c r="L88" s="744" t="n">
        <v>19563</v>
      </c>
      <c r="M88" s="745" t="inlineStr">
        <is>
          <t>C</t>
        </is>
      </c>
      <c r="N88" s="745" t="inlineStr">
        <is>
          <t>Average</t>
        </is>
      </c>
      <c r="O88" s="745" t="inlineStr">
        <is>
          <t>Typical</t>
        </is>
      </c>
      <c r="P88" s="745" t="n">
        <v>1966</v>
      </c>
      <c r="Q88" s="748" t="n">
        <v>58</v>
      </c>
      <c r="R88" s="750" t="n">
        <v>79.5</v>
      </c>
      <c r="S88" s="751" t="n">
        <v>549822</v>
      </c>
      <c r="T88" s="749" t="inlineStr"/>
    </row>
    <row r="89">
      <c r="A89" s="741" t="n">
        <v>793</v>
      </c>
      <c r="B89" s="742" t="inlineStr">
        <is>
          <t>22675 E Aurora Pky</t>
        </is>
      </c>
      <c r="C89" s="741" t="inlineStr">
        <is>
          <t>Aurora</t>
        </is>
      </c>
      <c r="D89" s="741" t="inlineStr">
        <is>
          <t>Arapahoe</t>
        </is>
      </c>
      <c r="E89" s="741" t="inlineStr">
        <is>
          <t>Supermarket</t>
        </is>
      </c>
      <c r="F89" s="741" t="inlineStr">
        <is>
          <t>Dark - Safeway</t>
        </is>
      </c>
      <c r="G89" s="741" t="n">
        <v>446</v>
      </c>
      <c r="H89" s="743" t="inlineStr">
        <is>
          <t>446 - SuperMarket</t>
        </is>
      </c>
      <c r="I89" s="742" t="inlineStr">
        <is>
          <t>Supermarkets</t>
        </is>
      </c>
      <c r="J89" s="741" t="inlineStr">
        <is>
          <t>Sec.13 p.20</t>
        </is>
      </c>
      <c r="K89" s="744" t="n">
        <v>58409</v>
      </c>
      <c r="L89" s="744" t="n">
        <v>256133</v>
      </c>
      <c r="M89" s="745" t="inlineStr">
        <is>
          <t>C</t>
        </is>
      </c>
      <c r="N89" s="745" t="inlineStr">
        <is>
          <t>Average</t>
        </is>
      </c>
      <c r="O89" s="745" t="inlineStr">
        <is>
          <t>Typical</t>
        </is>
      </c>
      <c r="P89" s="745" t="n">
        <v>2002</v>
      </c>
      <c r="Q89" s="741" t="n">
        <v>22</v>
      </c>
      <c r="R89" s="746" t="n">
        <v>121</v>
      </c>
      <c r="S89" s="747" t="n">
        <v>7067489</v>
      </c>
      <c r="T89" s="742" t="inlineStr"/>
    </row>
    <row r="90">
      <c r="A90" s="748" t="n">
        <v>794</v>
      </c>
      <c r="B90" s="749" t="inlineStr">
        <is>
          <t>3705 River Point Pky</t>
        </is>
      </c>
      <c r="C90" s="748" t="inlineStr">
        <is>
          <t>Sheridan</t>
        </is>
      </c>
      <c r="D90" s="748" t="inlineStr">
        <is>
          <t>Arapahoe</t>
        </is>
      </c>
      <c r="E90" s="748" t="inlineStr">
        <is>
          <t>Coffee</t>
        </is>
      </c>
      <c r="F90" s="748" t="inlineStr">
        <is>
          <t>Dutch Bros</t>
        </is>
      </c>
      <c r="G90" s="748" t="n">
        <v>349</v>
      </c>
      <c r="H90" s="743" t="inlineStr">
        <is>
          <t>349 - Fast Food Restaurant</t>
        </is>
      </c>
      <c r="I90" s="749" t="inlineStr">
        <is>
          <t>Restaurants – Fast Food</t>
        </is>
      </c>
      <c r="J90" s="748" t="inlineStr">
        <is>
          <t>Sec.13 p.17</t>
        </is>
      </c>
      <c r="K90" s="744" t="n">
        <v>542</v>
      </c>
      <c r="L90" s="744" t="n">
        <v>44867</v>
      </c>
      <c r="M90" s="745" t="inlineStr">
        <is>
          <t>C</t>
        </is>
      </c>
      <c r="N90" s="745" t="inlineStr">
        <is>
          <t>Good</t>
        </is>
      </c>
      <c r="O90" s="745" t="inlineStr">
        <is>
          <t>Typical</t>
        </is>
      </c>
      <c r="P90" s="745" t="n">
        <v>2022</v>
      </c>
      <c r="Q90" s="748" t="n">
        <v>2</v>
      </c>
      <c r="R90" s="750" t="n">
        <v>246</v>
      </c>
      <c r="S90" s="751" t="n">
        <v>133332</v>
      </c>
      <c r="T90" s="749" t="inlineStr"/>
    </row>
    <row r="91">
      <c r="A91" s="741" t="n">
        <v>795</v>
      </c>
      <c r="B91" s="742" t="inlineStr">
        <is>
          <t>1400 Havana St</t>
        </is>
      </c>
      <c r="C91" s="741" t="inlineStr">
        <is>
          <t>Aurora</t>
        </is>
      </c>
      <c r="D91" s="741" t="inlineStr">
        <is>
          <t>Arapahoe</t>
        </is>
      </c>
      <c r="E91" s="741" t="inlineStr">
        <is>
          <t>Auto Service</t>
        </is>
      </c>
      <c r="F91" s="741" t="inlineStr">
        <is>
          <t>Ebenezer Auto Repair</t>
        </is>
      </c>
      <c r="G91" s="741" t="n">
        <v>325</v>
      </c>
      <c r="H91" s="743" t="inlineStr">
        <is>
          <t>325 - Service Garage</t>
        </is>
      </c>
      <c r="I91" s="742" t="inlineStr">
        <is>
          <t>Service Garages (Commercial/Repair)</t>
        </is>
      </c>
      <c r="J91" s="741" t="inlineStr">
        <is>
          <t>Sec.14 p.32</t>
        </is>
      </c>
      <c r="K91" s="744" t="n">
        <v>1305</v>
      </c>
      <c r="L91" s="744" t="n">
        <v>12632</v>
      </c>
      <c r="M91" s="745" t="inlineStr">
        <is>
          <t>C</t>
        </is>
      </c>
      <c r="N91" s="745" t="inlineStr">
        <is>
          <t>Average</t>
        </is>
      </c>
      <c r="O91" s="745" t="inlineStr">
        <is>
          <t>Typical</t>
        </is>
      </c>
      <c r="P91" s="745" t="n">
        <v>1953</v>
      </c>
      <c r="Q91" s="741" t="n">
        <v>71</v>
      </c>
      <c r="R91" s="746" t="n">
        <v>79.5</v>
      </c>
      <c r="S91" s="747" t="n">
        <v>103748</v>
      </c>
      <c r="T91" s="742" t="inlineStr"/>
    </row>
    <row r="92">
      <c r="A92" s="748" t="n">
        <v>796</v>
      </c>
      <c r="B92" s="749" t="inlineStr">
        <is>
          <t>25850 E Araphoe Rd</t>
        </is>
      </c>
      <c r="C92" s="748" t="inlineStr">
        <is>
          <t>Aurora</t>
        </is>
      </c>
      <c r="D92" s="748" t="inlineStr">
        <is>
          <t>Arapahoe</t>
        </is>
      </c>
      <c r="E92" s="748" t="inlineStr">
        <is>
          <t>Daycare</t>
        </is>
      </c>
      <c r="F92" s="748" t="inlineStr">
        <is>
          <t>Everbrook Academy Aurora</t>
        </is>
      </c>
      <c r="G92" s="748" t="n">
        <v>426</v>
      </c>
      <c r="H92" s="743" t="inlineStr">
        <is>
          <t>426 - Day Care Center</t>
        </is>
      </c>
      <c r="I92" s="749" t="inlineStr">
        <is>
          <t>Day Care Centers</t>
        </is>
      </c>
      <c r="J92" s="748" t="inlineStr">
        <is>
          <t>Sec.18 p.13</t>
        </is>
      </c>
      <c r="K92" s="744" t="n">
        <v>10600</v>
      </c>
      <c r="L92" s="744" t="n">
        <v>87120</v>
      </c>
      <c r="M92" s="745" t="inlineStr">
        <is>
          <t>C</t>
        </is>
      </c>
      <c r="N92" s="745" t="inlineStr">
        <is>
          <t>Good</t>
        </is>
      </c>
      <c r="O92" s="745" t="inlineStr">
        <is>
          <t>Typical</t>
        </is>
      </c>
      <c r="P92" s="745" t="n">
        <v>2015</v>
      </c>
      <c r="Q92" s="748" t="n">
        <v>9</v>
      </c>
      <c r="R92" s="750" t="n">
        <v>225</v>
      </c>
      <c r="S92" s="751" t="n">
        <v>2385000</v>
      </c>
      <c r="T92" s="749" t="inlineStr"/>
    </row>
    <row r="93">
      <c r="A93" s="741" t="n">
        <v>797</v>
      </c>
      <c r="B93" s="742" t="inlineStr">
        <is>
          <t>1395 Peoria St</t>
        </is>
      </c>
      <c r="C93" s="741" t="inlineStr">
        <is>
          <t>Aurora</t>
        </is>
      </c>
      <c r="D93" s="741" t="inlineStr">
        <is>
          <t>Arapahoe</t>
        </is>
      </c>
      <c r="E93" s="741" t="inlineStr">
        <is>
          <t>Dollar Store</t>
        </is>
      </c>
      <c r="F93" s="741" t="inlineStr">
        <is>
          <t>Family Dollar</t>
        </is>
      </c>
      <c r="G93" s="741" t="n">
        <v>319</v>
      </c>
      <c r="H93" s="743" t="inlineStr">
        <is>
          <t>319 - Discount Store</t>
        </is>
      </c>
      <c r="I93" s="742" t="inlineStr">
        <is>
          <t>Discount Stores</t>
        </is>
      </c>
      <c r="J93" s="741" t="inlineStr">
        <is>
          <t>Sec.13 p.28</t>
        </is>
      </c>
      <c r="K93" s="744" t="n">
        <v>8248</v>
      </c>
      <c r="L93" s="744" t="n">
        <v>29382</v>
      </c>
      <c r="M93" s="745" t="inlineStr">
        <is>
          <t>C</t>
        </is>
      </c>
      <c r="N93" s="745" t="inlineStr">
        <is>
          <t>Good</t>
        </is>
      </c>
      <c r="O93" s="745" t="inlineStr">
        <is>
          <t>Typical</t>
        </is>
      </c>
      <c r="P93" s="745" t="n">
        <v>2017</v>
      </c>
      <c r="Q93" s="741" t="n">
        <v>7</v>
      </c>
      <c r="R93" s="746" t="n">
        <v>118</v>
      </c>
      <c r="S93" s="747" t="n">
        <v>973264</v>
      </c>
      <c r="T93" s="742" t="inlineStr"/>
    </row>
    <row r="94">
      <c r="A94" s="748" t="n">
        <v>798</v>
      </c>
      <c r="B94" s="749" t="inlineStr">
        <is>
          <t>10204 E Colfax Ave</t>
        </is>
      </c>
      <c r="C94" s="748" t="inlineStr">
        <is>
          <t>Aurora</t>
        </is>
      </c>
      <c r="D94" s="748" t="inlineStr">
        <is>
          <t>Arapahoe</t>
        </is>
      </c>
      <c r="E94" s="748" t="inlineStr">
        <is>
          <t>Dollar Store</t>
        </is>
      </c>
      <c r="F94" s="748" t="inlineStr">
        <is>
          <t>Family Dollar</t>
        </is>
      </c>
      <c r="G94" s="748" t="n">
        <v>319</v>
      </c>
      <c r="H94" s="743" t="inlineStr">
        <is>
          <t>319 - Discount Store</t>
        </is>
      </c>
      <c r="I94" s="749" t="inlineStr">
        <is>
          <t>Discount Stores</t>
        </is>
      </c>
      <c r="J94" s="748" t="inlineStr">
        <is>
          <t>Sec.13 p.28</t>
        </is>
      </c>
      <c r="K94" s="744" t="n">
        <v>7738</v>
      </c>
      <c r="L94" s="744" t="n">
        <v>0</v>
      </c>
      <c r="M94" s="745" t="inlineStr">
        <is>
          <t>C</t>
        </is>
      </c>
      <c r="N94" s="745" t="inlineStr">
        <is>
          <t>Average</t>
        </is>
      </c>
      <c r="O94" s="745" t="inlineStr">
        <is>
          <t>Typical</t>
        </is>
      </c>
      <c r="P94" s="745" t="n">
        <v>1952</v>
      </c>
      <c r="Q94" s="748" t="n">
        <v>72</v>
      </c>
      <c r="R94" s="750" t="n">
        <v>94</v>
      </c>
      <c r="S94" s="751" t="n">
        <v>727372</v>
      </c>
      <c r="T94" s="749" t="inlineStr"/>
    </row>
    <row r="95">
      <c r="A95" s="741" t="n">
        <v>799</v>
      </c>
      <c r="B95" s="742" t="inlineStr">
        <is>
          <t>16380 E Arapahoe Rd</t>
        </is>
      </c>
      <c r="C95" s="741" t="inlineStr">
        <is>
          <t>Foxfield</t>
        </is>
      </c>
      <c r="D95" s="741" t="inlineStr">
        <is>
          <t>Arapahoe</t>
        </is>
      </c>
      <c r="E95" s="741" t="inlineStr">
        <is>
          <t>Auto Service</t>
        </is>
      </c>
      <c r="F95" s="741" t="inlineStr">
        <is>
          <t>Firestone</t>
        </is>
      </c>
      <c r="G95" s="741" t="n">
        <v>410</v>
      </c>
      <c r="H95" s="743" t="inlineStr">
        <is>
          <t>410 - Automotive Center</t>
        </is>
      </c>
      <c r="I95" s="742" t="inlineStr">
        <is>
          <t>Automotive Service Centers</t>
        </is>
      </c>
      <c r="J95" s="741" t="inlineStr">
        <is>
          <t>Sec.14 p.31</t>
        </is>
      </c>
      <c r="K95" s="744" t="n">
        <v>8143</v>
      </c>
      <c r="L95" s="744" t="n">
        <v>27007</v>
      </c>
      <c r="M95" s="745" t="inlineStr">
        <is>
          <t>S</t>
        </is>
      </c>
      <c r="N95" s="745" t="inlineStr">
        <is>
          <t>Average</t>
        </is>
      </c>
      <c r="O95" s="745" t="inlineStr">
        <is>
          <t>Typical</t>
        </is>
      </c>
      <c r="P95" s="745" t="n">
        <v>2007</v>
      </c>
      <c r="Q95" s="741" t="n">
        <v>17</v>
      </c>
      <c r="R95" s="746" t="n">
        <v>97.5</v>
      </c>
      <c r="S95" s="747" t="n">
        <v>793942</v>
      </c>
      <c r="T95" s="742" t="inlineStr"/>
    </row>
    <row r="96">
      <c r="A96" s="748" t="n">
        <v>800</v>
      </c>
      <c r="B96" s="749" t="inlineStr">
        <is>
          <t>8273 S Quebec St</t>
        </is>
      </c>
      <c r="C96" s="748" t="inlineStr">
        <is>
          <t>Centennial</t>
        </is>
      </c>
      <c r="D96" s="748" t="inlineStr">
        <is>
          <t>Arapahoe</t>
        </is>
      </c>
      <c r="E96" s="748" t="inlineStr">
        <is>
          <t>Auto Service</t>
        </is>
      </c>
      <c r="F96" s="748" t="inlineStr">
        <is>
          <t>Former Goodyear</t>
        </is>
      </c>
      <c r="G96" s="748" t="n">
        <v>410</v>
      </c>
      <c r="H96" s="743" t="inlineStr">
        <is>
          <t>410 - Automotive Center</t>
        </is>
      </c>
      <c r="I96" s="749" t="inlineStr">
        <is>
          <t>Automotive Service Centers</t>
        </is>
      </c>
      <c r="J96" s="748" t="inlineStr">
        <is>
          <t>Sec.14 p.31</t>
        </is>
      </c>
      <c r="K96" s="744" t="n">
        <v>4900</v>
      </c>
      <c r="L96" s="744" t="n">
        <v>50050</v>
      </c>
      <c r="M96" s="745" t="inlineStr">
        <is>
          <t>S</t>
        </is>
      </c>
      <c r="N96" s="745" t="inlineStr">
        <is>
          <t>Average</t>
        </is>
      </c>
      <c r="O96" s="745" t="inlineStr">
        <is>
          <t>Typical</t>
        </is>
      </c>
      <c r="P96" s="745" t="n">
        <v>1996</v>
      </c>
      <c r="Q96" s="748" t="n">
        <v>28</v>
      </c>
      <c r="R96" s="750" t="n">
        <v>97.5</v>
      </c>
      <c r="S96" s="751" t="n">
        <v>477750</v>
      </c>
      <c r="T96" s="749" t="inlineStr"/>
    </row>
    <row r="97">
      <c r="A97" s="741" t="n">
        <v>801</v>
      </c>
      <c r="B97" s="742" t="inlineStr">
        <is>
          <t>6667 S Yosemite Ct</t>
        </is>
      </c>
      <c r="C97" s="741" t="inlineStr">
        <is>
          <t>Englewood</t>
        </is>
      </c>
      <c r="D97" s="741" t="inlineStr">
        <is>
          <t>Arapahoe</t>
        </is>
      </c>
      <c r="E97" s="741" t="inlineStr">
        <is>
          <t>Fast Food</t>
        </is>
      </c>
      <c r="F97" s="741" t="inlineStr">
        <is>
          <t>Good Times</t>
        </is>
      </c>
      <c r="G97" s="741" t="n">
        <v>349</v>
      </c>
      <c r="H97" s="743" t="inlineStr">
        <is>
          <t>349 - Fast Food Restaurant</t>
        </is>
      </c>
      <c r="I97" s="742" t="inlineStr">
        <is>
          <t>Restaurants – Fast Food</t>
        </is>
      </c>
      <c r="J97" s="741" t="inlineStr">
        <is>
          <t>Sec.13 p.17</t>
        </is>
      </c>
      <c r="K97" s="744" t="n">
        <v>884</v>
      </c>
      <c r="L97" s="744" t="n">
        <v>28750</v>
      </c>
      <c r="M97" s="745" t="inlineStr">
        <is>
          <t>C</t>
        </is>
      </c>
      <c r="N97" s="745" t="inlineStr">
        <is>
          <t>Average</t>
        </is>
      </c>
      <c r="O97" s="745" t="inlineStr">
        <is>
          <t>Typical</t>
        </is>
      </c>
      <c r="P97" s="745" t="n">
        <v>1992</v>
      </c>
      <c r="Q97" s="741" t="n">
        <v>32</v>
      </c>
      <c r="R97" s="746" t="n">
        <v>191</v>
      </c>
      <c r="S97" s="747" t="n">
        <v>168844</v>
      </c>
      <c r="T97" s="742" t="inlineStr"/>
    </row>
    <row r="98">
      <c r="A98" s="748" t="n">
        <v>802</v>
      </c>
      <c r="B98" s="749" t="inlineStr">
        <is>
          <t>6150 S Tower Rd</t>
        </is>
      </c>
      <c r="C98" s="748" t="inlineStr">
        <is>
          <t>Aurora</t>
        </is>
      </c>
      <c r="D98" s="748" t="inlineStr">
        <is>
          <t>Arapahoe</t>
        </is>
      </c>
      <c r="E98" s="748" t="inlineStr">
        <is>
          <t>Daycare</t>
        </is>
      </c>
      <c r="F98" s="748" t="inlineStr">
        <is>
          <t>Guidepost Montessori</t>
        </is>
      </c>
      <c r="G98" s="748" t="n">
        <v>426</v>
      </c>
      <c r="H98" s="743" t="inlineStr">
        <is>
          <t>426 - Day Care Center</t>
        </is>
      </c>
      <c r="I98" s="749" t="inlineStr">
        <is>
          <t>Day Care Centers</t>
        </is>
      </c>
      <c r="J98" s="748" t="inlineStr">
        <is>
          <t>Sec.18 p.13</t>
        </is>
      </c>
      <c r="K98" s="744" t="n">
        <v>12900</v>
      </c>
      <c r="L98" s="744" t="n">
        <v>94862</v>
      </c>
      <c r="M98" s="745" t="inlineStr">
        <is>
          <t>C</t>
        </is>
      </c>
      <c r="N98" s="745" t="inlineStr">
        <is>
          <t>Average</t>
        </is>
      </c>
      <c r="O98" s="745" t="inlineStr">
        <is>
          <t>Typical</t>
        </is>
      </c>
      <c r="P98" s="745" t="n">
        <v>2002</v>
      </c>
      <c r="Q98" s="748" t="n">
        <v>22</v>
      </c>
      <c r="R98" s="750" t="n">
        <v>173</v>
      </c>
      <c r="S98" s="751" t="n">
        <v>2231700</v>
      </c>
      <c r="T98" s="749" t="inlineStr"/>
    </row>
    <row r="99">
      <c r="A99" s="741" t="n">
        <v>803</v>
      </c>
      <c r="B99" s="742" t="inlineStr">
        <is>
          <t>5325 S Valentia Way</t>
        </is>
      </c>
      <c r="C99" s="741" t="inlineStr">
        <is>
          <t>Greenwood Village</t>
        </is>
      </c>
      <c r="D99" s="741" t="inlineStr">
        <is>
          <t>Arapahoe</t>
        </is>
      </c>
      <c r="E99" s="741" t="inlineStr">
        <is>
          <t>Daycare</t>
        </is>
      </c>
      <c r="F99" s="741" t="inlineStr">
        <is>
          <t>Guidepost Montessori</t>
        </is>
      </c>
      <c r="G99" s="741" t="n">
        <v>426</v>
      </c>
      <c r="H99" s="743" t="inlineStr">
        <is>
          <t>426 - Day Care Center</t>
        </is>
      </c>
      <c r="I99" s="742" t="inlineStr">
        <is>
          <t>Day Care Centers</t>
        </is>
      </c>
      <c r="J99" s="741" t="inlineStr">
        <is>
          <t>Sec.18 p.13</t>
        </is>
      </c>
      <c r="K99" s="744" t="n">
        <v>13728</v>
      </c>
      <c r="L99" s="744" t="n">
        <v>33977</v>
      </c>
      <c r="M99" s="745" t="inlineStr">
        <is>
          <t>C</t>
        </is>
      </c>
      <c r="N99" s="745" t="inlineStr">
        <is>
          <t>Average</t>
        </is>
      </c>
      <c r="O99" s="745" t="inlineStr">
        <is>
          <t>Typical</t>
        </is>
      </c>
      <c r="P99" s="745" t="n">
        <v>1980</v>
      </c>
      <c r="Q99" s="741" t="n">
        <v>44</v>
      </c>
      <c r="R99" s="746" t="n">
        <v>173</v>
      </c>
      <c r="S99" s="747" t="n">
        <v>2374944</v>
      </c>
      <c r="T99" s="742" t="inlineStr"/>
    </row>
    <row r="100">
      <c r="A100" s="748" t="n">
        <v>804</v>
      </c>
      <c r="B100" s="749" t="inlineStr">
        <is>
          <t>5700 S Broadway</t>
        </is>
      </c>
      <c r="C100" s="748" t="inlineStr">
        <is>
          <t>Littleton</t>
        </is>
      </c>
      <c r="D100" s="748" t="inlineStr">
        <is>
          <t>Arapahoe</t>
        </is>
      </c>
      <c r="E100" s="748" t="inlineStr">
        <is>
          <t>Auto Service</t>
        </is>
      </c>
      <c r="F100" s="748" t="inlineStr">
        <is>
          <t>Honda Service Center</t>
        </is>
      </c>
      <c r="G100" s="748" t="n">
        <v>325</v>
      </c>
      <c r="H100" s="743" t="inlineStr">
        <is>
          <t>325 - Service Garage</t>
        </is>
      </c>
      <c r="I100" s="749" t="inlineStr">
        <is>
          <t>Service Garages (Commercial/Repair)</t>
        </is>
      </c>
      <c r="J100" s="748" t="inlineStr">
        <is>
          <t>Sec.14 p.32</t>
        </is>
      </c>
      <c r="K100" s="744" t="n">
        <v>66777</v>
      </c>
      <c r="L100" s="744" t="n">
        <v>94961</v>
      </c>
      <c r="M100" s="745" t="inlineStr">
        <is>
          <t>C</t>
        </is>
      </c>
      <c r="N100" s="745" t="inlineStr">
        <is>
          <t>Average</t>
        </is>
      </c>
      <c r="O100" s="745" t="inlineStr">
        <is>
          <t>Typical</t>
        </is>
      </c>
      <c r="P100" s="745" t="n">
        <v>1984</v>
      </c>
      <c r="Q100" s="748" t="n">
        <v>40</v>
      </c>
      <c r="R100" s="750" t="n">
        <v>79.5</v>
      </c>
      <c r="S100" s="751" t="n">
        <v>5308772</v>
      </c>
      <c r="T100" s="749" t="inlineStr"/>
    </row>
    <row r="101">
      <c r="A101" s="741" t="n">
        <v>805</v>
      </c>
      <c r="B101" s="742" t="inlineStr">
        <is>
          <t>24223 E Prospect Ave</t>
        </is>
      </c>
      <c r="C101" s="741" t="inlineStr">
        <is>
          <t>Aurora</t>
        </is>
      </c>
      <c r="D101" s="741" t="inlineStr">
        <is>
          <t>Arapahoe</t>
        </is>
      </c>
      <c r="E101" s="741" t="inlineStr">
        <is>
          <t>Fast Food</t>
        </is>
      </c>
      <c r="F101" s="741" t="inlineStr">
        <is>
          <t>KFC / Long John Silvers</t>
        </is>
      </c>
      <c r="G101" s="741" t="n">
        <v>349</v>
      </c>
      <c r="H101" s="743" t="inlineStr">
        <is>
          <t>349 - Fast Food Restaurant</t>
        </is>
      </c>
      <c r="I101" s="742" t="inlineStr">
        <is>
          <t>Restaurants – Fast Food</t>
        </is>
      </c>
      <c r="J101" s="741" t="inlineStr">
        <is>
          <t>Sec.13 p.17</t>
        </is>
      </c>
      <c r="K101" s="744" t="n">
        <v>3022</v>
      </c>
      <c r="L101" s="744" t="n">
        <v>51836</v>
      </c>
      <c r="M101" s="745" t="inlineStr">
        <is>
          <t>C</t>
        </is>
      </c>
      <c r="N101" s="745" t="inlineStr">
        <is>
          <t>Average</t>
        </is>
      </c>
      <c r="O101" s="745" t="inlineStr">
        <is>
          <t>Typical</t>
        </is>
      </c>
      <c r="P101" s="745" t="n">
        <v>2010</v>
      </c>
      <c r="Q101" s="741" t="n">
        <v>14</v>
      </c>
      <c r="R101" s="746" t="n">
        <v>191</v>
      </c>
      <c r="S101" s="747" t="n">
        <v>577202</v>
      </c>
      <c r="T101" s="742" t="inlineStr"/>
    </row>
    <row r="102">
      <c r="A102" s="748" t="n">
        <v>806</v>
      </c>
      <c r="B102" s="749" t="inlineStr">
        <is>
          <t>5600 S Windermere St</t>
        </is>
      </c>
      <c r="C102" s="748" t="inlineStr">
        <is>
          <t>Littleton</t>
        </is>
      </c>
      <c r="D102" s="748" t="inlineStr">
        <is>
          <t>Arapahoe</t>
        </is>
      </c>
      <c r="E102" s="748" t="inlineStr">
        <is>
          <t>Auto Service</t>
        </is>
      </c>
      <c r="F102" s="748" t="inlineStr">
        <is>
          <t>Lube &amp; Latte</t>
        </is>
      </c>
      <c r="G102" s="748" t="n">
        <v>325</v>
      </c>
      <c r="H102" s="743" t="inlineStr">
        <is>
          <t>325 - Service Garage</t>
        </is>
      </c>
      <c r="I102" s="749" t="inlineStr">
        <is>
          <t>Service Garages (Commercial/Repair)</t>
        </is>
      </c>
      <c r="J102" s="748" t="inlineStr">
        <is>
          <t>Sec.14 p.32</t>
        </is>
      </c>
      <c r="K102" s="744" t="n">
        <v>1305</v>
      </c>
      <c r="L102" s="744" t="n">
        <v>16988</v>
      </c>
      <c r="M102" s="745" t="inlineStr">
        <is>
          <t>C</t>
        </is>
      </c>
      <c r="N102" s="745" t="inlineStr">
        <is>
          <t>Average</t>
        </is>
      </c>
      <c r="O102" s="745" t="inlineStr">
        <is>
          <t>Typical</t>
        </is>
      </c>
      <c r="P102" s="745" t="n">
        <v>1957</v>
      </c>
      <c r="Q102" s="748" t="n">
        <v>67</v>
      </c>
      <c r="R102" s="750" t="n">
        <v>79.5</v>
      </c>
      <c r="S102" s="751" t="n">
        <v>103748</v>
      </c>
      <c r="T102" s="749" t="inlineStr"/>
    </row>
    <row r="103">
      <c r="A103" s="741" t="n">
        <v>807</v>
      </c>
      <c r="B103" s="742" t="inlineStr">
        <is>
          <t>3930 S Federal Blvd</t>
        </is>
      </c>
      <c r="C103" s="741" t="inlineStr">
        <is>
          <t>Englewood</t>
        </is>
      </c>
      <c r="D103" s="741" t="inlineStr">
        <is>
          <t>Arapahoe</t>
        </is>
      </c>
      <c r="E103" s="741" t="inlineStr">
        <is>
          <t>Auto Service</t>
        </is>
      </c>
      <c r="F103" s="741" t="inlineStr">
        <is>
          <t>Max Auto</t>
        </is>
      </c>
      <c r="G103" s="741" t="n">
        <v>325</v>
      </c>
      <c r="H103" s="743" t="inlineStr">
        <is>
          <t>325 - Service Garage</t>
        </is>
      </c>
      <c r="I103" s="742" t="inlineStr">
        <is>
          <t>Service Garages (Commercial/Repair)</t>
        </is>
      </c>
      <c r="J103" s="741" t="inlineStr">
        <is>
          <t>Sec.14 p.32</t>
        </is>
      </c>
      <c r="K103" s="744" t="n">
        <v>3920</v>
      </c>
      <c r="L103" s="744" t="n">
        <v>6098</v>
      </c>
      <c r="M103" s="745" t="inlineStr">
        <is>
          <t>C</t>
        </is>
      </c>
      <c r="N103" s="745" t="inlineStr">
        <is>
          <t>Average</t>
        </is>
      </c>
      <c r="O103" s="745" t="inlineStr">
        <is>
          <t>Typical</t>
        </is>
      </c>
      <c r="P103" s="745" t="n">
        <v>1982</v>
      </c>
      <c r="Q103" s="741" t="n">
        <v>42</v>
      </c>
      <c r="R103" s="746" t="n">
        <v>79.5</v>
      </c>
      <c r="S103" s="747" t="n">
        <v>311640</v>
      </c>
      <c r="T103" s="742" t="inlineStr"/>
    </row>
    <row r="104">
      <c r="A104" s="748" t="n">
        <v>808</v>
      </c>
      <c r="B104" s="749" t="inlineStr">
        <is>
          <t>6751 S Potomac St</t>
        </is>
      </c>
      <c r="C104" s="748" t="inlineStr">
        <is>
          <t>Centennial</t>
        </is>
      </c>
      <c r="D104" s="748" t="inlineStr">
        <is>
          <t>Arapahoe</t>
        </is>
      </c>
      <c r="E104" s="748" t="inlineStr">
        <is>
          <t>Auto Parts</t>
        </is>
      </c>
      <c r="F104" s="748" t="inlineStr">
        <is>
          <t>O'Reilly Auto Parts</t>
        </is>
      </c>
      <c r="G104" s="748" t="n">
        <v>353</v>
      </c>
      <c r="H104" s="743" t="inlineStr">
        <is>
          <t>353 - Retail Store</t>
        </is>
      </c>
      <c r="I104" s="749" t="inlineStr">
        <is>
          <t>Retail Stores</t>
        </is>
      </c>
      <c r="J104" s="748" t="inlineStr">
        <is>
          <t>Sec.13 p.26</t>
        </is>
      </c>
      <c r="K104" s="744" t="n">
        <v>8486</v>
      </c>
      <c r="L104" s="744" t="n">
        <v>43996</v>
      </c>
      <c r="M104" s="745" t="inlineStr">
        <is>
          <t>C</t>
        </is>
      </c>
      <c r="N104" s="745" t="inlineStr">
        <is>
          <t>Good</t>
        </is>
      </c>
      <c r="O104" s="745" t="inlineStr">
        <is>
          <t>Typical</t>
        </is>
      </c>
      <c r="P104" s="745" t="n">
        <v>2019</v>
      </c>
      <c r="Q104" s="748" t="n">
        <v>5</v>
      </c>
      <c r="R104" s="750" t="n">
        <v>154</v>
      </c>
      <c r="S104" s="751" t="n">
        <v>1306844</v>
      </c>
      <c r="T104" s="749" t="inlineStr"/>
    </row>
    <row r="105">
      <c r="A105" s="741" t="n">
        <v>809</v>
      </c>
      <c r="B105" s="742" t="inlineStr">
        <is>
          <t>4301 S Santa Fe Dr</t>
        </is>
      </c>
      <c r="C105" s="741" t="inlineStr">
        <is>
          <t>Englewood</t>
        </is>
      </c>
      <c r="D105" s="741" t="inlineStr">
        <is>
          <t>Arapahoe</t>
        </is>
      </c>
      <c r="E105" s="741" t="inlineStr">
        <is>
          <t>Auto Service</t>
        </is>
      </c>
      <c r="F105" s="741" t="inlineStr">
        <is>
          <t>Peerless Tires</t>
        </is>
      </c>
      <c r="G105" s="741" t="n">
        <v>410</v>
      </c>
      <c r="H105" s="743" t="inlineStr">
        <is>
          <t>410 - Automotive Center</t>
        </is>
      </c>
      <c r="I105" s="742" t="inlineStr">
        <is>
          <t>Automotive Service Centers</t>
        </is>
      </c>
      <c r="J105" s="741" t="inlineStr">
        <is>
          <t>Sec.14 p.31</t>
        </is>
      </c>
      <c r="K105" s="744" t="n">
        <v>2480</v>
      </c>
      <c r="L105" s="744" t="n">
        <v>7223</v>
      </c>
      <c r="M105" s="745" t="inlineStr">
        <is>
          <t>S</t>
        </is>
      </c>
      <c r="N105" s="745" t="inlineStr">
        <is>
          <t>Average</t>
        </is>
      </c>
      <c r="O105" s="745" t="inlineStr">
        <is>
          <t>Typical</t>
        </is>
      </c>
      <c r="P105" s="745" t="n">
        <v>1957</v>
      </c>
      <c r="Q105" s="741" t="n">
        <v>67</v>
      </c>
      <c r="R105" s="746" t="n">
        <v>97.5</v>
      </c>
      <c r="S105" s="747" t="n">
        <v>241800</v>
      </c>
      <c r="T105" s="742" t="inlineStr"/>
    </row>
    <row r="106">
      <c r="A106" s="748" t="n">
        <v>810</v>
      </c>
      <c r="B106" s="749" t="inlineStr">
        <is>
          <t>23250 E E Smoky Hill Rd Rd</t>
        </is>
      </c>
      <c r="C106" s="748" t="inlineStr">
        <is>
          <t>Aurora</t>
        </is>
      </c>
      <c r="D106" s="748" t="inlineStr">
        <is>
          <t>Arapahoe</t>
        </is>
      </c>
      <c r="E106" s="748" t="inlineStr">
        <is>
          <t>Fast Food</t>
        </is>
      </c>
      <c r="F106" s="748" t="inlineStr">
        <is>
          <t>Popeyes</t>
        </is>
      </c>
      <c r="G106" s="748" t="n">
        <v>349</v>
      </c>
      <c r="H106" s="743" t="inlineStr">
        <is>
          <t>349 - Fast Food Restaurant</t>
        </is>
      </c>
      <c r="I106" s="749" t="inlineStr">
        <is>
          <t>Restaurants – Fast Food</t>
        </is>
      </c>
      <c r="J106" s="748" t="inlineStr">
        <is>
          <t>Sec.13 p.17</t>
        </is>
      </c>
      <c r="K106" s="744" t="n">
        <v>4200</v>
      </c>
      <c r="L106" s="744" t="n">
        <v>40946</v>
      </c>
      <c r="M106" s="745" t="inlineStr">
        <is>
          <t>C</t>
        </is>
      </c>
      <c r="N106" s="745" t="inlineStr">
        <is>
          <t>Good</t>
        </is>
      </c>
      <c r="O106" s="745" t="inlineStr">
        <is>
          <t>Typical</t>
        </is>
      </c>
      <c r="P106" s="745" t="n">
        <v>2022</v>
      </c>
      <c r="Q106" s="748" t="n">
        <v>2</v>
      </c>
      <c r="R106" s="750" t="n">
        <v>246</v>
      </c>
      <c r="S106" s="751" t="n">
        <v>1033200</v>
      </c>
      <c r="T106" s="749" t="inlineStr"/>
    </row>
    <row r="107">
      <c r="A107" s="741" t="n">
        <v>811</v>
      </c>
      <c r="B107" s="742" t="inlineStr">
        <is>
          <t>5950 S Gun Club Rd</t>
        </is>
      </c>
      <c r="C107" s="741" t="inlineStr">
        <is>
          <t>Aurora</t>
        </is>
      </c>
      <c r="D107" s="741" t="inlineStr">
        <is>
          <t>Arapahoe</t>
        </is>
      </c>
      <c r="E107" s="741" t="inlineStr">
        <is>
          <t>Daycare</t>
        </is>
      </c>
      <c r="F107" s="741" t="inlineStr">
        <is>
          <t>Primrose School</t>
        </is>
      </c>
      <c r="G107" s="741" t="n">
        <v>426</v>
      </c>
      <c r="H107" s="743" t="inlineStr">
        <is>
          <t>426 - Day Care Center</t>
        </is>
      </c>
      <c r="I107" s="742" t="inlineStr">
        <is>
          <t>Day Care Centers</t>
        </is>
      </c>
      <c r="J107" s="741" t="inlineStr">
        <is>
          <t>Sec.18 p.13</t>
        </is>
      </c>
      <c r="K107" s="744" t="n">
        <v>9794</v>
      </c>
      <c r="L107" s="744" t="n">
        <v>89734</v>
      </c>
      <c r="M107" s="745" t="inlineStr">
        <is>
          <t>C</t>
        </is>
      </c>
      <c r="N107" s="745" t="inlineStr">
        <is>
          <t>Average</t>
        </is>
      </c>
      <c r="O107" s="745" t="inlineStr">
        <is>
          <t>Typical</t>
        </is>
      </c>
      <c r="P107" s="745" t="n">
        <v>2004</v>
      </c>
      <c r="Q107" s="741" t="n">
        <v>20</v>
      </c>
      <c r="R107" s="746" t="n">
        <v>173</v>
      </c>
      <c r="S107" s="747" t="n">
        <v>1694362</v>
      </c>
      <c r="T107" s="742" t="inlineStr"/>
    </row>
    <row r="108">
      <c r="A108" s="748" t="n">
        <v>812</v>
      </c>
      <c r="B108" s="749" t="inlineStr">
        <is>
          <t>14241 E Alameda Ave</t>
        </is>
      </c>
      <c r="C108" s="748" t="inlineStr">
        <is>
          <t>Aurora</t>
        </is>
      </c>
      <c r="D108" s="748" t="inlineStr">
        <is>
          <t>Arapahoe</t>
        </is>
      </c>
      <c r="E108" s="748" t="inlineStr">
        <is>
          <t>Fast Food</t>
        </is>
      </c>
      <c r="F108" s="748" t="inlineStr">
        <is>
          <t>Raising Cane's</t>
        </is>
      </c>
      <c r="G108" s="748" t="n">
        <v>349</v>
      </c>
      <c r="H108" s="743" t="inlineStr">
        <is>
          <t>349 - Fast Food Restaurant</t>
        </is>
      </c>
      <c r="I108" s="749" t="inlineStr">
        <is>
          <t>Restaurants – Fast Food</t>
        </is>
      </c>
      <c r="J108" s="748" t="inlineStr">
        <is>
          <t>Sec.13 p.17</t>
        </is>
      </c>
      <c r="K108" s="744" t="n">
        <v>3843</v>
      </c>
      <c r="L108" s="744" t="n">
        <v>67082</v>
      </c>
      <c r="M108" s="745" t="inlineStr">
        <is>
          <t>C</t>
        </is>
      </c>
      <c r="N108" s="745" t="inlineStr">
        <is>
          <t>Good</t>
        </is>
      </c>
      <c r="O108" s="745" t="inlineStr">
        <is>
          <t>Typical</t>
        </is>
      </c>
      <c r="P108" s="745" t="n">
        <v>2019</v>
      </c>
      <c r="Q108" s="748" t="n">
        <v>5</v>
      </c>
      <c r="R108" s="750" t="n">
        <v>246</v>
      </c>
      <c r="S108" s="751" t="n">
        <v>945378</v>
      </c>
      <c r="T108" s="749" t="inlineStr"/>
    </row>
    <row r="109">
      <c r="A109" s="741" t="n">
        <v>813</v>
      </c>
      <c r="B109" s="742" t="inlineStr">
        <is>
          <t>8585 E Arapahoe Rd</t>
        </is>
      </c>
      <c r="C109" s="741" t="inlineStr">
        <is>
          <t>Greenwood Village</t>
        </is>
      </c>
      <c r="D109" s="741" t="inlineStr">
        <is>
          <t>Arapahoe</t>
        </is>
      </c>
      <c r="E109" s="741" t="inlineStr">
        <is>
          <t>Retail Center</t>
        </is>
      </c>
      <c r="F109" s="741" t="inlineStr">
        <is>
          <t>Red Robin</t>
        </is>
      </c>
      <c r="G109" s="741" t="n">
        <v>413</v>
      </c>
      <c r="H109" s="743" t="inlineStr">
        <is>
          <t>413 - Community Shopping Center</t>
        </is>
      </c>
      <c r="I109" s="742" t="inlineStr">
        <is>
          <t>Community Shopping Centers</t>
        </is>
      </c>
      <c r="J109" s="741" t="inlineStr">
        <is>
          <t>Sec.13 p.34</t>
        </is>
      </c>
      <c r="K109" s="744" t="n">
        <v>7200</v>
      </c>
      <c r="L109" s="744" t="n">
        <v>40685</v>
      </c>
      <c r="M109" s="745" t="inlineStr">
        <is>
          <t>C</t>
        </is>
      </c>
      <c r="N109" s="745" t="inlineStr">
        <is>
          <t>Average</t>
        </is>
      </c>
      <c r="O109" s="745" t="inlineStr">
        <is>
          <t>Typical</t>
        </is>
      </c>
      <c r="P109" s="745" t="n">
        <v>1977</v>
      </c>
      <c r="Q109" s="741" t="n">
        <v>47</v>
      </c>
      <c r="R109" s="746" t="n">
        <v>135</v>
      </c>
      <c r="S109" s="747" t="n">
        <v>972000</v>
      </c>
      <c r="T109" s="742" t="inlineStr"/>
    </row>
    <row r="110">
      <c r="A110" s="748" t="n">
        <v>814</v>
      </c>
      <c r="B110" s="749" t="inlineStr">
        <is>
          <t>7979 E Arapahoe Rd</t>
        </is>
      </c>
      <c r="C110" s="748" t="inlineStr">
        <is>
          <t>Centennial</t>
        </is>
      </c>
      <c r="D110" s="748" t="inlineStr">
        <is>
          <t>Arapahoe</t>
        </is>
      </c>
      <c r="E110" s="748" t="inlineStr">
        <is>
          <t>Fast Food</t>
        </is>
      </c>
      <c r="F110" s="748" t="inlineStr">
        <is>
          <t>Shake Shack</t>
        </is>
      </c>
      <c r="G110" s="748" t="n">
        <v>349</v>
      </c>
      <c r="H110" s="743" t="inlineStr">
        <is>
          <t>349 - Fast Food Restaurant</t>
        </is>
      </c>
      <c r="I110" s="749" t="inlineStr">
        <is>
          <t>Restaurants – Fast Food</t>
        </is>
      </c>
      <c r="J110" s="748" t="inlineStr">
        <is>
          <t>Sec.13 p.17</t>
        </is>
      </c>
      <c r="K110" s="744" t="n">
        <v>3299</v>
      </c>
      <c r="L110" s="744" t="n">
        <v>47045</v>
      </c>
      <c r="M110" s="745" t="inlineStr">
        <is>
          <t>C</t>
        </is>
      </c>
      <c r="N110" s="745" t="inlineStr">
        <is>
          <t>Good</t>
        </is>
      </c>
      <c r="O110" s="745" t="inlineStr">
        <is>
          <t>Typical</t>
        </is>
      </c>
      <c r="P110" s="745" t="n">
        <v>2022</v>
      </c>
      <c r="Q110" s="748" t="n">
        <v>2</v>
      </c>
      <c r="R110" s="750" t="n">
        <v>246</v>
      </c>
      <c r="S110" s="751" t="n">
        <v>811554</v>
      </c>
      <c r="T110" s="749" t="inlineStr"/>
    </row>
    <row r="111">
      <c r="A111" s="741" t="n">
        <v>815</v>
      </c>
      <c r="B111" s="742" t="inlineStr">
        <is>
          <t>5400 S Parker Rd</t>
        </is>
      </c>
      <c r="C111" s="741" t="inlineStr">
        <is>
          <t>Aurora</t>
        </is>
      </c>
      <c r="D111" s="741" t="inlineStr">
        <is>
          <t>Arapahoe</t>
        </is>
      </c>
      <c r="E111" s="741" t="inlineStr">
        <is>
          <t>Fast Food</t>
        </is>
      </c>
      <c r="F111" s="741" t="inlineStr">
        <is>
          <t>Shipley Donuts</t>
        </is>
      </c>
      <c r="G111" s="741" t="n">
        <v>349</v>
      </c>
      <c r="H111" s="743" t="inlineStr">
        <is>
          <t>349 - Fast Food Restaurant</t>
        </is>
      </c>
      <c r="I111" s="742" t="inlineStr">
        <is>
          <t>Restaurants – Fast Food</t>
        </is>
      </c>
      <c r="J111" s="741" t="inlineStr">
        <is>
          <t>Sec.13 p.17</t>
        </is>
      </c>
      <c r="K111" s="744" t="n">
        <v>3065</v>
      </c>
      <c r="L111" s="744" t="n">
        <v>605048</v>
      </c>
      <c r="M111" s="745" t="inlineStr">
        <is>
          <t>C</t>
        </is>
      </c>
      <c r="N111" s="745" t="inlineStr">
        <is>
          <t>Average</t>
        </is>
      </c>
      <c r="O111" s="745" t="inlineStr">
        <is>
          <t>Typical</t>
        </is>
      </c>
      <c r="P111" s="745" t="n">
        <v>2002</v>
      </c>
      <c r="Q111" s="741" t="n">
        <v>22</v>
      </c>
      <c r="R111" s="746" t="n">
        <v>191</v>
      </c>
      <c r="S111" s="747" t="n">
        <v>585415</v>
      </c>
      <c r="T111" s="742" t="inlineStr"/>
    </row>
    <row r="112">
      <c r="A112" s="748" t="n">
        <v>816</v>
      </c>
      <c r="B112" s="749" t="inlineStr">
        <is>
          <t>5697 S Himalaya St</t>
        </is>
      </c>
      <c r="C112" s="748" t="inlineStr">
        <is>
          <t>Centennial</t>
        </is>
      </c>
      <c r="D112" s="748" t="inlineStr">
        <is>
          <t>Arapahoe</t>
        </is>
      </c>
      <c r="E112" s="748" t="inlineStr">
        <is>
          <t>Fast Food</t>
        </is>
      </c>
      <c r="F112" s="748" t="inlineStr">
        <is>
          <t>Slim Chickens</t>
        </is>
      </c>
      <c r="G112" s="748" t="n">
        <v>349</v>
      </c>
      <c r="H112" s="743" t="inlineStr">
        <is>
          <t>349 - Fast Food Restaurant</t>
        </is>
      </c>
      <c r="I112" s="749" t="inlineStr">
        <is>
          <t>Restaurants – Fast Food</t>
        </is>
      </c>
      <c r="J112" s="748" t="inlineStr">
        <is>
          <t>Sec.13 p.17</t>
        </is>
      </c>
      <c r="K112" s="744" t="n">
        <v>4249</v>
      </c>
      <c r="L112" s="744" t="n">
        <v>48352</v>
      </c>
      <c r="M112" s="745" t="inlineStr">
        <is>
          <t>C</t>
        </is>
      </c>
      <c r="N112" s="745" t="inlineStr">
        <is>
          <t>Average</t>
        </is>
      </c>
      <c r="O112" s="745" t="inlineStr">
        <is>
          <t>Typical</t>
        </is>
      </c>
      <c r="P112" s="745" t="n">
        <v>1998</v>
      </c>
      <c r="Q112" s="748" t="n">
        <v>26</v>
      </c>
      <c r="R112" s="750" t="n">
        <v>191</v>
      </c>
      <c r="S112" s="751" t="n">
        <v>811559</v>
      </c>
      <c r="T112" s="749" t="inlineStr"/>
    </row>
    <row r="113">
      <c r="A113" s="741" t="n">
        <v>817</v>
      </c>
      <c r="B113" s="742" t="inlineStr">
        <is>
          <t>5697 S Himalaya St</t>
        </is>
      </c>
      <c r="C113" s="741" t="inlineStr">
        <is>
          <t>Centennial</t>
        </is>
      </c>
      <c r="D113" s="741" t="inlineStr">
        <is>
          <t>Arapahoe</t>
        </is>
      </c>
      <c r="E113" s="741" t="inlineStr">
        <is>
          <t>Fast Food</t>
        </is>
      </c>
      <c r="F113" s="741" t="inlineStr">
        <is>
          <t>Slim Chickens</t>
        </is>
      </c>
      <c r="G113" s="741" t="n">
        <v>349</v>
      </c>
      <c r="H113" s="743" t="inlineStr">
        <is>
          <t>349 - Fast Food Restaurant</t>
        </is>
      </c>
      <c r="I113" s="742" t="inlineStr">
        <is>
          <t>Restaurants – Fast Food</t>
        </is>
      </c>
      <c r="J113" s="741" t="inlineStr">
        <is>
          <t>Sec.13 p.17</t>
        </is>
      </c>
      <c r="K113" s="744" t="n">
        <v>4249</v>
      </c>
      <c r="L113" s="744" t="n">
        <v>48352</v>
      </c>
      <c r="M113" s="745" t="inlineStr">
        <is>
          <t>C</t>
        </is>
      </c>
      <c r="N113" s="745" t="inlineStr">
        <is>
          <t>Average</t>
        </is>
      </c>
      <c r="O113" s="745" t="inlineStr">
        <is>
          <t>Typical</t>
        </is>
      </c>
      <c r="P113" s="745" t="n">
        <v>1998</v>
      </c>
      <c r="Q113" s="741" t="n">
        <v>26</v>
      </c>
      <c r="R113" s="746" t="n">
        <v>191</v>
      </c>
      <c r="S113" s="747" t="n">
        <v>811559</v>
      </c>
      <c r="T113" s="742" t="inlineStr"/>
    </row>
    <row r="114">
      <c r="A114" s="748" t="n">
        <v>818</v>
      </c>
      <c r="B114" s="749" t="inlineStr">
        <is>
          <t>5001 S Broadway</t>
        </is>
      </c>
      <c r="C114" s="748" t="inlineStr">
        <is>
          <t>Englewood</t>
        </is>
      </c>
      <c r="D114" s="748" t="inlineStr">
        <is>
          <t>Arapahoe</t>
        </is>
      </c>
      <c r="E114" s="748" t="inlineStr">
        <is>
          <t>Supermarket</t>
        </is>
      </c>
      <c r="F114" s="748" t="inlineStr">
        <is>
          <t>Sprouts</t>
        </is>
      </c>
      <c r="G114" s="748" t="n">
        <v>446</v>
      </c>
      <c r="H114" s="743" t="inlineStr">
        <is>
          <t>446 - SuperMarket</t>
        </is>
      </c>
      <c r="I114" s="749" t="inlineStr">
        <is>
          <t>Supermarkets</t>
        </is>
      </c>
      <c r="J114" s="748" t="inlineStr">
        <is>
          <t>Sec.13 p.20</t>
        </is>
      </c>
      <c r="K114" s="744" t="n">
        <v>26985</v>
      </c>
      <c r="L114" s="744" t="n">
        <v>81022</v>
      </c>
      <c r="M114" s="745" t="inlineStr">
        <is>
          <t>C</t>
        </is>
      </c>
      <c r="N114" s="745" t="inlineStr">
        <is>
          <t>Good</t>
        </is>
      </c>
      <c r="O114" s="745" t="inlineStr">
        <is>
          <t>Typical</t>
        </is>
      </c>
      <c r="P114" s="745" t="n">
        <v>2014</v>
      </c>
      <c r="Q114" s="748" t="n">
        <v>10</v>
      </c>
      <c r="R114" s="750" t="n">
        <v>149</v>
      </c>
      <c r="S114" s="751" t="n">
        <v>4020765</v>
      </c>
      <c r="T114" s="749" t="inlineStr"/>
    </row>
    <row r="115">
      <c r="A115" s="741" t="n">
        <v>819</v>
      </c>
      <c r="B115" s="742" t="inlineStr">
        <is>
          <t>11703 E Arapahoe Rd</t>
        </is>
      </c>
      <c r="C115" s="741" t="inlineStr">
        <is>
          <t>Centennial</t>
        </is>
      </c>
      <c r="D115" s="741" t="inlineStr">
        <is>
          <t>Arapahoe</t>
        </is>
      </c>
      <c r="E115" s="741" t="inlineStr">
        <is>
          <t>Coffee</t>
        </is>
      </c>
      <c r="F115" s="741" t="inlineStr">
        <is>
          <t>Starbucks</t>
        </is>
      </c>
      <c r="G115" s="741" t="n">
        <v>349</v>
      </c>
      <c r="H115" s="743" t="inlineStr">
        <is>
          <t>349 - Fast Food Restaurant</t>
        </is>
      </c>
      <c r="I115" s="742" t="inlineStr">
        <is>
          <t>Restaurants – Fast Food</t>
        </is>
      </c>
      <c r="J115" s="741" t="inlineStr">
        <is>
          <t>Sec.13 p.17</t>
        </is>
      </c>
      <c r="K115" s="744" t="n">
        <v>2022</v>
      </c>
      <c r="L115" s="744" t="n">
        <v>63598</v>
      </c>
      <c r="M115" s="745" t="inlineStr">
        <is>
          <t>C</t>
        </is>
      </c>
      <c r="N115" s="745" t="inlineStr">
        <is>
          <t>Good</t>
        </is>
      </c>
      <c r="O115" s="745" t="inlineStr">
        <is>
          <t>Typical</t>
        </is>
      </c>
      <c r="P115" s="745" t="n">
        <v>2017</v>
      </c>
      <c r="Q115" s="741" t="n">
        <v>7</v>
      </c>
      <c r="R115" s="746" t="n">
        <v>246</v>
      </c>
      <c r="S115" s="747" t="n">
        <v>497412</v>
      </c>
      <c r="T115" s="742" t="inlineStr"/>
    </row>
    <row r="116">
      <c r="A116" s="748" t="n">
        <v>820</v>
      </c>
      <c r="B116" s="749" t="inlineStr">
        <is>
          <t>21900 E Quincy Ave</t>
        </is>
      </c>
      <c r="C116" s="748" t="inlineStr">
        <is>
          <t>Aurora</t>
        </is>
      </c>
      <c r="D116" s="748" t="inlineStr">
        <is>
          <t>Arapahoe</t>
        </is>
      </c>
      <c r="E116" s="748" t="inlineStr">
        <is>
          <t>Coffee</t>
        </is>
      </c>
      <c r="F116" s="748" t="inlineStr">
        <is>
          <t>Starbucks</t>
        </is>
      </c>
      <c r="G116" s="748" t="n">
        <v>349</v>
      </c>
      <c r="H116" s="743" t="inlineStr">
        <is>
          <t>349 - Fast Food Restaurant</t>
        </is>
      </c>
      <c r="I116" s="749" t="inlineStr">
        <is>
          <t>Restaurants – Fast Food</t>
        </is>
      </c>
      <c r="J116" s="748" t="inlineStr">
        <is>
          <t>Sec.13 p.17</t>
        </is>
      </c>
      <c r="K116" s="744" t="n">
        <v>2055</v>
      </c>
      <c r="L116" s="744" t="n">
        <v>39640</v>
      </c>
      <c r="M116" s="745" t="inlineStr">
        <is>
          <t>C</t>
        </is>
      </c>
      <c r="N116" s="745" t="inlineStr">
        <is>
          <t>Good</t>
        </is>
      </c>
      <c r="O116" s="745" t="inlineStr">
        <is>
          <t>Typical</t>
        </is>
      </c>
      <c r="P116" s="745" t="n">
        <v>2018</v>
      </c>
      <c r="Q116" s="748" t="n">
        <v>6</v>
      </c>
      <c r="R116" s="750" t="n">
        <v>246</v>
      </c>
      <c r="S116" s="751" t="n">
        <v>505530</v>
      </c>
      <c r="T116" s="749" t="inlineStr"/>
    </row>
    <row r="117">
      <c r="A117" s="741" t="n">
        <v>821</v>
      </c>
      <c r="B117" s="742" t="inlineStr">
        <is>
          <t>410 S Colorado Blvd</t>
        </is>
      </c>
      <c r="C117" s="741" t="inlineStr">
        <is>
          <t>Denver</t>
        </is>
      </c>
      <c r="D117" s="741" t="inlineStr">
        <is>
          <t>Arapahoe</t>
        </is>
      </c>
      <c r="E117" s="741" t="inlineStr">
        <is>
          <t>Coffee</t>
        </is>
      </c>
      <c r="F117" s="741" t="inlineStr">
        <is>
          <t>Starbucks</t>
        </is>
      </c>
      <c r="G117" s="741" t="n">
        <v>349</v>
      </c>
      <c r="H117" s="743" t="inlineStr">
        <is>
          <t>349 - Fast Food Restaurant</t>
        </is>
      </c>
      <c r="I117" s="742" t="inlineStr">
        <is>
          <t>Restaurants – Fast Food</t>
        </is>
      </c>
      <c r="J117" s="741" t="inlineStr">
        <is>
          <t>Sec.13 p.17</t>
        </is>
      </c>
      <c r="K117" s="744" t="n">
        <v>2500</v>
      </c>
      <c r="L117" s="744" t="n">
        <v>66647</v>
      </c>
      <c r="M117" s="745" t="inlineStr">
        <is>
          <t>C</t>
        </is>
      </c>
      <c r="N117" s="745" t="inlineStr">
        <is>
          <t>Good</t>
        </is>
      </c>
      <c r="O117" s="745" t="inlineStr">
        <is>
          <t>Typical</t>
        </is>
      </c>
      <c r="P117" s="745" t="n">
        <v>2019</v>
      </c>
      <c r="Q117" s="741" t="n">
        <v>5</v>
      </c>
      <c r="R117" s="746" t="n">
        <v>246</v>
      </c>
      <c r="S117" s="747" t="n">
        <v>615000</v>
      </c>
      <c r="T117" s="742" t="inlineStr"/>
    </row>
    <row r="118">
      <c r="A118" s="748" t="n">
        <v>822</v>
      </c>
      <c r="B118" s="749" t="inlineStr">
        <is>
          <t>8243 S Quebec St</t>
        </is>
      </c>
      <c r="C118" s="748" t="inlineStr">
        <is>
          <t>Centennial</t>
        </is>
      </c>
      <c r="D118" s="748" t="inlineStr">
        <is>
          <t>Arapahoe</t>
        </is>
      </c>
      <c r="E118" s="748" t="inlineStr">
        <is>
          <t>Coffee</t>
        </is>
      </c>
      <c r="F118" s="748" t="inlineStr">
        <is>
          <t>Starbucks</t>
        </is>
      </c>
      <c r="G118" s="748" t="n">
        <v>349</v>
      </c>
      <c r="H118" s="743" t="inlineStr">
        <is>
          <t>349 - Fast Food Restaurant</t>
        </is>
      </c>
      <c r="I118" s="749" t="inlineStr">
        <is>
          <t>Restaurants – Fast Food</t>
        </is>
      </c>
      <c r="J118" s="748" t="inlineStr">
        <is>
          <t>Sec.13 p.17</t>
        </is>
      </c>
      <c r="K118" s="744" t="n">
        <v>2985</v>
      </c>
      <c r="L118" s="744" t="n">
        <v>25143</v>
      </c>
      <c r="M118" s="745" t="inlineStr">
        <is>
          <t>C</t>
        </is>
      </c>
      <c r="N118" s="745" t="inlineStr">
        <is>
          <t>Good</t>
        </is>
      </c>
      <c r="O118" s="745" t="inlineStr">
        <is>
          <t>Typical</t>
        </is>
      </c>
      <c r="P118" s="745" t="n">
        <v>1993</v>
      </c>
      <c r="Q118" s="748" t="n">
        <v>31</v>
      </c>
      <c r="R118" s="750" t="n">
        <v>246</v>
      </c>
      <c r="S118" s="751" t="n">
        <v>734310</v>
      </c>
      <c r="T118" s="749" t="inlineStr"/>
    </row>
    <row r="119">
      <c r="A119" s="741" t="n">
        <v>823</v>
      </c>
      <c r="B119" s="742" t="inlineStr">
        <is>
          <t>6712 S Potomac St</t>
        </is>
      </c>
      <c r="C119" s="741" t="inlineStr">
        <is>
          <t>Centennial</t>
        </is>
      </c>
      <c r="D119" s="741" t="inlineStr">
        <is>
          <t>Arapahoe</t>
        </is>
      </c>
      <c r="E119" s="741" t="inlineStr">
        <is>
          <t>Coffee</t>
        </is>
      </c>
      <c r="F119" s="741" t="inlineStr">
        <is>
          <t>Starbucks</t>
        </is>
      </c>
      <c r="G119" s="741" t="n">
        <v>349</v>
      </c>
      <c r="H119" s="743" t="inlineStr">
        <is>
          <t>349 - Fast Food Restaurant</t>
        </is>
      </c>
      <c r="I119" s="742" t="inlineStr">
        <is>
          <t>Restaurants – Fast Food</t>
        </is>
      </c>
      <c r="J119" s="741" t="inlineStr">
        <is>
          <t>Sec.13 p.17</t>
        </is>
      </c>
      <c r="K119" s="744" t="n">
        <v>2885</v>
      </c>
      <c r="L119" s="744" t="n">
        <v>42253</v>
      </c>
      <c r="M119" s="745" t="inlineStr">
        <is>
          <t>C</t>
        </is>
      </c>
      <c r="N119" s="745" t="inlineStr">
        <is>
          <t>Good</t>
        </is>
      </c>
      <c r="O119" s="745" t="inlineStr">
        <is>
          <t>Typical</t>
        </is>
      </c>
      <c r="P119" s="745" t="n">
        <v>2001</v>
      </c>
      <c r="Q119" s="741" t="n">
        <v>23</v>
      </c>
      <c r="R119" s="746" t="n">
        <v>246</v>
      </c>
      <c r="S119" s="747" t="n">
        <v>709710</v>
      </c>
      <c r="T119" s="742" t="inlineStr"/>
    </row>
    <row r="120">
      <c r="A120" s="748" t="n">
        <v>824</v>
      </c>
      <c r="B120" s="749" t="inlineStr">
        <is>
          <t>7999 E Arapahoe Rd</t>
        </is>
      </c>
      <c r="C120" s="748" t="inlineStr">
        <is>
          <t>Greenwood Village</t>
        </is>
      </c>
      <c r="D120" s="748" t="inlineStr">
        <is>
          <t>Arapahoe</t>
        </is>
      </c>
      <c r="E120" s="748" t="inlineStr">
        <is>
          <t>Coffee</t>
        </is>
      </c>
      <c r="F120" s="748" t="inlineStr">
        <is>
          <t>Starbucks</t>
        </is>
      </c>
      <c r="G120" s="748" t="n">
        <v>349</v>
      </c>
      <c r="H120" s="743" t="inlineStr">
        <is>
          <t>349 - Fast Food Restaurant</t>
        </is>
      </c>
      <c r="I120" s="749" t="inlineStr">
        <is>
          <t>Restaurants – Fast Food</t>
        </is>
      </c>
      <c r="J120" s="748" t="inlineStr">
        <is>
          <t>Sec.13 p.17</t>
        </is>
      </c>
      <c r="K120" s="744" t="n">
        <v>2175</v>
      </c>
      <c r="L120" s="744" t="n">
        <v>35284</v>
      </c>
      <c r="M120" s="745" t="inlineStr">
        <is>
          <t>C</t>
        </is>
      </c>
      <c r="N120" s="745" t="inlineStr">
        <is>
          <t>Good</t>
        </is>
      </c>
      <c r="O120" s="745" t="inlineStr">
        <is>
          <t>Typical</t>
        </is>
      </c>
      <c r="P120" s="745" t="n">
        <v>2022</v>
      </c>
      <c r="Q120" s="748" t="n">
        <v>2</v>
      </c>
      <c r="R120" s="750" t="n">
        <v>246</v>
      </c>
      <c r="S120" s="751" t="n">
        <v>535050</v>
      </c>
      <c r="T120" s="749" t="inlineStr"/>
    </row>
    <row r="121">
      <c r="A121" s="741" t="n">
        <v>825</v>
      </c>
      <c r="B121" s="742" t="inlineStr">
        <is>
          <t>20201 E Smoky Hill Rd</t>
        </is>
      </c>
      <c r="C121" s="741" t="inlineStr">
        <is>
          <t>Centennial</t>
        </is>
      </c>
      <c r="D121" s="741" t="inlineStr">
        <is>
          <t>Arapahoe</t>
        </is>
      </c>
      <c r="E121" s="741" t="inlineStr">
        <is>
          <t>Coffee</t>
        </is>
      </c>
      <c r="F121" s="741" t="inlineStr">
        <is>
          <t>Starbucks</t>
        </is>
      </c>
      <c r="G121" s="741" t="n">
        <v>349</v>
      </c>
      <c r="H121" s="743" t="inlineStr">
        <is>
          <t>349 - Fast Food Restaurant</t>
        </is>
      </c>
      <c r="I121" s="742" t="inlineStr">
        <is>
          <t>Restaurants – Fast Food</t>
        </is>
      </c>
      <c r="J121" s="741" t="inlineStr">
        <is>
          <t>Sec.13 p.17</t>
        </is>
      </c>
      <c r="K121" s="744" t="n">
        <v>2200</v>
      </c>
      <c r="L121" s="744" t="n">
        <v>55321</v>
      </c>
      <c r="M121" s="745" t="inlineStr">
        <is>
          <t>C</t>
        </is>
      </c>
      <c r="N121" s="745" t="inlineStr">
        <is>
          <t>Good</t>
        </is>
      </c>
      <c r="O121" s="745" t="inlineStr">
        <is>
          <t>Typical</t>
        </is>
      </c>
      <c r="P121" s="745" t="n">
        <v>2022</v>
      </c>
      <c r="Q121" s="741" t="n">
        <v>2</v>
      </c>
      <c r="R121" s="746" t="n">
        <v>246</v>
      </c>
      <c r="S121" s="747" t="n">
        <v>541200</v>
      </c>
      <c r="T121" s="742" t="inlineStr"/>
    </row>
    <row r="122">
      <c r="A122" s="748" t="n">
        <v>826</v>
      </c>
      <c r="B122" s="749" t="inlineStr">
        <is>
          <t>25455 E Smoky Hill Rd</t>
        </is>
      </c>
      <c r="C122" s="748" t="inlineStr">
        <is>
          <t>Aurora</t>
        </is>
      </c>
      <c r="D122" s="748" t="inlineStr">
        <is>
          <t>Arapahoe</t>
        </is>
      </c>
      <c r="E122" s="748" t="inlineStr">
        <is>
          <t>Coffee</t>
        </is>
      </c>
      <c r="F122" s="748" t="inlineStr">
        <is>
          <t>Starbucks</t>
        </is>
      </c>
      <c r="G122" s="748" t="n">
        <v>349</v>
      </c>
      <c r="H122" s="743" t="inlineStr">
        <is>
          <t>349 - Fast Food Restaurant</t>
        </is>
      </c>
      <c r="I122" s="749" t="inlineStr">
        <is>
          <t>Restaurants – Fast Food</t>
        </is>
      </c>
      <c r="J122" s="748" t="inlineStr">
        <is>
          <t>Sec.13 p.17</t>
        </is>
      </c>
      <c r="K122" s="744" t="n">
        <v>2155</v>
      </c>
      <c r="L122" s="744" t="n">
        <v>42689</v>
      </c>
      <c r="M122" s="745" t="inlineStr">
        <is>
          <t>C</t>
        </is>
      </c>
      <c r="N122" s="745" t="inlineStr">
        <is>
          <t>Good</t>
        </is>
      </c>
      <c r="O122" s="745" t="inlineStr">
        <is>
          <t>Typical</t>
        </is>
      </c>
      <c r="P122" s="745" t="n">
        <v>2023</v>
      </c>
      <c r="Q122" s="748" t="n">
        <v>1</v>
      </c>
      <c r="R122" s="750" t="n">
        <v>246</v>
      </c>
      <c r="S122" s="751" t="n">
        <v>530130</v>
      </c>
      <c r="T122" s="749" t="inlineStr"/>
    </row>
    <row r="123">
      <c r="A123" s="741" t="n">
        <v>827</v>
      </c>
      <c r="B123" s="742" t="inlineStr">
        <is>
          <t>4696 S Broadway</t>
        </is>
      </c>
      <c r="C123" s="741" t="inlineStr">
        <is>
          <t>Englewood</t>
        </is>
      </c>
      <c r="D123" s="741" t="inlineStr">
        <is>
          <t>Arapahoe</t>
        </is>
      </c>
      <c r="E123" s="741" t="inlineStr">
        <is>
          <t>Fast Food</t>
        </is>
      </c>
      <c r="F123" s="741" t="inlineStr">
        <is>
          <t>Subway</t>
        </is>
      </c>
      <c r="G123" s="741" t="n">
        <v>349</v>
      </c>
      <c r="H123" s="743" t="inlineStr">
        <is>
          <t>349 - Fast Food Restaurant</t>
        </is>
      </c>
      <c r="I123" s="742" t="inlineStr">
        <is>
          <t>Restaurants – Fast Food</t>
        </is>
      </c>
      <c r="J123" s="741" t="inlineStr">
        <is>
          <t>Sec.13 p.17</t>
        </is>
      </c>
      <c r="K123" s="744" t="n">
        <v>1539</v>
      </c>
      <c r="L123" s="744" t="n">
        <v>6098</v>
      </c>
      <c r="M123" s="745" t="inlineStr">
        <is>
          <t>C</t>
        </is>
      </c>
      <c r="N123" s="745" t="inlineStr">
        <is>
          <t>Average</t>
        </is>
      </c>
      <c r="O123" s="745" t="inlineStr">
        <is>
          <t>Typical</t>
        </is>
      </c>
      <c r="P123" s="745" t="n">
        <v>1933</v>
      </c>
      <c r="Q123" s="741" t="n">
        <v>91</v>
      </c>
      <c r="R123" s="746" t="n">
        <v>191</v>
      </c>
      <c r="S123" s="747" t="n">
        <v>293949</v>
      </c>
      <c r="T123" s="742" t="inlineStr"/>
    </row>
    <row r="124">
      <c r="A124" s="748" t="n">
        <v>828</v>
      </c>
      <c r="B124" s="749" t="inlineStr">
        <is>
          <t>4696 S Broadway</t>
        </is>
      </c>
      <c r="C124" s="748" t="inlineStr">
        <is>
          <t>Englewood</t>
        </is>
      </c>
      <c r="D124" s="748" t="inlineStr">
        <is>
          <t>Arapahoe</t>
        </is>
      </c>
      <c r="E124" s="748" t="inlineStr">
        <is>
          <t>Fast Food</t>
        </is>
      </c>
      <c r="F124" s="748" t="inlineStr">
        <is>
          <t>Subway</t>
        </is>
      </c>
      <c r="G124" s="748" t="n">
        <v>349</v>
      </c>
      <c r="H124" s="743" t="inlineStr">
        <is>
          <t>349 - Fast Food Restaurant</t>
        </is>
      </c>
      <c r="I124" s="749" t="inlineStr">
        <is>
          <t>Restaurants – Fast Food</t>
        </is>
      </c>
      <c r="J124" s="748" t="inlineStr">
        <is>
          <t>Sec.13 p.17</t>
        </is>
      </c>
      <c r="K124" s="744" t="n">
        <v>1539</v>
      </c>
      <c r="L124" s="744" t="n">
        <v>6098</v>
      </c>
      <c r="M124" s="745" t="inlineStr">
        <is>
          <t>C</t>
        </is>
      </c>
      <c r="N124" s="745" t="inlineStr">
        <is>
          <t>Average</t>
        </is>
      </c>
      <c r="O124" s="745" t="inlineStr">
        <is>
          <t>Typical</t>
        </is>
      </c>
      <c r="P124" s="745" t="n">
        <v>1933</v>
      </c>
      <c r="Q124" s="748" t="n">
        <v>91</v>
      </c>
      <c r="R124" s="750" t="n">
        <v>191</v>
      </c>
      <c r="S124" s="751" t="n">
        <v>293949</v>
      </c>
      <c r="T124" s="749" t="inlineStr"/>
    </row>
    <row r="125">
      <c r="A125" s="741" t="n">
        <v>829</v>
      </c>
      <c r="B125" s="742" t="inlineStr">
        <is>
          <t>2717 W Belleview Ave</t>
        </is>
      </c>
      <c r="C125" s="741" t="inlineStr">
        <is>
          <t>Littleton</t>
        </is>
      </c>
      <c r="D125" s="741" t="inlineStr">
        <is>
          <t>Arapahoe</t>
        </is>
      </c>
      <c r="E125" s="741" t="inlineStr">
        <is>
          <t>Fast Food</t>
        </is>
      </c>
      <c r="F125" s="741" t="inlineStr">
        <is>
          <t>Taco Bell</t>
        </is>
      </c>
      <c r="G125" s="741" t="n">
        <v>349</v>
      </c>
      <c r="H125" s="743" t="inlineStr">
        <is>
          <t>349 - Fast Food Restaurant</t>
        </is>
      </c>
      <c r="I125" s="742" t="inlineStr">
        <is>
          <t>Restaurants – Fast Food</t>
        </is>
      </c>
      <c r="J125" s="741" t="inlineStr">
        <is>
          <t>Sec.13 p.17</t>
        </is>
      </c>
      <c r="K125" s="744" t="n">
        <v>2324</v>
      </c>
      <c r="L125" s="744" t="n">
        <v>28575</v>
      </c>
      <c r="M125" s="745" t="inlineStr">
        <is>
          <t>C</t>
        </is>
      </c>
      <c r="N125" s="745" t="inlineStr">
        <is>
          <t>Average</t>
        </is>
      </c>
      <c r="O125" s="745" t="inlineStr">
        <is>
          <t>Typical</t>
        </is>
      </c>
      <c r="P125" s="745" t="n">
        <v>2005</v>
      </c>
      <c r="Q125" s="741" t="n">
        <v>19</v>
      </c>
      <c r="R125" s="746" t="n">
        <v>191</v>
      </c>
      <c r="S125" s="747" t="n">
        <v>443884</v>
      </c>
      <c r="T125" s="742" t="inlineStr"/>
    </row>
    <row r="126">
      <c r="A126" s="748" t="n">
        <v>830</v>
      </c>
      <c r="B126" s="749" t="inlineStr">
        <is>
          <t>1760 S Havana St</t>
        </is>
      </c>
      <c r="C126" s="748" t="inlineStr">
        <is>
          <t>Aurora</t>
        </is>
      </c>
      <c r="D126" s="748" t="inlineStr">
        <is>
          <t>Arapahoe</t>
        </is>
      </c>
      <c r="E126" s="748" t="inlineStr">
        <is>
          <t>Fast Food</t>
        </is>
      </c>
      <c r="F126" s="748" t="inlineStr">
        <is>
          <t>Taco Star</t>
        </is>
      </c>
      <c r="G126" s="748" t="n">
        <v>349</v>
      </c>
      <c r="H126" s="743" t="inlineStr">
        <is>
          <t>349 - Fast Food Restaurant</t>
        </is>
      </c>
      <c r="I126" s="749" t="inlineStr">
        <is>
          <t>Restaurants – Fast Food</t>
        </is>
      </c>
      <c r="J126" s="748" t="inlineStr">
        <is>
          <t>Sec.13 p.17</t>
        </is>
      </c>
      <c r="K126" s="744" t="n">
        <v>3300</v>
      </c>
      <c r="L126" s="744" t="n">
        <v>37026</v>
      </c>
      <c r="M126" s="745" t="inlineStr">
        <is>
          <t>C</t>
        </is>
      </c>
      <c r="N126" s="745" t="inlineStr">
        <is>
          <t>Average</t>
        </is>
      </c>
      <c r="O126" s="745" t="inlineStr">
        <is>
          <t>Typical</t>
        </is>
      </c>
      <c r="P126" s="745" t="n">
        <v>2008</v>
      </c>
      <c r="Q126" s="748" t="n">
        <v>16</v>
      </c>
      <c r="R126" s="750" t="n">
        <v>191</v>
      </c>
      <c r="S126" s="751" t="n">
        <v>630300</v>
      </c>
      <c r="T126" s="749" t="inlineStr"/>
    </row>
    <row r="127">
      <c r="A127" s="741" t="n">
        <v>831</v>
      </c>
      <c r="B127" s="742" t="inlineStr">
        <is>
          <t>10401 E Idaho Pl</t>
        </is>
      </c>
      <c r="C127" s="741" t="inlineStr">
        <is>
          <t>Aurora</t>
        </is>
      </c>
      <c r="D127" s="741" t="inlineStr">
        <is>
          <t>Arapahoe</t>
        </is>
      </c>
      <c r="E127" s="741" t="inlineStr">
        <is>
          <t>Auto Service</t>
        </is>
      </c>
      <c r="F127" s="741" t="inlineStr">
        <is>
          <t>The Car Shop</t>
        </is>
      </c>
      <c r="G127" s="741" t="n">
        <v>325</v>
      </c>
      <c r="H127" s="743" t="inlineStr">
        <is>
          <t>325 - Service Garage</t>
        </is>
      </c>
      <c r="I127" s="742" t="inlineStr">
        <is>
          <t>Service Garages (Commercial/Repair)</t>
        </is>
      </c>
      <c r="J127" s="741" t="inlineStr">
        <is>
          <t>Sec.14 p.32</t>
        </is>
      </c>
      <c r="K127" s="744" t="n">
        <v>3864</v>
      </c>
      <c r="L127" s="744" t="n">
        <v>32322</v>
      </c>
      <c r="M127" s="745" t="inlineStr">
        <is>
          <t>C</t>
        </is>
      </c>
      <c r="N127" s="745" t="inlineStr">
        <is>
          <t>Average</t>
        </is>
      </c>
      <c r="O127" s="745" t="inlineStr">
        <is>
          <t>Typical</t>
        </is>
      </c>
      <c r="P127" s="745" t="n">
        <v>1988</v>
      </c>
      <c r="Q127" s="741" t="n">
        <v>36</v>
      </c>
      <c r="R127" s="746" t="n">
        <v>79.5</v>
      </c>
      <c r="S127" s="747" t="n">
        <v>307188</v>
      </c>
      <c r="T127" s="742" t="inlineStr"/>
    </row>
    <row r="128">
      <c r="A128" s="748" t="n">
        <v>832</v>
      </c>
      <c r="B128" s="749" t="inlineStr">
        <is>
          <t>5115 S Santa Fe Dr</t>
        </is>
      </c>
      <c r="C128" s="748" t="inlineStr">
        <is>
          <t>Littleton</t>
        </is>
      </c>
      <c r="D128" s="748" t="inlineStr">
        <is>
          <t>Arapahoe</t>
        </is>
      </c>
      <c r="E128" s="748" t="inlineStr">
        <is>
          <t>Auto Service</t>
        </is>
      </c>
      <c r="F128" s="748" t="inlineStr">
        <is>
          <t>The German Car Shoppe</t>
        </is>
      </c>
      <c r="G128" s="748" t="n">
        <v>325</v>
      </c>
      <c r="H128" s="743" t="inlineStr">
        <is>
          <t>325 - Service Garage</t>
        </is>
      </c>
      <c r="I128" s="749" t="inlineStr">
        <is>
          <t>Service Garages (Commercial/Repair)</t>
        </is>
      </c>
      <c r="J128" s="748" t="inlineStr">
        <is>
          <t>Sec.14 p.32</t>
        </is>
      </c>
      <c r="K128" s="744" t="n">
        <v>6610</v>
      </c>
      <c r="L128" s="744" t="n">
        <v>36863</v>
      </c>
      <c r="M128" s="745" t="inlineStr">
        <is>
          <t>C</t>
        </is>
      </c>
      <c r="N128" s="745" t="inlineStr">
        <is>
          <t>Average</t>
        </is>
      </c>
      <c r="O128" s="745" t="inlineStr">
        <is>
          <t>Typical</t>
        </is>
      </c>
      <c r="P128" s="745" t="n">
        <v>1986</v>
      </c>
      <c r="Q128" s="748" t="n">
        <v>38</v>
      </c>
      <c r="R128" s="750" t="n">
        <v>79.5</v>
      </c>
      <c r="S128" s="751" t="n">
        <v>525495</v>
      </c>
      <c r="T128" s="749" t="inlineStr"/>
    </row>
    <row r="129">
      <c r="A129" s="741" t="n">
        <v>833</v>
      </c>
      <c r="B129" s="742" t="inlineStr">
        <is>
          <t>8505 E Arapahoe Rd</t>
        </is>
      </c>
      <c r="C129" s="741" t="inlineStr">
        <is>
          <t>Greenwood Village</t>
        </is>
      </c>
      <c r="D129" s="741" t="inlineStr">
        <is>
          <t>Arapahoe</t>
        </is>
      </c>
      <c r="E129" s="741" t="inlineStr">
        <is>
          <t>Retail Center</t>
        </is>
      </c>
      <c r="F129" s="741" t="inlineStr">
        <is>
          <t>Torchy's Tacos</t>
        </is>
      </c>
      <c r="G129" s="741" t="n">
        <v>413</v>
      </c>
      <c r="H129" s="743" t="inlineStr">
        <is>
          <t>413 - Community Shopping Center</t>
        </is>
      </c>
      <c r="I129" s="742" t="inlineStr">
        <is>
          <t>Community Shopping Centers</t>
        </is>
      </c>
      <c r="J129" s="741" t="inlineStr">
        <is>
          <t>Sec.13 p.34</t>
        </is>
      </c>
      <c r="K129" s="744" t="n">
        <v>5220</v>
      </c>
      <c r="L129" s="744" t="n">
        <v>19214</v>
      </c>
      <c r="M129" s="745" t="inlineStr">
        <is>
          <t>C</t>
        </is>
      </c>
      <c r="N129" s="745" t="inlineStr">
        <is>
          <t>Average</t>
        </is>
      </c>
      <c r="O129" s="745" t="inlineStr">
        <is>
          <t>Typical</t>
        </is>
      </c>
      <c r="P129" s="745" t="n">
        <v>1989</v>
      </c>
      <c r="Q129" s="741" t="n">
        <v>35</v>
      </c>
      <c r="R129" s="746" t="n">
        <v>135</v>
      </c>
      <c r="S129" s="747" t="n">
        <v>704700</v>
      </c>
      <c r="T129" s="742" t="inlineStr"/>
    </row>
    <row r="130">
      <c r="A130" s="748" t="n">
        <v>834</v>
      </c>
      <c r="B130" s="749" t="inlineStr">
        <is>
          <t>8959 E Dry Creek Rd</t>
        </is>
      </c>
      <c r="C130" s="748" t="inlineStr">
        <is>
          <t>Centennial</t>
        </is>
      </c>
      <c r="D130" s="748" t="inlineStr">
        <is>
          <t>Arapahoe</t>
        </is>
      </c>
      <c r="E130" s="748" t="inlineStr">
        <is>
          <t>Drugstore</t>
        </is>
      </c>
      <c r="F130" s="748" t="inlineStr">
        <is>
          <t>Walgreen's</t>
        </is>
      </c>
      <c r="G130" s="748" t="n">
        <v>353</v>
      </c>
      <c r="H130" s="743" t="inlineStr">
        <is>
          <t>353 - Retail Store</t>
        </is>
      </c>
      <c r="I130" s="749" t="inlineStr">
        <is>
          <t>Retail Stores</t>
        </is>
      </c>
      <c r="J130" s="748" t="inlineStr">
        <is>
          <t>Sec.13 p.26</t>
        </is>
      </c>
      <c r="K130" s="744" t="n">
        <v>13813</v>
      </c>
      <c r="L130" s="744" t="n">
        <v>71003</v>
      </c>
      <c r="M130" s="745" t="inlineStr">
        <is>
          <t>C</t>
        </is>
      </c>
      <c r="N130" s="745" t="inlineStr">
        <is>
          <t>Average</t>
        </is>
      </c>
      <c r="O130" s="745" t="inlineStr">
        <is>
          <t>Typical</t>
        </is>
      </c>
      <c r="P130" s="745" t="n">
        <v>2004</v>
      </c>
      <c r="Q130" s="748" t="n">
        <v>20</v>
      </c>
      <c r="R130" s="750" t="n">
        <v>117</v>
      </c>
      <c r="S130" s="751" t="n">
        <v>1616121</v>
      </c>
      <c r="T130" s="749" t="inlineStr"/>
    </row>
    <row r="131">
      <c r="A131" s="741" t="n">
        <v>835</v>
      </c>
      <c r="B131" s="742" t="inlineStr">
        <is>
          <t>18620 E Iliff Ave</t>
        </is>
      </c>
      <c r="C131" s="741" t="inlineStr">
        <is>
          <t>Aurora</t>
        </is>
      </c>
      <c r="D131" s="741" t="inlineStr">
        <is>
          <t>Arapahoe</t>
        </is>
      </c>
      <c r="E131" s="741" t="inlineStr">
        <is>
          <t>Drugstore</t>
        </is>
      </c>
      <c r="F131" s="741" t="inlineStr">
        <is>
          <t>Walgreens</t>
        </is>
      </c>
      <c r="G131" s="741" t="n">
        <v>353</v>
      </c>
      <c r="H131" s="743" t="inlineStr">
        <is>
          <t>353 - Retail Store</t>
        </is>
      </c>
      <c r="I131" s="742" t="inlineStr">
        <is>
          <t>Retail Stores</t>
        </is>
      </c>
      <c r="J131" s="741" t="inlineStr">
        <is>
          <t>Sec.13 p.26</t>
        </is>
      </c>
      <c r="K131" s="744" t="n">
        <v>14490</v>
      </c>
      <c r="L131" s="744" t="n">
        <v>89298</v>
      </c>
      <c r="M131" s="745" t="inlineStr">
        <is>
          <t>C</t>
        </is>
      </c>
      <c r="N131" s="745" t="inlineStr">
        <is>
          <t>Average</t>
        </is>
      </c>
      <c r="O131" s="745" t="inlineStr">
        <is>
          <t>Typical</t>
        </is>
      </c>
      <c r="P131" s="745" t="n">
        <v>2003</v>
      </c>
      <c r="Q131" s="741" t="n">
        <v>21</v>
      </c>
      <c r="R131" s="746" t="n">
        <v>117</v>
      </c>
      <c r="S131" s="747" t="n">
        <v>1695330</v>
      </c>
      <c r="T131" s="742" t="inlineStr"/>
    </row>
    <row r="132">
      <c r="A132" s="748" t="n">
        <v>836</v>
      </c>
      <c r="B132" s="749" t="inlineStr">
        <is>
          <t>18620 E Iliff Ave</t>
        </is>
      </c>
      <c r="C132" s="748" t="inlineStr">
        <is>
          <t>Aurora</t>
        </is>
      </c>
      <c r="D132" s="748" t="inlineStr">
        <is>
          <t>Arapahoe</t>
        </is>
      </c>
      <c r="E132" s="748" t="inlineStr">
        <is>
          <t>Drugstore</t>
        </is>
      </c>
      <c r="F132" s="748" t="inlineStr">
        <is>
          <t>Walgreens</t>
        </is>
      </c>
      <c r="G132" s="748" t="n">
        <v>353</v>
      </c>
      <c r="H132" s="743" t="inlineStr">
        <is>
          <t>353 - Retail Store</t>
        </is>
      </c>
      <c r="I132" s="749" t="inlineStr">
        <is>
          <t>Retail Stores</t>
        </is>
      </c>
      <c r="J132" s="748" t="inlineStr">
        <is>
          <t>Sec.13 p.26</t>
        </is>
      </c>
      <c r="K132" s="744" t="n">
        <v>14490</v>
      </c>
      <c r="L132" s="744" t="n">
        <v>89298</v>
      </c>
      <c r="M132" s="745" t="inlineStr">
        <is>
          <t>C</t>
        </is>
      </c>
      <c r="N132" s="745" t="inlineStr">
        <is>
          <t>Average</t>
        </is>
      </c>
      <c r="O132" s="745" t="inlineStr">
        <is>
          <t>Typical</t>
        </is>
      </c>
      <c r="P132" s="745" t="n">
        <v>2003</v>
      </c>
      <c r="Q132" s="748" t="n">
        <v>21</v>
      </c>
      <c r="R132" s="750" t="n">
        <v>117</v>
      </c>
      <c r="S132" s="751" t="n">
        <v>1695330</v>
      </c>
      <c r="T132" s="749" t="inlineStr"/>
    </row>
    <row r="133">
      <c r="A133" s="741" t="n">
        <v>837</v>
      </c>
      <c r="B133" s="742" t="inlineStr">
        <is>
          <t>12011 E Iliff Ave</t>
        </is>
      </c>
      <c r="C133" s="741" t="inlineStr">
        <is>
          <t>Aurora</t>
        </is>
      </c>
      <c r="D133" s="741" t="inlineStr">
        <is>
          <t>Arapahoe</t>
        </is>
      </c>
      <c r="E133" s="741" t="inlineStr">
        <is>
          <t>Drugstore</t>
        </is>
      </c>
      <c r="F133" s="741" t="inlineStr">
        <is>
          <t>Walgreens</t>
        </is>
      </c>
      <c r="G133" s="741" t="n">
        <v>353</v>
      </c>
      <c r="H133" s="743" t="inlineStr">
        <is>
          <t>353 - Retail Store</t>
        </is>
      </c>
      <c r="I133" s="742" t="inlineStr">
        <is>
          <t>Retail Stores</t>
        </is>
      </c>
      <c r="J133" s="741" t="inlineStr">
        <is>
          <t>Sec.13 p.26</t>
        </is>
      </c>
      <c r="K133" s="744" t="n">
        <v>14121</v>
      </c>
      <c r="L133" s="744" t="n">
        <v>53579</v>
      </c>
      <c r="M133" s="745" t="inlineStr">
        <is>
          <t>C</t>
        </is>
      </c>
      <c r="N133" s="745" t="inlineStr">
        <is>
          <t>Average</t>
        </is>
      </c>
      <c r="O133" s="745" t="inlineStr">
        <is>
          <t>Typical</t>
        </is>
      </c>
      <c r="P133" s="745" t="n">
        <v>2007</v>
      </c>
      <c r="Q133" s="741" t="n">
        <v>17</v>
      </c>
      <c r="R133" s="746" t="n">
        <v>117</v>
      </c>
      <c r="S133" s="747" t="n">
        <v>1652157</v>
      </c>
      <c r="T133" s="742" t="inlineStr"/>
    </row>
    <row r="134">
      <c r="A134" s="748" t="n">
        <v>838</v>
      </c>
      <c r="B134" s="749" t="inlineStr">
        <is>
          <t>15310 E Colfax Ave</t>
        </is>
      </c>
      <c r="C134" s="748" t="inlineStr">
        <is>
          <t>Aurora</t>
        </is>
      </c>
      <c r="D134" s="748" t="inlineStr">
        <is>
          <t>Arapahoe</t>
        </is>
      </c>
      <c r="E134" s="748" t="inlineStr">
        <is>
          <t>Drugstore</t>
        </is>
      </c>
      <c r="F134" s="748" t="inlineStr">
        <is>
          <t>Walgreens</t>
        </is>
      </c>
      <c r="G134" s="748" t="n">
        <v>353</v>
      </c>
      <c r="H134" s="743" t="inlineStr">
        <is>
          <t>353 - Retail Store</t>
        </is>
      </c>
      <c r="I134" s="749" t="inlineStr">
        <is>
          <t>Retail Stores</t>
        </is>
      </c>
      <c r="J134" s="748" t="inlineStr">
        <is>
          <t>Sec.13 p.26</t>
        </is>
      </c>
      <c r="K134" s="744" t="n">
        <v>14466</v>
      </c>
      <c r="L134" s="744" t="n">
        <v>75533</v>
      </c>
      <c r="M134" s="745" t="inlineStr">
        <is>
          <t>C</t>
        </is>
      </c>
      <c r="N134" s="745" t="inlineStr">
        <is>
          <t>Average</t>
        </is>
      </c>
      <c r="O134" s="745" t="inlineStr">
        <is>
          <t>Typical</t>
        </is>
      </c>
      <c r="P134" s="745" t="n">
        <v>2008</v>
      </c>
      <c r="Q134" s="748" t="n">
        <v>16</v>
      </c>
      <c r="R134" s="750" t="n">
        <v>117</v>
      </c>
      <c r="S134" s="751" t="n">
        <v>1692522</v>
      </c>
      <c r="T134" s="749" t="inlineStr"/>
    </row>
    <row r="135">
      <c r="A135" s="741" t="n">
        <v>839</v>
      </c>
      <c r="B135" s="742" t="inlineStr">
        <is>
          <t>15301 E Iliff Ave</t>
        </is>
      </c>
      <c r="C135" s="741" t="inlineStr">
        <is>
          <t>Aurora</t>
        </is>
      </c>
      <c r="D135" s="741" t="inlineStr">
        <is>
          <t>Arapahoe</t>
        </is>
      </c>
      <c r="E135" s="741" t="inlineStr">
        <is>
          <t>Drugstore</t>
        </is>
      </c>
      <c r="F135" s="741" t="inlineStr">
        <is>
          <t>Walgreens</t>
        </is>
      </c>
      <c r="G135" s="741" t="n">
        <v>353</v>
      </c>
      <c r="H135" s="743" t="inlineStr">
        <is>
          <t>353 - Retail Store</t>
        </is>
      </c>
      <c r="I135" s="742" t="inlineStr">
        <is>
          <t>Retail Stores</t>
        </is>
      </c>
      <c r="J135" s="741" t="inlineStr">
        <is>
          <t>Sec.13 p.26</t>
        </is>
      </c>
      <c r="K135" s="744" t="n">
        <v>14490</v>
      </c>
      <c r="L135" s="744" t="n">
        <v>70567</v>
      </c>
      <c r="M135" s="745" t="inlineStr">
        <is>
          <t>C</t>
        </is>
      </c>
      <c r="N135" s="745" t="inlineStr">
        <is>
          <t>Average</t>
        </is>
      </c>
      <c r="O135" s="745" t="inlineStr">
        <is>
          <t>Typical</t>
        </is>
      </c>
      <c r="P135" s="745" t="n">
        <v>2001</v>
      </c>
      <c r="Q135" s="741" t="n">
        <v>23</v>
      </c>
      <c r="R135" s="746" t="n">
        <v>117</v>
      </c>
      <c r="S135" s="747" t="n">
        <v>1695330</v>
      </c>
      <c r="T135" s="742" t="inlineStr"/>
    </row>
    <row r="136">
      <c r="A136" s="748" t="n">
        <v>840</v>
      </c>
      <c r="B136" s="749" t="inlineStr">
        <is>
          <t>15301 E Iliff Ave</t>
        </is>
      </c>
      <c r="C136" s="748" t="inlineStr">
        <is>
          <t>Aurora</t>
        </is>
      </c>
      <c r="D136" s="748" t="inlineStr">
        <is>
          <t>Arapahoe</t>
        </is>
      </c>
      <c r="E136" s="748" t="inlineStr">
        <is>
          <t>Drugstore</t>
        </is>
      </c>
      <c r="F136" s="748" t="inlineStr">
        <is>
          <t>Walgreens</t>
        </is>
      </c>
      <c r="G136" s="748" t="n">
        <v>353</v>
      </c>
      <c r="H136" s="743" t="inlineStr">
        <is>
          <t>353 - Retail Store</t>
        </is>
      </c>
      <c r="I136" s="749" t="inlineStr">
        <is>
          <t>Retail Stores</t>
        </is>
      </c>
      <c r="J136" s="748" t="inlineStr">
        <is>
          <t>Sec.13 p.26</t>
        </is>
      </c>
      <c r="K136" s="744" t="n">
        <v>14490</v>
      </c>
      <c r="L136" s="744" t="n">
        <v>70567</v>
      </c>
      <c r="M136" s="745" t="inlineStr">
        <is>
          <t>C</t>
        </is>
      </c>
      <c r="N136" s="745" t="inlineStr">
        <is>
          <t>Average</t>
        </is>
      </c>
      <c r="O136" s="745" t="inlineStr">
        <is>
          <t>Typical</t>
        </is>
      </c>
      <c r="P136" s="745" t="n">
        <v>2001</v>
      </c>
      <c r="Q136" s="748" t="n">
        <v>23</v>
      </c>
      <c r="R136" s="750" t="n">
        <v>117</v>
      </c>
      <c r="S136" s="751" t="n">
        <v>1695330</v>
      </c>
      <c r="T136" s="749" t="inlineStr"/>
    </row>
    <row r="137">
      <c r="A137" s="741" t="n">
        <v>841</v>
      </c>
      <c r="B137" s="742" t="inlineStr">
        <is>
          <t>12051 E Mississippi Ave</t>
        </is>
      </c>
      <c r="C137" s="741" t="inlineStr">
        <is>
          <t>Aurora</t>
        </is>
      </c>
      <c r="D137" s="741" t="inlineStr">
        <is>
          <t>Arapahoe</t>
        </is>
      </c>
      <c r="E137" s="741" t="inlineStr">
        <is>
          <t>Drugstore</t>
        </is>
      </c>
      <c r="F137" s="741" t="inlineStr">
        <is>
          <t>Walgreens</t>
        </is>
      </c>
      <c r="G137" s="741" t="n">
        <v>353</v>
      </c>
      <c r="H137" s="743" t="inlineStr">
        <is>
          <t>353 - Retail Store</t>
        </is>
      </c>
      <c r="I137" s="742" t="inlineStr">
        <is>
          <t>Retail Stores</t>
        </is>
      </c>
      <c r="J137" s="741" t="inlineStr">
        <is>
          <t>Sec.13 p.26</t>
        </is>
      </c>
      <c r="K137" s="744" t="n">
        <v>14778</v>
      </c>
      <c r="L137" s="744" t="n">
        <v>104980</v>
      </c>
      <c r="M137" s="745" t="inlineStr">
        <is>
          <t>C</t>
        </is>
      </c>
      <c r="N137" s="745" t="inlineStr">
        <is>
          <t>Average</t>
        </is>
      </c>
      <c r="O137" s="745" t="inlineStr">
        <is>
          <t>Typical</t>
        </is>
      </c>
      <c r="P137" s="745" t="n">
        <v>1998</v>
      </c>
      <c r="Q137" s="741" t="n">
        <v>26</v>
      </c>
      <c r="R137" s="746" t="n">
        <v>117</v>
      </c>
      <c r="S137" s="747" t="n">
        <v>1729026</v>
      </c>
      <c r="T137" s="742" t="inlineStr"/>
    </row>
    <row r="138">
      <c r="A138" s="748" t="n">
        <v>842</v>
      </c>
      <c r="B138" s="749" t="inlineStr">
        <is>
          <t>18700 E Hampden Ave</t>
        </is>
      </c>
      <c r="C138" s="748" t="inlineStr">
        <is>
          <t>Aurora</t>
        </is>
      </c>
      <c r="D138" s="748" t="inlineStr">
        <is>
          <t>Arapahoe</t>
        </is>
      </c>
      <c r="E138" s="748" t="inlineStr">
        <is>
          <t>Fast Food</t>
        </is>
      </c>
      <c r="F138" s="748" t="inlineStr">
        <is>
          <t>Wendy's</t>
        </is>
      </c>
      <c r="G138" s="748" t="n">
        <v>349</v>
      </c>
      <c r="H138" s="743" t="inlineStr">
        <is>
          <t>349 - Fast Food Restaurant</t>
        </is>
      </c>
      <c r="I138" s="749" t="inlineStr">
        <is>
          <t>Restaurants – Fast Food</t>
        </is>
      </c>
      <c r="J138" s="748" t="inlineStr">
        <is>
          <t>Sec.13 p.17</t>
        </is>
      </c>
      <c r="K138" s="744" t="n">
        <v>3227</v>
      </c>
      <c r="L138" s="744" t="n">
        <v>69260</v>
      </c>
      <c r="M138" s="745" t="inlineStr">
        <is>
          <t>C</t>
        </is>
      </c>
      <c r="N138" s="745" t="inlineStr">
        <is>
          <t>Average</t>
        </is>
      </c>
      <c r="O138" s="745" t="inlineStr">
        <is>
          <t>Typical</t>
        </is>
      </c>
      <c r="P138" s="745" t="n">
        <v>2001</v>
      </c>
      <c r="Q138" s="748" t="n">
        <v>23</v>
      </c>
      <c r="R138" s="750" t="n">
        <v>191</v>
      </c>
      <c r="S138" s="751" t="n">
        <v>616357</v>
      </c>
      <c r="T138" s="749" t="inlineStr"/>
    </row>
    <row r="139">
      <c r="A139" s="741" t="n">
        <v>843</v>
      </c>
      <c r="B139" s="742" t="inlineStr">
        <is>
          <t>16901 E Iliff Ave</t>
        </is>
      </c>
      <c r="C139" s="741" t="inlineStr">
        <is>
          <t>Aurora</t>
        </is>
      </c>
      <c r="D139" s="741" t="inlineStr">
        <is>
          <t>Arapahoe</t>
        </is>
      </c>
      <c r="E139" s="741" t="inlineStr">
        <is>
          <t>Fast Food</t>
        </is>
      </c>
      <c r="F139" s="741" t="inlineStr">
        <is>
          <t>Wendy's</t>
        </is>
      </c>
      <c r="G139" s="741" t="n">
        <v>349</v>
      </c>
      <c r="H139" s="743" t="inlineStr">
        <is>
          <t>349 - Fast Food Restaurant</t>
        </is>
      </c>
      <c r="I139" s="742" t="inlineStr">
        <is>
          <t>Restaurants – Fast Food</t>
        </is>
      </c>
      <c r="J139" s="741" t="inlineStr">
        <is>
          <t>Sec.13 p.17</t>
        </is>
      </c>
      <c r="K139" s="744" t="n">
        <v>2400</v>
      </c>
      <c r="L139" s="744" t="n">
        <v>33498</v>
      </c>
      <c r="M139" s="745" t="inlineStr">
        <is>
          <t>C</t>
        </is>
      </c>
      <c r="N139" s="745" t="inlineStr">
        <is>
          <t>Average</t>
        </is>
      </c>
      <c r="O139" s="745" t="inlineStr">
        <is>
          <t>Typical</t>
        </is>
      </c>
      <c r="P139" s="745" t="n">
        <v>1984</v>
      </c>
      <c r="Q139" s="741" t="n">
        <v>40</v>
      </c>
      <c r="R139" s="746" t="n">
        <v>191</v>
      </c>
      <c r="S139" s="747" t="n">
        <v>458400</v>
      </c>
      <c r="T139" s="742" t="inlineStr"/>
    </row>
    <row r="140">
      <c r="A140" s="748" t="n">
        <v>844</v>
      </c>
      <c r="B140" s="749" t="inlineStr">
        <is>
          <t>5155 S Broadway</t>
        </is>
      </c>
      <c r="C140" s="748" t="inlineStr">
        <is>
          <t>Englewood</t>
        </is>
      </c>
      <c r="D140" s="748" t="inlineStr">
        <is>
          <t>Arapahoe</t>
        </is>
      </c>
      <c r="E140" s="748" t="inlineStr">
        <is>
          <t>Fast Food</t>
        </is>
      </c>
      <c r="F140" s="748" t="inlineStr">
        <is>
          <t>Wendy's</t>
        </is>
      </c>
      <c r="G140" s="748" t="n">
        <v>349</v>
      </c>
      <c r="H140" s="743" t="inlineStr">
        <is>
          <t>349 - Fast Food Restaurant</t>
        </is>
      </c>
      <c r="I140" s="749" t="inlineStr">
        <is>
          <t>Restaurants – Fast Food</t>
        </is>
      </c>
      <c r="J140" s="748" t="inlineStr">
        <is>
          <t>Sec.13 p.17</t>
        </is>
      </c>
      <c r="K140" s="744" t="n">
        <v>3254</v>
      </c>
      <c r="L140" s="744" t="n">
        <v>12632</v>
      </c>
      <c r="M140" s="745" t="inlineStr">
        <is>
          <t>C</t>
        </is>
      </c>
      <c r="N140" s="745" t="inlineStr">
        <is>
          <t>Average</t>
        </is>
      </c>
      <c r="O140" s="745" t="inlineStr">
        <is>
          <t>Typical</t>
        </is>
      </c>
      <c r="P140" s="745" t="n">
        <v>1999</v>
      </c>
      <c r="Q140" s="748" t="n">
        <v>25</v>
      </c>
      <c r="R140" s="750" t="n">
        <v>191</v>
      </c>
      <c r="S140" s="751" t="n">
        <v>621514</v>
      </c>
      <c r="T140" s="749" t="inlineStr"/>
    </row>
    <row r="141">
      <c r="A141" s="741" t="n">
        <v>845</v>
      </c>
      <c r="B141" s="742" t="inlineStr">
        <is>
          <t>1410 Main St</t>
        </is>
      </c>
      <c r="C141" s="741" t="inlineStr">
        <is>
          <t>Longmont</t>
        </is>
      </c>
      <c r="D141" s="741" t="inlineStr">
        <is>
          <t>Boulder</t>
        </is>
      </c>
      <c r="E141" s="741" t="inlineStr">
        <is>
          <t>Auto Parts</t>
        </is>
      </c>
      <c r="F141" s="741" t="inlineStr">
        <is>
          <t>Advance Auto Parts</t>
        </is>
      </c>
      <c r="G141" s="741" t="n">
        <v>353</v>
      </c>
      <c r="H141" s="743" t="inlineStr">
        <is>
          <t>353 - Retail Store</t>
        </is>
      </c>
      <c r="I141" s="742" t="inlineStr">
        <is>
          <t>Retail Stores</t>
        </is>
      </c>
      <c r="J141" s="741" t="inlineStr">
        <is>
          <t>Sec.13 p.26</t>
        </is>
      </c>
      <c r="K141" s="744" t="n">
        <v>7000</v>
      </c>
      <c r="L141" s="744" t="n">
        <v>40946</v>
      </c>
      <c r="M141" s="745" t="inlineStr">
        <is>
          <t>C</t>
        </is>
      </c>
      <c r="N141" s="745" t="inlineStr">
        <is>
          <t>Average</t>
        </is>
      </c>
      <c r="O141" s="745" t="inlineStr">
        <is>
          <t>Typical</t>
        </is>
      </c>
      <c r="P141" s="745" t="n">
        <v>2006</v>
      </c>
      <c r="Q141" s="741" t="n">
        <v>18</v>
      </c>
      <c r="R141" s="746" t="n">
        <v>117</v>
      </c>
      <c r="S141" s="747" t="n">
        <v>819000</v>
      </c>
      <c r="T141" s="742" t="inlineStr"/>
    </row>
    <row r="142">
      <c r="A142" s="748" t="n">
        <v>846</v>
      </c>
      <c r="B142" s="749" t="inlineStr">
        <is>
          <t>905 S Public Rd</t>
        </is>
      </c>
      <c r="C142" s="748" t="inlineStr">
        <is>
          <t>Lafayette</t>
        </is>
      </c>
      <c r="D142" s="748" t="inlineStr">
        <is>
          <t>Boulder</t>
        </is>
      </c>
      <c r="E142" s="748" t="inlineStr">
        <is>
          <t>Auto Service</t>
        </is>
      </c>
      <c r="F142" s="748" t="inlineStr">
        <is>
          <t>Coopers Auto</t>
        </is>
      </c>
      <c r="G142" s="748" t="n">
        <v>325</v>
      </c>
      <c r="H142" s="743" t="inlineStr">
        <is>
          <t>325 - Service Garage</t>
        </is>
      </c>
      <c r="I142" s="749" t="inlineStr">
        <is>
          <t>Service Garages (Commercial/Repair)</t>
        </is>
      </c>
      <c r="J142" s="748" t="inlineStr">
        <is>
          <t>Sec.14 p.32</t>
        </is>
      </c>
      <c r="K142" s="744" t="n">
        <v>5000</v>
      </c>
      <c r="L142" s="744" t="n">
        <v>45454</v>
      </c>
      <c r="M142" s="745" t="inlineStr">
        <is>
          <t>C</t>
        </is>
      </c>
      <c r="N142" s="745" t="inlineStr">
        <is>
          <t>Average</t>
        </is>
      </c>
      <c r="O142" s="745" t="inlineStr">
        <is>
          <t>Typical</t>
        </is>
      </c>
      <c r="P142" s="745" t="n">
        <v>1996</v>
      </c>
      <c r="Q142" s="748" t="n">
        <v>28</v>
      </c>
      <c r="R142" s="750" t="n">
        <v>79.5</v>
      </c>
      <c r="S142" s="751" t="n">
        <v>397500</v>
      </c>
      <c r="T142" s="749" t="inlineStr"/>
    </row>
    <row r="143">
      <c r="A143" s="741" t="n">
        <v>847</v>
      </c>
      <c r="B143" s="742" t="inlineStr">
        <is>
          <t>585 S Mccaslin Blvd</t>
        </is>
      </c>
      <c r="C143" s="741" t="inlineStr">
        <is>
          <t>Louisville</t>
        </is>
      </c>
      <c r="D143" s="741" t="inlineStr">
        <is>
          <t>Boulder</t>
        </is>
      </c>
      <c r="E143" s="741" t="inlineStr">
        <is>
          <t>Retail Center</t>
        </is>
      </c>
      <c r="F143" s="741" t="inlineStr">
        <is>
          <t>Dark - Former Chilis</t>
        </is>
      </c>
      <c r="G143" s="741" t="n">
        <v>353</v>
      </c>
      <c r="H143" s="743" t="inlineStr">
        <is>
          <t>353 - Retail Store</t>
        </is>
      </c>
      <c r="I143" s="742" t="inlineStr">
        <is>
          <t>Retail Stores</t>
        </is>
      </c>
      <c r="J143" s="741" t="inlineStr">
        <is>
          <t>Sec.13 p.26</t>
        </is>
      </c>
      <c r="K143" s="744" t="n">
        <v>6000</v>
      </c>
      <c r="L143" s="744" t="n">
        <v>70567</v>
      </c>
      <c r="M143" s="745" t="inlineStr">
        <is>
          <t>C</t>
        </is>
      </c>
      <c r="N143" s="745" t="inlineStr">
        <is>
          <t>Average</t>
        </is>
      </c>
      <c r="O143" s="745" t="inlineStr">
        <is>
          <t>Typical</t>
        </is>
      </c>
      <c r="P143" s="745" t="n">
        <v>1996</v>
      </c>
      <c r="Q143" s="741" t="n">
        <v>28</v>
      </c>
      <c r="R143" s="746" t="n">
        <v>117</v>
      </c>
      <c r="S143" s="747" t="n">
        <v>702000</v>
      </c>
      <c r="T143" s="742" t="inlineStr"/>
    </row>
    <row r="144">
      <c r="A144" s="748" t="n">
        <v>848</v>
      </c>
      <c r="B144" s="749" t="inlineStr">
        <is>
          <t>3332 Arapahoe Rd</t>
        </is>
      </c>
      <c r="C144" s="748" t="inlineStr">
        <is>
          <t>Erie</t>
        </is>
      </c>
      <c r="D144" s="748" t="inlineStr">
        <is>
          <t>Boulder</t>
        </is>
      </c>
      <c r="E144" s="748" t="inlineStr">
        <is>
          <t>Auto Service</t>
        </is>
      </c>
      <c r="F144" s="748" t="inlineStr">
        <is>
          <t>Fine Tuned Auto</t>
        </is>
      </c>
      <c r="G144" s="748" t="n">
        <v>325</v>
      </c>
      <c r="H144" s="743" t="inlineStr">
        <is>
          <t>325 - Service Garage</t>
        </is>
      </c>
      <c r="I144" s="749" t="inlineStr">
        <is>
          <t>Service Garages (Commercial/Repair)</t>
        </is>
      </c>
      <c r="J144" s="748" t="inlineStr">
        <is>
          <t>Sec.14 p.32</t>
        </is>
      </c>
      <c r="K144" s="744" t="n">
        <v>8478</v>
      </c>
      <c r="L144" s="744" t="n">
        <v>45302</v>
      </c>
      <c r="M144" s="745" t="inlineStr">
        <is>
          <t>C</t>
        </is>
      </c>
      <c r="N144" s="745" t="inlineStr">
        <is>
          <t>Average</t>
        </is>
      </c>
      <c r="O144" s="745" t="inlineStr">
        <is>
          <t>Typical</t>
        </is>
      </c>
      <c r="P144" s="745" t="n">
        <v>1999</v>
      </c>
      <c r="Q144" s="748" t="n">
        <v>25</v>
      </c>
      <c r="R144" s="750" t="n">
        <v>79.5</v>
      </c>
      <c r="S144" s="751" t="n">
        <v>674001</v>
      </c>
      <c r="T144" s="749" t="inlineStr"/>
    </row>
    <row r="145">
      <c r="A145" s="741" t="n">
        <v>849</v>
      </c>
      <c r="B145" s="742" t="inlineStr">
        <is>
          <t>2050 26th St</t>
        </is>
      </c>
      <c r="C145" s="741" t="inlineStr">
        <is>
          <t>Boulder</t>
        </is>
      </c>
      <c r="D145" s="741" t="inlineStr">
        <is>
          <t>Boulder</t>
        </is>
      </c>
      <c r="E145" s="741" t="inlineStr">
        <is>
          <t>Fast Food</t>
        </is>
      </c>
      <c r="F145" s="741" t="inlineStr">
        <is>
          <t>Good Times Burgers &amp; Frozen Custard</t>
        </is>
      </c>
      <c r="G145" s="741" t="n">
        <v>349</v>
      </c>
      <c r="H145" s="743" t="inlineStr">
        <is>
          <t>349 - Fast Food Restaurant</t>
        </is>
      </c>
      <c r="I145" s="742" t="inlineStr">
        <is>
          <t>Restaurants – Fast Food</t>
        </is>
      </c>
      <c r="J145" s="741" t="inlineStr">
        <is>
          <t>Sec.13 p.17</t>
        </is>
      </c>
      <c r="K145" s="744" t="n">
        <v>876</v>
      </c>
      <c r="L145" s="744" t="n">
        <v>23958</v>
      </c>
      <c r="M145" s="745" t="inlineStr">
        <is>
          <t>C</t>
        </is>
      </c>
      <c r="N145" s="745" t="inlineStr">
        <is>
          <t>Average</t>
        </is>
      </c>
      <c r="O145" s="745" t="inlineStr">
        <is>
          <t>Typical</t>
        </is>
      </c>
      <c r="P145" s="745" t="n">
        <v>1993</v>
      </c>
      <c r="Q145" s="741" t="n">
        <v>31</v>
      </c>
      <c r="R145" s="746" t="n">
        <v>191</v>
      </c>
      <c r="S145" s="747" t="n">
        <v>167316</v>
      </c>
      <c r="T145" s="742" t="inlineStr"/>
    </row>
    <row r="146">
      <c r="A146" s="748" t="n">
        <v>850</v>
      </c>
      <c r="B146" s="749" t="inlineStr">
        <is>
          <t>1011 Dry Creek Dr</t>
        </is>
      </c>
      <c r="C146" s="748" t="inlineStr">
        <is>
          <t>Longmont</t>
        </is>
      </c>
      <c r="D146" s="748" t="inlineStr">
        <is>
          <t>Boulder</t>
        </is>
      </c>
      <c r="E146" s="748" t="inlineStr">
        <is>
          <t>Daycare</t>
        </is>
      </c>
      <c r="F146" s="748" t="inlineStr">
        <is>
          <t>Guidepost Montessori</t>
        </is>
      </c>
      <c r="G146" s="748" t="n">
        <v>426</v>
      </c>
      <c r="H146" s="743" t="inlineStr">
        <is>
          <t>426 - Day Care Center</t>
        </is>
      </c>
      <c r="I146" s="749" t="inlineStr">
        <is>
          <t>Day Care Centers</t>
        </is>
      </c>
      <c r="J146" s="748" t="inlineStr">
        <is>
          <t>Sec.18 p.13</t>
        </is>
      </c>
      <c r="K146" s="744" t="n">
        <v>11375</v>
      </c>
      <c r="L146" s="744" t="n">
        <v>51836</v>
      </c>
      <c r="M146" s="745" t="inlineStr">
        <is>
          <t>C</t>
        </is>
      </c>
      <c r="N146" s="745" t="inlineStr">
        <is>
          <t>Average</t>
        </is>
      </c>
      <c r="O146" s="745" t="inlineStr">
        <is>
          <t>Typical</t>
        </is>
      </c>
      <c r="P146" s="745" t="n">
        <v>1998</v>
      </c>
      <c r="Q146" s="748" t="n">
        <v>26</v>
      </c>
      <c r="R146" s="750" t="n">
        <v>173</v>
      </c>
      <c r="S146" s="751" t="n">
        <v>1967875</v>
      </c>
      <c r="T146" s="749" t="inlineStr"/>
    </row>
    <row r="147">
      <c r="A147" s="741" t="n">
        <v>851</v>
      </c>
      <c r="B147" s="742" t="inlineStr">
        <is>
          <t>401 Center Dr</t>
        </is>
      </c>
      <c r="C147" s="741" t="inlineStr">
        <is>
          <t>Superior</t>
        </is>
      </c>
      <c r="D147" s="741" t="inlineStr">
        <is>
          <t>Boulder</t>
        </is>
      </c>
      <c r="E147" s="741" t="inlineStr">
        <is>
          <t>Retail Center</t>
        </is>
      </c>
      <c r="F147" s="741" t="inlineStr">
        <is>
          <t>Ihop</t>
        </is>
      </c>
      <c r="G147" s="741" t="n">
        <v>414</v>
      </c>
      <c r="H147" s="743" t="inlineStr">
        <is>
          <t>414 - Regional Shopping Center</t>
        </is>
      </c>
      <c r="I147" s="742" t="inlineStr">
        <is>
          <t>Regional Shopping Centers</t>
        </is>
      </c>
      <c r="J147" s="741" t="inlineStr">
        <is>
          <t>Sec.13 p.35</t>
        </is>
      </c>
      <c r="K147" s="744" t="n">
        <v>3784</v>
      </c>
      <c r="L147" s="744" t="n">
        <v>38333</v>
      </c>
      <c r="M147" s="745" t="inlineStr">
        <is>
          <t>C</t>
        </is>
      </c>
      <c r="N147" s="745" t="inlineStr">
        <is>
          <t>Average</t>
        </is>
      </c>
      <c r="O147" s="745" t="inlineStr">
        <is>
          <t>Typical</t>
        </is>
      </c>
      <c r="P147" s="745" t="n">
        <v>2001</v>
      </c>
      <c r="Q147" s="741" t="n">
        <v>23</v>
      </c>
      <c r="R147" s="746" t="n">
        <v>153</v>
      </c>
      <c r="S147" s="747" t="n">
        <v>578952</v>
      </c>
      <c r="T147" s="742" t="inlineStr"/>
    </row>
    <row r="148">
      <c r="A148" s="748" t="n">
        <v>852</v>
      </c>
      <c r="B148" s="749" t="inlineStr">
        <is>
          <t>3210 Arapahoe Ave</t>
        </is>
      </c>
      <c r="C148" s="748" t="inlineStr">
        <is>
          <t>Boulder</t>
        </is>
      </c>
      <c r="D148" s="748" t="inlineStr">
        <is>
          <t>Boulder</t>
        </is>
      </c>
      <c r="E148" s="748" t="inlineStr">
        <is>
          <t>Fast Food</t>
        </is>
      </c>
      <c r="F148" s="748" t="inlineStr">
        <is>
          <t>KFC/Taco Bell</t>
        </is>
      </c>
      <c r="G148" s="748" t="n">
        <v>349</v>
      </c>
      <c r="H148" s="743" t="inlineStr">
        <is>
          <t>349 - Fast Food Restaurant</t>
        </is>
      </c>
      <c r="I148" s="749" t="inlineStr">
        <is>
          <t>Restaurants – Fast Food</t>
        </is>
      </c>
      <c r="J148" s="748" t="inlineStr">
        <is>
          <t>Sec.13 p.17</t>
        </is>
      </c>
      <c r="K148" s="744" t="n">
        <v>2996</v>
      </c>
      <c r="L148" s="744" t="n">
        <v>43560</v>
      </c>
      <c r="M148" s="745" t="inlineStr">
        <is>
          <t>C</t>
        </is>
      </c>
      <c r="N148" s="745" t="inlineStr">
        <is>
          <t>Average</t>
        </is>
      </c>
      <c r="O148" s="745" t="inlineStr">
        <is>
          <t>Typical</t>
        </is>
      </c>
      <c r="P148" s="745" t="n">
        <v>2003</v>
      </c>
      <c r="Q148" s="748" t="n">
        <v>21</v>
      </c>
      <c r="R148" s="750" t="n">
        <v>191</v>
      </c>
      <c r="S148" s="751" t="n">
        <v>572236</v>
      </c>
      <c r="T148" s="749" t="inlineStr"/>
    </row>
    <row r="149">
      <c r="A149" s="741" t="n">
        <v>853</v>
      </c>
      <c r="B149" s="742" t="inlineStr">
        <is>
          <t>1941 Terry St</t>
        </is>
      </c>
      <c r="C149" s="741" t="inlineStr">
        <is>
          <t>Longmont</t>
        </is>
      </c>
      <c r="D149" s="741" t="inlineStr">
        <is>
          <t>Boulder</t>
        </is>
      </c>
      <c r="E149" s="741" t="inlineStr">
        <is>
          <t>Daycare</t>
        </is>
      </c>
      <c r="F149" s="741" t="inlineStr">
        <is>
          <t>Kid City USA</t>
        </is>
      </c>
      <c r="G149" s="741" t="n">
        <v>426</v>
      </c>
      <c r="H149" s="743" t="inlineStr">
        <is>
          <t>426 - Day Care Center</t>
        </is>
      </c>
      <c r="I149" s="742" t="inlineStr">
        <is>
          <t>Day Care Centers</t>
        </is>
      </c>
      <c r="J149" s="741" t="inlineStr">
        <is>
          <t>Sec.18 p.13</t>
        </is>
      </c>
      <c r="K149" s="744" t="n">
        <v>4900</v>
      </c>
      <c r="L149" s="744" t="n">
        <v>24394</v>
      </c>
      <c r="M149" s="745" t="inlineStr">
        <is>
          <t>C</t>
        </is>
      </c>
      <c r="N149" s="745" t="inlineStr">
        <is>
          <t>Average</t>
        </is>
      </c>
      <c r="O149" s="745" t="inlineStr">
        <is>
          <t>Typical</t>
        </is>
      </c>
      <c r="P149" s="745" t="n">
        <v>1983</v>
      </c>
      <c r="Q149" s="741" t="n">
        <v>41</v>
      </c>
      <c r="R149" s="746" t="n">
        <v>173</v>
      </c>
      <c r="S149" s="747" t="n">
        <v>847700</v>
      </c>
      <c r="T149" s="742" t="inlineStr"/>
    </row>
    <row r="150">
      <c r="A150" s="748" t="n">
        <v>854</v>
      </c>
      <c r="B150" s="749" t="inlineStr">
        <is>
          <t>107 McCaslin Blvd</t>
        </is>
      </c>
      <c r="C150" s="748" t="inlineStr">
        <is>
          <t>Louisville</t>
        </is>
      </c>
      <c r="D150" s="748" t="inlineStr">
        <is>
          <t>Boulder</t>
        </is>
      </c>
      <c r="E150" s="748" t="inlineStr">
        <is>
          <t>Daycare</t>
        </is>
      </c>
      <c r="F150" s="748" t="inlineStr">
        <is>
          <t>KinderCare</t>
        </is>
      </c>
      <c r="G150" s="748" t="n">
        <v>426</v>
      </c>
      <c r="H150" s="743" t="inlineStr">
        <is>
          <t>426 - Day Care Center</t>
        </is>
      </c>
      <c r="I150" s="749" t="inlineStr">
        <is>
          <t>Day Care Centers</t>
        </is>
      </c>
      <c r="J150" s="748" t="inlineStr">
        <is>
          <t>Sec.18 p.13</t>
        </is>
      </c>
      <c r="K150" s="744" t="n">
        <v>10500</v>
      </c>
      <c r="L150" s="744" t="n">
        <v>84942</v>
      </c>
      <c r="M150" s="745" t="inlineStr">
        <is>
          <t>C</t>
        </is>
      </c>
      <c r="N150" s="745" t="inlineStr">
        <is>
          <t>Average</t>
        </is>
      </c>
      <c r="O150" s="745" t="inlineStr">
        <is>
          <t>Typical</t>
        </is>
      </c>
      <c r="P150" s="745" t="n">
        <v>1996</v>
      </c>
      <c r="Q150" s="748" t="n">
        <v>28</v>
      </c>
      <c r="R150" s="750" t="n">
        <v>173</v>
      </c>
      <c r="S150" s="751" t="n">
        <v>1816500</v>
      </c>
      <c r="T150" s="749" t="inlineStr"/>
    </row>
    <row r="151">
      <c r="A151" s="741" t="n">
        <v>855</v>
      </c>
      <c r="B151" s="742" t="inlineStr">
        <is>
          <t>1411 Hecla Way</t>
        </is>
      </c>
      <c r="C151" s="741" t="inlineStr">
        <is>
          <t>Louisville</t>
        </is>
      </c>
      <c r="D151" s="741" t="inlineStr">
        <is>
          <t>Boulder</t>
        </is>
      </c>
      <c r="E151" s="741" t="inlineStr">
        <is>
          <t>Auto Parts</t>
        </is>
      </c>
      <c r="F151" s="741" t="inlineStr">
        <is>
          <t>NAPA</t>
        </is>
      </c>
      <c r="G151" s="741" t="n">
        <v>353</v>
      </c>
      <c r="H151" s="743" t="inlineStr">
        <is>
          <t>353 - Retail Store</t>
        </is>
      </c>
      <c r="I151" s="742" t="inlineStr">
        <is>
          <t>Retail Stores</t>
        </is>
      </c>
      <c r="J151" s="741" t="inlineStr">
        <is>
          <t>Sec.13 p.26</t>
        </is>
      </c>
      <c r="K151" s="744" t="n">
        <v>11464</v>
      </c>
      <c r="L151" s="744" t="n">
        <v>30352</v>
      </c>
      <c r="M151" s="745" t="inlineStr">
        <is>
          <t>C</t>
        </is>
      </c>
      <c r="N151" s="745" t="inlineStr">
        <is>
          <t>Average</t>
        </is>
      </c>
      <c r="O151" s="745" t="inlineStr">
        <is>
          <t>Typical</t>
        </is>
      </c>
      <c r="P151" s="745" t="n">
        <v>2002</v>
      </c>
      <c r="Q151" s="741" t="n">
        <v>22</v>
      </c>
      <c r="R151" s="746" t="n">
        <v>117</v>
      </c>
      <c r="S151" s="747" t="n">
        <v>1341288</v>
      </c>
      <c r="T151" s="742" t="inlineStr"/>
    </row>
    <row r="152">
      <c r="A152" s="748" t="n">
        <v>856</v>
      </c>
      <c r="B152" s="749" t="inlineStr">
        <is>
          <t>1417 Main St</t>
        </is>
      </c>
      <c r="C152" s="748" t="inlineStr">
        <is>
          <t>Longmont</t>
        </is>
      </c>
      <c r="D152" s="748" t="inlineStr">
        <is>
          <t>Boulder</t>
        </is>
      </c>
      <c r="E152" s="748" t="inlineStr">
        <is>
          <t>Auto Parts</t>
        </is>
      </c>
      <c r="F152" s="748" t="inlineStr">
        <is>
          <t>O'Reilly Auto Parts</t>
        </is>
      </c>
      <c r="G152" s="748" t="n">
        <v>353</v>
      </c>
      <c r="H152" s="743" t="inlineStr">
        <is>
          <t>353 - Retail Store</t>
        </is>
      </c>
      <c r="I152" s="749" t="inlineStr">
        <is>
          <t>Retail Stores</t>
        </is>
      </c>
      <c r="J152" s="748" t="inlineStr">
        <is>
          <t>Sec.13 p.26</t>
        </is>
      </c>
      <c r="K152" s="744" t="n">
        <v>7000</v>
      </c>
      <c r="L152" s="744" t="n">
        <v>27878</v>
      </c>
      <c r="M152" s="745" t="inlineStr">
        <is>
          <t>C</t>
        </is>
      </c>
      <c r="N152" s="745" t="inlineStr">
        <is>
          <t>Average</t>
        </is>
      </c>
      <c r="O152" s="745" t="inlineStr">
        <is>
          <t>Typical</t>
        </is>
      </c>
      <c r="P152" s="745" t="n">
        <v>1999</v>
      </c>
      <c r="Q152" s="748" t="n">
        <v>25</v>
      </c>
      <c r="R152" s="750" t="n">
        <v>117</v>
      </c>
      <c r="S152" s="751" t="n">
        <v>819000</v>
      </c>
      <c r="T152" s="749" t="inlineStr"/>
    </row>
    <row r="153">
      <c r="A153" s="741" t="n">
        <v>857</v>
      </c>
      <c r="B153" s="742" t="inlineStr">
        <is>
          <t>301 Center Dr</t>
        </is>
      </c>
      <c r="C153" s="741" t="inlineStr">
        <is>
          <t>Superior</t>
        </is>
      </c>
      <c r="D153" s="741" t="inlineStr">
        <is>
          <t>Boulder</t>
        </is>
      </c>
      <c r="E153" s="741" t="inlineStr">
        <is>
          <t>Fast Food</t>
        </is>
      </c>
      <c r="F153" s="741" t="inlineStr">
        <is>
          <t>Panda Express</t>
        </is>
      </c>
      <c r="G153" s="741" t="n">
        <v>349</v>
      </c>
      <c r="H153" s="743" t="inlineStr">
        <is>
          <t>349 - Fast Food Restaurant</t>
        </is>
      </c>
      <c r="I153" s="742" t="inlineStr">
        <is>
          <t>Restaurants – Fast Food</t>
        </is>
      </c>
      <c r="J153" s="741" t="inlineStr">
        <is>
          <t>Sec.13 p.17</t>
        </is>
      </c>
      <c r="K153" s="744" t="n">
        <v>2500</v>
      </c>
      <c r="L153" s="744" t="n">
        <v>34526</v>
      </c>
      <c r="M153" s="745" t="inlineStr">
        <is>
          <t>C</t>
        </is>
      </c>
      <c r="N153" s="745" t="inlineStr">
        <is>
          <t>Average</t>
        </is>
      </c>
      <c r="O153" s="745" t="inlineStr">
        <is>
          <t>Typical</t>
        </is>
      </c>
      <c r="P153" s="745" t="n">
        <v>2005</v>
      </c>
      <c r="Q153" s="741" t="n">
        <v>19</v>
      </c>
      <c r="R153" s="746" t="n">
        <v>191</v>
      </c>
      <c r="S153" s="747" t="n">
        <v>477500</v>
      </c>
      <c r="T153" s="742" t="inlineStr"/>
    </row>
    <row r="154">
      <c r="A154" s="748" t="n">
        <v>858</v>
      </c>
      <c r="B154" s="749" t="inlineStr">
        <is>
          <t>425 Ken Pratt Blvd</t>
        </is>
      </c>
      <c r="C154" s="748" t="inlineStr">
        <is>
          <t>Longmont</t>
        </is>
      </c>
      <c r="D154" s="748" t="inlineStr">
        <is>
          <t>Boulder</t>
        </is>
      </c>
      <c r="E154" s="748" t="inlineStr">
        <is>
          <t>Fast Food</t>
        </is>
      </c>
      <c r="F154" s="748" t="inlineStr">
        <is>
          <t>Panera Bread</t>
        </is>
      </c>
      <c r="G154" s="748" t="n">
        <v>349</v>
      </c>
      <c r="H154" s="743" t="inlineStr">
        <is>
          <t>349 - Fast Food Restaurant</t>
        </is>
      </c>
      <c r="I154" s="749" t="inlineStr">
        <is>
          <t>Restaurants – Fast Food</t>
        </is>
      </c>
      <c r="J154" s="748" t="inlineStr">
        <is>
          <t>Sec.13 p.17</t>
        </is>
      </c>
      <c r="K154" s="744" t="n">
        <v>5234</v>
      </c>
      <c r="L154" s="744" t="n">
        <v>49035</v>
      </c>
      <c r="M154" s="745" t="inlineStr">
        <is>
          <t>C</t>
        </is>
      </c>
      <c r="N154" s="745" t="inlineStr">
        <is>
          <t>Good</t>
        </is>
      </c>
      <c r="O154" s="745" t="inlineStr">
        <is>
          <t>Typical</t>
        </is>
      </c>
      <c r="P154" s="745" t="n">
        <v>2005</v>
      </c>
      <c r="Q154" s="748" t="n">
        <v>19</v>
      </c>
      <c r="R154" s="750" t="n">
        <v>246</v>
      </c>
      <c r="S154" s="751" t="n">
        <v>1287564</v>
      </c>
      <c r="T154" s="749" t="inlineStr"/>
    </row>
    <row r="155">
      <c r="A155" s="741" t="n">
        <v>859</v>
      </c>
      <c r="B155" s="742" t="inlineStr">
        <is>
          <t>844 Ken Pratt Blvd</t>
        </is>
      </c>
      <c r="C155" s="741" t="inlineStr">
        <is>
          <t>Longmont</t>
        </is>
      </c>
      <c r="D155" s="741" t="inlineStr">
        <is>
          <t>Boulder</t>
        </is>
      </c>
      <c r="E155" s="741" t="inlineStr">
        <is>
          <t>Coffee</t>
        </is>
      </c>
      <c r="F155" s="741" t="inlineStr">
        <is>
          <t>Starbucks</t>
        </is>
      </c>
      <c r="G155" s="741" t="n">
        <v>349</v>
      </c>
      <c r="H155" s="743" t="inlineStr">
        <is>
          <t>349 - Fast Food Restaurant</t>
        </is>
      </c>
      <c r="I155" s="742" t="inlineStr">
        <is>
          <t>Restaurants – Fast Food</t>
        </is>
      </c>
      <c r="J155" s="741" t="inlineStr">
        <is>
          <t>Sec.13 p.17</t>
        </is>
      </c>
      <c r="K155" s="744" t="n">
        <v>2200</v>
      </c>
      <c r="L155" s="744" t="n">
        <v>22216</v>
      </c>
      <c r="M155" s="745" t="inlineStr">
        <is>
          <t>C</t>
        </is>
      </c>
      <c r="N155" s="745" t="inlineStr">
        <is>
          <t>Good</t>
        </is>
      </c>
      <c r="O155" s="745" t="inlineStr">
        <is>
          <t>Typical</t>
        </is>
      </c>
      <c r="P155" s="745" t="n">
        <v>2016</v>
      </c>
      <c r="Q155" s="741" t="n">
        <v>8</v>
      </c>
      <c r="R155" s="746" t="n">
        <v>246</v>
      </c>
      <c r="S155" s="747" t="n">
        <v>541200</v>
      </c>
      <c r="T155" s="742" t="inlineStr"/>
    </row>
    <row r="156">
      <c r="A156" s="748" t="n">
        <v>860</v>
      </c>
      <c r="B156" s="749" t="inlineStr">
        <is>
          <t>305 Ken Pratt Blvd</t>
        </is>
      </c>
      <c r="C156" s="748" t="inlineStr">
        <is>
          <t>Longmont</t>
        </is>
      </c>
      <c r="D156" s="748" t="inlineStr">
        <is>
          <t>Boulder</t>
        </is>
      </c>
      <c r="E156" s="748" t="inlineStr">
        <is>
          <t>Fast Food</t>
        </is>
      </c>
      <c r="F156" s="748" t="inlineStr">
        <is>
          <t>Taco Palace</t>
        </is>
      </c>
      <c r="G156" s="748" t="n">
        <v>349</v>
      </c>
      <c r="H156" s="743" t="inlineStr">
        <is>
          <t>349 - Fast Food Restaurant</t>
        </is>
      </c>
      <c r="I156" s="749" t="inlineStr">
        <is>
          <t>Restaurants – Fast Food</t>
        </is>
      </c>
      <c r="J156" s="748" t="inlineStr">
        <is>
          <t>Sec.13 p.17</t>
        </is>
      </c>
      <c r="K156" s="744" t="n">
        <v>2369</v>
      </c>
      <c r="L156" s="744" t="n">
        <v>40511</v>
      </c>
      <c r="M156" s="745" t="inlineStr">
        <is>
          <t>C</t>
        </is>
      </c>
      <c r="N156" s="745" t="inlineStr">
        <is>
          <t>Average</t>
        </is>
      </c>
      <c r="O156" s="745" t="inlineStr">
        <is>
          <t>Typical</t>
        </is>
      </c>
      <c r="P156" s="745" t="n">
        <v>2006</v>
      </c>
      <c r="Q156" s="748" t="n">
        <v>18</v>
      </c>
      <c r="R156" s="750" t="n">
        <v>191</v>
      </c>
      <c r="S156" s="751" t="n">
        <v>452479</v>
      </c>
      <c r="T156" s="749" t="inlineStr"/>
    </row>
    <row r="157">
      <c r="A157" s="741" t="n">
        <v>861</v>
      </c>
      <c r="B157" s="742" t="inlineStr">
        <is>
          <t>3210 Arapahoe Ave</t>
        </is>
      </c>
      <c r="C157" s="741" t="inlineStr">
        <is>
          <t>Boulder</t>
        </is>
      </c>
      <c r="D157" s="741" t="inlineStr">
        <is>
          <t>Boulder</t>
        </is>
      </c>
      <c r="E157" s="741" t="inlineStr">
        <is>
          <t>Fast Food</t>
        </is>
      </c>
      <c r="F157" s="741" t="inlineStr">
        <is>
          <t>Voodoo Doughnut</t>
        </is>
      </c>
      <c r="G157" s="741" t="n">
        <v>349</v>
      </c>
      <c r="H157" s="743" t="inlineStr">
        <is>
          <t>349 - Fast Food Restaurant</t>
        </is>
      </c>
      <c r="I157" s="742" t="inlineStr">
        <is>
          <t>Restaurants – Fast Food</t>
        </is>
      </c>
      <c r="J157" s="741" t="inlineStr">
        <is>
          <t>Sec.13 p.17</t>
        </is>
      </c>
      <c r="K157" s="744" t="n">
        <v>2996</v>
      </c>
      <c r="L157" s="744" t="n">
        <v>43560</v>
      </c>
      <c r="M157" s="745" t="inlineStr">
        <is>
          <t>C</t>
        </is>
      </c>
      <c r="N157" s="745" t="inlineStr">
        <is>
          <t>Average</t>
        </is>
      </c>
      <c r="O157" s="745" t="inlineStr">
        <is>
          <t>Typical</t>
        </is>
      </c>
      <c r="P157" s="745" t="n">
        <v>2003</v>
      </c>
      <c r="Q157" s="741" t="n">
        <v>21</v>
      </c>
      <c r="R157" s="746" t="n">
        <v>191</v>
      </c>
      <c r="S157" s="747" t="n">
        <v>572236</v>
      </c>
      <c r="T157" s="742" t="inlineStr"/>
    </row>
    <row r="158">
      <c r="A158" s="748" t="n">
        <v>862</v>
      </c>
      <c r="B158" s="749" t="inlineStr">
        <is>
          <t>5520 W 120th Ave</t>
        </is>
      </c>
      <c r="C158" s="748" t="inlineStr">
        <is>
          <t>Broomfield</t>
        </is>
      </c>
      <c r="D158" s="748" t="inlineStr">
        <is>
          <t>Broomfield</t>
        </is>
      </c>
      <c r="E158" s="748" t="inlineStr">
        <is>
          <t>Auto Parts</t>
        </is>
      </c>
      <c r="F158" s="748" t="inlineStr">
        <is>
          <t>Advance Auto Parts</t>
        </is>
      </c>
      <c r="G158" s="748" t="n">
        <v>353</v>
      </c>
      <c r="H158" s="743" t="inlineStr">
        <is>
          <t>353 - Retail Store</t>
        </is>
      </c>
      <c r="I158" s="749" t="inlineStr">
        <is>
          <t>Retail Stores</t>
        </is>
      </c>
      <c r="J158" s="748" t="inlineStr">
        <is>
          <t>Sec.13 p.26</t>
        </is>
      </c>
      <c r="K158" s="744" t="n">
        <v>7000</v>
      </c>
      <c r="L158" s="744" t="n">
        <v>42253</v>
      </c>
      <c r="M158" s="745" t="inlineStr">
        <is>
          <t>C</t>
        </is>
      </c>
      <c r="N158" s="745" t="inlineStr">
        <is>
          <t>Average</t>
        </is>
      </c>
      <c r="O158" s="745" t="inlineStr">
        <is>
          <t>Typical</t>
        </is>
      </c>
      <c r="P158" s="745" t="n">
        <v>2006</v>
      </c>
      <c r="Q158" s="748" t="n">
        <v>18</v>
      </c>
      <c r="R158" s="750" t="n">
        <v>117</v>
      </c>
      <c r="S158" s="751" t="n">
        <v>819000</v>
      </c>
      <c r="T158" s="749" t="inlineStr"/>
    </row>
    <row r="159">
      <c r="A159" s="741" t="n">
        <v>863</v>
      </c>
      <c r="B159" s="742" t="inlineStr">
        <is>
          <t>16812 Sheridan Pky</t>
        </is>
      </c>
      <c r="C159" s="741" t="inlineStr">
        <is>
          <t>Broomfield</t>
        </is>
      </c>
      <c r="D159" s="741" t="inlineStr">
        <is>
          <t>Broomfield</t>
        </is>
      </c>
      <c r="E159" s="741" t="inlineStr">
        <is>
          <t>Auto Parts</t>
        </is>
      </c>
      <c r="F159" s="741" t="inlineStr">
        <is>
          <t>AutoZone</t>
        </is>
      </c>
      <c r="G159" s="741" t="n">
        <v>353</v>
      </c>
      <c r="H159" s="743" t="inlineStr">
        <is>
          <t>353 - Retail Store</t>
        </is>
      </c>
      <c r="I159" s="742" t="inlineStr">
        <is>
          <t>Retail Stores</t>
        </is>
      </c>
      <c r="J159" s="741" t="inlineStr">
        <is>
          <t>Sec.13 p.26</t>
        </is>
      </c>
      <c r="K159" s="744" t="n">
        <v>7400</v>
      </c>
      <c r="L159" s="744" t="n">
        <v>42253</v>
      </c>
      <c r="M159" s="745" t="inlineStr">
        <is>
          <t>C</t>
        </is>
      </c>
      <c r="N159" s="745" t="inlineStr">
        <is>
          <t>Good</t>
        </is>
      </c>
      <c r="O159" s="745" t="inlineStr">
        <is>
          <t>Typical</t>
        </is>
      </c>
      <c r="P159" s="745" t="n">
        <v>2019</v>
      </c>
      <c r="Q159" s="741" t="n">
        <v>5</v>
      </c>
      <c r="R159" s="746" t="n">
        <v>154</v>
      </c>
      <c r="S159" s="747" t="n">
        <v>1139600</v>
      </c>
      <c r="T159" s="742" t="inlineStr"/>
    </row>
    <row r="160">
      <c r="A160" s="748" t="n">
        <v>864</v>
      </c>
      <c r="B160" s="749" t="inlineStr">
        <is>
          <t>6430 W 120th Ave</t>
        </is>
      </c>
      <c r="C160" s="748" t="inlineStr">
        <is>
          <t>Broomfield</t>
        </is>
      </c>
      <c r="D160" s="748" t="inlineStr">
        <is>
          <t>Broomfield</t>
        </is>
      </c>
      <c r="E160" s="748" t="inlineStr">
        <is>
          <t>Auto Service</t>
        </is>
      </c>
      <c r="F160" s="748" t="inlineStr">
        <is>
          <t>Big O Tires</t>
        </is>
      </c>
      <c r="G160" s="748" t="n">
        <v>410</v>
      </c>
      <c r="H160" s="743" t="inlineStr">
        <is>
          <t>410 - Automotive Center</t>
        </is>
      </c>
      <c r="I160" s="749" t="inlineStr">
        <is>
          <t>Automotive Service Centers</t>
        </is>
      </c>
      <c r="J160" s="748" t="inlineStr">
        <is>
          <t>Sec.14 p.31</t>
        </is>
      </c>
      <c r="K160" s="744" t="n">
        <v>4608</v>
      </c>
      <c r="L160" s="744" t="n">
        <v>32234</v>
      </c>
      <c r="M160" s="745" t="inlineStr">
        <is>
          <t>S</t>
        </is>
      </c>
      <c r="N160" s="745" t="inlineStr">
        <is>
          <t>Average</t>
        </is>
      </c>
      <c r="O160" s="745" t="inlineStr">
        <is>
          <t>Typical</t>
        </is>
      </c>
      <c r="P160" s="745" t="n">
        <v>1997</v>
      </c>
      <c r="Q160" s="748" t="n">
        <v>27</v>
      </c>
      <c r="R160" s="750" t="n">
        <v>97.5</v>
      </c>
      <c r="S160" s="751" t="n">
        <v>449280</v>
      </c>
      <c r="T160" s="749" t="inlineStr"/>
    </row>
    <row r="161">
      <c r="A161" s="741" t="n">
        <v>865</v>
      </c>
      <c r="B161" s="742" t="inlineStr">
        <is>
          <t>565 Us-287</t>
        </is>
      </c>
      <c r="C161" s="741" t="inlineStr">
        <is>
          <t>Broomfield</t>
        </is>
      </c>
      <c r="D161" s="741" t="inlineStr">
        <is>
          <t>Broomfield</t>
        </is>
      </c>
      <c r="E161" s="741" t="inlineStr">
        <is>
          <t>Fast Food</t>
        </is>
      </c>
      <c r="F161" s="741" t="inlineStr">
        <is>
          <t>Brothers BBQ 4</t>
        </is>
      </c>
      <c r="G161" s="741" t="n">
        <v>349</v>
      </c>
      <c r="H161" s="743" t="inlineStr">
        <is>
          <t>349 - Fast Food Restaurant</t>
        </is>
      </c>
      <c r="I161" s="742" t="inlineStr">
        <is>
          <t>Restaurants – Fast Food</t>
        </is>
      </c>
      <c r="J161" s="741" t="inlineStr">
        <is>
          <t>Sec.13 p.17</t>
        </is>
      </c>
      <c r="K161" s="744" t="n">
        <v>5035</v>
      </c>
      <c r="L161" s="744" t="n">
        <v>22651</v>
      </c>
      <c r="M161" s="745" t="inlineStr">
        <is>
          <t>C</t>
        </is>
      </c>
      <c r="N161" s="745" t="inlineStr">
        <is>
          <t>Average</t>
        </is>
      </c>
      <c r="O161" s="745" t="inlineStr">
        <is>
          <t>Typical</t>
        </is>
      </c>
      <c r="P161" s="745" t="n">
        <v>1978</v>
      </c>
      <c r="Q161" s="741" t="n">
        <v>46</v>
      </c>
      <c r="R161" s="746" t="n">
        <v>191</v>
      </c>
      <c r="S161" s="747" t="n">
        <v>961685</v>
      </c>
      <c r="T161" s="742" t="inlineStr"/>
    </row>
    <row r="162">
      <c r="A162" s="748" t="n">
        <v>866</v>
      </c>
      <c r="B162" s="749" t="inlineStr">
        <is>
          <t>6801 W 120th Ave</t>
        </is>
      </c>
      <c r="C162" s="748" t="inlineStr">
        <is>
          <t>Broomfield</t>
        </is>
      </c>
      <c r="D162" s="748" t="inlineStr">
        <is>
          <t>Broomfield</t>
        </is>
      </c>
      <c r="E162" s="748" t="inlineStr">
        <is>
          <t>Fast Food</t>
        </is>
      </c>
      <c r="F162" s="748" t="inlineStr">
        <is>
          <t>Burger King</t>
        </is>
      </c>
      <c r="G162" s="748" t="n">
        <v>349</v>
      </c>
      <c r="H162" s="743" t="inlineStr">
        <is>
          <t>349 - Fast Food Restaurant</t>
        </is>
      </c>
      <c r="I162" s="749" t="inlineStr">
        <is>
          <t>Restaurants – Fast Food</t>
        </is>
      </c>
      <c r="J162" s="748" t="inlineStr">
        <is>
          <t>Sec.13 p.17</t>
        </is>
      </c>
      <c r="K162" s="744" t="n">
        <v>3454</v>
      </c>
      <c r="L162" s="744" t="n">
        <v>20038</v>
      </c>
      <c r="M162" s="745" t="inlineStr">
        <is>
          <t>C</t>
        </is>
      </c>
      <c r="N162" s="745" t="inlineStr">
        <is>
          <t>Average</t>
        </is>
      </c>
      <c r="O162" s="745" t="inlineStr">
        <is>
          <t>Typical</t>
        </is>
      </c>
      <c r="P162" s="745" t="n">
        <v>1986</v>
      </c>
      <c r="Q162" s="748" t="n">
        <v>38</v>
      </c>
      <c r="R162" s="750" t="n">
        <v>191</v>
      </c>
      <c r="S162" s="751" t="n">
        <v>659714</v>
      </c>
      <c r="T162" s="749" t="inlineStr"/>
    </row>
    <row r="163">
      <c r="A163" s="741" t="n">
        <v>867</v>
      </c>
      <c r="B163" s="742" t="inlineStr">
        <is>
          <t>6801 W 120th Ave</t>
        </is>
      </c>
      <c r="C163" s="741" t="inlineStr">
        <is>
          <t>Broomfield</t>
        </is>
      </c>
      <c r="D163" s="741" t="inlineStr">
        <is>
          <t>Broomfield</t>
        </is>
      </c>
      <c r="E163" s="741" t="inlineStr">
        <is>
          <t>Fast Food</t>
        </is>
      </c>
      <c r="F163" s="741" t="inlineStr">
        <is>
          <t>Burger King</t>
        </is>
      </c>
      <c r="G163" s="741" t="n">
        <v>349</v>
      </c>
      <c r="H163" s="743" t="inlineStr">
        <is>
          <t>349 - Fast Food Restaurant</t>
        </is>
      </c>
      <c r="I163" s="742" t="inlineStr">
        <is>
          <t>Restaurants – Fast Food</t>
        </is>
      </c>
      <c r="J163" s="741" t="inlineStr">
        <is>
          <t>Sec.13 p.17</t>
        </is>
      </c>
      <c r="K163" s="744" t="n">
        <v>3454</v>
      </c>
      <c r="L163" s="744" t="n">
        <v>20038</v>
      </c>
      <c r="M163" s="745" t="inlineStr">
        <is>
          <t>C</t>
        </is>
      </c>
      <c r="N163" s="745" t="inlineStr">
        <is>
          <t>Average</t>
        </is>
      </c>
      <c r="O163" s="745" t="inlineStr">
        <is>
          <t>Typical</t>
        </is>
      </c>
      <c r="P163" s="745" t="n">
        <v>1986</v>
      </c>
      <c r="Q163" s="741" t="n">
        <v>38</v>
      </c>
      <c r="R163" s="746" t="n">
        <v>191</v>
      </c>
      <c r="S163" s="747" t="n">
        <v>659714</v>
      </c>
      <c r="T163" s="742" t="inlineStr"/>
    </row>
    <row r="164">
      <c r="A164" s="748" t="n">
        <v>868</v>
      </c>
      <c r="B164" s="749" t="inlineStr">
        <is>
          <t>7085 W 119th Pl</t>
        </is>
      </c>
      <c r="C164" s="748" t="inlineStr">
        <is>
          <t>Broomfield</t>
        </is>
      </c>
      <c r="D164" s="748" t="inlineStr">
        <is>
          <t>Broomfield</t>
        </is>
      </c>
      <c r="E164" s="748" t="inlineStr">
        <is>
          <t>Daycare</t>
        </is>
      </c>
      <c r="F164" s="748" t="inlineStr">
        <is>
          <t>Children's Garden</t>
        </is>
      </c>
      <c r="G164" s="748" t="n">
        <v>426</v>
      </c>
      <c r="H164" s="743" t="inlineStr">
        <is>
          <t>426 - Day Care Center</t>
        </is>
      </c>
      <c r="I164" s="749" t="inlineStr">
        <is>
          <t>Day Care Centers</t>
        </is>
      </c>
      <c r="J164" s="748" t="inlineStr">
        <is>
          <t>Sec.18 p.13</t>
        </is>
      </c>
      <c r="K164" s="744" t="n">
        <v>3090</v>
      </c>
      <c r="L164" s="744" t="n">
        <v>10454</v>
      </c>
      <c r="M164" s="745" t="inlineStr">
        <is>
          <t>C</t>
        </is>
      </c>
      <c r="N164" s="745" t="inlineStr">
        <is>
          <t>Average</t>
        </is>
      </c>
      <c r="O164" s="745" t="inlineStr">
        <is>
          <t>Typical</t>
        </is>
      </c>
      <c r="P164" s="745" t="n">
        <v>1978</v>
      </c>
      <c r="Q164" s="748" t="n">
        <v>46</v>
      </c>
      <c r="R164" s="750" t="n">
        <v>173</v>
      </c>
      <c r="S164" s="751" t="n">
        <v>534570</v>
      </c>
      <c r="T164" s="749" t="inlineStr"/>
    </row>
    <row r="165">
      <c r="A165" s="741" t="n">
        <v>869</v>
      </c>
      <c r="B165" s="742" t="inlineStr">
        <is>
          <t>2411 E Midway Blvd</t>
        </is>
      </c>
      <c r="C165" s="741" t="inlineStr">
        <is>
          <t>Broomfield</t>
        </is>
      </c>
      <c r="D165" s="741" t="inlineStr">
        <is>
          <t>Broomfield</t>
        </is>
      </c>
      <c r="E165" s="741" t="inlineStr">
        <is>
          <t>Auto Service</t>
        </is>
      </c>
      <c r="F165" s="741" t="inlineStr">
        <is>
          <t>Christian Brothers Automotive</t>
        </is>
      </c>
      <c r="G165" s="741" t="n">
        <v>410</v>
      </c>
      <c r="H165" s="743" t="inlineStr">
        <is>
          <t>410 - Automotive Center</t>
        </is>
      </c>
      <c r="I165" s="742" t="inlineStr">
        <is>
          <t>Automotive Service Centers</t>
        </is>
      </c>
      <c r="J165" s="741" t="inlineStr">
        <is>
          <t>Sec.14 p.31</t>
        </is>
      </c>
      <c r="K165" s="744" t="n">
        <v>5940</v>
      </c>
      <c r="L165" s="744" t="n">
        <v>69696</v>
      </c>
      <c r="M165" s="745" t="inlineStr">
        <is>
          <t>S</t>
        </is>
      </c>
      <c r="N165" s="745" t="inlineStr">
        <is>
          <t>Average</t>
        </is>
      </c>
      <c r="O165" s="745" t="inlineStr">
        <is>
          <t>Typical</t>
        </is>
      </c>
      <c r="P165" s="745" t="n">
        <v>2020</v>
      </c>
      <c r="Q165" s="741" t="n">
        <v>4</v>
      </c>
      <c r="R165" s="746" t="n">
        <v>97.5</v>
      </c>
      <c r="S165" s="747" t="n">
        <v>579150</v>
      </c>
      <c r="T165" s="742" t="inlineStr">
        <is>
          <t>quality fell back to Average</t>
        </is>
      </c>
    </row>
    <row r="166">
      <c r="A166" s="748" t="n">
        <v>870</v>
      </c>
      <c r="B166" s="749" t="inlineStr">
        <is>
          <t>805 Burbank St</t>
        </is>
      </c>
      <c r="C166" s="748" t="inlineStr">
        <is>
          <t>Broomfield</t>
        </is>
      </c>
      <c r="D166" s="748" t="inlineStr">
        <is>
          <t>Broomfield</t>
        </is>
      </c>
      <c r="E166" s="748" t="inlineStr">
        <is>
          <t>Daycare</t>
        </is>
      </c>
      <c r="F166" s="748" t="inlineStr">
        <is>
          <t>Lil Friends</t>
        </is>
      </c>
      <c r="G166" s="748" t="n">
        <v>426</v>
      </c>
      <c r="H166" s="743" t="inlineStr">
        <is>
          <t>426 - Day Care Center</t>
        </is>
      </c>
      <c r="I166" s="749" t="inlineStr">
        <is>
          <t>Day Care Centers</t>
        </is>
      </c>
      <c r="J166" s="748" t="inlineStr">
        <is>
          <t>Sec.18 p.13</t>
        </is>
      </c>
      <c r="K166" s="744" t="n">
        <v>4950</v>
      </c>
      <c r="L166" s="744" t="n">
        <v>33106</v>
      </c>
      <c r="M166" s="745" t="inlineStr">
        <is>
          <t>C</t>
        </is>
      </c>
      <c r="N166" s="745" t="inlineStr">
        <is>
          <t>Average</t>
        </is>
      </c>
      <c r="O166" s="745" t="inlineStr">
        <is>
          <t>Typical</t>
        </is>
      </c>
      <c r="P166" s="745" t="n">
        <v>1982</v>
      </c>
      <c r="Q166" s="748" t="n">
        <v>42</v>
      </c>
      <c r="R166" s="750" t="n">
        <v>173</v>
      </c>
      <c r="S166" s="751" t="n">
        <v>856350</v>
      </c>
      <c r="T166" s="749" t="inlineStr"/>
    </row>
    <row r="167">
      <c r="A167" s="741" t="n">
        <v>871</v>
      </c>
      <c r="B167" s="742" t="inlineStr">
        <is>
          <t>4640 W 121st Ave</t>
        </is>
      </c>
      <c r="C167" s="741" t="inlineStr">
        <is>
          <t>Broomfield</t>
        </is>
      </c>
      <c r="D167" s="741" t="inlineStr">
        <is>
          <t>Broomfield</t>
        </is>
      </c>
      <c r="E167" s="741" t="inlineStr">
        <is>
          <t>Fast Food</t>
        </is>
      </c>
      <c r="F167" s="741" t="inlineStr">
        <is>
          <t>Raising Cane's</t>
        </is>
      </c>
      <c r="G167" s="741" t="n">
        <v>349</v>
      </c>
      <c r="H167" s="743" t="inlineStr">
        <is>
          <t>349 - Fast Food Restaurant</t>
        </is>
      </c>
      <c r="I167" s="742" t="inlineStr">
        <is>
          <t>Restaurants – Fast Food</t>
        </is>
      </c>
      <c r="J167" s="741" t="inlineStr">
        <is>
          <t>Sec.13 p.17</t>
        </is>
      </c>
      <c r="K167" s="744" t="n">
        <v>3447</v>
      </c>
      <c r="L167" s="744" t="n">
        <v>39204</v>
      </c>
      <c r="M167" s="745" t="inlineStr">
        <is>
          <t>C</t>
        </is>
      </c>
      <c r="N167" s="745" t="inlineStr">
        <is>
          <t>Good</t>
        </is>
      </c>
      <c r="O167" s="745" t="inlineStr">
        <is>
          <t>Typical</t>
        </is>
      </c>
      <c r="P167" s="745" t="n">
        <v>2011</v>
      </c>
      <c r="Q167" s="741" t="n">
        <v>13</v>
      </c>
      <c r="R167" s="746" t="n">
        <v>246</v>
      </c>
      <c r="S167" s="747" t="n">
        <v>847962</v>
      </c>
      <c r="T167" s="742" t="inlineStr"/>
    </row>
    <row r="168">
      <c r="A168" s="748" t="n">
        <v>872</v>
      </c>
      <c r="B168" s="749" t="inlineStr">
        <is>
          <t>11986 Colmans Way</t>
        </is>
      </c>
      <c r="C168" s="748" t="inlineStr">
        <is>
          <t>Broomfield</t>
        </is>
      </c>
      <c r="D168" s="748" t="inlineStr">
        <is>
          <t>Broomfield</t>
        </is>
      </c>
      <c r="E168" s="748" t="inlineStr">
        <is>
          <t>Auto Service</t>
        </is>
      </c>
      <c r="F168" s="748" t="inlineStr">
        <is>
          <t>Randy'S Auto</t>
        </is>
      </c>
      <c r="G168" s="748" t="n">
        <v>325</v>
      </c>
      <c r="H168" s="743" t="inlineStr">
        <is>
          <t>325 - Service Garage</t>
        </is>
      </c>
      <c r="I168" s="749" t="inlineStr">
        <is>
          <t>Service Garages (Commercial/Repair)</t>
        </is>
      </c>
      <c r="J168" s="748" t="inlineStr">
        <is>
          <t>Sec.14 p.32</t>
        </is>
      </c>
      <c r="K168" s="744" t="n">
        <v>3908</v>
      </c>
      <c r="L168" s="744" t="n">
        <v>13068</v>
      </c>
      <c r="M168" s="745" t="inlineStr">
        <is>
          <t>C</t>
        </is>
      </c>
      <c r="N168" s="745" t="inlineStr">
        <is>
          <t>Average</t>
        </is>
      </c>
      <c r="O168" s="745" t="inlineStr">
        <is>
          <t>Typical</t>
        </is>
      </c>
      <c r="P168" s="745" t="n">
        <v>2005</v>
      </c>
      <c r="Q168" s="748" t="n">
        <v>19</v>
      </c>
      <c r="R168" s="750" t="n">
        <v>79.5</v>
      </c>
      <c r="S168" s="751" t="n">
        <v>310686</v>
      </c>
      <c r="T168" s="749" t="inlineStr"/>
    </row>
    <row r="169">
      <c r="A169" s="741" t="n">
        <v>873</v>
      </c>
      <c r="B169" s="742" t="inlineStr">
        <is>
          <t>2400 Coalton Rd</t>
        </is>
      </c>
      <c r="C169" s="741" t="inlineStr">
        <is>
          <t>Superior</t>
        </is>
      </c>
      <c r="D169" s="741" t="inlineStr">
        <is>
          <t>Broomfield</t>
        </is>
      </c>
      <c r="E169" s="741" t="inlineStr">
        <is>
          <t>Fast Food</t>
        </is>
      </c>
      <c r="F169" s="741" t="inlineStr">
        <is>
          <t>Sonic</t>
        </is>
      </c>
      <c r="G169" s="741" t="n">
        <v>349</v>
      </c>
      <c r="H169" s="743" t="inlineStr">
        <is>
          <t>349 - Fast Food Restaurant</t>
        </is>
      </c>
      <c r="I169" s="742" t="inlineStr">
        <is>
          <t>Restaurants – Fast Food</t>
        </is>
      </c>
      <c r="J169" s="741" t="inlineStr">
        <is>
          <t>Sec.13 p.17</t>
        </is>
      </c>
      <c r="K169" s="744" t="n">
        <v>1621</v>
      </c>
      <c r="L169" s="744" t="n">
        <v>44213</v>
      </c>
      <c r="M169" s="745" t="inlineStr">
        <is>
          <t>C</t>
        </is>
      </c>
      <c r="N169" s="745" t="inlineStr">
        <is>
          <t>Average</t>
        </is>
      </c>
      <c r="O169" s="745" t="inlineStr">
        <is>
          <t>Typical</t>
        </is>
      </c>
      <c r="P169" s="745" t="n">
        <v>2005</v>
      </c>
      <c r="Q169" s="741" t="n">
        <v>19</v>
      </c>
      <c r="R169" s="746" t="n">
        <v>191</v>
      </c>
      <c r="S169" s="747" t="n">
        <v>309611</v>
      </c>
      <c r="T169" s="742" t="inlineStr"/>
    </row>
    <row r="170">
      <c r="A170" s="748" t="n">
        <v>874</v>
      </c>
      <c r="B170" s="749" t="inlineStr">
        <is>
          <t>60 W Flatiron Crossing Dr</t>
        </is>
      </c>
      <c r="C170" s="748" t="inlineStr">
        <is>
          <t>Broomfield</t>
        </is>
      </c>
      <c r="D170" s="748" t="inlineStr">
        <is>
          <t>Broomfield</t>
        </is>
      </c>
      <c r="E170" s="748" t="inlineStr">
        <is>
          <t>Fast Food</t>
        </is>
      </c>
      <c r="F170" s="748" t="inlineStr">
        <is>
          <t>Taco Bell</t>
        </is>
      </c>
      <c r="G170" s="748" t="n">
        <v>349</v>
      </c>
      <c r="H170" s="743" t="inlineStr">
        <is>
          <t>349 - Fast Food Restaurant</t>
        </is>
      </c>
      <c r="I170" s="749" t="inlineStr">
        <is>
          <t>Restaurants – Fast Food</t>
        </is>
      </c>
      <c r="J170" s="748" t="inlineStr">
        <is>
          <t>Sec.13 p.17</t>
        </is>
      </c>
      <c r="K170" s="744" t="n">
        <v>1966</v>
      </c>
      <c r="L170" s="744" t="n">
        <v>40511</v>
      </c>
      <c r="M170" s="745" t="inlineStr">
        <is>
          <t>C</t>
        </is>
      </c>
      <c r="N170" s="745" t="inlineStr">
        <is>
          <t>Good</t>
        </is>
      </c>
      <c r="O170" s="745" t="inlineStr">
        <is>
          <t>Typical</t>
        </is>
      </c>
      <c r="P170" s="745" t="n">
        <v>2015</v>
      </c>
      <c r="Q170" s="748" t="n">
        <v>9</v>
      </c>
      <c r="R170" s="750" t="n">
        <v>246</v>
      </c>
      <c r="S170" s="751" t="n">
        <v>483636</v>
      </c>
      <c r="T170" s="749" t="inlineStr"/>
    </row>
    <row r="171">
      <c r="A171" s="741" t="n">
        <v>875</v>
      </c>
      <c r="B171" s="742" t="inlineStr">
        <is>
          <t>300 Alter St</t>
        </is>
      </c>
      <c r="C171" s="741" t="inlineStr">
        <is>
          <t>Broomfield</t>
        </is>
      </c>
      <c r="D171" s="741" t="inlineStr">
        <is>
          <t>Broomfield</t>
        </is>
      </c>
      <c r="E171" s="741" t="inlineStr">
        <is>
          <t>Fast Food</t>
        </is>
      </c>
      <c r="F171" s="741" t="inlineStr">
        <is>
          <t>Tamale Kitchen</t>
        </is>
      </c>
      <c r="G171" s="741" t="n">
        <v>349</v>
      </c>
      <c r="H171" s="743" t="inlineStr">
        <is>
          <t>349 - Fast Food Restaurant</t>
        </is>
      </c>
      <c r="I171" s="742" t="inlineStr">
        <is>
          <t>Restaurants – Fast Food</t>
        </is>
      </c>
      <c r="J171" s="741" t="inlineStr">
        <is>
          <t>Sec.13 p.17</t>
        </is>
      </c>
      <c r="K171" s="744" t="n">
        <v>3332</v>
      </c>
      <c r="L171" s="744" t="n">
        <v>32670</v>
      </c>
      <c r="M171" s="745" t="inlineStr">
        <is>
          <t>C</t>
        </is>
      </c>
      <c r="N171" s="745" t="inlineStr">
        <is>
          <t>Average</t>
        </is>
      </c>
      <c r="O171" s="745" t="inlineStr">
        <is>
          <t>Typical</t>
        </is>
      </c>
      <c r="P171" s="745" t="n">
        <v>1984</v>
      </c>
      <c r="Q171" s="741" t="n">
        <v>40</v>
      </c>
      <c r="R171" s="746" t="n">
        <v>191</v>
      </c>
      <c r="S171" s="747" t="n">
        <v>636412</v>
      </c>
      <c r="T171" s="742" t="inlineStr"/>
    </row>
    <row r="172">
      <c r="A172" s="748" t="n">
        <v>876</v>
      </c>
      <c r="B172" s="749" t="inlineStr">
        <is>
          <t>300 Alter St</t>
        </is>
      </c>
      <c r="C172" s="748" t="inlineStr">
        <is>
          <t>Broomfield</t>
        </is>
      </c>
      <c r="D172" s="748" t="inlineStr">
        <is>
          <t>Broomfield</t>
        </is>
      </c>
      <c r="E172" s="748" t="inlineStr">
        <is>
          <t>Fast Food</t>
        </is>
      </c>
      <c r="F172" s="748" t="inlineStr">
        <is>
          <t>Tamale Kitchen</t>
        </is>
      </c>
      <c r="G172" s="748" t="n">
        <v>349</v>
      </c>
      <c r="H172" s="743" t="inlineStr">
        <is>
          <t>349 - Fast Food Restaurant</t>
        </is>
      </c>
      <c r="I172" s="749" t="inlineStr">
        <is>
          <t>Restaurants – Fast Food</t>
        </is>
      </c>
      <c r="J172" s="748" t="inlineStr">
        <is>
          <t>Sec.13 p.17</t>
        </is>
      </c>
      <c r="K172" s="744" t="n">
        <v>3332</v>
      </c>
      <c r="L172" s="744" t="n">
        <v>32670</v>
      </c>
      <c r="M172" s="745" t="inlineStr">
        <is>
          <t>C</t>
        </is>
      </c>
      <c r="N172" s="745" t="inlineStr">
        <is>
          <t>Average</t>
        </is>
      </c>
      <c r="O172" s="745" t="inlineStr">
        <is>
          <t>Typical</t>
        </is>
      </c>
      <c r="P172" s="745" t="n">
        <v>1984</v>
      </c>
      <c r="Q172" s="748" t="n">
        <v>40</v>
      </c>
      <c r="R172" s="750" t="n">
        <v>191</v>
      </c>
      <c r="S172" s="751" t="n">
        <v>636412</v>
      </c>
      <c r="T172" s="749" t="inlineStr"/>
    </row>
    <row r="173">
      <c r="A173" s="741" t="n">
        <v>877</v>
      </c>
      <c r="B173" s="742" t="inlineStr">
        <is>
          <t>900 E First Ave</t>
        </is>
      </c>
      <c r="C173" s="741" t="inlineStr">
        <is>
          <t>Broomfield</t>
        </is>
      </c>
      <c r="D173" s="741" t="inlineStr">
        <is>
          <t>Broomfield</t>
        </is>
      </c>
      <c r="E173" s="741" t="inlineStr">
        <is>
          <t>Daycare</t>
        </is>
      </c>
      <c r="F173" s="741" t="inlineStr">
        <is>
          <t>The Nest Schools</t>
        </is>
      </c>
      <c r="G173" s="741" t="n">
        <v>426</v>
      </c>
      <c r="H173" s="743" t="inlineStr">
        <is>
          <t>426 - Day Care Center</t>
        </is>
      </c>
      <c r="I173" s="742" t="inlineStr">
        <is>
          <t>Day Care Centers</t>
        </is>
      </c>
      <c r="J173" s="741" t="inlineStr">
        <is>
          <t>Sec.18 p.13</t>
        </is>
      </c>
      <c r="K173" s="744" t="n">
        <v>10200</v>
      </c>
      <c r="L173" s="744" t="n">
        <v>54450</v>
      </c>
      <c r="M173" s="745" t="inlineStr">
        <is>
          <t>C</t>
        </is>
      </c>
      <c r="N173" s="745" t="inlineStr">
        <is>
          <t>Average</t>
        </is>
      </c>
      <c r="O173" s="745" t="inlineStr">
        <is>
          <t>Typical</t>
        </is>
      </c>
      <c r="P173" s="745" t="n">
        <v>2000</v>
      </c>
      <c r="Q173" s="741" t="n">
        <v>24</v>
      </c>
      <c r="R173" s="746" t="n">
        <v>173</v>
      </c>
      <c r="S173" s="747" t="n">
        <v>1764600</v>
      </c>
      <c r="T173" s="742" t="inlineStr"/>
    </row>
    <row r="174">
      <c r="A174" s="748" t="n">
        <v>878</v>
      </c>
      <c r="B174" s="749" t="inlineStr">
        <is>
          <t>1600 E Coalton Rd</t>
        </is>
      </c>
      <c r="C174" s="748" t="inlineStr">
        <is>
          <t>Broomfield</t>
        </is>
      </c>
      <c r="D174" s="748" t="inlineStr">
        <is>
          <t>Broomfield</t>
        </is>
      </c>
      <c r="E174" s="748" t="inlineStr">
        <is>
          <t>Drugstore</t>
        </is>
      </c>
      <c r="F174" s="748" t="inlineStr">
        <is>
          <t>Walgreens</t>
        </is>
      </c>
      <c r="G174" s="748" t="n">
        <v>353</v>
      </c>
      <c r="H174" s="743" t="inlineStr">
        <is>
          <t>353 - Retail Store</t>
        </is>
      </c>
      <c r="I174" s="749" t="inlineStr">
        <is>
          <t>Retail Stores</t>
        </is>
      </c>
      <c r="J174" s="748" t="inlineStr">
        <is>
          <t>Sec.13 p.26</t>
        </is>
      </c>
      <c r="K174" s="744" t="n">
        <v>14742</v>
      </c>
      <c r="L174" s="744" t="n">
        <v>89298</v>
      </c>
      <c r="M174" s="745" t="inlineStr">
        <is>
          <t>C</t>
        </is>
      </c>
      <c r="N174" s="745" t="inlineStr">
        <is>
          <t>Average</t>
        </is>
      </c>
      <c r="O174" s="745" t="inlineStr">
        <is>
          <t>Typical</t>
        </is>
      </c>
      <c r="P174" s="745" t="n">
        <v>2002</v>
      </c>
      <c r="Q174" s="748" t="n">
        <v>22</v>
      </c>
      <c r="R174" s="750" t="n">
        <v>117</v>
      </c>
      <c r="S174" s="751" t="n">
        <v>1724814</v>
      </c>
      <c r="T174" s="749" t="inlineStr"/>
    </row>
    <row r="175">
      <c r="A175" s="741" t="n">
        <v>879</v>
      </c>
      <c r="B175" s="742" t="inlineStr">
        <is>
          <t>2901 Colorado Blvd</t>
        </is>
      </c>
      <c r="C175" s="741" t="inlineStr">
        <is>
          <t>Idaho Springs</t>
        </is>
      </c>
      <c r="D175" s="741" t="inlineStr">
        <is>
          <t>Clear Creek</t>
        </is>
      </c>
      <c r="E175" s="741" t="inlineStr">
        <is>
          <t>Fast Food</t>
        </is>
      </c>
      <c r="F175" s="741" t="inlineStr">
        <is>
          <t>Carl's Jr</t>
        </is>
      </c>
      <c r="G175" s="741" t="n">
        <v>349</v>
      </c>
      <c r="H175" s="743" t="inlineStr">
        <is>
          <t>349 - Fast Food Restaurant</t>
        </is>
      </c>
      <c r="I175" s="742" t="inlineStr">
        <is>
          <t>Restaurants – Fast Food</t>
        </is>
      </c>
      <c r="J175" s="741" t="inlineStr">
        <is>
          <t>Sec.13 p.17</t>
        </is>
      </c>
      <c r="K175" s="744" t="n">
        <v>2500</v>
      </c>
      <c r="L175" s="744" t="n">
        <v>39204</v>
      </c>
      <c r="M175" s="745" t="inlineStr">
        <is>
          <t>C</t>
        </is>
      </c>
      <c r="N175" s="745" t="inlineStr">
        <is>
          <t>Average</t>
        </is>
      </c>
      <c r="O175" s="745" t="inlineStr">
        <is>
          <t>Typical</t>
        </is>
      </c>
      <c r="P175" s="745" t="n">
        <v>2009</v>
      </c>
      <c r="Q175" s="741" t="n">
        <v>15</v>
      </c>
      <c r="R175" s="746" t="n">
        <v>191</v>
      </c>
      <c r="S175" s="747" t="n">
        <v>477500</v>
      </c>
      <c r="T175" s="742" t="inlineStr"/>
    </row>
    <row r="176">
      <c r="A176" s="748" t="n">
        <v>880</v>
      </c>
      <c r="B176" s="749" t="inlineStr">
        <is>
          <t>1560 Argentine St</t>
        </is>
      </c>
      <c r="C176" s="748" t="inlineStr">
        <is>
          <t>Georgetown</t>
        </is>
      </c>
      <c r="D176" s="748" t="inlineStr">
        <is>
          <t>Clear Creek</t>
        </is>
      </c>
      <c r="E176" s="748" t="inlineStr">
        <is>
          <t>Dollar Store</t>
        </is>
      </c>
      <c r="F176" s="748" t="inlineStr">
        <is>
          <t>Family Dollar</t>
        </is>
      </c>
      <c r="G176" s="748" t="n">
        <v>319</v>
      </c>
      <c r="H176" s="743" t="inlineStr">
        <is>
          <t>319 - Discount Store</t>
        </is>
      </c>
      <c r="I176" s="749" t="inlineStr">
        <is>
          <t>Discount Stores</t>
        </is>
      </c>
      <c r="J176" s="748" t="inlineStr">
        <is>
          <t>Sec.13 p.28</t>
        </is>
      </c>
      <c r="K176" s="744" t="n">
        <v>8240</v>
      </c>
      <c r="L176" s="744" t="n">
        <v>27007</v>
      </c>
      <c r="M176" s="745" t="inlineStr">
        <is>
          <t>C</t>
        </is>
      </c>
      <c r="N176" s="745" t="inlineStr">
        <is>
          <t>Average</t>
        </is>
      </c>
      <c r="O176" s="745" t="inlineStr">
        <is>
          <t>Typical</t>
        </is>
      </c>
      <c r="P176" s="745" t="n">
        <v>2014</v>
      </c>
      <c r="Q176" s="748" t="n">
        <v>10</v>
      </c>
      <c r="R176" s="750" t="n">
        <v>94</v>
      </c>
      <c r="S176" s="751" t="n">
        <v>774560</v>
      </c>
      <c r="T176" s="749" t="inlineStr"/>
    </row>
    <row r="177">
      <c r="A177" s="741" t="n">
        <v>881</v>
      </c>
      <c r="B177" s="742" t="inlineStr">
        <is>
          <t>4509 N Tower Rd</t>
        </is>
      </c>
      <c r="C177" s="741" t="inlineStr">
        <is>
          <t>Denver</t>
        </is>
      </c>
      <c r="D177" s="741" t="inlineStr">
        <is>
          <t>Denver</t>
        </is>
      </c>
      <c r="E177" s="741" t="inlineStr">
        <is>
          <t>Auto Parts</t>
        </is>
      </c>
      <c r="F177" s="741" t="inlineStr">
        <is>
          <t>Advance Auto Parts</t>
        </is>
      </c>
      <c r="G177" s="741" t="n">
        <v>353</v>
      </c>
      <c r="H177" s="743" t="inlineStr">
        <is>
          <t>353 - Retail Store</t>
        </is>
      </c>
      <c r="I177" s="742" t="inlineStr">
        <is>
          <t>Retail Stores</t>
        </is>
      </c>
      <c r="J177" s="741" t="inlineStr">
        <is>
          <t>Sec.13 p.26</t>
        </is>
      </c>
      <c r="K177" s="744" t="n">
        <v>6400</v>
      </c>
      <c r="L177" s="744" t="n">
        <v>40075</v>
      </c>
      <c r="M177" s="745" t="inlineStr">
        <is>
          <t>C</t>
        </is>
      </c>
      <c r="N177" s="745" t="inlineStr">
        <is>
          <t>Good</t>
        </is>
      </c>
      <c r="O177" s="745" t="inlineStr">
        <is>
          <t>Typical</t>
        </is>
      </c>
      <c r="P177" s="745" t="n">
        <v>2021</v>
      </c>
      <c r="Q177" s="741" t="n">
        <v>3</v>
      </c>
      <c r="R177" s="746" t="n">
        <v>154</v>
      </c>
      <c r="S177" s="747" t="n">
        <v>985600</v>
      </c>
      <c r="T177" s="742" t="inlineStr"/>
    </row>
    <row r="178">
      <c r="A178" s="748" t="n">
        <v>882</v>
      </c>
      <c r="B178" s="749" t="inlineStr">
        <is>
          <t>18408 E 47th Ave</t>
        </is>
      </c>
      <c r="C178" s="748" t="inlineStr">
        <is>
          <t>Denver</t>
        </is>
      </c>
      <c r="D178" s="748" t="inlineStr">
        <is>
          <t>Denver</t>
        </is>
      </c>
      <c r="E178" s="748" t="inlineStr">
        <is>
          <t>Fast Food</t>
        </is>
      </c>
      <c r="F178" s="748" t="inlineStr">
        <is>
          <t>Arby's</t>
        </is>
      </c>
      <c r="G178" s="748" t="n">
        <v>349</v>
      </c>
      <c r="H178" s="743" t="inlineStr">
        <is>
          <t>349 - Fast Food Restaurant</t>
        </is>
      </c>
      <c r="I178" s="749" t="inlineStr">
        <is>
          <t>Restaurants – Fast Food</t>
        </is>
      </c>
      <c r="J178" s="748" t="inlineStr">
        <is>
          <t>Sec.13 p.17</t>
        </is>
      </c>
      <c r="K178" s="744" t="n">
        <v>3013</v>
      </c>
      <c r="L178" s="744" t="n">
        <v>43995</v>
      </c>
      <c r="M178" s="745" t="inlineStr">
        <is>
          <t>C</t>
        </is>
      </c>
      <c r="N178" s="745" t="inlineStr">
        <is>
          <t>Good</t>
        </is>
      </c>
      <c r="O178" s="745" t="inlineStr">
        <is>
          <t>Typical</t>
        </is>
      </c>
      <c r="P178" s="745" t="n">
        <v>2015</v>
      </c>
      <c r="Q178" s="748" t="n">
        <v>9</v>
      </c>
      <c r="R178" s="750" t="n">
        <v>246</v>
      </c>
      <c r="S178" s="751" t="n">
        <v>741198</v>
      </c>
      <c r="T178" s="749" t="inlineStr"/>
    </row>
    <row r="179">
      <c r="A179" s="741" t="n">
        <v>883</v>
      </c>
      <c r="B179" s="742" t="inlineStr">
        <is>
          <t>4390 Peoria St</t>
        </is>
      </c>
      <c r="C179" s="741" t="inlineStr">
        <is>
          <t>Denver</t>
        </is>
      </c>
      <c r="D179" s="741" t="inlineStr">
        <is>
          <t>Denver</t>
        </is>
      </c>
      <c r="E179" s="741" t="inlineStr">
        <is>
          <t>Fast Food</t>
        </is>
      </c>
      <c r="F179" s="741" t="inlineStr">
        <is>
          <t>Arby's</t>
        </is>
      </c>
      <c r="G179" s="741" t="n">
        <v>349</v>
      </c>
      <c r="H179" s="743" t="inlineStr">
        <is>
          <t>349 - Fast Food Restaurant</t>
        </is>
      </c>
      <c r="I179" s="742" t="inlineStr">
        <is>
          <t>Restaurants – Fast Food</t>
        </is>
      </c>
      <c r="J179" s="741" t="inlineStr">
        <is>
          <t>Sec.13 p.17</t>
        </is>
      </c>
      <c r="K179" s="744" t="n">
        <v>3115</v>
      </c>
      <c r="L179" s="744" t="n">
        <v>36155</v>
      </c>
      <c r="M179" s="745" t="inlineStr">
        <is>
          <t>C</t>
        </is>
      </c>
      <c r="N179" s="745" t="inlineStr">
        <is>
          <t>Good</t>
        </is>
      </c>
      <c r="O179" s="745" t="inlineStr">
        <is>
          <t>Typical</t>
        </is>
      </c>
      <c r="P179" s="745" t="n">
        <v>2015</v>
      </c>
      <c r="Q179" s="741" t="n">
        <v>9</v>
      </c>
      <c r="R179" s="746" t="n">
        <v>246</v>
      </c>
      <c r="S179" s="747" t="n">
        <v>766290</v>
      </c>
      <c r="T179" s="742" t="inlineStr"/>
    </row>
    <row r="180">
      <c r="A180" s="748" t="n">
        <v>884</v>
      </c>
      <c r="B180" s="749" t="inlineStr">
        <is>
          <t>18643 E 48th Ave</t>
        </is>
      </c>
      <c r="C180" s="748" t="inlineStr">
        <is>
          <t>Denver</t>
        </is>
      </c>
      <c r="D180" s="748" t="inlineStr">
        <is>
          <t>Denver</t>
        </is>
      </c>
      <c r="E180" s="748" t="inlineStr">
        <is>
          <t>Auto Parts</t>
        </is>
      </c>
      <c r="F180" s="748" t="inlineStr">
        <is>
          <t>AutoZone</t>
        </is>
      </c>
      <c r="G180" s="748" t="n">
        <v>353</v>
      </c>
      <c r="H180" s="743" t="inlineStr">
        <is>
          <t>353 - Retail Store</t>
        </is>
      </c>
      <c r="I180" s="749" t="inlineStr">
        <is>
          <t>Retail Stores</t>
        </is>
      </c>
      <c r="J180" s="748" t="inlineStr">
        <is>
          <t>Sec.13 p.26</t>
        </is>
      </c>
      <c r="K180" s="744" t="n">
        <v>7381</v>
      </c>
      <c r="L180" s="744" t="n">
        <v>33727</v>
      </c>
      <c r="M180" s="745" t="inlineStr">
        <is>
          <t>C</t>
        </is>
      </c>
      <c r="N180" s="745" t="inlineStr">
        <is>
          <t>Average</t>
        </is>
      </c>
      <c r="O180" s="745" t="inlineStr">
        <is>
          <t>Typical</t>
        </is>
      </c>
      <c r="P180" s="745" t="n">
        <v>2008</v>
      </c>
      <c r="Q180" s="748" t="n">
        <v>16</v>
      </c>
      <c r="R180" s="750" t="n">
        <v>117</v>
      </c>
      <c r="S180" s="751" t="n">
        <v>863577</v>
      </c>
      <c r="T180" s="749" t="inlineStr"/>
    </row>
    <row r="181">
      <c r="A181" s="741" t="n">
        <v>885</v>
      </c>
      <c r="B181" s="742" t="inlineStr">
        <is>
          <t>4685 E Colfax Ave</t>
        </is>
      </c>
      <c r="C181" s="741" t="inlineStr">
        <is>
          <t>Denver</t>
        </is>
      </c>
      <c r="D181" s="741" t="inlineStr">
        <is>
          <t>Denver</t>
        </is>
      </c>
      <c r="E181" s="741" t="inlineStr">
        <is>
          <t>Auto Parts</t>
        </is>
      </c>
      <c r="F181" s="741" t="inlineStr">
        <is>
          <t>AutoZone</t>
        </is>
      </c>
      <c r="G181" s="741" t="n">
        <v>353</v>
      </c>
      <c r="H181" s="743" t="inlineStr">
        <is>
          <t>353 - Retail Store</t>
        </is>
      </c>
      <c r="I181" s="742" t="inlineStr">
        <is>
          <t>Retail Stores</t>
        </is>
      </c>
      <c r="J181" s="741" t="inlineStr">
        <is>
          <t>Sec.13 p.26</t>
        </is>
      </c>
      <c r="K181" s="744" t="n">
        <v>7225</v>
      </c>
      <c r="L181" s="744" t="n">
        <v>37701</v>
      </c>
      <c r="M181" s="745" t="inlineStr">
        <is>
          <t>C</t>
        </is>
      </c>
      <c r="N181" s="745" t="inlineStr">
        <is>
          <t>Average</t>
        </is>
      </c>
      <c r="O181" s="745" t="inlineStr">
        <is>
          <t>Typical</t>
        </is>
      </c>
      <c r="P181" s="745" t="n">
        <v>1991</v>
      </c>
      <c r="Q181" s="741" t="n">
        <v>33</v>
      </c>
      <c r="R181" s="746" t="n">
        <v>117</v>
      </c>
      <c r="S181" s="747" t="n">
        <v>845325</v>
      </c>
      <c r="T181" s="742" t="inlineStr"/>
    </row>
    <row r="182">
      <c r="A182" s="748" t="n">
        <v>886</v>
      </c>
      <c r="B182" s="749" t="inlineStr">
        <is>
          <t>4695 S Peoria St</t>
        </is>
      </c>
      <c r="C182" s="748" t="inlineStr">
        <is>
          <t>Denver</t>
        </is>
      </c>
      <c r="D182" s="748" t="inlineStr">
        <is>
          <t>Denver</t>
        </is>
      </c>
      <c r="E182" s="748" t="inlineStr">
        <is>
          <t>Auto Service</t>
        </is>
      </c>
      <c r="F182" s="748" t="inlineStr">
        <is>
          <t>Big O Tires</t>
        </is>
      </c>
      <c r="G182" s="748" t="n">
        <v>410</v>
      </c>
      <c r="H182" s="743" t="inlineStr">
        <is>
          <t>410 - Automotive Center</t>
        </is>
      </c>
      <c r="I182" s="749" t="inlineStr">
        <is>
          <t>Automotive Service Centers</t>
        </is>
      </c>
      <c r="J182" s="748" t="inlineStr">
        <is>
          <t>Sec.14 p.31</t>
        </is>
      </c>
      <c r="K182" s="744" t="n">
        <v>2790</v>
      </c>
      <c r="L182" s="744" t="n">
        <v>47463</v>
      </c>
      <c r="M182" s="745" t="inlineStr">
        <is>
          <t>S</t>
        </is>
      </c>
      <c r="N182" s="745" t="inlineStr">
        <is>
          <t>Average</t>
        </is>
      </c>
      <c r="O182" s="745" t="inlineStr">
        <is>
          <t>Typical</t>
        </is>
      </c>
      <c r="P182" s="745" t="n">
        <v>1972</v>
      </c>
      <c r="Q182" s="748" t="n">
        <v>52</v>
      </c>
      <c r="R182" s="750" t="n">
        <v>97.5</v>
      </c>
      <c r="S182" s="751" t="n">
        <v>272025</v>
      </c>
      <c r="T182" s="749" t="inlineStr"/>
    </row>
    <row r="183">
      <c r="A183" s="741" t="n">
        <v>887</v>
      </c>
      <c r="B183" s="742" t="inlineStr">
        <is>
          <t>1745 Race St</t>
        </is>
      </c>
      <c r="C183" s="741" t="inlineStr">
        <is>
          <t>Denver</t>
        </is>
      </c>
      <c r="D183" s="741" t="inlineStr">
        <is>
          <t>Denver</t>
        </is>
      </c>
      <c r="E183" s="741" t="inlineStr">
        <is>
          <t>Daycare</t>
        </is>
      </c>
      <c r="F183" s="741" t="inlineStr">
        <is>
          <t>Bundles Of Babies Child Care</t>
        </is>
      </c>
      <c r="G183" s="741" t="n">
        <v>426</v>
      </c>
      <c r="H183" s="743" t="inlineStr">
        <is>
          <t>426 - Day Care Center</t>
        </is>
      </c>
      <c r="I183" s="742" t="inlineStr">
        <is>
          <t>Day Care Centers</t>
        </is>
      </c>
      <c r="J183" s="741" t="inlineStr">
        <is>
          <t>Sec.18 p.13</t>
        </is>
      </c>
      <c r="K183" s="744" t="n">
        <v>6257</v>
      </c>
      <c r="L183" s="744" t="n">
        <v>14005</v>
      </c>
      <c r="M183" s="745" t="inlineStr">
        <is>
          <t>C</t>
        </is>
      </c>
      <c r="N183" s="745" t="inlineStr">
        <is>
          <t>Average</t>
        </is>
      </c>
      <c r="O183" s="745" t="inlineStr">
        <is>
          <t>Typical</t>
        </is>
      </c>
      <c r="P183" s="745" t="n">
        <v>1955</v>
      </c>
      <c r="Q183" s="741" t="n">
        <v>69</v>
      </c>
      <c r="R183" s="746" t="n">
        <v>173</v>
      </c>
      <c r="S183" s="747" t="n">
        <v>1082461</v>
      </c>
      <c r="T183" s="742" t="inlineStr"/>
    </row>
    <row r="184">
      <c r="A184" s="748" t="n">
        <v>888</v>
      </c>
      <c r="B184" s="749" t="inlineStr">
        <is>
          <t>1800 Federal Blvd</t>
        </is>
      </c>
      <c r="C184" s="748" t="inlineStr">
        <is>
          <t>Denver</t>
        </is>
      </c>
      <c r="D184" s="748" t="inlineStr">
        <is>
          <t>Denver</t>
        </is>
      </c>
      <c r="E184" s="748" t="inlineStr">
        <is>
          <t>Fast Food</t>
        </is>
      </c>
      <c r="F184" s="748" t="inlineStr">
        <is>
          <t>Burger King</t>
        </is>
      </c>
      <c r="G184" s="748" t="n">
        <v>349</v>
      </c>
      <c r="H184" s="743" t="inlineStr">
        <is>
          <t>349 - Fast Food Restaurant</t>
        </is>
      </c>
      <c r="I184" s="749" t="inlineStr">
        <is>
          <t>Restaurants – Fast Food</t>
        </is>
      </c>
      <c r="J184" s="748" t="inlineStr">
        <is>
          <t>Sec.13 p.17</t>
        </is>
      </c>
      <c r="K184" s="744" t="n">
        <v>2347</v>
      </c>
      <c r="L184" s="744" t="n">
        <v>18731</v>
      </c>
      <c r="M184" s="745" t="inlineStr">
        <is>
          <t>C</t>
        </is>
      </c>
      <c r="N184" s="745" t="inlineStr">
        <is>
          <t>Average</t>
        </is>
      </c>
      <c r="O184" s="745" t="inlineStr">
        <is>
          <t>Typical</t>
        </is>
      </c>
      <c r="P184" s="745" t="n">
        <v>1974</v>
      </c>
      <c r="Q184" s="748" t="n">
        <v>50</v>
      </c>
      <c r="R184" s="750" t="n">
        <v>191</v>
      </c>
      <c r="S184" s="751" t="n">
        <v>448277</v>
      </c>
      <c r="T184" s="749" t="inlineStr"/>
    </row>
    <row r="185">
      <c r="A185" s="741" t="n">
        <v>889</v>
      </c>
      <c r="B185" s="742" t="inlineStr">
        <is>
          <t>1717 W 38th Ave</t>
        </is>
      </c>
      <c r="C185" s="741" t="inlineStr">
        <is>
          <t>Denver</t>
        </is>
      </c>
      <c r="D185" s="741" t="inlineStr">
        <is>
          <t>Denver</t>
        </is>
      </c>
      <c r="E185" s="741" t="inlineStr">
        <is>
          <t>Fast Food</t>
        </is>
      </c>
      <c r="F185" s="741" t="inlineStr">
        <is>
          <t>Burger King</t>
        </is>
      </c>
      <c r="G185" s="741" t="n">
        <v>349</v>
      </c>
      <c r="H185" s="743" t="inlineStr">
        <is>
          <t>349 - Fast Food Restaurant</t>
        </is>
      </c>
      <c r="I185" s="742" t="inlineStr">
        <is>
          <t>Restaurants – Fast Food</t>
        </is>
      </c>
      <c r="J185" s="741" t="inlineStr">
        <is>
          <t>Sec.13 p.17</t>
        </is>
      </c>
      <c r="K185" s="744" t="n">
        <v>3089</v>
      </c>
      <c r="L185" s="744" t="n">
        <v>22608</v>
      </c>
      <c r="M185" s="745" t="inlineStr">
        <is>
          <t>C</t>
        </is>
      </c>
      <c r="N185" s="745" t="inlineStr">
        <is>
          <t>Average</t>
        </is>
      </c>
      <c r="O185" s="745" t="inlineStr">
        <is>
          <t>Typical</t>
        </is>
      </c>
      <c r="P185" s="745" t="n">
        <v>1988</v>
      </c>
      <c r="Q185" s="741" t="n">
        <v>36</v>
      </c>
      <c r="R185" s="746" t="n">
        <v>191</v>
      </c>
      <c r="S185" s="747" t="n">
        <v>589999</v>
      </c>
      <c r="T185" s="742" t="inlineStr"/>
    </row>
    <row r="186">
      <c r="A186" s="748" t="n">
        <v>890</v>
      </c>
      <c r="B186" s="749" t="inlineStr">
        <is>
          <t>1680 E Colfax Ave</t>
        </is>
      </c>
      <c r="C186" s="748" t="inlineStr">
        <is>
          <t>Denver</t>
        </is>
      </c>
      <c r="D186" s="748" t="inlineStr">
        <is>
          <t>Denver</t>
        </is>
      </c>
      <c r="E186" s="748" t="inlineStr">
        <is>
          <t>Fast Food</t>
        </is>
      </c>
      <c r="F186" s="748" t="inlineStr">
        <is>
          <t>Burger King</t>
        </is>
      </c>
      <c r="G186" s="748" t="n">
        <v>349</v>
      </c>
      <c r="H186" s="743" t="inlineStr">
        <is>
          <t>349 - Fast Food Restaurant</t>
        </is>
      </c>
      <c r="I186" s="749" t="inlineStr">
        <is>
          <t>Restaurants – Fast Food</t>
        </is>
      </c>
      <c r="J186" s="748" t="inlineStr">
        <is>
          <t>Sec.13 p.17</t>
        </is>
      </c>
      <c r="K186" s="744" t="n">
        <v>2701</v>
      </c>
      <c r="L186" s="744" t="n">
        <v>29185</v>
      </c>
      <c r="M186" s="745" t="inlineStr">
        <is>
          <t>C</t>
        </is>
      </c>
      <c r="N186" s="745" t="inlineStr">
        <is>
          <t>Average</t>
        </is>
      </c>
      <c r="O186" s="745" t="inlineStr">
        <is>
          <t>Typical</t>
        </is>
      </c>
      <c r="P186" s="745" t="n">
        <v>1975</v>
      </c>
      <c r="Q186" s="748" t="n">
        <v>49</v>
      </c>
      <c r="R186" s="750" t="n">
        <v>191</v>
      </c>
      <c r="S186" s="751" t="n">
        <v>515891</v>
      </c>
      <c r="T186" s="749" t="inlineStr"/>
    </row>
    <row r="187">
      <c r="A187" s="741" t="n">
        <v>891</v>
      </c>
      <c r="B187" s="742" t="inlineStr">
        <is>
          <t>7950 E Hampden Ave</t>
        </is>
      </c>
      <c r="C187" s="741" t="inlineStr">
        <is>
          <t>Denver</t>
        </is>
      </c>
      <c r="D187" s="741" t="inlineStr">
        <is>
          <t>Denver</t>
        </is>
      </c>
      <c r="E187" s="741" t="inlineStr">
        <is>
          <t>Drugstore</t>
        </is>
      </c>
      <c r="F187" s="741" t="inlineStr">
        <is>
          <t>CVS</t>
        </is>
      </c>
      <c r="G187" s="741" t="n">
        <v>353</v>
      </c>
      <c r="H187" s="743" t="inlineStr">
        <is>
          <t>353 - Retail Store</t>
        </is>
      </c>
      <c r="I187" s="742" t="inlineStr">
        <is>
          <t>Retail Stores</t>
        </is>
      </c>
      <c r="J187" s="741" t="inlineStr">
        <is>
          <t>Sec.13 p.26</t>
        </is>
      </c>
      <c r="K187" s="744" t="n">
        <v>13111</v>
      </c>
      <c r="L187" s="744" t="n">
        <v>64469</v>
      </c>
      <c r="M187" s="745" t="inlineStr">
        <is>
          <t>C</t>
        </is>
      </c>
      <c r="N187" s="745" t="inlineStr">
        <is>
          <t>Good</t>
        </is>
      </c>
      <c r="O187" s="745" t="inlineStr">
        <is>
          <t>Typical</t>
        </is>
      </c>
      <c r="P187" s="745" t="n">
        <v>2022</v>
      </c>
      <c r="Q187" s="741" t="n">
        <v>2</v>
      </c>
      <c r="R187" s="746" t="n">
        <v>154</v>
      </c>
      <c r="S187" s="747" t="n">
        <v>2019094</v>
      </c>
      <c r="T187" s="742" t="inlineStr"/>
    </row>
    <row r="188">
      <c r="A188" s="748" t="n">
        <v>892</v>
      </c>
      <c r="B188" s="749" t="inlineStr">
        <is>
          <t>7785 E Hampden Ave</t>
        </is>
      </c>
      <c r="C188" s="748" t="inlineStr">
        <is>
          <t>Denver</t>
        </is>
      </c>
      <c r="D188" s="748" t="inlineStr">
        <is>
          <t>Denver</t>
        </is>
      </c>
      <c r="E188" s="748" t="inlineStr">
        <is>
          <t>Fast Food</t>
        </is>
      </c>
      <c r="F188" s="748" t="inlineStr">
        <is>
          <t>Chick-fil-A</t>
        </is>
      </c>
      <c r="G188" s="748" t="n">
        <v>349</v>
      </c>
      <c r="H188" s="743" t="inlineStr">
        <is>
          <t>349 - Fast Food Restaurant</t>
        </is>
      </c>
      <c r="I188" s="749" t="inlineStr">
        <is>
          <t>Restaurants – Fast Food</t>
        </is>
      </c>
      <c r="J188" s="748" t="inlineStr">
        <is>
          <t>Sec.13 p.17</t>
        </is>
      </c>
      <c r="K188" s="744" t="n">
        <v>4320</v>
      </c>
      <c r="L188" s="744" t="n">
        <v>1</v>
      </c>
      <c r="M188" s="745" t="inlineStr">
        <is>
          <t>C</t>
        </is>
      </c>
      <c r="N188" s="745" t="inlineStr">
        <is>
          <t>Good</t>
        </is>
      </c>
      <c r="O188" s="745" t="inlineStr">
        <is>
          <t>Typical</t>
        </is>
      </c>
      <c r="P188" s="745" t="n">
        <v>2013</v>
      </c>
      <c r="Q188" s="748" t="n">
        <v>11</v>
      </c>
      <c r="R188" s="750" t="n">
        <v>246</v>
      </c>
      <c r="S188" s="751" t="n">
        <v>1062720</v>
      </c>
      <c r="T188" s="749" t="inlineStr"/>
    </row>
    <row r="189">
      <c r="A189" s="741" t="n">
        <v>893</v>
      </c>
      <c r="B189" s="742" t="inlineStr">
        <is>
          <t>3801 Kalamath St</t>
        </is>
      </c>
      <c r="C189" s="741" t="inlineStr">
        <is>
          <t>Denver</t>
        </is>
      </c>
      <c r="D189" s="741" t="inlineStr">
        <is>
          <t>Denver</t>
        </is>
      </c>
      <c r="E189" s="741" t="inlineStr">
        <is>
          <t>Auto Service</t>
        </is>
      </c>
      <c r="F189" s="741" t="inlineStr">
        <is>
          <t>Chihuas Tires</t>
        </is>
      </c>
      <c r="G189" s="741" t="n">
        <v>410</v>
      </c>
      <c r="H189" s="743" t="inlineStr">
        <is>
          <t>410 - Automotive Center</t>
        </is>
      </c>
      <c r="I189" s="742" t="inlineStr">
        <is>
          <t>Automotive Service Centers</t>
        </is>
      </c>
      <c r="J189" s="741" t="inlineStr">
        <is>
          <t>Sec.14 p.31</t>
        </is>
      </c>
      <c r="K189" s="744" t="n">
        <v>2324</v>
      </c>
      <c r="L189" s="744" t="n">
        <v>9583</v>
      </c>
      <c r="M189" s="745" t="inlineStr">
        <is>
          <t>S</t>
        </is>
      </c>
      <c r="N189" s="745" t="inlineStr">
        <is>
          <t>Average</t>
        </is>
      </c>
      <c r="O189" s="745" t="inlineStr">
        <is>
          <t>Typical</t>
        </is>
      </c>
      <c r="P189" s="745" t="n">
        <v>1976</v>
      </c>
      <c r="Q189" s="741" t="n">
        <v>48</v>
      </c>
      <c r="R189" s="746" t="n">
        <v>97.5</v>
      </c>
      <c r="S189" s="747" t="n">
        <v>226590</v>
      </c>
      <c r="T189" s="742" t="inlineStr"/>
    </row>
    <row r="190">
      <c r="A190" s="748" t="n">
        <v>894</v>
      </c>
      <c r="B190" s="749" t="inlineStr">
        <is>
          <t>3833 W 38th Ave</t>
        </is>
      </c>
      <c r="C190" s="748" t="inlineStr">
        <is>
          <t>Denver</t>
        </is>
      </c>
      <c r="D190" s="748" t="inlineStr">
        <is>
          <t>Denver</t>
        </is>
      </c>
      <c r="E190" s="748" t="inlineStr">
        <is>
          <t>Fast Food</t>
        </is>
      </c>
      <c r="F190" s="748" t="inlineStr">
        <is>
          <t>Dairy Queen</t>
        </is>
      </c>
      <c r="G190" s="748" t="n">
        <v>349</v>
      </c>
      <c r="H190" s="743" t="inlineStr">
        <is>
          <t>349 - Fast Food Restaurant</t>
        </is>
      </c>
      <c r="I190" s="749" t="inlineStr">
        <is>
          <t>Restaurants – Fast Food</t>
        </is>
      </c>
      <c r="J190" s="748" t="inlineStr">
        <is>
          <t>Sec.13 p.17</t>
        </is>
      </c>
      <c r="K190" s="744" t="n">
        <v>1425</v>
      </c>
      <c r="L190" s="744" t="n">
        <v>10772</v>
      </c>
      <c r="M190" s="745" t="inlineStr">
        <is>
          <t>C</t>
        </is>
      </c>
      <c r="N190" s="745" t="inlineStr">
        <is>
          <t>Average</t>
        </is>
      </c>
      <c r="O190" s="745" t="inlineStr">
        <is>
          <t>Typical</t>
        </is>
      </c>
      <c r="P190" s="745" t="n">
        <v>2005</v>
      </c>
      <c r="Q190" s="748" t="n">
        <v>19</v>
      </c>
      <c r="R190" s="750" t="n">
        <v>191</v>
      </c>
      <c r="S190" s="751" t="n">
        <v>272175</v>
      </c>
      <c r="T190" s="749" t="inlineStr"/>
    </row>
    <row r="191">
      <c r="A191" s="741" t="n">
        <v>895</v>
      </c>
      <c r="B191" s="742" t="inlineStr">
        <is>
          <t>2215 S Broadway</t>
        </is>
      </c>
      <c r="C191" s="741" t="inlineStr">
        <is>
          <t>Denver</t>
        </is>
      </c>
      <c r="D191" s="741" t="inlineStr">
        <is>
          <t>Denver</t>
        </is>
      </c>
      <c r="E191" s="741" t="inlineStr">
        <is>
          <t>Fast Food</t>
        </is>
      </c>
      <c r="F191" s="741" t="inlineStr">
        <is>
          <t>Dairy Queen</t>
        </is>
      </c>
      <c r="G191" s="741" t="n">
        <v>349</v>
      </c>
      <c r="H191" s="743" t="inlineStr">
        <is>
          <t>349 - Fast Food Restaurant</t>
        </is>
      </c>
      <c r="I191" s="742" t="inlineStr">
        <is>
          <t>Restaurants – Fast Food</t>
        </is>
      </c>
      <c r="J191" s="741" t="inlineStr">
        <is>
          <t>Sec.13 p.17</t>
        </is>
      </c>
      <c r="K191" s="744" t="n">
        <v>710</v>
      </c>
      <c r="L191" s="744" t="n">
        <v>13939</v>
      </c>
      <c r="M191" s="745" t="inlineStr">
        <is>
          <t>C</t>
        </is>
      </c>
      <c r="N191" s="745" t="inlineStr">
        <is>
          <t>Average</t>
        </is>
      </c>
      <c r="O191" s="745" t="inlineStr">
        <is>
          <t>Typical</t>
        </is>
      </c>
      <c r="P191" s="745" t="n">
        <v>1980</v>
      </c>
      <c r="Q191" s="741" t="n">
        <v>44</v>
      </c>
      <c r="R191" s="746" t="n">
        <v>191</v>
      </c>
      <c r="S191" s="747" t="n">
        <v>135610</v>
      </c>
      <c r="T191" s="742" t="inlineStr"/>
    </row>
    <row r="192">
      <c r="A192" s="748" t="n">
        <v>896</v>
      </c>
      <c r="B192" s="749" t="inlineStr">
        <is>
          <t>8100 E 49th Ave</t>
        </is>
      </c>
      <c r="C192" s="748" t="inlineStr">
        <is>
          <t>Denver</t>
        </is>
      </c>
      <c r="D192" s="748" t="inlineStr">
        <is>
          <t>Denver</t>
        </is>
      </c>
      <c r="E192" s="748" t="inlineStr">
        <is>
          <t>Fast Food</t>
        </is>
      </c>
      <c r="F192" s="748" t="inlineStr">
        <is>
          <t>Del Taco</t>
        </is>
      </c>
      <c r="G192" s="748" t="n">
        <v>349</v>
      </c>
      <c r="H192" s="743" t="inlineStr">
        <is>
          <t>349 - Fast Food Restaurant</t>
        </is>
      </c>
      <c r="I192" s="749" t="inlineStr">
        <is>
          <t>Restaurants – Fast Food</t>
        </is>
      </c>
      <c r="J192" s="748" t="inlineStr">
        <is>
          <t>Sec.13 p.17</t>
        </is>
      </c>
      <c r="K192" s="744" t="n">
        <v>2733</v>
      </c>
      <c r="L192" s="744" t="n">
        <v>23522</v>
      </c>
      <c r="M192" s="745" t="inlineStr">
        <is>
          <t>C</t>
        </is>
      </c>
      <c r="N192" s="745" t="inlineStr">
        <is>
          <t>Average</t>
        </is>
      </c>
      <c r="O192" s="745" t="inlineStr">
        <is>
          <t>Typical</t>
        </is>
      </c>
      <c r="P192" s="745" t="n">
        <v>2006</v>
      </c>
      <c r="Q192" s="748" t="n">
        <v>18</v>
      </c>
      <c r="R192" s="750" t="n">
        <v>191</v>
      </c>
      <c r="S192" s="751" t="n">
        <v>522003</v>
      </c>
      <c r="T192" s="749" t="inlineStr"/>
    </row>
    <row r="193">
      <c r="A193" s="741" t="n">
        <v>897</v>
      </c>
      <c r="B193" s="742" t="inlineStr">
        <is>
          <t>4698 Peoria St</t>
        </is>
      </c>
      <c r="C193" s="741" t="inlineStr">
        <is>
          <t>Denver</t>
        </is>
      </c>
      <c r="D193" s="741" t="inlineStr">
        <is>
          <t>Denver</t>
        </is>
      </c>
      <c r="E193" s="741" t="inlineStr">
        <is>
          <t>Fast Food</t>
        </is>
      </c>
      <c r="F193" s="741" t="inlineStr">
        <is>
          <t>Del Taco</t>
        </is>
      </c>
      <c r="G193" s="741" t="n">
        <v>349</v>
      </c>
      <c r="H193" s="743" t="inlineStr">
        <is>
          <t>349 - Fast Food Restaurant</t>
        </is>
      </c>
      <c r="I193" s="742" t="inlineStr">
        <is>
          <t>Restaurants – Fast Food</t>
        </is>
      </c>
      <c r="J193" s="741" t="inlineStr">
        <is>
          <t>Sec.13 p.17</t>
        </is>
      </c>
      <c r="K193" s="744" t="n">
        <v>2417</v>
      </c>
      <c r="L193" s="744" t="n">
        <v>35719</v>
      </c>
      <c r="M193" s="745" t="inlineStr">
        <is>
          <t>C</t>
        </is>
      </c>
      <c r="N193" s="745" t="inlineStr">
        <is>
          <t>Average</t>
        </is>
      </c>
      <c r="O193" s="745" t="inlineStr">
        <is>
          <t>Typical</t>
        </is>
      </c>
      <c r="P193" s="745" t="n">
        <v>2005</v>
      </c>
      <c r="Q193" s="741" t="n">
        <v>19</v>
      </c>
      <c r="R193" s="746" t="n">
        <v>191</v>
      </c>
      <c r="S193" s="747" t="n">
        <v>461647</v>
      </c>
      <c r="T193" s="742" t="inlineStr"/>
    </row>
    <row r="194">
      <c r="A194" s="748" t="n">
        <v>898</v>
      </c>
      <c r="B194" s="749" t="inlineStr">
        <is>
          <t>4698 Peoria St</t>
        </is>
      </c>
      <c r="C194" s="748" t="inlineStr">
        <is>
          <t>Denver</t>
        </is>
      </c>
      <c r="D194" s="748" t="inlineStr">
        <is>
          <t>Denver</t>
        </is>
      </c>
      <c r="E194" s="748" t="inlineStr">
        <is>
          <t>Fast Food</t>
        </is>
      </c>
      <c r="F194" s="748" t="inlineStr">
        <is>
          <t>Del Taco</t>
        </is>
      </c>
      <c r="G194" s="748" t="n">
        <v>349</v>
      </c>
      <c r="H194" s="743" t="inlineStr">
        <is>
          <t>349 - Fast Food Restaurant</t>
        </is>
      </c>
      <c r="I194" s="749" t="inlineStr">
        <is>
          <t>Restaurants – Fast Food</t>
        </is>
      </c>
      <c r="J194" s="748" t="inlineStr">
        <is>
          <t>Sec.13 p.17</t>
        </is>
      </c>
      <c r="K194" s="744" t="n">
        <v>2417</v>
      </c>
      <c r="L194" s="744" t="n">
        <v>35719</v>
      </c>
      <c r="M194" s="745" t="inlineStr">
        <is>
          <t>C</t>
        </is>
      </c>
      <c r="N194" s="745" t="inlineStr">
        <is>
          <t>Average</t>
        </is>
      </c>
      <c r="O194" s="745" t="inlineStr">
        <is>
          <t>Typical</t>
        </is>
      </c>
      <c r="P194" s="745" t="n">
        <v>2005</v>
      </c>
      <c r="Q194" s="748" t="n">
        <v>19</v>
      </c>
      <c r="R194" s="750" t="n">
        <v>191</v>
      </c>
      <c r="S194" s="751" t="n">
        <v>461647</v>
      </c>
      <c r="T194" s="749" t="inlineStr"/>
    </row>
    <row r="195">
      <c r="A195" s="741" t="n">
        <v>899</v>
      </c>
      <c r="B195" s="742" t="inlineStr">
        <is>
          <t>8100 E 49th Ave</t>
        </is>
      </c>
      <c r="C195" s="741" t="inlineStr">
        <is>
          <t>Denver</t>
        </is>
      </c>
      <c r="D195" s="741" t="inlineStr">
        <is>
          <t>Denver</t>
        </is>
      </c>
      <c r="E195" s="741" t="inlineStr">
        <is>
          <t>Fast Food</t>
        </is>
      </c>
      <c r="F195" s="741" t="inlineStr">
        <is>
          <t>Del Taco</t>
        </is>
      </c>
      <c r="G195" s="741" t="n">
        <v>349</v>
      </c>
      <c r="H195" s="743" t="inlineStr">
        <is>
          <t>349 - Fast Food Restaurant</t>
        </is>
      </c>
      <c r="I195" s="742" t="inlineStr">
        <is>
          <t>Restaurants – Fast Food</t>
        </is>
      </c>
      <c r="J195" s="741" t="inlineStr">
        <is>
          <t>Sec.13 p.17</t>
        </is>
      </c>
      <c r="K195" s="744" t="n">
        <v>3101</v>
      </c>
      <c r="L195" s="744" t="n">
        <v>23522</v>
      </c>
      <c r="M195" s="745" t="inlineStr">
        <is>
          <t>C</t>
        </is>
      </c>
      <c r="N195" s="745" t="inlineStr">
        <is>
          <t>Average</t>
        </is>
      </c>
      <c r="O195" s="745" t="inlineStr">
        <is>
          <t>Typical</t>
        </is>
      </c>
      <c r="P195" s="745" t="n">
        <v>2006</v>
      </c>
      <c r="Q195" s="741" t="n">
        <v>18</v>
      </c>
      <c r="R195" s="746" t="n">
        <v>191</v>
      </c>
      <c r="S195" s="747" t="n">
        <v>592291</v>
      </c>
      <c r="T195" s="742" t="inlineStr"/>
    </row>
    <row r="196">
      <c r="A196" s="748" t="n">
        <v>900</v>
      </c>
      <c r="B196" s="749" t="inlineStr">
        <is>
          <t>931 W Evans Ave</t>
        </is>
      </c>
      <c r="C196" s="748" t="inlineStr">
        <is>
          <t>Denver</t>
        </is>
      </c>
      <c r="D196" s="748" t="inlineStr">
        <is>
          <t>Denver</t>
        </is>
      </c>
      <c r="E196" s="748" t="inlineStr">
        <is>
          <t>Auto Service</t>
        </is>
      </c>
      <c r="F196" s="748" t="inlineStr">
        <is>
          <t>Diamond Paint &amp; Autobody</t>
        </is>
      </c>
      <c r="G196" s="748" t="n">
        <v>325</v>
      </c>
      <c r="H196" s="743" t="inlineStr">
        <is>
          <t>325 - Service Garage</t>
        </is>
      </c>
      <c r="I196" s="749" t="inlineStr">
        <is>
          <t>Service Garages (Commercial/Repair)</t>
        </is>
      </c>
      <c r="J196" s="748" t="inlineStr">
        <is>
          <t>Sec.14 p.32</t>
        </is>
      </c>
      <c r="K196" s="744" t="n">
        <v>12500</v>
      </c>
      <c r="L196" s="744" t="n">
        <v>32670</v>
      </c>
      <c r="M196" s="745" t="inlineStr">
        <is>
          <t>C</t>
        </is>
      </c>
      <c r="N196" s="745" t="inlineStr">
        <is>
          <t>Average</t>
        </is>
      </c>
      <c r="O196" s="745" t="inlineStr">
        <is>
          <t>Typical</t>
        </is>
      </c>
      <c r="P196" s="745" t="n">
        <v>1955</v>
      </c>
      <c r="Q196" s="748" t="n">
        <v>69</v>
      </c>
      <c r="R196" s="750" t="n">
        <v>79.5</v>
      </c>
      <c r="S196" s="751" t="n">
        <v>993750</v>
      </c>
      <c r="T196" s="749" t="inlineStr"/>
    </row>
    <row r="197">
      <c r="A197" s="741" t="n">
        <v>901</v>
      </c>
      <c r="B197" s="742" t="inlineStr">
        <is>
          <t>4923 E Colfax Ave</t>
        </is>
      </c>
      <c r="C197" s="741" t="inlineStr">
        <is>
          <t>Denver</t>
        </is>
      </c>
      <c r="D197" s="741" t="inlineStr">
        <is>
          <t>Denver</t>
        </is>
      </c>
      <c r="E197" s="741" t="inlineStr">
        <is>
          <t>Dollar Store</t>
        </is>
      </c>
      <c r="F197" s="741" t="inlineStr">
        <is>
          <t>Dollar Tree</t>
        </is>
      </c>
      <c r="G197" s="741" t="n">
        <v>319</v>
      </c>
      <c r="H197" s="743" t="inlineStr">
        <is>
          <t>319 - Discount Store</t>
        </is>
      </c>
      <c r="I197" s="742" t="inlineStr">
        <is>
          <t>Discount Stores</t>
        </is>
      </c>
      <c r="J197" s="741" t="inlineStr">
        <is>
          <t>Sec.13 p.28</t>
        </is>
      </c>
      <c r="K197" s="744" t="n">
        <v>17500</v>
      </c>
      <c r="L197" s="744" t="n">
        <v>71499</v>
      </c>
      <c r="M197" s="745" t="inlineStr">
        <is>
          <t>C</t>
        </is>
      </c>
      <c r="N197" s="745" t="inlineStr">
        <is>
          <t>Average</t>
        </is>
      </c>
      <c r="O197" s="745" t="inlineStr">
        <is>
          <t>Typical</t>
        </is>
      </c>
      <c r="P197" s="745" t="n">
        <v>1987</v>
      </c>
      <c r="Q197" s="741" t="n">
        <v>37</v>
      </c>
      <c r="R197" s="746" t="n">
        <v>94</v>
      </c>
      <c r="S197" s="747" t="n">
        <v>1645000</v>
      </c>
      <c r="T197" s="742" t="inlineStr"/>
    </row>
    <row r="198">
      <c r="A198" s="748" t="n">
        <v>902</v>
      </c>
      <c r="B198" s="749" t="inlineStr">
        <is>
          <t>401 Downing St</t>
        </is>
      </c>
      <c r="C198" s="748" t="inlineStr">
        <is>
          <t>Denver</t>
        </is>
      </c>
      <c r="D198" s="748" t="inlineStr">
        <is>
          <t>Denver</t>
        </is>
      </c>
      <c r="E198" s="748" t="inlineStr">
        <is>
          <t>Auto Service</t>
        </is>
      </c>
      <c r="F198" s="748" t="inlineStr">
        <is>
          <t>Downing Street Automotive</t>
        </is>
      </c>
      <c r="G198" s="748" t="n">
        <v>325</v>
      </c>
      <c r="H198" s="743" t="inlineStr">
        <is>
          <t>325 - Service Garage</t>
        </is>
      </c>
      <c r="I198" s="749" t="inlineStr">
        <is>
          <t>Service Garages (Commercial/Repair)</t>
        </is>
      </c>
      <c r="J198" s="748" t="inlineStr">
        <is>
          <t>Sec.14 p.32</t>
        </is>
      </c>
      <c r="K198" s="744" t="n">
        <v>2793</v>
      </c>
      <c r="L198" s="744" t="n">
        <v>12998</v>
      </c>
      <c r="M198" s="745" t="inlineStr">
        <is>
          <t>C</t>
        </is>
      </c>
      <c r="N198" s="745" t="inlineStr">
        <is>
          <t>Average</t>
        </is>
      </c>
      <c r="O198" s="745" t="inlineStr">
        <is>
          <t>Typical</t>
        </is>
      </c>
      <c r="P198" s="745" t="n">
        <v>1959</v>
      </c>
      <c r="Q198" s="748" t="n">
        <v>65</v>
      </c>
      <c r="R198" s="750" t="n">
        <v>79.5</v>
      </c>
      <c r="S198" s="751" t="n">
        <v>222044</v>
      </c>
      <c r="T198" s="749" t="inlineStr"/>
    </row>
    <row r="199">
      <c r="A199" s="741" t="n">
        <v>903</v>
      </c>
      <c r="B199" s="742" t="inlineStr">
        <is>
          <t>4601 Peoria St</t>
        </is>
      </c>
      <c r="C199" s="741" t="inlineStr">
        <is>
          <t>Denver</t>
        </is>
      </c>
      <c r="D199" s="741" t="inlineStr">
        <is>
          <t>Denver</t>
        </is>
      </c>
      <c r="E199" s="741" t="inlineStr">
        <is>
          <t>Coffee</t>
        </is>
      </c>
      <c r="F199" s="741" t="inlineStr">
        <is>
          <t>Dutch Bros</t>
        </is>
      </c>
      <c r="G199" s="741" t="n">
        <v>349</v>
      </c>
      <c r="H199" s="743" t="inlineStr">
        <is>
          <t>349 - Fast Food Restaurant</t>
        </is>
      </c>
      <c r="I199" s="742" t="inlineStr">
        <is>
          <t>Restaurants – Fast Food</t>
        </is>
      </c>
      <c r="J199" s="741" t="inlineStr">
        <is>
          <t>Sec.13 p.17</t>
        </is>
      </c>
      <c r="K199" s="744" t="n">
        <v>862</v>
      </c>
      <c r="L199" s="744" t="n">
        <v>35633</v>
      </c>
      <c r="M199" s="745" t="inlineStr">
        <is>
          <t>C</t>
        </is>
      </c>
      <c r="N199" s="745" t="inlineStr">
        <is>
          <t>Good</t>
        </is>
      </c>
      <c r="O199" s="745" t="inlineStr">
        <is>
          <t>Typical</t>
        </is>
      </c>
      <c r="P199" s="745" t="n">
        <v>2020</v>
      </c>
      <c r="Q199" s="741" t="n">
        <v>4</v>
      </c>
      <c r="R199" s="746" t="n">
        <v>246</v>
      </c>
      <c r="S199" s="747" t="n">
        <v>212052</v>
      </c>
      <c r="T199" s="742" t="inlineStr"/>
    </row>
    <row r="200">
      <c r="A200" s="748" t="n">
        <v>904</v>
      </c>
      <c r="B200" s="749" t="inlineStr">
        <is>
          <t>5038 W 44th Ave</t>
        </is>
      </c>
      <c r="C200" s="748" t="inlineStr">
        <is>
          <t>Denver</t>
        </is>
      </c>
      <c r="D200" s="748" t="inlineStr">
        <is>
          <t>Denver</t>
        </is>
      </c>
      <c r="E200" s="748" t="inlineStr">
        <is>
          <t>Auto Service</t>
        </is>
      </c>
      <c r="F200" s="748" t="inlineStr">
        <is>
          <t>Edgewater Jeep</t>
        </is>
      </c>
      <c r="G200" s="748" t="n">
        <v>325</v>
      </c>
      <c r="H200" s="743" t="inlineStr">
        <is>
          <t>325 - Service Garage</t>
        </is>
      </c>
      <c r="I200" s="749" t="inlineStr">
        <is>
          <t>Service Garages (Commercial/Repair)</t>
        </is>
      </c>
      <c r="J200" s="748" t="inlineStr">
        <is>
          <t>Sec.14 p.32</t>
        </is>
      </c>
      <c r="K200" s="744" t="n">
        <v>2783</v>
      </c>
      <c r="L200" s="744" t="n">
        <v>13286</v>
      </c>
      <c r="M200" s="745" t="inlineStr">
        <is>
          <t>C</t>
        </is>
      </c>
      <c r="N200" s="745" t="inlineStr">
        <is>
          <t>Average</t>
        </is>
      </c>
      <c r="O200" s="745" t="inlineStr">
        <is>
          <t>Typical</t>
        </is>
      </c>
      <c r="P200" s="745" t="n">
        <v>1955</v>
      </c>
      <c r="Q200" s="748" t="n">
        <v>69</v>
      </c>
      <c r="R200" s="750" t="n">
        <v>79.5</v>
      </c>
      <c r="S200" s="751" t="n">
        <v>221248</v>
      </c>
      <c r="T200" s="749" t="inlineStr"/>
    </row>
    <row r="201">
      <c r="A201" s="741" t="n">
        <v>905</v>
      </c>
      <c r="B201" s="742" t="inlineStr">
        <is>
          <t>4200 E Evans Ave</t>
        </is>
      </c>
      <c r="C201" s="741" t="inlineStr">
        <is>
          <t>Denver</t>
        </is>
      </c>
      <c r="D201" s="741" t="inlineStr">
        <is>
          <t>Denver</t>
        </is>
      </c>
      <c r="E201" s="741" t="inlineStr">
        <is>
          <t>Auto Service</t>
        </is>
      </c>
      <c r="F201" s="741" t="inlineStr">
        <is>
          <t>Express Car Care</t>
        </is>
      </c>
      <c r="G201" s="741" t="n">
        <v>325</v>
      </c>
      <c r="H201" s="743" t="inlineStr">
        <is>
          <t>325 - Service Garage</t>
        </is>
      </c>
      <c r="I201" s="742" t="inlineStr">
        <is>
          <t>Service Garages (Commercial/Repair)</t>
        </is>
      </c>
      <c r="J201" s="741" t="inlineStr">
        <is>
          <t>Sec.14 p.32</t>
        </is>
      </c>
      <c r="K201" s="744" t="n">
        <v>2343</v>
      </c>
      <c r="L201" s="744" t="n">
        <v>10487</v>
      </c>
      <c r="M201" s="745" t="inlineStr">
        <is>
          <t>C</t>
        </is>
      </c>
      <c r="N201" s="745" t="inlineStr">
        <is>
          <t>Average</t>
        </is>
      </c>
      <c r="O201" s="745" t="inlineStr">
        <is>
          <t>Typical</t>
        </is>
      </c>
      <c r="P201" s="745" t="n">
        <v>1974</v>
      </c>
      <c r="Q201" s="741" t="n">
        <v>50</v>
      </c>
      <c r="R201" s="746" t="n">
        <v>79.5</v>
      </c>
      <c r="S201" s="747" t="n">
        <v>186268</v>
      </c>
      <c r="T201" s="742" t="inlineStr"/>
    </row>
    <row r="202">
      <c r="A202" s="748" t="n">
        <v>906</v>
      </c>
      <c r="B202" s="749" t="inlineStr">
        <is>
          <t>1700 E Colfax Ave</t>
        </is>
      </c>
      <c r="C202" s="748" t="inlineStr">
        <is>
          <t>Denver</t>
        </is>
      </c>
      <c r="D202" s="748" t="inlineStr">
        <is>
          <t>Denver</t>
        </is>
      </c>
      <c r="E202" s="748" t="inlineStr">
        <is>
          <t>Dollar Store</t>
        </is>
      </c>
      <c r="F202" s="748" t="inlineStr">
        <is>
          <t>Family Dollar</t>
        </is>
      </c>
      <c r="G202" s="748" t="n">
        <v>319</v>
      </c>
      <c r="H202" s="743" t="inlineStr">
        <is>
          <t>319 - Discount Store</t>
        </is>
      </c>
      <c r="I202" s="749" t="inlineStr">
        <is>
          <t>Discount Stores</t>
        </is>
      </c>
      <c r="J202" s="748" t="inlineStr">
        <is>
          <t>Sec.13 p.28</t>
        </is>
      </c>
      <c r="K202" s="744" t="n">
        <v>7664</v>
      </c>
      <c r="L202" s="744" t="n">
        <v>17860</v>
      </c>
      <c r="M202" s="745" t="inlineStr">
        <is>
          <t>C</t>
        </is>
      </c>
      <c r="N202" s="745" t="inlineStr">
        <is>
          <t>Average</t>
        </is>
      </c>
      <c r="O202" s="745" t="inlineStr">
        <is>
          <t>Typical</t>
        </is>
      </c>
      <c r="P202" s="745" t="n">
        <v>1936</v>
      </c>
      <c r="Q202" s="748" t="n">
        <v>88</v>
      </c>
      <c r="R202" s="750" t="n">
        <v>94</v>
      </c>
      <c r="S202" s="751" t="n">
        <v>720416</v>
      </c>
      <c r="T202" s="749" t="inlineStr"/>
    </row>
    <row r="203">
      <c r="A203" s="741" t="n">
        <v>907</v>
      </c>
      <c r="B203" s="742" t="inlineStr">
        <is>
          <t>4555 Tower Rd</t>
        </is>
      </c>
      <c r="C203" s="741" t="inlineStr">
        <is>
          <t>Denver</t>
        </is>
      </c>
      <c r="D203" s="741" t="inlineStr">
        <is>
          <t>Denver</t>
        </is>
      </c>
      <c r="E203" s="741" t="inlineStr">
        <is>
          <t>Auto Service</t>
        </is>
      </c>
      <c r="F203" s="741" t="inlineStr">
        <is>
          <t>Firestone</t>
        </is>
      </c>
      <c r="G203" s="741" t="n">
        <v>410</v>
      </c>
      <c r="H203" s="743" t="inlineStr">
        <is>
          <t>410 - Automotive Center</t>
        </is>
      </c>
      <c r="I203" s="742" t="inlineStr">
        <is>
          <t>Automotive Service Centers</t>
        </is>
      </c>
      <c r="J203" s="741" t="inlineStr">
        <is>
          <t>Sec.14 p.31</t>
        </is>
      </c>
      <c r="K203" s="744" t="n">
        <v>3088</v>
      </c>
      <c r="L203" s="744" t="n">
        <v>36590</v>
      </c>
      <c r="M203" s="745" t="inlineStr">
        <is>
          <t>S</t>
        </is>
      </c>
      <c r="N203" s="745" t="inlineStr">
        <is>
          <t>Average</t>
        </is>
      </c>
      <c r="O203" s="745" t="inlineStr">
        <is>
          <t>Typical</t>
        </is>
      </c>
      <c r="P203" s="745" t="n">
        <v>2020</v>
      </c>
      <c r="Q203" s="741" t="n">
        <v>4</v>
      </c>
      <c r="R203" s="746" t="n">
        <v>97.5</v>
      </c>
      <c r="S203" s="747" t="n">
        <v>301080</v>
      </c>
      <c r="T203" s="742" t="inlineStr">
        <is>
          <t>quality fell back to Average</t>
        </is>
      </c>
    </row>
    <row r="204">
      <c r="A204" s="748" t="n">
        <v>908</v>
      </c>
      <c r="B204" s="749" t="inlineStr">
        <is>
          <t>2000 Broadway</t>
        </is>
      </c>
      <c r="C204" s="748" t="inlineStr">
        <is>
          <t>Denver</t>
        </is>
      </c>
      <c r="D204" s="748" t="inlineStr">
        <is>
          <t>Denver</t>
        </is>
      </c>
      <c r="E204" s="748" t="inlineStr">
        <is>
          <t>Auto Service</t>
        </is>
      </c>
      <c r="F204" s="748" t="inlineStr">
        <is>
          <t>Firestone</t>
        </is>
      </c>
      <c r="G204" s="748" t="n">
        <v>410</v>
      </c>
      <c r="H204" s="743" t="inlineStr">
        <is>
          <t>410 - Automotive Center</t>
        </is>
      </c>
      <c r="I204" s="749" t="inlineStr">
        <is>
          <t>Automotive Service Centers</t>
        </is>
      </c>
      <c r="J204" s="748" t="inlineStr">
        <is>
          <t>Sec.14 p.31</t>
        </is>
      </c>
      <c r="K204" s="744" t="n">
        <v>10991</v>
      </c>
      <c r="L204" s="744" t="n">
        <v>23441</v>
      </c>
      <c r="M204" s="745" t="inlineStr">
        <is>
          <t>S</t>
        </is>
      </c>
      <c r="N204" s="745" t="inlineStr">
        <is>
          <t>Average</t>
        </is>
      </c>
      <c r="O204" s="745" t="inlineStr">
        <is>
          <t>Typical</t>
        </is>
      </c>
      <c r="P204" s="745" t="n">
        <v>1965</v>
      </c>
      <c r="Q204" s="748" t="n">
        <v>59</v>
      </c>
      <c r="R204" s="750" t="n">
        <v>97.5</v>
      </c>
      <c r="S204" s="751" t="n">
        <v>1071622</v>
      </c>
      <c r="T204" s="749" t="inlineStr"/>
    </row>
    <row r="205">
      <c r="A205" s="741" t="n">
        <v>909</v>
      </c>
      <c r="B205" s="742" t="inlineStr">
        <is>
          <t>1430 W Alameda Ave</t>
        </is>
      </c>
      <c r="C205" s="741" t="inlineStr">
        <is>
          <t>Denver</t>
        </is>
      </c>
      <c r="D205" s="741" t="inlineStr">
        <is>
          <t>Denver</t>
        </is>
      </c>
      <c r="E205" s="741" t="inlineStr">
        <is>
          <t>Auto Service</t>
        </is>
      </c>
      <c r="F205" s="741" t="inlineStr">
        <is>
          <t>Harry's Transmission</t>
        </is>
      </c>
      <c r="G205" s="741" t="n">
        <v>325</v>
      </c>
      <c r="H205" s="743" t="inlineStr">
        <is>
          <t>325 - Service Garage</t>
        </is>
      </c>
      <c r="I205" s="742" t="inlineStr">
        <is>
          <t>Service Garages (Commercial/Repair)</t>
        </is>
      </c>
      <c r="J205" s="741" t="inlineStr">
        <is>
          <t>Sec.14 p.32</t>
        </is>
      </c>
      <c r="K205" s="744" t="n">
        <v>4014</v>
      </c>
      <c r="L205" s="744" t="n">
        <v>5314</v>
      </c>
      <c r="M205" s="745" t="inlineStr">
        <is>
          <t>C</t>
        </is>
      </c>
      <c r="N205" s="745" t="inlineStr">
        <is>
          <t>Average</t>
        </is>
      </c>
      <c r="O205" s="745" t="inlineStr">
        <is>
          <t>Typical</t>
        </is>
      </c>
      <c r="P205" s="745" t="n">
        <v>1978</v>
      </c>
      <c r="Q205" s="741" t="n">
        <v>46</v>
      </c>
      <c r="R205" s="746" t="n">
        <v>79.5</v>
      </c>
      <c r="S205" s="747" t="n">
        <v>319113</v>
      </c>
      <c r="T205" s="742" t="inlineStr"/>
    </row>
    <row r="206">
      <c r="A206" s="748" t="n">
        <v>910</v>
      </c>
      <c r="B206" s="749" t="inlineStr">
        <is>
          <t>592 S Broadway</t>
        </is>
      </c>
      <c r="C206" s="748" t="inlineStr">
        <is>
          <t>Denver</t>
        </is>
      </c>
      <c r="D206" s="748" t="inlineStr">
        <is>
          <t>Denver</t>
        </is>
      </c>
      <c r="E206" s="748" t="inlineStr">
        <is>
          <t>Auto Service</t>
        </is>
      </c>
      <c r="F206" s="748" t="inlineStr">
        <is>
          <t>Just Brakes</t>
        </is>
      </c>
      <c r="G206" s="748" t="n">
        <v>410</v>
      </c>
      <c r="H206" s="743" t="inlineStr">
        <is>
          <t>410 - Automotive Center</t>
        </is>
      </c>
      <c r="I206" s="749" t="inlineStr">
        <is>
          <t>Automotive Service Centers</t>
        </is>
      </c>
      <c r="J206" s="748" t="inlineStr">
        <is>
          <t>Sec.14 p.31</t>
        </is>
      </c>
      <c r="K206" s="744" t="n">
        <v>2040</v>
      </c>
      <c r="L206" s="744" t="n">
        <v>9148</v>
      </c>
      <c r="M206" s="745" t="inlineStr">
        <is>
          <t>S</t>
        </is>
      </c>
      <c r="N206" s="745" t="inlineStr">
        <is>
          <t>Average</t>
        </is>
      </c>
      <c r="O206" s="745" t="inlineStr">
        <is>
          <t>Typical</t>
        </is>
      </c>
      <c r="P206" s="745" t="n">
        <v>1998</v>
      </c>
      <c r="Q206" s="748" t="n">
        <v>26</v>
      </c>
      <c r="R206" s="750" t="n">
        <v>97.5</v>
      </c>
      <c r="S206" s="751" t="n">
        <v>198900</v>
      </c>
      <c r="T206" s="749" t="inlineStr"/>
    </row>
    <row r="207">
      <c r="A207" s="741" t="n">
        <v>911</v>
      </c>
      <c r="B207" s="742" t="inlineStr">
        <is>
          <t>6030 E 23rd Ave</t>
        </is>
      </c>
      <c r="C207" s="741" t="inlineStr">
        <is>
          <t>Denver</t>
        </is>
      </c>
      <c r="D207" s="741" t="inlineStr">
        <is>
          <t>Denver</t>
        </is>
      </c>
      <c r="E207" s="741" t="inlineStr">
        <is>
          <t>Auto Service</t>
        </is>
      </c>
      <c r="F207" s="741" t="inlineStr">
        <is>
          <t>Kearney Garage</t>
        </is>
      </c>
      <c r="G207" s="741" t="n">
        <v>325</v>
      </c>
      <c r="H207" s="743" t="inlineStr">
        <is>
          <t>325 - Service Garage</t>
        </is>
      </c>
      <c r="I207" s="742" t="inlineStr">
        <is>
          <t>Service Garages (Commercial/Repair)</t>
        </is>
      </c>
      <c r="J207" s="741" t="inlineStr">
        <is>
          <t>Sec.14 p.32</t>
        </is>
      </c>
      <c r="K207" s="744" t="n">
        <v>4037</v>
      </c>
      <c r="L207" s="744" t="n">
        <v>6668</v>
      </c>
      <c r="M207" s="745" t="inlineStr">
        <is>
          <t>C</t>
        </is>
      </c>
      <c r="N207" s="745" t="inlineStr">
        <is>
          <t>Average</t>
        </is>
      </c>
      <c r="O207" s="745" t="inlineStr">
        <is>
          <t>Typical</t>
        </is>
      </c>
      <c r="P207" s="745" t="n">
        <v>1938</v>
      </c>
      <c r="Q207" s="741" t="n">
        <v>86</v>
      </c>
      <c r="R207" s="746" t="n">
        <v>79.5</v>
      </c>
      <c r="S207" s="747" t="n">
        <v>320942</v>
      </c>
      <c r="T207" s="742" t="inlineStr"/>
    </row>
    <row r="208">
      <c r="A208" s="748" t="n">
        <v>912</v>
      </c>
      <c r="B208" s="749" t="inlineStr">
        <is>
          <t>1658 S Broadway</t>
        </is>
      </c>
      <c r="C208" s="748" t="inlineStr">
        <is>
          <t>Denver</t>
        </is>
      </c>
      <c r="D208" s="748" t="inlineStr">
        <is>
          <t>Denver</t>
        </is>
      </c>
      <c r="E208" s="748" t="inlineStr">
        <is>
          <t>Auto Service</t>
        </is>
      </c>
      <c r="F208" s="748" t="inlineStr">
        <is>
          <t>Meineke</t>
        </is>
      </c>
      <c r="G208" s="748" t="n">
        <v>410</v>
      </c>
      <c r="H208" s="743" t="inlineStr">
        <is>
          <t>410 - Automotive Center</t>
        </is>
      </c>
      <c r="I208" s="749" t="inlineStr">
        <is>
          <t>Automotive Service Centers</t>
        </is>
      </c>
      <c r="J208" s="748" t="inlineStr">
        <is>
          <t>Sec.14 p.31</t>
        </is>
      </c>
      <c r="K208" s="744" t="n">
        <v>3504</v>
      </c>
      <c r="L208" s="744" t="n">
        <v>9367</v>
      </c>
      <c r="M208" s="745" t="inlineStr">
        <is>
          <t>S</t>
        </is>
      </c>
      <c r="N208" s="745" t="inlineStr">
        <is>
          <t>Average</t>
        </is>
      </c>
      <c r="O208" s="745" t="inlineStr">
        <is>
          <t>Typical</t>
        </is>
      </c>
      <c r="P208" s="745" t="n">
        <v>1987</v>
      </c>
      <c r="Q208" s="748" t="n">
        <v>37</v>
      </c>
      <c r="R208" s="750" t="n">
        <v>97.5</v>
      </c>
      <c r="S208" s="751" t="n">
        <v>341640</v>
      </c>
      <c r="T208" s="749" t="inlineStr"/>
    </row>
    <row r="209">
      <c r="A209" s="741" t="n">
        <v>913</v>
      </c>
      <c r="B209" s="742" t="inlineStr">
        <is>
          <t>5360 E Colfax Ave</t>
        </is>
      </c>
      <c r="C209" s="741" t="inlineStr">
        <is>
          <t>Denver</t>
        </is>
      </c>
      <c r="D209" s="741" t="inlineStr">
        <is>
          <t>Denver</t>
        </is>
      </c>
      <c r="E209" s="741" t="inlineStr">
        <is>
          <t>Auto Parts</t>
        </is>
      </c>
      <c r="F209" s="741" t="inlineStr">
        <is>
          <t>O'Reilly Auto Parts</t>
        </is>
      </c>
      <c r="G209" s="741" t="n">
        <v>353</v>
      </c>
      <c r="H209" s="743" t="inlineStr">
        <is>
          <t>353 - Retail Store</t>
        </is>
      </c>
      <c r="I209" s="742" t="inlineStr">
        <is>
          <t>Retail Stores</t>
        </is>
      </c>
      <c r="J209" s="741" t="inlineStr">
        <is>
          <t>Sec.13 p.26</t>
        </is>
      </c>
      <c r="K209" s="744" t="n">
        <v>6749</v>
      </c>
      <c r="L209" s="744" t="n">
        <v>23522</v>
      </c>
      <c r="M209" s="745" t="inlineStr">
        <is>
          <t>C</t>
        </is>
      </c>
      <c r="N209" s="745" t="inlineStr">
        <is>
          <t>Average</t>
        </is>
      </c>
      <c r="O209" s="745" t="inlineStr">
        <is>
          <t>Typical</t>
        </is>
      </c>
      <c r="P209" s="745" t="n">
        <v>2007</v>
      </c>
      <c r="Q209" s="741" t="n">
        <v>17</v>
      </c>
      <c r="R209" s="746" t="n">
        <v>117</v>
      </c>
      <c r="S209" s="747" t="n">
        <v>789633</v>
      </c>
      <c r="T209" s="742" t="inlineStr"/>
    </row>
    <row r="210">
      <c r="A210" s="748" t="n">
        <v>914</v>
      </c>
      <c r="B210" s="749" t="inlineStr">
        <is>
          <t>5360 E Colfax Ave</t>
        </is>
      </c>
      <c r="C210" s="748" t="inlineStr">
        <is>
          <t>Denver</t>
        </is>
      </c>
      <c r="D210" s="748" t="inlineStr">
        <is>
          <t>Denver</t>
        </is>
      </c>
      <c r="E210" s="748" t="inlineStr">
        <is>
          <t>Auto Parts</t>
        </is>
      </c>
      <c r="F210" s="748" t="inlineStr">
        <is>
          <t>O'Reilly Auto Parts</t>
        </is>
      </c>
      <c r="G210" s="748" t="n">
        <v>353</v>
      </c>
      <c r="H210" s="743" t="inlineStr">
        <is>
          <t>353 - Retail Store</t>
        </is>
      </c>
      <c r="I210" s="749" t="inlineStr">
        <is>
          <t>Retail Stores</t>
        </is>
      </c>
      <c r="J210" s="748" t="inlineStr">
        <is>
          <t>Sec.13 p.26</t>
        </is>
      </c>
      <c r="K210" s="744" t="n">
        <v>6749</v>
      </c>
      <c r="L210" s="744" t="n">
        <v>23522</v>
      </c>
      <c r="M210" s="745" t="inlineStr">
        <is>
          <t>C</t>
        </is>
      </c>
      <c r="N210" s="745" t="inlineStr">
        <is>
          <t>Average</t>
        </is>
      </c>
      <c r="O210" s="745" t="inlineStr">
        <is>
          <t>Typical</t>
        </is>
      </c>
      <c r="P210" s="745" t="n">
        <v>2007</v>
      </c>
      <c r="Q210" s="748" t="n">
        <v>17</v>
      </c>
      <c r="R210" s="750" t="n">
        <v>117</v>
      </c>
      <c r="S210" s="751" t="n">
        <v>789633</v>
      </c>
      <c r="T210" s="749" t="inlineStr"/>
    </row>
    <row r="211">
      <c r="A211" s="741" t="n">
        <v>915</v>
      </c>
      <c r="B211" s="742" t="inlineStr">
        <is>
          <t>2309 S Federal Blvd</t>
        </is>
      </c>
      <c r="C211" s="741" t="inlineStr">
        <is>
          <t>Denver</t>
        </is>
      </c>
      <c r="D211" s="741" t="inlineStr">
        <is>
          <t>Denver</t>
        </is>
      </c>
      <c r="E211" s="741" t="inlineStr">
        <is>
          <t>Auto Parts</t>
        </is>
      </c>
      <c r="F211" s="741" t="inlineStr">
        <is>
          <t>O'Reilly Auto Parts</t>
        </is>
      </c>
      <c r="G211" s="741" t="n">
        <v>353</v>
      </c>
      <c r="H211" s="743" t="inlineStr">
        <is>
          <t>353 - Retail Store</t>
        </is>
      </c>
      <c r="I211" s="742" t="inlineStr">
        <is>
          <t>Retail Stores</t>
        </is>
      </c>
      <c r="J211" s="741" t="inlineStr">
        <is>
          <t>Sec.13 p.26</t>
        </is>
      </c>
      <c r="K211" s="744" t="n">
        <v>18555</v>
      </c>
      <c r="L211" s="744" t="n">
        <v>77972</v>
      </c>
      <c r="M211" s="745" t="inlineStr">
        <is>
          <t>C</t>
        </is>
      </c>
      <c r="N211" s="745" t="inlineStr">
        <is>
          <t>Average</t>
        </is>
      </c>
      <c r="O211" s="745" t="inlineStr">
        <is>
          <t>Typical</t>
        </is>
      </c>
      <c r="P211" s="745" t="n">
        <v>1955</v>
      </c>
      <c r="Q211" s="741" t="n">
        <v>69</v>
      </c>
      <c r="R211" s="746" t="n">
        <v>117</v>
      </c>
      <c r="S211" s="747" t="n">
        <v>2170935</v>
      </c>
      <c r="T211" s="742" t="inlineStr"/>
    </row>
    <row r="212">
      <c r="A212" s="748" t="n">
        <v>916</v>
      </c>
      <c r="B212" s="749" t="inlineStr">
        <is>
          <t>4831 Tower Rd</t>
        </is>
      </c>
      <c r="C212" s="748" t="inlineStr">
        <is>
          <t>Denver</t>
        </is>
      </c>
      <c r="D212" s="748" t="inlineStr">
        <is>
          <t>Denver</t>
        </is>
      </c>
      <c r="E212" s="748" t="inlineStr">
        <is>
          <t>Retail Center</t>
        </is>
      </c>
      <c r="F212" s="748" t="inlineStr">
        <is>
          <t>Panera Bread</t>
        </is>
      </c>
      <c r="G212" s="748" t="n">
        <v>353</v>
      </c>
      <c r="H212" s="743" t="inlineStr">
        <is>
          <t>353 - Retail Store</t>
        </is>
      </c>
      <c r="I212" s="749" t="inlineStr">
        <is>
          <t>Retail Stores</t>
        </is>
      </c>
      <c r="J212" s="748" t="inlineStr">
        <is>
          <t>Sec.13 p.26</t>
        </is>
      </c>
      <c r="K212" s="744" t="n">
        <v>4540</v>
      </c>
      <c r="L212" s="744" t="n">
        <v>44000</v>
      </c>
      <c r="M212" s="745" t="inlineStr">
        <is>
          <t>C</t>
        </is>
      </c>
      <c r="N212" s="745" t="inlineStr">
        <is>
          <t>Good</t>
        </is>
      </c>
      <c r="O212" s="745" t="inlineStr">
        <is>
          <t>Typical</t>
        </is>
      </c>
      <c r="P212" s="745" t="n">
        <v>2019</v>
      </c>
      <c r="Q212" s="748" t="n">
        <v>5</v>
      </c>
      <c r="R212" s="750" t="n">
        <v>154</v>
      </c>
      <c r="S212" s="751" t="n">
        <v>699160</v>
      </c>
      <c r="T212" s="749" t="inlineStr"/>
    </row>
    <row r="213">
      <c r="A213" s="741" t="n">
        <v>917</v>
      </c>
      <c r="B213" s="742" t="inlineStr">
        <is>
          <t>1563 S Pearl St</t>
        </is>
      </c>
      <c r="C213" s="741" t="inlineStr">
        <is>
          <t>Denver</t>
        </is>
      </c>
      <c r="D213" s="741" t="inlineStr">
        <is>
          <t>Denver</t>
        </is>
      </c>
      <c r="E213" s="741" t="inlineStr">
        <is>
          <t>Auto Service</t>
        </is>
      </c>
      <c r="F213" s="741" t="inlineStr">
        <is>
          <t>Pearl Street Garage</t>
        </is>
      </c>
      <c r="G213" s="741" t="n">
        <v>325</v>
      </c>
      <c r="H213" s="743" t="inlineStr">
        <is>
          <t>325 - Service Garage</t>
        </is>
      </c>
      <c r="I213" s="742" t="inlineStr">
        <is>
          <t>Service Garages (Commercial/Repair)</t>
        </is>
      </c>
      <c r="J213" s="741" t="inlineStr">
        <is>
          <t>Sec.14 p.32</t>
        </is>
      </c>
      <c r="K213" s="744" t="n">
        <v>4118</v>
      </c>
      <c r="L213" s="744" t="n">
        <v>6250</v>
      </c>
      <c r="M213" s="745" t="inlineStr">
        <is>
          <t>C</t>
        </is>
      </c>
      <c r="N213" s="745" t="inlineStr">
        <is>
          <t>Average</t>
        </is>
      </c>
      <c r="O213" s="745" t="inlineStr">
        <is>
          <t>Typical</t>
        </is>
      </c>
      <c r="P213" s="745" t="n">
        <v>1942</v>
      </c>
      <c r="Q213" s="741" t="n">
        <v>82</v>
      </c>
      <c r="R213" s="746" t="n">
        <v>79.5</v>
      </c>
      <c r="S213" s="747" t="n">
        <v>327381</v>
      </c>
      <c r="T213" s="742" t="inlineStr"/>
    </row>
    <row r="214">
      <c r="A214" s="748" t="n">
        <v>918</v>
      </c>
      <c r="B214" s="749" t="inlineStr">
        <is>
          <t>5668 N Beeler St</t>
        </is>
      </c>
      <c r="C214" s="748" t="inlineStr">
        <is>
          <t>Denver</t>
        </is>
      </c>
      <c r="D214" s="748" t="inlineStr">
        <is>
          <t>Denver</t>
        </is>
      </c>
      <c r="E214" s="748" t="inlineStr">
        <is>
          <t>Daycare</t>
        </is>
      </c>
      <c r="F214" s="748" t="inlineStr">
        <is>
          <t>Prestige Preschool Academy</t>
        </is>
      </c>
      <c r="G214" s="748" t="n">
        <v>426</v>
      </c>
      <c r="H214" s="743" t="inlineStr">
        <is>
          <t>426 - Day Care Center</t>
        </is>
      </c>
      <c r="I214" s="749" t="inlineStr">
        <is>
          <t>Day Care Centers</t>
        </is>
      </c>
      <c r="J214" s="748" t="inlineStr">
        <is>
          <t>Sec.18 p.13</t>
        </is>
      </c>
      <c r="K214" s="744" t="n">
        <v>11083</v>
      </c>
      <c r="L214" s="744" t="n">
        <v>62086</v>
      </c>
      <c r="M214" s="745" t="inlineStr">
        <is>
          <t>C</t>
        </is>
      </c>
      <c r="N214" s="745" t="inlineStr">
        <is>
          <t>Good</t>
        </is>
      </c>
      <c r="O214" s="745" t="inlineStr">
        <is>
          <t>Typical</t>
        </is>
      </c>
      <c r="P214" s="745" t="n">
        <v>2019</v>
      </c>
      <c r="Q214" s="748" t="n">
        <v>5</v>
      </c>
      <c r="R214" s="750" t="n">
        <v>225</v>
      </c>
      <c r="S214" s="751" t="n">
        <v>2493675</v>
      </c>
      <c r="T214" s="749" t="inlineStr"/>
    </row>
    <row r="215">
      <c r="A215" s="741" t="n">
        <v>919</v>
      </c>
      <c r="B215" s="742" t="inlineStr">
        <is>
          <t>7301 E Hampden Ave</t>
        </is>
      </c>
      <c r="C215" s="741" t="inlineStr">
        <is>
          <t>Denver</t>
        </is>
      </c>
      <c r="D215" s="741" t="inlineStr">
        <is>
          <t>Denver</t>
        </is>
      </c>
      <c r="E215" s="741" t="inlineStr">
        <is>
          <t>Fast Food</t>
        </is>
      </c>
      <c r="F215" s="741" t="inlineStr">
        <is>
          <t>Raising Cane's</t>
        </is>
      </c>
      <c r="G215" s="741" t="n">
        <v>349</v>
      </c>
      <c r="H215" s="743" t="inlineStr">
        <is>
          <t>349 - Fast Food Restaurant</t>
        </is>
      </c>
      <c r="I215" s="742" t="inlineStr">
        <is>
          <t>Restaurants – Fast Food</t>
        </is>
      </c>
      <c r="J215" s="741" t="inlineStr">
        <is>
          <t>Sec.13 p.17</t>
        </is>
      </c>
      <c r="K215" s="744" t="n">
        <v>3290</v>
      </c>
      <c r="L215" s="744" t="n">
        <v>55321</v>
      </c>
      <c r="M215" s="745" t="inlineStr">
        <is>
          <t>C</t>
        </is>
      </c>
      <c r="N215" s="745" t="inlineStr">
        <is>
          <t>Good</t>
        </is>
      </c>
      <c r="O215" s="745" t="inlineStr">
        <is>
          <t>Typical</t>
        </is>
      </c>
      <c r="P215" s="745" t="n">
        <v>2020</v>
      </c>
      <c r="Q215" s="741" t="n">
        <v>4</v>
      </c>
      <c r="R215" s="746" t="n">
        <v>246</v>
      </c>
      <c r="S215" s="747" t="n">
        <v>809340</v>
      </c>
      <c r="T215" s="742" t="inlineStr"/>
    </row>
    <row r="216">
      <c r="A216" s="748" t="n">
        <v>920</v>
      </c>
      <c r="B216" s="749" t="inlineStr">
        <is>
          <t>560 Corona St</t>
        </is>
      </c>
      <c r="C216" s="748" t="inlineStr">
        <is>
          <t>Denver</t>
        </is>
      </c>
      <c r="D216" s="748" t="inlineStr">
        <is>
          <t>Denver</t>
        </is>
      </c>
      <c r="E216" s="748" t="inlineStr">
        <is>
          <t>Supermarket</t>
        </is>
      </c>
      <c r="F216" s="748" t="inlineStr">
        <is>
          <t>Safeway</t>
        </is>
      </c>
      <c r="G216" s="748" t="n">
        <v>446</v>
      </c>
      <c r="H216" s="743" t="inlineStr">
        <is>
          <t>446 - SuperMarket</t>
        </is>
      </c>
      <c r="I216" s="749" t="inlineStr">
        <is>
          <t>Supermarkets</t>
        </is>
      </c>
      <c r="J216" s="748" t="inlineStr">
        <is>
          <t>Sec.13 p.20</t>
        </is>
      </c>
      <c r="K216" s="744" t="n">
        <v>51609</v>
      </c>
      <c r="L216" s="744" t="n">
        <v>41730</v>
      </c>
      <c r="M216" s="745" t="inlineStr">
        <is>
          <t>C</t>
        </is>
      </c>
      <c r="N216" s="745" t="inlineStr">
        <is>
          <t>Average</t>
        </is>
      </c>
      <c r="O216" s="745" t="inlineStr">
        <is>
          <t>Typical</t>
        </is>
      </c>
      <c r="P216" s="745" t="n">
        <v>2000</v>
      </c>
      <c r="Q216" s="748" t="n">
        <v>24</v>
      </c>
      <c r="R216" s="750" t="n">
        <v>121</v>
      </c>
      <c r="S216" s="751" t="n">
        <v>6244689</v>
      </c>
      <c r="T216" s="749" t="inlineStr"/>
    </row>
    <row r="217">
      <c r="A217" s="741" t="n">
        <v>921</v>
      </c>
      <c r="B217" s="742" t="inlineStr">
        <is>
          <t>1300 S Sheridan Blvd</t>
        </is>
      </c>
      <c r="C217" s="741" t="inlineStr">
        <is>
          <t>Denver</t>
        </is>
      </c>
      <c r="D217" s="741" t="inlineStr">
        <is>
          <t>Denver</t>
        </is>
      </c>
      <c r="E217" s="741" t="inlineStr">
        <is>
          <t>Fast Food</t>
        </is>
      </c>
      <c r="F217" s="741" t="inlineStr">
        <is>
          <t>Sonic</t>
        </is>
      </c>
      <c r="G217" s="741" t="n">
        <v>349</v>
      </c>
      <c r="H217" s="743" t="inlineStr">
        <is>
          <t>349 - Fast Food Restaurant</t>
        </is>
      </c>
      <c r="I217" s="742" t="inlineStr">
        <is>
          <t>Restaurants – Fast Food</t>
        </is>
      </c>
      <c r="J217" s="741" t="inlineStr">
        <is>
          <t>Sec.13 p.17</t>
        </is>
      </c>
      <c r="K217" s="744" t="n">
        <v>1436</v>
      </c>
      <c r="L217" s="744" t="n">
        <v>29185</v>
      </c>
      <c r="M217" s="745" t="inlineStr">
        <is>
          <t>C</t>
        </is>
      </c>
      <c r="N217" s="745" t="inlineStr">
        <is>
          <t>Average</t>
        </is>
      </c>
      <c r="O217" s="745" t="inlineStr">
        <is>
          <t>Typical</t>
        </is>
      </c>
      <c r="P217" s="745" t="n">
        <v>2002</v>
      </c>
      <c r="Q217" s="741" t="n">
        <v>22</v>
      </c>
      <c r="R217" s="746" t="n">
        <v>191</v>
      </c>
      <c r="S217" s="747" t="n">
        <v>274276</v>
      </c>
      <c r="T217" s="742" t="inlineStr"/>
    </row>
    <row r="218">
      <c r="A218" s="748" t="n">
        <v>922</v>
      </c>
      <c r="B218" s="749" t="inlineStr">
        <is>
          <t>3555 Quebec St</t>
        </is>
      </c>
      <c r="C218" s="748" t="inlineStr">
        <is>
          <t>Denver</t>
        </is>
      </c>
      <c r="D218" s="748" t="inlineStr">
        <is>
          <t>Denver</t>
        </is>
      </c>
      <c r="E218" s="748" t="inlineStr">
        <is>
          <t>Fast Food</t>
        </is>
      </c>
      <c r="F218" s="748" t="inlineStr">
        <is>
          <t>Sonic</t>
        </is>
      </c>
      <c r="G218" s="748" t="n">
        <v>349</v>
      </c>
      <c r="H218" s="743" t="inlineStr">
        <is>
          <t>349 - Fast Food Restaurant</t>
        </is>
      </c>
      <c r="I218" s="749" t="inlineStr">
        <is>
          <t>Restaurants – Fast Food</t>
        </is>
      </c>
      <c r="J218" s="748" t="inlineStr">
        <is>
          <t>Sec.13 p.17</t>
        </is>
      </c>
      <c r="K218" s="744" t="n">
        <v>1538</v>
      </c>
      <c r="L218" s="744" t="n">
        <v>28061</v>
      </c>
      <c r="M218" s="745" t="inlineStr">
        <is>
          <t>C</t>
        </is>
      </c>
      <c r="N218" s="745" t="inlineStr">
        <is>
          <t>Average</t>
        </is>
      </c>
      <c r="O218" s="745" t="inlineStr">
        <is>
          <t>Typical</t>
        </is>
      </c>
      <c r="P218" s="745" t="n">
        <v>2007</v>
      </c>
      <c r="Q218" s="748" t="n">
        <v>17</v>
      </c>
      <c r="R218" s="750" t="n">
        <v>191</v>
      </c>
      <c r="S218" s="751" t="n">
        <v>293758</v>
      </c>
      <c r="T218" s="749" t="inlineStr"/>
    </row>
    <row r="219">
      <c r="A219" s="741" t="n">
        <v>923</v>
      </c>
      <c r="B219" s="742" t="inlineStr">
        <is>
          <t>3555 Central Park Blvd</t>
        </is>
      </c>
      <c r="C219" s="741" t="inlineStr">
        <is>
          <t>Denver</t>
        </is>
      </c>
      <c r="D219" s="741" t="inlineStr">
        <is>
          <t>Denver</t>
        </is>
      </c>
      <c r="E219" s="741" t="inlineStr">
        <is>
          <t>Supermarket</t>
        </is>
      </c>
      <c r="F219" s="741" t="inlineStr">
        <is>
          <t>Sprouts</t>
        </is>
      </c>
      <c r="G219" s="741" t="n">
        <v>446</v>
      </c>
      <c r="H219" s="743" t="inlineStr">
        <is>
          <t>446 - SuperMarket</t>
        </is>
      </c>
      <c r="I219" s="742" t="inlineStr">
        <is>
          <t>Supermarkets</t>
        </is>
      </c>
      <c r="J219" s="741" t="inlineStr">
        <is>
          <t>Sec.13 p.20</t>
        </is>
      </c>
      <c r="K219" s="744" t="n">
        <v>29992</v>
      </c>
      <c r="L219" s="744" t="n">
        <v>48768</v>
      </c>
      <c r="M219" s="745" t="inlineStr">
        <is>
          <t>C</t>
        </is>
      </c>
      <c r="N219" s="745" t="inlineStr">
        <is>
          <t>Good</t>
        </is>
      </c>
      <c r="O219" s="745" t="inlineStr">
        <is>
          <t>Typical</t>
        </is>
      </c>
      <c r="P219" s="745" t="n">
        <v>2020</v>
      </c>
      <c r="Q219" s="741" t="n">
        <v>4</v>
      </c>
      <c r="R219" s="746" t="n">
        <v>149</v>
      </c>
      <c r="S219" s="747" t="n">
        <v>4468808</v>
      </c>
      <c r="T219" s="742" t="inlineStr"/>
    </row>
    <row r="220">
      <c r="A220" s="748" t="n">
        <v>924</v>
      </c>
      <c r="B220" s="749" t="inlineStr">
        <is>
          <t>5670 N Tower Rd</t>
        </is>
      </c>
      <c r="C220" s="748" t="inlineStr">
        <is>
          <t>Denver</t>
        </is>
      </c>
      <c r="D220" s="748" t="inlineStr">
        <is>
          <t>Denver</t>
        </is>
      </c>
      <c r="E220" s="748" t="inlineStr">
        <is>
          <t>Supermarket</t>
        </is>
      </c>
      <c r="F220" s="748" t="inlineStr">
        <is>
          <t>Sprouts</t>
        </is>
      </c>
      <c r="G220" s="748" t="n">
        <v>446</v>
      </c>
      <c r="H220" s="743" t="inlineStr">
        <is>
          <t>446 - SuperMarket</t>
        </is>
      </c>
      <c r="I220" s="749" t="inlineStr">
        <is>
          <t>Supermarkets</t>
        </is>
      </c>
      <c r="J220" s="748" t="inlineStr">
        <is>
          <t>Sec.13 p.20</t>
        </is>
      </c>
      <c r="K220" s="744" t="n">
        <v>23300</v>
      </c>
      <c r="L220" s="744" t="n">
        <v>82716</v>
      </c>
      <c r="M220" s="745" t="inlineStr">
        <is>
          <t>C</t>
        </is>
      </c>
      <c r="N220" s="745" t="inlineStr">
        <is>
          <t>Good</t>
        </is>
      </c>
      <c r="O220" s="745" t="inlineStr">
        <is>
          <t>Typical</t>
        </is>
      </c>
      <c r="P220" s="745" t="n">
        <v>2021</v>
      </c>
      <c r="Q220" s="748" t="n">
        <v>3</v>
      </c>
      <c r="R220" s="750" t="n">
        <v>149</v>
      </c>
      <c r="S220" s="751" t="n">
        <v>3471700</v>
      </c>
      <c r="T220" s="749" t="inlineStr"/>
    </row>
    <row r="221">
      <c r="A221" s="741" t="n">
        <v>925</v>
      </c>
      <c r="B221" s="742" t="inlineStr">
        <is>
          <t>4700 38th Ave</t>
        </is>
      </c>
      <c r="C221" s="741" t="inlineStr">
        <is>
          <t>Denver</t>
        </is>
      </c>
      <c r="D221" s="741" t="inlineStr">
        <is>
          <t>Denver</t>
        </is>
      </c>
      <c r="E221" s="741" t="inlineStr">
        <is>
          <t>Supermarket</t>
        </is>
      </c>
      <c r="F221" s="741" t="inlineStr">
        <is>
          <t>Sprouts</t>
        </is>
      </c>
      <c r="G221" s="741" t="n">
        <v>446</v>
      </c>
      <c r="H221" s="743" t="inlineStr">
        <is>
          <t>446 - SuperMarket</t>
        </is>
      </c>
      <c r="I221" s="742" t="inlineStr">
        <is>
          <t>Supermarkets</t>
        </is>
      </c>
      <c r="J221" s="741" t="inlineStr">
        <is>
          <t>Sec.13 p.20</t>
        </is>
      </c>
      <c r="K221" s="744" t="n">
        <v>28000</v>
      </c>
      <c r="L221" s="744" t="n">
        <v>39631</v>
      </c>
      <c r="M221" s="745" t="inlineStr">
        <is>
          <t>C</t>
        </is>
      </c>
      <c r="N221" s="745" t="inlineStr">
        <is>
          <t>Good</t>
        </is>
      </c>
      <c r="O221" s="745" t="inlineStr">
        <is>
          <t>Typical</t>
        </is>
      </c>
      <c r="P221" s="745" t="n">
        <v>2006</v>
      </c>
      <c r="Q221" s="741" t="n">
        <v>18</v>
      </c>
      <c r="R221" s="746" t="n">
        <v>149</v>
      </c>
      <c r="S221" s="747" t="n">
        <v>4172000</v>
      </c>
      <c r="T221" s="742" t="inlineStr"/>
    </row>
    <row r="222">
      <c r="A222" s="748" t="n">
        <v>926</v>
      </c>
      <c r="B222" s="749" t="inlineStr">
        <is>
          <t>1410 Speer Blvd</t>
        </is>
      </c>
      <c r="C222" s="748" t="inlineStr">
        <is>
          <t>Denver</t>
        </is>
      </c>
      <c r="D222" s="748" t="inlineStr">
        <is>
          <t>Denver</t>
        </is>
      </c>
      <c r="E222" s="748" t="inlineStr">
        <is>
          <t>Coffee</t>
        </is>
      </c>
      <c r="F222" s="748" t="inlineStr">
        <is>
          <t>Starbucks</t>
        </is>
      </c>
      <c r="G222" s="748" t="n">
        <v>349</v>
      </c>
      <c r="H222" s="743" t="inlineStr">
        <is>
          <t>349 - Fast Food Restaurant</t>
        </is>
      </c>
      <c r="I222" s="749" t="inlineStr">
        <is>
          <t>Restaurants – Fast Food</t>
        </is>
      </c>
      <c r="J222" s="748" t="inlineStr">
        <is>
          <t>Sec.13 p.17</t>
        </is>
      </c>
      <c r="K222" s="744" t="n">
        <v>996</v>
      </c>
      <c r="L222" s="744" t="n">
        <v>9964</v>
      </c>
      <c r="M222" s="745" t="inlineStr">
        <is>
          <t>C</t>
        </is>
      </c>
      <c r="N222" s="745" t="inlineStr">
        <is>
          <t>Good</t>
        </is>
      </c>
      <c r="O222" s="745" t="inlineStr">
        <is>
          <t>Typical</t>
        </is>
      </c>
      <c r="P222" s="745" t="n">
        <v>2016</v>
      </c>
      <c r="Q222" s="748" t="n">
        <v>8</v>
      </c>
      <c r="R222" s="750" t="n">
        <v>246</v>
      </c>
      <c r="S222" s="751" t="n">
        <v>245016</v>
      </c>
      <c r="T222" s="749" t="inlineStr"/>
    </row>
    <row r="223">
      <c r="A223" s="741" t="n">
        <v>927</v>
      </c>
      <c r="B223" s="742" t="inlineStr">
        <is>
          <t>3087 S Sheridan Blvd</t>
        </is>
      </c>
      <c r="C223" s="741" t="inlineStr">
        <is>
          <t>Denver</t>
        </is>
      </c>
      <c r="D223" s="741" t="inlineStr">
        <is>
          <t>Denver</t>
        </is>
      </c>
      <c r="E223" s="741" t="inlineStr">
        <is>
          <t>Coffee</t>
        </is>
      </c>
      <c r="F223" s="741" t="inlineStr">
        <is>
          <t>Starbucks</t>
        </is>
      </c>
      <c r="G223" s="741" t="n">
        <v>349</v>
      </c>
      <c r="H223" s="743" t="inlineStr">
        <is>
          <t>349 - Fast Food Restaurant</t>
        </is>
      </c>
      <c r="I223" s="742" t="inlineStr">
        <is>
          <t>Restaurants – Fast Food</t>
        </is>
      </c>
      <c r="J223" s="741" t="inlineStr">
        <is>
          <t>Sec.13 p.17</t>
        </is>
      </c>
      <c r="K223" s="744" t="n">
        <v>1890</v>
      </c>
      <c r="L223" s="744" t="n">
        <v>18295</v>
      </c>
      <c r="M223" s="745" t="inlineStr">
        <is>
          <t>C</t>
        </is>
      </c>
      <c r="N223" s="745" t="inlineStr">
        <is>
          <t>Good</t>
        </is>
      </c>
      <c r="O223" s="745" t="inlineStr">
        <is>
          <t>Typical</t>
        </is>
      </c>
      <c r="P223" s="745" t="n"/>
      <c r="Q223" s="741" t="n"/>
      <c r="R223" s="746" t="n">
        <v>246</v>
      </c>
      <c r="S223" s="747" t="n">
        <v>464940</v>
      </c>
      <c r="T223" s="742" t="inlineStr">
        <is>
          <t>YOC missing</t>
        </is>
      </c>
    </row>
    <row r="224">
      <c r="A224" s="748" t="n">
        <v>928</v>
      </c>
      <c r="B224" s="749" t="inlineStr">
        <is>
          <t>2790 W Alameda Ave</t>
        </is>
      </c>
      <c r="C224" s="748" t="inlineStr">
        <is>
          <t>Denver</t>
        </is>
      </c>
      <c r="D224" s="748" t="inlineStr">
        <is>
          <t>Denver</t>
        </is>
      </c>
      <c r="E224" s="748" t="inlineStr">
        <is>
          <t>Coffee</t>
        </is>
      </c>
      <c r="F224" s="748" t="inlineStr">
        <is>
          <t>Starbucks</t>
        </is>
      </c>
      <c r="G224" s="748" t="n">
        <v>349</v>
      </c>
      <c r="H224" s="743" t="inlineStr">
        <is>
          <t>349 - Fast Food Restaurant</t>
        </is>
      </c>
      <c r="I224" s="749" t="inlineStr">
        <is>
          <t>Restaurants – Fast Food</t>
        </is>
      </c>
      <c r="J224" s="748" t="inlineStr">
        <is>
          <t>Sec.13 p.17</t>
        </is>
      </c>
      <c r="K224" s="744" t="n">
        <v>1479</v>
      </c>
      <c r="L224" s="744" t="n">
        <v>24935</v>
      </c>
      <c r="M224" s="745" t="inlineStr">
        <is>
          <t>C</t>
        </is>
      </c>
      <c r="N224" s="745" t="inlineStr">
        <is>
          <t>Good</t>
        </is>
      </c>
      <c r="O224" s="745" t="inlineStr">
        <is>
          <t>Typical</t>
        </is>
      </c>
      <c r="P224" s="745" t="n">
        <v>2001</v>
      </c>
      <c r="Q224" s="748" t="n">
        <v>23</v>
      </c>
      <c r="R224" s="750" t="n">
        <v>246</v>
      </c>
      <c r="S224" s="751" t="n">
        <v>363834</v>
      </c>
      <c r="T224" s="749" t="inlineStr"/>
    </row>
    <row r="225">
      <c r="A225" s="741" t="n">
        <v>929</v>
      </c>
      <c r="B225" s="742" t="inlineStr">
        <is>
          <t>7327 E Colfax Ave</t>
        </is>
      </c>
      <c r="C225" s="741" t="inlineStr">
        <is>
          <t>Denver</t>
        </is>
      </c>
      <c r="D225" s="741" t="inlineStr">
        <is>
          <t>Denver</t>
        </is>
      </c>
      <c r="E225" s="741" t="inlineStr">
        <is>
          <t>Fast Food</t>
        </is>
      </c>
      <c r="F225" s="741" t="inlineStr">
        <is>
          <t>Subway</t>
        </is>
      </c>
      <c r="G225" s="741" t="n">
        <v>349</v>
      </c>
      <c r="H225" s="743" t="inlineStr">
        <is>
          <t>349 - Fast Food Restaurant</t>
        </is>
      </c>
      <c r="I225" s="742" t="inlineStr">
        <is>
          <t>Restaurants – Fast Food</t>
        </is>
      </c>
      <c r="J225" s="741" t="inlineStr">
        <is>
          <t>Sec.13 p.17</t>
        </is>
      </c>
      <c r="K225" s="744" t="n">
        <v>1627</v>
      </c>
      <c r="L225" s="744" t="n">
        <v>12632</v>
      </c>
      <c r="M225" s="745" t="inlineStr">
        <is>
          <t>C</t>
        </is>
      </c>
      <c r="N225" s="745" t="inlineStr">
        <is>
          <t>Average</t>
        </is>
      </c>
      <c r="O225" s="745" t="inlineStr">
        <is>
          <t>Typical</t>
        </is>
      </c>
      <c r="P225" s="745" t="n">
        <v>1964</v>
      </c>
      <c r="Q225" s="741" t="n">
        <v>60</v>
      </c>
      <c r="R225" s="746" t="n">
        <v>191</v>
      </c>
      <c r="S225" s="747" t="n">
        <v>310757</v>
      </c>
      <c r="T225" s="742" t="inlineStr"/>
    </row>
    <row r="226">
      <c r="A226" s="748" t="n">
        <v>930</v>
      </c>
      <c r="B226" s="749" t="inlineStr">
        <is>
          <t>1996 S Federal Blvd</t>
        </is>
      </c>
      <c r="C226" s="748" t="inlineStr">
        <is>
          <t>Denver</t>
        </is>
      </c>
      <c r="D226" s="748" t="inlineStr">
        <is>
          <t>Denver</t>
        </is>
      </c>
      <c r="E226" s="748" t="inlineStr">
        <is>
          <t>Fast Food</t>
        </is>
      </c>
      <c r="F226" s="748" t="inlineStr">
        <is>
          <t>Taco Bell</t>
        </is>
      </c>
      <c r="G226" s="748" t="n">
        <v>349</v>
      </c>
      <c r="H226" s="743" t="inlineStr">
        <is>
          <t>349 - Fast Food Restaurant</t>
        </is>
      </c>
      <c r="I226" s="749" t="inlineStr">
        <is>
          <t>Restaurants – Fast Food</t>
        </is>
      </c>
      <c r="J226" s="748" t="inlineStr">
        <is>
          <t>Sec.13 p.17</t>
        </is>
      </c>
      <c r="K226" s="744" t="n">
        <v>2357</v>
      </c>
      <c r="L226" s="744" t="n">
        <v>32552</v>
      </c>
      <c r="M226" s="745" t="inlineStr">
        <is>
          <t>C</t>
        </is>
      </c>
      <c r="N226" s="745" t="inlineStr">
        <is>
          <t>Average</t>
        </is>
      </c>
      <c r="O226" s="745" t="inlineStr">
        <is>
          <t>Typical</t>
        </is>
      </c>
      <c r="P226" s="745" t="n">
        <v>1993</v>
      </c>
      <c r="Q226" s="748" t="n">
        <v>31</v>
      </c>
      <c r="R226" s="750" t="n">
        <v>191</v>
      </c>
      <c r="S226" s="751" t="n">
        <v>450187</v>
      </c>
      <c r="T226" s="749" t="inlineStr"/>
    </row>
    <row r="227">
      <c r="A227" s="741" t="n">
        <v>931</v>
      </c>
      <c r="B227" s="742" t="inlineStr">
        <is>
          <t>2345 W Alameda Ave</t>
        </is>
      </c>
      <c r="C227" s="741" t="inlineStr">
        <is>
          <t>Denver</t>
        </is>
      </c>
      <c r="D227" s="741" t="inlineStr">
        <is>
          <t>Denver</t>
        </is>
      </c>
      <c r="E227" s="741" t="inlineStr">
        <is>
          <t>Fast Food</t>
        </is>
      </c>
      <c r="F227" s="741" t="inlineStr">
        <is>
          <t>Taco Star</t>
        </is>
      </c>
      <c r="G227" s="741" t="n">
        <v>349</v>
      </c>
      <c r="H227" s="743" t="inlineStr">
        <is>
          <t>349 - Fast Food Restaurant</t>
        </is>
      </c>
      <c r="I227" s="742" t="inlineStr">
        <is>
          <t>Restaurants – Fast Food</t>
        </is>
      </c>
      <c r="J227" s="741" t="inlineStr">
        <is>
          <t>Sec.13 p.17</t>
        </is>
      </c>
      <c r="K227" s="744" t="n">
        <v>1602</v>
      </c>
      <c r="L227" s="744" t="n">
        <v>18295</v>
      </c>
      <c r="M227" s="745" t="inlineStr">
        <is>
          <t>C</t>
        </is>
      </c>
      <c r="N227" s="745" t="inlineStr">
        <is>
          <t>Average</t>
        </is>
      </c>
      <c r="O227" s="745" t="inlineStr">
        <is>
          <t>Typical</t>
        </is>
      </c>
      <c r="P227" s="745" t="n">
        <v>1973</v>
      </c>
      <c r="Q227" s="741" t="n">
        <v>51</v>
      </c>
      <c r="R227" s="746" t="n">
        <v>191</v>
      </c>
      <c r="S227" s="747" t="n">
        <v>305982</v>
      </c>
      <c r="T227" s="742" t="inlineStr"/>
    </row>
    <row r="228">
      <c r="A228" s="748" t="n">
        <v>932</v>
      </c>
      <c r="B228" s="749" t="inlineStr">
        <is>
          <t>4405 Chambers Rd</t>
        </is>
      </c>
      <c r="C228" s="748" t="inlineStr">
        <is>
          <t>Denver</t>
        </is>
      </c>
      <c r="D228" s="748" t="inlineStr">
        <is>
          <t>Denver</t>
        </is>
      </c>
      <c r="E228" s="748" t="inlineStr">
        <is>
          <t>Auto Service</t>
        </is>
      </c>
      <c r="F228" s="748" t="inlineStr">
        <is>
          <t>Tires Plus</t>
        </is>
      </c>
      <c r="G228" s="748" t="n">
        <v>410</v>
      </c>
      <c r="H228" s="743" t="inlineStr">
        <is>
          <t>410 - Automotive Center</t>
        </is>
      </c>
      <c r="I228" s="749" t="inlineStr">
        <is>
          <t>Automotive Service Centers</t>
        </is>
      </c>
      <c r="J228" s="748" t="inlineStr">
        <is>
          <t>Sec.14 p.31</t>
        </is>
      </c>
      <c r="K228" s="744" t="n">
        <v>7093</v>
      </c>
      <c r="L228" s="744" t="n">
        <v>42253</v>
      </c>
      <c r="M228" s="745" t="inlineStr">
        <is>
          <t>S</t>
        </is>
      </c>
      <c r="N228" s="745" t="inlineStr">
        <is>
          <t>Average</t>
        </is>
      </c>
      <c r="O228" s="745" t="inlineStr">
        <is>
          <t>Typical</t>
        </is>
      </c>
      <c r="P228" s="745" t="n">
        <v>2002</v>
      </c>
      <c r="Q228" s="748" t="n">
        <v>22</v>
      </c>
      <c r="R228" s="750" t="n">
        <v>97.5</v>
      </c>
      <c r="S228" s="751" t="n">
        <v>691568</v>
      </c>
      <c r="T228" s="749" t="inlineStr"/>
    </row>
    <row r="229">
      <c r="A229" s="741" t="n">
        <v>933</v>
      </c>
      <c r="B229" s="742" t="inlineStr">
        <is>
          <t>4405 Chambers Rd</t>
        </is>
      </c>
      <c r="C229" s="741" t="inlineStr">
        <is>
          <t>Denver</t>
        </is>
      </c>
      <c r="D229" s="741" t="inlineStr">
        <is>
          <t>Denver</t>
        </is>
      </c>
      <c r="E229" s="741" t="inlineStr">
        <is>
          <t>Auto Service</t>
        </is>
      </c>
      <c r="F229" s="741" t="inlineStr">
        <is>
          <t>Tires Plus</t>
        </is>
      </c>
      <c r="G229" s="741" t="n">
        <v>410</v>
      </c>
      <c r="H229" s="743" t="inlineStr">
        <is>
          <t>410 - Automotive Center</t>
        </is>
      </c>
      <c r="I229" s="742" t="inlineStr">
        <is>
          <t>Automotive Service Centers</t>
        </is>
      </c>
      <c r="J229" s="741" t="inlineStr">
        <is>
          <t>Sec.14 p.31</t>
        </is>
      </c>
      <c r="K229" s="744" t="n">
        <v>7093</v>
      </c>
      <c r="L229" s="744" t="n">
        <v>42253</v>
      </c>
      <c r="M229" s="745" t="inlineStr">
        <is>
          <t>S</t>
        </is>
      </c>
      <c r="N229" s="745" t="inlineStr">
        <is>
          <t>Average</t>
        </is>
      </c>
      <c r="O229" s="745" t="inlineStr">
        <is>
          <t>Typical</t>
        </is>
      </c>
      <c r="P229" s="745" t="n">
        <v>2002</v>
      </c>
      <c r="Q229" s="741" t="n">
        <v>22</v>
      </c>
      <c r="R229" s="746" t="n">
        <v>97.5</v>
      </c>
      <c r="S229" s="747" t="n">
        <v>691568</v>
      </c>
      <c r="T229" s="742" t="inlineStr"/>
    </row>
    <row r="230">
      <c r="A230" s="748" t="n">
        <v>934</v>
      </c>
      <c r="B230" s="749" t="inlineStr">
        <is>
          <t>6325 E Hampden Ave</t>
        </is>
      </c>
      <c r="C230" s="748" t="inlineStr">
        <is>
          <t>Denver</t>
        </is>
      </c>
      <c r="D230" s="748" t="inlineStr">
        <is>
          <t>Denver</t>
        </is>
      </c>
      <c r="E230" s="748" t="inlineStr">
        <is>
          <t>Retail Center</t>
        </is>
      </c>
      <c r="F230" s="748" t="inlineStr">
        <is>
          <t>Torchy's Tacos</t>
        </is>
      </c>
      <c r="G230" s="748" t="n">
        <v>412</v>
      </c>
      <c r="H230" s="743" t="inlineStr">
        <is>
          <t>412 - Neighborhood Shopping Center</t>
        </is>
      </c>
      <c r="I230" s="749" t="inlineStr">
        <is>
          <t>Neighborhood Shopping Centers</t>
        </is>
      </c>
      <c r="J230" s="748" t="inlineStr">
        <is>
          <t>Sec.13 p.33</t>
        </is>
      </c>
      <c r="K230" s="744" t="n">
        <v>5045</v>
      </c>
      <c r="L230" s="744" t="n">
        <v>60113</v>
      </c>
      <c r="M230" s="745" t="inlineStr">
        <is>
          <t>C</t>
        </is>
      </c>
      <c r="N230" s="745" t="inlineStr">
        <is>
          <t>Average</t>
        </is>
      </c>
      <c r="O230" s="745" t="inlineStr">
        <is>
          <t>Typical</t>
        </is>
      </c>
      <c r="P230" s="745" t="n">
        <v>2014</v>
      </c>
      <c r="Q230" s="748" t="n">
        <v>10</v>
      </c>
      <c r="R230" s="750" t="n">
        <v>127</v>
      </c>
      <c r="S230" s="751" t="n">
        <v>640715</v>
      </c>
      <c r="T230" s="749" t="inlineStr"/>
    </row>
    <row r="231">
      <c r="A231" s="741" t="n">
        <v>935</v>
      </c>
      <c r="B231" s="742" t="inlineStr">
        <is>
          <t>701 E Evans Ave</t>
        </is>
      </c>
      <c r="C231" s="741" t="inlineStr">
        <is>
          <t>Denver</t>
        </is>
      </c>
      <c r="D231" s="741" t="inlineStr">
        <is>
          <t>Denver</t>
        </is>
      </c>
      <c r="E231" s="741" t="inlineStr">
        <is>
          <t>Auto Service</t>
        </is>
      </c>
      <c r="F231" s="741" t="inlineStr">
        <is>
          <t>Urban Autocare</t>
        </is>
      </c>
      <c r="G231" s="741" t="n">
        <v>325</v>
      </c>
      <c r="H231" s="743" t="inlineStr">
        <is>
          <t>325 - Service Garage</t>
        </is>
      </c>
      <c r="I231" s="742" t="inlineStr">
        <is>
          <t>Service Garages (Commercial/Repair)</t>
        </is>
      </c>
      <c r="J231" s="741" t="inlineStr">
        <is>
          <t>Sec.14 p.32</t>
        </is>
      </c>
      <c r="K231" s="744" t="n">
        <v>2473</v>
      </c>
      <c r="L231" s="744" t="n">
        <v>9370</v>
      </c>
      <c r="M231" s="745" t="inlineStr">
        <is>
          <t>C</t>
        </is>
      </c>
      <c r="N231" s="745" t="inlineStr">
        <is>
          <t>Average</t>
        </is>
      </c>
      <c r="O231" s="745" t="inlineStr">
        <is>
          <t>Typical</t>
        </is>
      </c>
      <c r="P231" s="745" t="n">
        <v>1944</v>
      </c>
      <c r="Q231" s="741" t="n">
        <v>80</v>
      </c>
      <c r="R231" s="746" t="n">
        <v>79.5</v>
      </c>
      <c r="S231" s="747" t="n">
        <v>196604</v>
      </c>
      <c r="T231" s="742" t="inlineStr"/>
    </row>
    <row r="232">
      <c r="A232" s="748" t="n">
        <v>936</v>
      </c>
      <c r="B232" s="749" t="inlineStr">
        <is>
          <t>4850 Federal Blvd</t>
        </is>
      </c>
      <c r="C232" s="748" t="inlineStr">
        <is>
          <t>Denver</t>
        </is>
      </c>
      <c r="D232" s="748" t="inlineStr">
        <is>
          <t>Denver</t>
        </is>
      </c>
      <c r="E232" s="748" t="inlineStr">
        <is>
          <t>Retail Center</t>
        </is>
      </c>
      <c r="F232" s="748" t="inlineStr">
        <is>
          <t>Village Inn</t>
        </is>
      </c>
      <c r="G232" s="748" t="n">
        <v>353</v>
      </c>
      <c r="H232" s="743" t="inlineStr">
        <is>
          <t>353 - Retail Store</t>
        </is>
      </c>
      <c r="I232" s="749" t="inlineStr">
        <is>
          <t>Retail Stores</t>
        </is>
      </c>
      <c r="J232" s="748" t="inlineStr">
        <is>
          <t>Sec.13 p.26</t>
        </is>
      </c>
      <c r="K232" s="744" t="n">
        <v>5292</v>
      </c>
      <c r="L232" s="744" t="n">
        <v>78408</v>
      </c>
      <c r="M232" s="745" t="inlineStr">
        <is>
          <t>C</t>
        </is>
      </c>
      <c r="N232" s="745" t="inlineStr">
        <is>
          <t>Average</t>
        </is>
      </c>
      <c r="O232" s="745" t="inlineStr">
        <is>
          <t>Typical</t>
        </is>
      </c>
      <c r="P232" s="745" t="n">
        <v>1971</v>
      </c>
      <c r="Q232" s="748" t="n">
        <v>53</v>
      </c>
      <c r="R232" s="750" t="n">
        <v>117</v>
      </c>
      <c r="S232" s="751" t="n">
        <v>619164</v>
      </c>
      <c r="T232" s="749" t="inlineStr"/>
    </row>
    <row r="233">
      <c r="A233" s="741" t="n">
        <v>937</v>
      </c>
      <c r="B233" s="742" t="inlineStr">
        <is>
          <t>2975 Federal Blvd</t>
        </is>
      </c>
      <c r="C233" s="741" t="inlineStr">
        <is>
          <t>Denver</t>
        </is>
      </c>
      <c r="D233" s="741" t="inlineStr">
        <is>
          <t>Denver</t>
        </is>
      </c>
      <c r="E233" s="741" t="inlineStr">
        <is>
          <t>Drugstore</t>
        </is>
      </c>
      <c r="F233" s="741" t="inlineStr">
        <is>
          <t>Walgreen's</t>
        </is>
      </c>
      <c r="G233" s="741" t="n">
        <v>353</v>
      </c>
      <c r="H233" s="743" t="inlineStr">
        <is>
          <t>353 - Retail Store</t>
        </is>
      </c>
      <c r="I233" s="742" t="inlineStr">
        <is>
          <t>Retail Stores</t>
        </is>
      </c>
      <c r="J233" s="741" t="inlineStr">
        <is>
          <t>Sec.13 p.26</t>
        </is>
      </c>
      <c r="K233" s="744" t="n">
        <v>13736</v>
      </c>
      <c r="L233" s="744" t="n">
        <v>61968</v>
      </c>
      <c r="M233" s="745" t="inlineStr">
        <is>
          <t>C</t>
        </is>
      </c>
      <c r="N233" s="745" t="inlineStr">
        <is>
          <t>Average</t>
        </is>
      </c>
      <c r="O233" s="745" t="inlineStr">
        <is>
          <t>Typical</t>
        </is>
      </c>
      <c r="P233" s="745" t="n">
        <v>1996</v>
      </c>
      <c r="Q233" s="741" t="n">
        <v>28</v>
      </c>
      <c r="R233" s="746" t="n">
        <v>117</v>
      </c>
      <c r="S233" s="747" t="n">
        <v>1607112</v>
      </c>
      <c r="T233" s="742" t="inlineStr"/>
    </row>
    <row r="234">
      <c r="A234" s="748" t="n">
        <v>938</v>
      </c>
      <c r="B234" s="749" t="inlineStr">
        <is>
          <t>3555 Colorado Blvd</t>
        </is>
      </c>
      <c r="C234" s="748" t="inlineStr">
        <is>
          <t>Denver</t>
        </is>
      </c>
      <c r="D234" s="748" t="inlineStr">
        <is>
          <t>Denver</t>
        </is>
      </c>
      <c r="E234" s="748" t="inlineStr">
        <is>
          <t>Drugstore</t>
        </is>
      </c>
      <c r="F234" s="748" t="inlineStr">
        <is>
          <t>Walgreens</t>
        </is>
      </c>
      <c r="G234" s="748" t="n">
        <v>353</v>
      </c>
      <c r="H234" s="743" t="inlineStr">
        <is>
          <t>353 - Retail Store</t>
        </is>
      </c>
      <c r="I234" s="749" t="inlineStr">
        <is>
          <t>Retail Stores</t>
        </is>
      </c>
      <c r="J234" s="748" t="inlineStr">
        <is>
          <t>Sec.13 p.26</t>
        </is>
      </c>
      <c r="K234" s="744" t="n">
        <v>13000</v>
      </c>
      <c r="L234" s="744" t="n">
        <v>38703</v>
      </c>
      <c r="M234" s="745" t="inlineStr">
        <is>
          <t>C</t>
        </is>
      </c>
      <c r="N234" s="745" t="inlineStr">
        <is>
          <t>Average</t>
        </is>
      </c>
      <c r="O234" s="745" t="inlineStr">
        <is>
          <t>Typical</t>
        </is>
      </c>
      <c r="P234" s="745" t="n">
        <v>2013</v>
      </c>
      <c r="Q234" s="748" t="n">
        <v>11</v>
      </c>
      <c r="R234" s="750" t="n">
        <v>117</v>
      </c>
      <c r="S234" s="751" t="n">
        <v>1521000</v>
      </c>
      <c r="T234" s="749" t="inlineStr"/>
    </row>
    <row r="235">
      <c r="A235" s="741" t="n">
        <v>939</v>
      </c>
      <c r="B235" s="742" t="inlineStr">
        <is>
          <t>2000 E Colfax Ave</t>
        </is>
      </c>
      <c r="C235" s="741" t="inlineStr">
        <is>
          <t>Denver</t>
        </is>
      </c>
      <c r="D235" s="741" t="inlineStr">
        <is>
          <t>Denver</t>
        </is>
      </c>
      <c r="E235" s="741" t="inlineStr">
        <is>
          <t>Drugstore</t>
        </is>
      </c>
      <c r="F235" s="741" t="inlineStr">
        <is>
          <t>Walgreens</t>
        </is>
      </c>
      <c r="G235" s="741" t="n">
        <v>353</v>
      </c>
      <c r="H235" s="743" t="inlineStr">
        <is>
          <t>353 - Retail Store</t>
        </is>
      </c>
      <c r="I235" s="742" t="inlineStr">
        <is>
          <t>Retail Stores</t>
        </is>
      </c>
      <c r="J235" s="741" t="inlineStr">
        <is>
          <t>Sec.13 p.26</t>
        </is>
      </c>
      <c r="K235" s="744" t="n">
        <v>12398</v>
      </c>
      <c r="L235" s="744" t="n">
        <v>40510</v>
      </c>
      <c r="M235" s="745" t="inlineStr">
        <is>
          <t>C</t>
        </is>
      </c>
      <c r="N235" s="745" t="inlineStr">
        <is>
          <t>Average</t>
        </is>
      </c>
      <c r="O235" s="745" t="inlineStr">
        <is>
          <t>Typical</t>
        </is>
      </c>
      <c r="P235" s="745" t="n">
        <v>1987</v>
      </c>
      <c r="Q235" s="741" t="n">
        <v>37</v>
      </c>
      <c r="R235" s="746" t="n">
        <v>117</v>
      </c>
      <c r="S235" s="747" t="n">
        <v>1450566</v>
      </c>
      <c r="T235" s="742" t="inlineStr"/>
    </row>
    <row r="236">
      <c r="A236" s="748" t="n">
        <v>940</v>
      </c>
      <c r="B236" s="749" t="inlineStr">
        <is>
          <t>2235 W Alameda Ave</t>
        </is>
      </c>
      <c r="C236" s="748" t="inlineStr">
        <is>
          <t>Denver</t>
        </is>
      </c>
      <c r="D236" s="748" t="inlineStr">
        <is>
          <t>Denver</t>
        </is>
      </c>
      <c r="E236" s="748" t="inlineStr">
        <is>
          <t>Fast Food</t>
        </is>
      </c>
      <c r="F236" s="748" t="inlineStr">
        <is>
          <t>Wendy's</t>
        </is>
      </c>
      <c r="G236" s="748" t="n">
        <v>349</v>
      </c>
      <c r="H236" s="743" t="inlineStr">
        <is>
          <t>349 - Fast Food Restaurant</t>
        </is>
      </c>
      <c r="I236" s="749" t="inlineStr">
        <is>
          <t>Restaurants – Fast Food</t>
        </is>
      </c>
      <c r="J236" s="748" t="inlineStr">
        <is>
          <t>Sec.13 p.17</t>
        </is>
      </c>
      <c r="K236" s="744" t="n">
        <v>2864</v>
      </c>
      <c r="L236" s="744" t="n">
        <v>21780</v>
      </c>
      <c r="M236" s="745" t="inlineStr">
        <is>
          <t>C</t>
        </is>
      </c>
      <c r="N236" s="745" t="inlineStr">
        <is>
          <t>Average</t>
        </is>
      </c>
      <c r="O236" s="745" t="inlineStr">
        <is>
          <t>Typical</t>
        </is>
      </c>
      <c r="P236" s="745" t="n">
        <v>1978</v>
      </c>
      <c r="Q236" s="748" t="n">
        <v>46</v>
      </c>
      <c r="R236" s="750" t="n">
        <v>191</v>
      </c>
      <c r="S236" s="751" t="n">
        <v>547024</v>
      </c>
      <c r="T236" s="749" t="inlineStr"/>
    </row>
    <row r="237">
      <c r="A237" s="741" t="n">
        <v>941</v>
      </c>
      <c r="B237" s="742" t="inlineStr">
        <is>
          <t>10431 Parkglenn Way</t>
        </is>
      </c>
      <c r="C237" s="741" t="inlineStr">
        <is>
          <t>Parker</t>
        </is>
      </c>
      <c r="D237" s="741" t="inlineStr">
        <is>
          <t>Douglas</t>
        </is>
      </c>
      <c r="E237" s="741" t="inlineStr">
        <is>
          <t>Auto Service</t>
        </is>
      </c>
      <c r="F237" s="741" t="inlineStr">
        <is>
          <t>Big O Tires</t>
        </is>
      </c>
      <c r="G237" s="741" t="n">
        <v>410</v>
      </c>
      <c r="H237" s="743" t="inlineStr">
        <is>
          <t>410 - Automotive Center</t>
        </is>
      </c>
      <c r="I237" s="742" t="inlineStr">
        <is>
          <t>Automotive Service Centers</t>
        </is>
      </c>
      <c r="J237" s="741" t="inlineStr">
        <is>
          <t>Sec.14 p.31</t>
        </is>
      </c>
      <c r="K237" s="744" t="n">
        <v>4608</v>
      </c>
      <c r="L237" s="744" t="n">
        <v>22651</v>
      </c>
      <c r="M237" s="745" t="inlineStr">
        <is>
          <t>S</t>
        </is>
      </c>
      <c r="N237" s="745" t="inlineStr">
        <is>
          <t>Average</t>
        </is>
      </c>
      <c r="O237" s="745" t="inlineStr">
        <is>
          <t>Typical</t>
        </is>
      </c>
      <c r="P237" s="745" t="n">
        <v>1993</v>
      </c>
      <c r="Q237" s="741" t="n">
        <v>31</v>
      </c>
      <c r="R237" s="746" t="n">
        <v>97.5</v>
      </c>
      <c r="S237" s="747" t="n">
        <v>449280</v>
      </c>
      <c r="T237" s="742" t="inlineStr"/>
    </row>
    <row r="238">
      <c r="A238" s="748" t="n">
        <v>942</v>
      </c>
      <c r="B238" s="749" t="inlineStr">
        <is>
          <t>9297 S Broadway</t>
        </is>
      </c>
      <c r="C238" s="748" t="inlineStr">
        <is>
          <t>Highlands Ranch</t>
        </is>
      </c>
      <c r="D238" s="748" t="inlineStr">
        <is>
          <t>Douglas</t>
        </is>
      </c>
      <c r="E238" s="748" t="inlineStr">
        <is>
          <t>Auto Service</t>
        </is>
      </c>
      <c r="F238" s="748" t="inlineStr">
        <is>
          <t>Brakes Plus</t>
        </is>
      </c>
      <c r="G238" s="748" t="n">
        <v>410</v>
      </c>
      <c r="H238" s="743" t="inlineStr">
        <is>
          <t>410 - Automotive Center</t>
        </is>
      </c>
      <c r="I238" s="749" t="inlineStr">
        <is>
          <t>Automotive Service Centers</t>
        </is>
      </c>
      <c r="J238" s="748" t="inlineStr">
        <is>
          <t>Sec.14 p.31</t>
        </is>
      </c>
      <c r="K238" s="744" t="n">
        <v>5336</v>
      </c>
      <c r="L238" s="744" t="n">
        <v>31537</v>
      </c>
      <c r="M238" s="745" t="inlineStr">
        <is>
          <t>S</t>
        </is>
      </c>
      <c r="N238" s="745" t="inlineStr">
        <is>
          <t>Average</t>
        </is>
      </c>
      <c r="O238" s="745" t="inlineStr">
        <is>
          <t>Typical</t>
        </is>
      </c>
      <c r="P238" s="745" t="n">
        <v>1999</v>
      </c>
      <c r="Q238" s="748" t="n">
        <v>25</v>
      </c>
      <c r="R238" s="750" t="n">
        <v>97.5</v>
      </c>
      <c r="S238" s="751" t="n">
        <v>520260</v>
      </c>
      <c r="T238" s="749" t="inlineStr"/>
    </row>
    <row r="239">
      <c r="A239" s="741" t="n">
        <v>943</v>
      </c>
      <c r="B239" s="742" t="inlineStr">
        <is>
          <t>16920 Lincoln Ave</t>
        </is>
      </c>
      <c r="C239" s="741" t="inlineStr">
        <is>
          <t>Parker</t>
        </is>
      </c>
      <c r="D239" s="741" t="inlineStr">
        <is>
          <t>Douglas</t>
        </is>
      </c>
      <c r="E239" s="741" t="inlineStr">
        <is>
          <t>Drugstore</t>
        </is>
      </c>
      <c r="F239" s="741" t="inlineStr">
        <is>
          <t>CVS</t>
        </is>
      </c>
      <c r="G239" s="741" t="n">
        <v>353</v>
      </c>
      <c r="H239" s="743" t="inlineStr">
        <is>
          <t>353 - Retail Store</t>
        </is>
      </c>
      <c r="I239" s="742" t="inlineStr">
        <is>
          <t>Retail Stores</t>
        </is>
      </c>
      <c r="J239" s="741" t="inlineStr">
        <is>
          <t>Sec.13 p.26</t>
        </is>
      </c>
      <c r="K239" s="744" t="n">
        <v>12900</v>
      </c>
      <c r="L239" s="744" t="n">
        <v>59634</v>
      </c>
      <c r="M239" s="745" t="inlineStr">
        <is>
          <t>C</t>
        </is>
      </c>
      <c r="N239" s="745" t="inlineStr">
        <is>
          <t>Good</t>
        </is>
      </c>
      <c r="O239" s="745" t="inlineStr">
        <is>
          <t>Typical</t>
        </is>
      </c>
      <c r="P239" s="745" t="n">
        <v>2017</v>
      </c>
      <c r="Q239" s="741" t="n">
        <v>7</v>
      </c>
      <c r="R239" s="746" t="n">
        <v>154</v>
      </c>
      <c r="S239" s="747" t="n">
        <v>1986600</v>
      </c>
      <c r="T239" s="742" t="inlineStr"/>
    </row>
    <row r="240">
      <c r="A240" s="748" t="n">
        <v>944</v>
      </c>
      <c r="B240" s="749" t="inlineStr">
        <is>
          <t>9215 S Broadway</t>
        </is>
      </c>
      <c r="C240" s="748" t="inlineStr">
        <is>
          <t>Highlands Ranch</t>
        </is>
      </c>
      <c r="D240" s="748" t="inlineStr">
        <is>
          <t>Douglas</t>
        </is>
      </c>
      <c r="E240" s="748" t="inlineStr">
        <is>
          <t>Fast Food</t>
        </is>
      </c>
      <c r="F240" s="748" t="inlineStr">
        <is>
          <t>Café Rio</t>
        </is>
      </c>
      <c r="G240" s="748" t="n">
        <v>349</v>
      </c>
      <c r="H240" s="743" t="inlineStr">
        <is>
          <t>349 - Fast Food Restaurant</t>
        </is>
      </c>
      <c r="I240" s="749" t="inlineStr">
        <is>
          <t>Restaurants – Fast Food</t>
        </is>
      </c>
      <c r="J240" s="748" t="inlineStr">
        <is>
          <t>Sec.13 p.17</t>
        </is>
      </c>
      <c r="K240" s="744" t="n">
        <v>2105</v>
      </c>
      <c r="L240" s="744" t="n">
        <v>33541</v>
      </c>
      <c r="M240" s="745" t="inlineStr">
        <is>
          <t>C</t>
        </is>
      </c>
      <c r="N240" s="745" t="inlineStr">
        <is>
          <t>Average</t>
        </is>
      </c>
      <c r="O240" s="745" t="inlineStr">
        <is>
          <t>Typical</t>
        </is>
      </c>
      <c r="P240" s="745" t="n">
        <v>1998</v>
      </c>
      <c r="Q240" s="748" t="n">
        <v>26</v>
      </c>
      <c r="R240" s="750" t="n">
        <v>191</v>
      </c>
      <c r="S240" s="751" t="n">
        <v>402055</v>
      </c>
      <c r="T240" s="749" t="inlineStr"/>
    </row>
    <row r="241">
      <c r="A241" s="741" t="n">
        <v>945</v>
      </c>
      <c r="B241" s="742" t="inlineStr">
        <is>
          <t>1164 Sgt Jon Stiles Dr</t>
        </is>
      </c>
      <c r="C241" s="741" t="inlineStr">
        <is>
          <t>Highlands Ranch</t>
        </is>
      </c>
      <c r="D241" s="741" t="inlineStr">
        <is>
          <t>Douglas</t>
        </is>
      </c>
      <c r="E241" s="741" t="inlineStr">
        <is>
          <t>Retail Center</t>
        </is>
      </c>
      <c r="F241" s="741" t="inlineStr">
        <is>
          <t>Denny's</t>
        </is>
      </c>
      <c r="G241" s="741" t="n">
        <v>414</v>
      </c>
      <c r="H241" s="743" t="inlineStr">
        <is>
          <t>414 - Regional Shopping Center</t>
        </is>
      </c>
      <c r="I241" s="742" t="inlineStr">
        <is>
          <t>Regional Shopping Centers</t>
        </is>
      </c>
      <c r="J241" s="741" t="inlineStr">
        <is>
          <t>Sec.13 p.35</t>
        </is>
      </c>
      <c r="K241" s="744" t="n">
        <v>4253</v>
      </c>
      <c r="L241" s="744" t="n">
        <v>36155</v>
      </c>
      <c r="M241" s="745" t="inlineStr">
        <is>
          <t>C</t>
        </is>
      </c>
      <c r="N241" s="745" t="inlineStr">
        <is>
          <t>Average</t>
        </is>
      </c>
      <c r="O241" s="745" t="inlineStr">
        <is>
          <t>Typical</t>
        </is>
      </c>
      <c r="P241" s="745" t="n">
        <v>2012</v>
      </c>
      <c r="Q241" s="741" t="n">
        <v>12</v>
      </c>
      <c r="R241" s="746" t="n">
        <v>153</v>
      </c>
      <c r="S241" s="747" t="n">
        <v>650709</v>
      </c>
      <c r="T241" s="742" t="inlineStr"/>
    </row>
    <row r="242">
      <c r="A242" s="748" t="n">
        <v>946</v>
      </c>
      <c r="B242" s="749" t="inlineStr">
        <is>
          <t>10365 S Parker Rd</t>
        </is>
      </c>
      <c r="C242" s="748" t="inlineStr">
        <is>
          <t>Parker</t>
        </is>
      </c>
      <c r="D242" s="748" t="inlineStr">
        <is>
          <t>Douglas</t>
        </is>
      </c>
      <c r="E242" s="748" t="inlineStr">
        <is>
          <t>Coffee</t>
        </is>
      </c>
      <c r="F242" s="748" t="inlineStr">
        <is>
          <t>Dutch Bros</t>
        </is>
      </c>
      <c r="G242" s="748" t="n">
        <v>349</v>
      </c>
      <c r="H242" s="743" t="inlineStr">
        <is>
          <t>349 - Fast Food Restaurant</t>
        </is>
      </c>
      <c r="I242" s="749" t="inlineStr">
        <is>
          <t>Restaurants – Fast Food</t>
        </is>
      </c>
      <c r="J242" s="748" t="inlineStr">
        <is>
          <t>Sec.13 p.17</t>
        </is>
      </c>
      <c r="K242" s="744" t="n">
        <v>824</v>
      </c>
      <c r="L242" s="744" t="n">
        <v>21780</v>
      </c>
      <c r="M242" s="745" t="inlineStr">
        <is>
          <t>C</t>
        </is>
      </c>
      <c r="N242" s="745" t="inlineStr">
        <is>
          <t>Good</t>
        </is>
      </c>
      <c r="O242" s="745" t="inlineStr">
        <is>
          <t>Typical</t>
        </is>
      </c>
      <c r="P242" s="745" t="n">
        <v>2020</v>
      </c>
      <c r="Q242" s="748" t="n">
        <v>4</v>
      </c>
      <c r="R242" s="750" t="n">
        <v>246</v>
      </c>
      <c r="S242" s="751" t="n">
        <v>202704</v>
      </c>
      <c r="T242" s="749" t="inlineStr"/>
    </row>
    <row r="243">
      <c r="A243" s="741" t="n">
        <v>947</v>
      </c>
      <c r="B243" s="742" t="inlineStr">
        <is>
          <t>10365 S Parker Rd</t>
        </is>
      </c>
      <c r="C243" s="741" t="inlineStr">
        <is>
          <t>Parker</t>
        </is>
      </c>
      <c r="D243" s="741" t="inlineStr">
        <is>
          <t>Douglas</t>
        </is>
      </c>
      <c r="E243" s="741" t="inlineStr">
        <is>
          <t>Coffee</t>
        </is>
      </c>
      <c r="F243" s="741" t="inlineStr">
        <is>
          <t>Dutch Bros</t>
        </is>
      </c>
      <c r="G243" s="741" t="n">
        <v>349</v>
      </c>
      <c r="H243" s="743" t="inlineStr">
        <is>
          <t>349 - Fast Food Restaurant</t>
        </is>
      </c>
      <c r="I243" s="742" t="inlineStr">
        <is>
          <t>Restaurants – Fast Food</t>
        </is>
      </c>
      <c r="J243" s="741" t="inlineStr">
        <is>
          <t>Sec.13 p.17</t>
        </is>
      </c>
      <c r="K243" s="744" t="n">
        <v>824</v>
      </c>
      <c r="L243" s="744" t="n">
        <v>21780</v>
      </c>
      <c r="M243" s="745" t="inlineStr">
        <is>
          <t>C</t>
        </is>
      </c>
      <c r="N243" s="745" t="inlineStr">
        <is>
          <t>Good</t>
        </is>
      </c>
      <c r="O243" s="745" t="inlineStr">
        <is>
          <t>Typical</t>
        </is>
      </c>
      <c r="P243" s="745" t="n">
        <v>2020</v>
      </c>
      <c r="Q243" s="741" t="n">
        <v>4</v>
      </c>
      <c r="R243" s="746" t="n">
        <v>246</v>
      </c>
      <c r="S243" s="747" t="n">
        <v>202704</v>
      </c>
      <c r="T243" s="742" t="inlineStr"/>
    </row>
    <row r="244">
      <c r="A244" s="748" t="n">
        <v>948</v>
      </c>
      <c r="B244" s="749" t="inlineStr">
        <is>
          <t>13055 Copperhead Trl</t>
        </is>
      </c>
      <c r="C244" s="748" t="inlineStr">
        <is>
          <t>Parker</t>
        </is>
      </c>
      <c r="D244" s="748" t="inlineStr">
        <is>
          <t>Douglas</t>
        </is>
      </c>
      <c r="E244" s="748" t="inlineStr">
        <is>
          <t>Auto Service</t>
        </is>
      </c>
      <c r="F244" s="748" t="inlineStr">
        <is>
          <t>Firestone</t>
        </is>
      </c>
      <c r="G244" s="748" t="n">
        <v>410</v>
      </c>
      <c r="H244" s="743" t="inlineStr">
        <is>
          <t>410 - Automotive Center</t>
        </is>
      </c>
      <c r="I244" s="749" t="inlineStr">
        <is>
          <t>Automotive Service Centers</t>
        </is>
      </c>
      <c r="J244" s="748" t="inlineStr">
        <is>
          <t>Sec.14 p.31</t>
        </is>
      </c>
      <c r="K244" s="744" t="n">
        <v>5557</v>
      </c>
      <c r="L244" s="744" t="n">
        <v>52403</v>
      </c>
      <c r="M244" s="745" t="inlineStr">
        <is>
          <t>S</t>
        </is>
      </c>
      <c r="N244" s="745" t="inlineStr">
        <is>
          <t>Average</t>
        </is>
      </c>
      <c r="O244" s="745" t="inlineStr">
        <is>
          <t>Typical</t>
        </is>
      </c>
      <c r="P244" s="745" t="n">
        <v>2020</v>
      </c>
      <c r="Q244" s="748" t="n">
        <v>4</v>
      </c>
      <c r="R244" s="750" t="n">
        <v>97.5</v>
      </c>
      <c r="S244" s="751" t="n">
        <v>541808</v>
      </c>
      <c r="T244" s="749" t="inlineStr">
        <is>
          <t>quality fell back to Average</t>
        </is>
      </c>
    </row>
    <row r="245">
      <c r="A245" s="741" t="n">
        <v>949</v>
      </c>
      <c r="B245" s="742" t="inlineStr">
        <is>
          <t>11140 S Twenty Mile Rd</t>
        </is>
      </c>
      <c r="C245" s="741" t="inlineStr">
        <is>
          <t>Parker</t>
        </is>
      </c>
      <c r="D245" s="741" t="inlineStr">
        <is>
          <t>Douglas</t>
        </is>
      </c>
      <c r="E245" s="741" t="inlineStr">
        <is>
          <t>Fast Food</t>
        </is>
      </c>
      <c r="F245" s="741" t="inlineStr">
        <is>
          <t>Freddy's Frozen Custard &amp; Steakburgers</t>
        </is>
      </c>
      <c r="G245" s="741" t="n">
        <v>349</v>
      </c>
      <c r="H245" s="743" t="inlineStr">
        <is>
          <t>349 - Fast Food Restaurant</t>
        </is>
      </c>
      <c r="I245" s="742" t="inlineStr">
        <is>
          <t>Restaurants – Fast Food</t>
        </is>
      </c>
      <c r="J245" s="741" t="inlineStr">
        <is>
          <t>Sec.13 p.17</t>
        </is>
      </c>
      <c r="K245" s="744" t="n">
        <v>3785</v>
      </c>
      <c r="L245" s="744" t="n">
        <v>47480</v>
      </c>
      <c r="M245" s="745" t="inlineStr">
        <is>
          <t>C</t>
        </is>
      </c>
      <c r="N245" s="745" t="inlineStr">
        <is>
          <t>Good</t>
        </is>
      </c>
      <c r="O245" s="745" t="inlineStr">
        <is>
          <t>Typical</t>
        </is>
      </c>
      <c r="P245" s="745" t="n">
        <v>2015</v>
      </c>
      <c r="Q245" s="741" t="n">
        <v>9</v>
      </c>
      <c r="R245" s="746" t="n">
        <v>246</v>
      </c>
      <c r="S245" s="747" t="n">
        <v>931110</v>
      </c>
      <c r="T245" s="742" t="inlineStr"/>
    </row>
    <row r="246">
      <c r="A246" s="748" t="n">
        <v>950</v>
      </c>
      <c r="B246" s="749" t="inlineStr">
        <is>
          <t>18424 Cottonwood Dr</t>
        </is>
      </c>
      <c r="C246" s="748" t="inlineStr">
        <is>
          <t>Parker</t>
        </is>
      </c>
      <c r="D246" s="748" t="inlineStr">
        <is>
          <t>Douglas</t>
        </is>
      </c>
      <c r="E246" s="748" t="inlineStr">
        <is>
          <t>Fast Food</t>
        </is>
      </c>
      <c r="F246" s="748" t="inlineStr">
        <is>
          <t>Freddy's Steakburgers</t>
        </is>
      </c>
      <c r="G246" s="748" t="n">
        <v>349</v>
      </c>
      <c r="H246" s="743" t="inlineStr">
        <is>
          <t>349 - Fast Food Restaurant</t>
        </is>
      </c>
      <c r="I246" s="749" t="inlineStr">
        <is>
          <t>Restaurants – Fast Food</t>
        </is>
      </c>
      <c r="J246" s="748" t="inlineStr">
        <is>
          <t>Sec.13 p.17</t>
        </is>
      </c>
      <c r="K246" s="744" t="n">
        <v>3542</v>
      </c>
      <c r="L246" s="744" t="n">
        <v>55844</v>
      </c>
      <c r="M246" s="745" t="inlineStr">
        <is>
          <t>C</t>
        </is>
      </c>
      <c r="N246" s="745" t="inlineStr">
        <is>
          <t>Good</t>
        </is>
      </c>
      <c r="O246" s="745" t="inlineStr">
        <is>
          <t>Typical</t>
        </is>
      </c>
      <c r="P246" s="745" t="n">
        <v>2018</v>
      </c>
      <c r="Q246" s="748" t="n">
        <v>6</v>
      </c>
      <c r="R246" s="750" t="n">
        <v>246</v>
      </c>
      <c r="S246" s="751" t="n">
        <v>871332</v>
      </c>
      <c r="T246" s="749" t="inlineStr"/>
    </row>
    <row r="247">
      <c r="A247" s="741" t="n">
        <v>951</v>
      </c>
      <c r="B247" s="742" t="inlineStr">
        <is>
          <t>9985 S Twenty Mile Rd</t>
        </is>
      </c>
      <c r="C247" s="741" t="inlineStr">
        <is>
          <t>Parker</t>
        </is>
      </c>
      <c r="D247" s="741" t="inlineStr">
        <is>
          <t>Douglas</t>
        </is>
      </c>
      <c r="E247" s="741" t="inlineStr">
        <is>
          <t>Daycare</t>
        </is>
      </c>
      <c r="F247" s="741" t="inlineStr">
        <is>
          <t>Guidepost Montessori</t>
        </is>
      </c>
      <c r="G247" s="741" t="n">
        <v>426</v>
      </c>
      <c r="H247" s="743" t="inlineStr">
        <is>
          <t>426 - Day Care Center</t>
        </is>
      </c>
      <c r="I247" s="742" t="inlineStr">
        <is>
          <t>Day Care Centers</t>
        </is>
      </c>
      <c r="J247" s="741" t="inlineStr">
        <is>
          <t>Sec.18 p.13</t>
        </is>
      </c>
      <c r="K247" s="744" t="n">
        <v>11142</v>
      </c>
      <c r="L247" s="744" t="n">
        <v>54014</v>
      </c>
      <c r="M247" s="745" t="inlineStr">
        <is>
          <t>C</t>
        </is>
      </c>
      <c r="N247" s="745" t="inlineStr">
        <is>
          <t>Average</t>
        </is>
      </c>
      <c r="O247" s="745" t="inlineStr">
        <is>
          <t>Typical</t>
        </is>
      </c>
      <c r="P247" s="745" t="n">
        <v>2012</v>
      </c>
      <c r="Q247" s="741" t="n">
        <v>12</v>
      </c>
      <c r="R247" s="746" t="n">
        <v>173</v>
      </c>
      <c r="S247" s="747" t="n">
        <v>1927566</v>
      </c>
      <c r="T247" s="742" t="inlineStr"/>
    </row>
    <row r="248">
      <c r="A248" s="748" t="n">
        <v>952</v>
      </c>
      <c r="B248" s="749" t="inlineStr">
        <is>
          <t>11901 S Parker Rd</t>
        </is>
      </c>
      <c r="C248" s="748" t="inlineStr">
        <is>
          <t>Parker</t>
        </is>
      </c>
      <c r="D248" s="748" t="inlineStr">
        <is>
          <t>Douglas</t>
        </is>
      </c>
      <c r="E248" s="748" t="inlineStr">
        <is>
          <t>Auto Service</t>
        </is>
      </c>
      <c r="F248" s="748" t="inlineStr">
        <is>
          <t>Just Brakes</t>
        </is>
      </c>
      <c r="G248" s="748" t="n">
        <v>410</v>
      </c>
      <c r="H248" s="743" t="inlineStr">
        <is>
          <t>410 - Automotive Center</t>
        </is>
      </c>
      <c r="I248" s="749" t="inlineStr">
        <is>
          <t>Automotive Service Centers</t>
        </is>
      </c>
      <c r="J248" s="748" t="inlineStr">
        <is>
          <t>Sec.14 p.31</t>
        </is>
      </c>
      <c r="K248" s="744" t="n">
        <v>3500</v>
      </c>
      <c r="L248" s="744" t="n">
        <v>17337</v>
      </c>
      <c r="M248" s="745" t="inlineStr">
        <is>
          <t>S</t>
        </is>
      </c>
      <c r="N248" s="745" t="inlineStr">
        <is>
          <t>Average</t>
        </is>
      </c>
      <c r="O248" s="745" t="inlineStr">
        <is>
          <t>Typical</t>
        </is>
      </c>
      <c r="P248" s="745" t="n">
        <v>1989</v>
      </c>
      <c r="Q248" s="748" t="n">
        <v>35</v>
      </c>
      <c r="R248" s="750" t="n">
        <v>97.5</v>
      </c>
      <c r="S248" s="751" t="n">
        <v>341250</v>
      </c>
      <c r="T248" s="749" t="inlineStr"/>
    </row>
    <row r="249">
      <c r="A249" s="741" t="n">
        <v>953</v>
      </c>
      <c r="B249" s="742" t="inlineStr">
        <is>
          <t>11901 S Parker Rd</t>
        </is>
      </c>
      <c r="C249" s="741" t="inlineStr">
        <is>
          <t>Parker</t>
        </is>
      </c>
      <c r="D249" s="741" t="inlineStr">
        <is>
          <t>Douglas</t>
        </is>
      </c>
      <c r="E249" s="741" t="inlineStr">
        <is>
          <t>Auto Service</t>
        </is>
      </c>
      <c r="F249" s="741" t="inlineStr">
        <is>
          <t>Just Brakes</t>
        </is>
      </c>
      <c r="G249" s="741" t="n">
        <v>410</v>
      </c>
      <c r="H249" s="743" t="inlineStr">
        <is>
          <t>410 - Automotive Center</t>
        </is>
      </c>
      <c r="I249" s="742" t="inlineStr">
        <is>
          <t>Automotive Service Centers</t>
        </is>
      </c>
      <c r="J249" s="741" t="inlineStr">
        <is>
          <t>Sec.14 p.31</t>
        </is>
      </c>
      <c r="K249" s="744" t="n">
        <v>3500</v>
      </c>
      <c r="L249" s="744" t="n">
        <v>17337</v>
      </c>
      <c r="M249" s="745" t="inlineStr">
        <is>
          <t>S</t>
        </is>
      </c>
      <c r="N249" s="745" t="inlineStr">
        <is>
          <t>Average</t>
        </is>
      </c>
      <c r="O249" s="745" t="inlineStr">
        <is>
          <t>Typical</t>
        </is>
      </c>
      <c r="P249" s="745" t="n">
        <v>1989</v>
      </c>
      <c r="Q249" s="741" t="n">
        <v>35</v>
      </c>
      <c r="R249" s="746" t="n">
        <v>97.5</v>
      </c>
      <c r="S249" s="747" t="n">
        <v>341250</v>
      </c>
      <c r="T249" s="742" t="inlineStr"/>
    </row>
    <row r="250">
      <c r="A250" s="748" t="n">
        <v>954</v>
      </c>
      <c r="B250" s="749" t="inlineStr">
        <is>
          <t>10344 Park Meadows Dr</t>
        </is>
      </c>
      <c r="C250" s="748" t="inlineStr">
        <is>
          <t>Lone Tree</t>
        </is>
      </c>
      <c r="D250" s="748" t="inlineStr">
        <is>
          <t>Douglas</t>
        </is>
      </c>
      <c r="E250" s="748" t="inlineStr">
        <is>
          <t>Daycare</t>
        </is>
      </c>
      <c r="F250" s="748" t="inlineStr">
        <is>
          <t>Kiddie Academy</t>
        </is>
      </c>
      <c r="G250" s="748" t="n">
        <v>426</v>
      </c>
      <c r="H250" s="743" t="inlineStr">
        <is>
          <t>426 - Day Care Center</t>
        </is>
      </c>
      <c r="I250" s="749" t="inlineStr">
        <is>
          <t>Day Care Centers</t>
        </is>
      </c>
      <c r="J250" s="748" t="inlineStr">
        <is>
          <t>Sec.18 p.13</t>
        </is>
      </c>
      <c r="K250" s="744" t="n">
        <v>11000</v>
      </c>
      <c r="L250" s="744" t="n">
        <v>98446</v>
      </c>
      <c r="M250" s="745" t="inlineStr">
        <is>
          <t>C</t>
        </is>
      </c>
      <c r="N250" s="745" t="inlineStr">
        <is>
          <t>Good</t>
        </is>
      </c>
      <c r="O250" s="745" t="inlineStr">
        <is>
          <t>Typical</t>
        </is>
      </c>
      <c r="P250" s="745" t="n">
        <v>2019</v>
      </c>
      <c r="Q250" s="748" t="n">
        <v>5</v>
      </c>
      <c r="R250" s="750" t="n">
        <v>225</v>
      </c>
      <c r="S250" s="751" t="n">
        <v>2475000</v>
      </c>
      <c r="T250" s="749" t="inlineStr"/>
    </row>
    <row r="251">
      <c r="A251" s="741" t="n">
        <v>955</v>
      </c>
      <c r="B251" s="742" t="inlineStr">
        <is>
          <t>8 N Wilcox St</t>
        </is>
      </c>
      <c r="C251" s="741" t="inlineStr">
        <is>
          <t>Castle Rock</t>
        </is>
      </c>
      <c r="D251" s="741" t="inlineStr">
        <is>
          <t>Douglas</t>
        </is>
      </c>
      <c r="E251" s="741" t="inlineStr">
        <is>
          <t>Auto Service</t>
        </is>
      </c>
      <c r="F251" s="741" t="inlineStr">
        <is>
          <t>Meineke</t>
        </is>
      </c>
      <c r="G251" s="741" t="n">
        <v>410</v>
      </c>
      <c r="H251" s="743" t="inlineStr">
        <is>
          <t>410 - Automotive Center</t>
        </is>
      </c>
      <c r="I251" s="742" t="inlineStr">
        <is>
          <t>Automotive Service Centers</t>
        </is>
      </c>
      <c r="J251" s="741" t="inlineStr">
        <is>
          <t>Sec.14 p.31</t>
        </is>
      </c>
      <c r="K251" s="744" t="n">
        <v>2730</v>
      </c>
      <c r="L251" s="744" t="n">
        <v>13939</v>
      </c>
      <c r="M251" s="745" t="inlineStr">
        <is>
          <t>S</t>
        </is>
      </c>
      <c r="N251" s="745" t="inlineStr">
        <is>
          <t>Average</t>
        </is>
      </c>
      <c r="O251" s="745" t="inlineStr">
        <is>
          <t>Typical</t>
        </is>
      </c>
      <c r="P251" s="745" t="n">
        <v>1994</v>
      </c>
      <c r="Q251" s="741" t="n">
        <v>30</v>
      </c>
      <c r="R251" s="746" t="n">
        <v>97.5</v>
      </c>
      <c r="S251" s="747" t="n">
        <v>266175</v>
      </c>
      <c r="T251" s="742" t="inlineStr"/>
    </row>
    <row r="252">
      <c r="A252" s="748" t="n">
        <v>956</v>
      </c>
      <c r="B252" s="749" t="inlineStr">
        <is>
          <t>12201 S Parker Rd</t>
        </is>
      </c>
      <c r="C252" s="748" t="inlineStr">
        <is>
          <t>Parker</t>
        </is>
      </c>
      <c r="D252" s="748" t="inlineStr">
        <is>
          <t>Douglas</t>
        </is>
      </c>
      <c r="E252" s="748" t="inlineStr">
        <is>
          <t>Daycare</t>
        </is>
      </c>
      <c r="F252" s="748" t="inlineStr">
        <is>
          <t>Monarch Academy</t>
        </is>
      </c>
      <c r="G252" s="748" t="n">
        <v>426</v>
      </c>
      <c r="H252" s="743" t="inlineStr">
        <is>
          <t>426 - Day Care Center</t>
        </is>
      </c>
      <c r="I252" s="749" t="inlineStr">
        <is>
          <t>Day Care Centers</t>
        </is>
      </c>
      <c r="J252" s="748" t="inlineStr">
        <is>
          <t>Sec.18 p.13</t>
        </is>
      </c>
      <c r="K252" s="744" t="n">
        <v>11391</v>
      </c>
      <c r="L252" s="744" t="n">
        <v>45302</v>
      </c>
      <c r="M252" s="745" t="inlineStr">
        <is>
          <t>C</t>
        </is>
      </c>
      <c r="N252" s="745" t="inlineStr">
        <is>
          <t>Average</t>
        </is>
      </c>
      <c r="O252" s="745" t="inlineStr">
        <is>
          <t>Typical</t>
        </is>
      </c>
      <c r="P252" s="745" t="n">
        <v>2008</v>
      </c>
      <c r="Q252" s="748" t="n">
        <v>16</v>
      </c>
      <c r="R252" s="750" t="n">
        <v>173</v>
      </c>
      <c r="S252" s="751" t="n">
        <v>1970643</v>
      </c>
      <c r="T252" s="749" t="inlineStr"/>
    </row>
    <row r="253">
      <c r="A253" s="741" t="n">
        <v>957</v>
      </c>
      <c r="B253" s="742" t="inlineStr">
        <is>
          <t>9092 Sky Ridge Ave</t>
        </is>
      </c>
      <c r="C253" s="741" t="inlineStr">
        <is>
          <t>Lone Tree</t>
        </is>
      </c>
      <c r="D253" s="741" t="inlineStr">
        <is>
          <t>Douglas</t>
        </is>
      </c>
      <c r="E253" s="741" t="inlineStr">
        <is>
          <t>Daycare</t>
        </is>
      </c>
      <c r="F253" s="741" t="inlineStr">
        <is>
          <t>New Horizon Academy</t>
        </is>
      </c>
      <c r="G253" s="741" t="n">
        <v>426</v>
      </c>
      <c r="H253" s="743" t="inlineStr">
        <is>
          <t>426 - Day Care Center</t>
        </is>
      </c>
      <c r="I253" s="742" t="inlineStr">
        <is>
          <t>Day Care Centers</t>
        </is>
      </c>
      <c r="J253" s="741" t="inlineStr">
        <is>
          <t>Sec.18 p.13</t>
        </is>
      </c>
      <c r="K253" s="744" t="n">
        <v>13068</v>
      </c>
      <c r="L253" s="744" t="n">
        <v>54184</v>
      </c>
      <c r="M253" s="745" t="inlineStr">
        <is>
          <t>C</t>
        </is>
      </c>
      <c r="N253" s="745" t="inlineStr">
        <is>
          <t>Good</t>
        </is>
      </c>
      <c r="O253" s="745" t="inlineStr">
        <is>
          <t>Typical</t>
        </is>
      </c>
      <c r="P253" s="745" t="n">
        <v>2020</v>
      </c>
      <c r="Q253" s="741" t="n">
        <v>4</v>
      </c>
      <c r="R253" s="746" t="n">
        <v>225</v>
      </c>
      <c r="S253" s="747" t="n">
        <v>2940300</v>
      </c>
      <c r="T253" s="742" t="inlineStr"/>
    </row>
    <row r="254">
      <c r="A254" s="748" t="n">
        <v>958</v>
      </c>
      <c r="B254" s="749" t="inlineStr">
        <is>
          <t>8502 Park Meadows Dr</t>
        </is>
      </c>
      <c r="C254" s="748" t="inlineStr">
        <is>
          <t>Lone Tree</t>
        </is>
      </c>
      <c r="D254" s="748" t="inlineStr">
        <is>
          <t>Douglas</t>
        </is>
      </c>
      <c r="E254" s="748" t="inlineStr">
        <is>
          <t>Daycare</t>
        </is>
      </c>
      <c r="F254" s="748" t="inlineStr">
        <is>
          <t>Nobel- Merryhill Child Care</t>
        </is>
      </c>
      <c r="G254" s="748" t="n">
        <v>426</v>
      </c>
      <c r="H254" s="743" t="inlineStr">
        <is>
          <t>426 - Day Care Center</t>
        </is>
      </c>
      <c r="I254" s="749" t="inlineStr">
        <is>
          <t>Day Care Centers</t>
        </is>
      </c>
      <c r="J254" s="748" t="inlineStr">
        <is>
          <t>Sec.18 p.13</t>
        </is>
      </c>
      <c r="K254" s="744" t="n">
        <v>11090</v>
      </c>
      <c r="L254" s="744" t="n">
        <v>43996</v>
      </c>
      <c r="M254" s="745" t="inlineStr">
        <is>
          <t>C</t>
        </is>
      </c>
      <c r="N254" s="745" t="inlineStr">
        <is>
          <t>Average</t>
        </is>
      </c>
      <c r="O254" s="745" t="inlineStr">
        <is>
          <t>Typical</t>
        </is>
      </c>
      <c r="P254" s="745" t="n">
        <v>2006</v>
      </c>
      <c r="Q254" s="748" t="n">
        <v>18</v>
      </c>
      <c r="R254" s="750" t="n">
        <v>173</v>
      </c>
      <c r="S254" s="751" t="n">
        <v>1918570</v>
      </c>
      <c r="T254" s="749" t="inlineStr"/>
    </row>
    <row r="255">
      <c r="A255" s="741" t="n">
        <v>959</v>
      </c>
      <c r="B255" s="742" t="inlineStr">
        <is>
          <t>4400 Barranca Ln</t>
        </is>
      </c>
      <c r="C255" s="741" t="inlineStr">
        <is>
          <t>Castle Rock</t>
        </is>
      </c>
      <c r="D255" s="741" t="inlineStr">
        <is>
          <t>Douglas</t>
        </is>
      </c>
      <c r="E255" s="741" t="inlineStr">
        <is>
          <t>Auto Service</t>
        </is>
      </c>
      <c r="F255" s="741" t="inlineStr">
        <is>
          <t>Pep Boys</t>
        </is>
      </c>
      <c r="G255" s="741" t="n">
        <v>410</v>
      </c>
      <c r="H255" s="743" t="inlineStr">
        <is>
          <t>410 - Automotive Center</t>
        </is>
      </c>
      <c r="I255" s="742" t="inlineStr">
        <is>
          <t>Automotive Service Centers</t>
        </is>
      </c>
      <c r="J255" s="741" t="inlineStr">
        <is>
          <t>Sec.14 p.31</t>
        </is>
      </c>
      <c r="K255" s="744" t="n">
        <v>4020</v>
      </c>
      <c r="L255" s="744" t="n">
        <v>20473</v>
      </c>
      <c r="M255" s="745" t="inlineStr">
        <is>
          <t>S</t>
        </is>
      </c>
      <c r="N255" s="745" t="inlineStr">
        <is>
          <t>Average</t>
        </is>
      </c>
      <c r="O255" s="745" t="inlineStr">
        <is>
          <t>Typical</t>
        </is>
      </c>
      <c r="P255" s="745" t="n">
        <v>2009</v>
      </c>
      <c r="Q255" s="741" t="n">
        <v>15</v>
      </c>
      <c r="R255" s="746" t="n">
        <v>97.5</v>
      </c>
      <c r="S255" s="747" t="n">
        <v>391950</v>
      </c>
      <c r="T255" s="742" t="inlineStr"/>
    </row>
    <row r="256">
      <c r="A256" s="748" t="n">
        <v>960</v>
      </c>
      <c r="B256" s="749" t="inlineStr">
        <is>
          <t>9055 RIDGELINE Blvd</t>
        </is>
      </c>
      <c r="C256" s="748" t="inlineStr">
        <is>
          <t>Highlands Ranch</t>
        </is>
      </c>
      <c r="D256" s="748" t="inlineStr">
        <is>
          <t>Douglas</t>
        </is>
      </c>
      <c r="E256" s="748" t="inlineStr">
        <is>
          <t>Daycare</t>
        </is>
      </c>
      <c r="F256" s="748" t="inlineStr">
        <is>
          <t>Primrose School</t>
        </is>
      </c>
      <c r="G256" s="748" t="n">
        <v>426</v>
      </c>
      <c r="H256" s="743" t="inlineStr">
        <is>
          <t>426 - Day Care Center</t>
        </is>
      </c>
      <c r="I256" s="749" t="inlineStr">
        <is>
          <t>Day Care Centers</t>
        </is>
      </c>
      <c r="J256" s="748" t="inlineStr">
        <is>
          <t>Sec.18 p.13</t>
        </is>
      </c>
      <c r="K256" s="744" t="n">
        <v>8943</v>
      </c>
      <c r="L256" s="744" t="n">
        <v>43560</v>
      </c>
      <c r="M256" s="745" t="inlineStr">
        <is>
          <t>C</t>
        </is>
      </c>
      <c r="N256" s="745" t="inlineStr">
        <is>
          <t>Average</t>
        </is>
      </c>
      <c r="O256" s="745" t="inlineStr">
        <is>
          <t>Typical</t>
        </is>
      </c>
      <c r="P256" s="745" t="n">
        <v>1999</v>
      </c>
      <c r="Q256" s="748" t="n">
        <v>25</v>
      </c>
      <c r="R256" s="750" t="n">
        <v>173</v>
      </c>
      <c r="S256" s="751" t="n">
        <v>1547139</v>
      </c>
      <c r="T256" s="749" t="inlineStr"/>
    </row>
    <row r="257">
      <c r="A257" s="741" t="n">
        <v>961</v>
      </c>
      <c r="B257" s="742" t="inlineStr">
        <is>
          <t>9200 Teddy Ln</t>
        </is>
      </c>
      <c r="C257" s="741" t="inlineStr">
        <is>
          <t>Lone Tree</t>
        </is>
      </c>
      <c r="D257" s="741" t="inlineStr">
        <is>
          <t>Douglas</t>
        </is>
      </c>
      <c r="E257" s="741" t="inlineStr">
        <is>
          <t>Daycare</t>
        </is>
      </c>
      <c r="F257" s="741" t="inlineStr">
        <is>
          <t>Primrose School</t>
        </is>
      </c>
      <c r="G257" s="741" t="n">
        <v>426</v>
      </c>
      <c r="H257" s="743" t="inlineStr">
        <is>
          <t>426 - Day Care Center</t>
        </is>
      </c>
      <c r="I257" s="742" t="inlineStr">
        <is>
          <t>Day Care Centers</t>
        </is>
      </c>
      <c r="J257" s="741" t="inlineStr">
        <is>
          <t>Sec.18 p.13</t>
        </is>
      </c>
      <c r="K257" s="744" t="n">
        <v>9093</v>
      </c>
      <c r="L257" s="744" t="n">
        <v>63162</v>
      </c>
      <c r="M257" s="745" t="inlineStr">
        <is>
          <t>C</t>
        </is>
      </c>
      <c r="N257" s="745" t="inlineStr">
        <is>
          <t>Average</t>
        </is>
      </c>
      <c r="O257" s="745" t="inlineStr">
        <is>
          <t>Typical</t>
        </is>
      </c>
      <c r="P257" s="745" t="n">
        <v>2000</v>
      </c>
      <c r="Q257" s="741" t="n">
        <v>24</v>
      </c>
      <c r="R257" s="746" t="n">
        <v>173</v>
      </c>
      <c r="S257" s="747" t="n">
        <v>1573089</v>
      </c>
      <c r="T257" s="742" t="inlineStr"/>
    </row>
    <row r="258">
      <c r="A258" s="748" t="n">
        <v>962</v>
      </c>
      <c r="B258" s="749" t="inlineStr">
        <is>
          <t>18200 E Cottonwood Dr</t>
        </is>
      </c>
      <c r="C258" s="748" t="inlineStr">
        <is>
          <t>Parker</t>
        </is>
      </c>
      <c r="D258" s="748" t="inlineStr">
        <is>
          <t>Douglas</t>
        </is>
      </c>
      <c r="E258" s="748" t="inlineStr">
        <is>
          <t>Fast Food</t>
        </is>
      </c>
      <c r="F258" s="748" t="inlineStr">
        <is>
          <t>Raising Cane's</t>
        </is>
      </c>
      <c r="G258" s="748" t="n">
        <v>349</v>
      </c>
      <c r="H258" s="743" t="inlineStr">
        <is>
          <t>349 - Fast Food Restaurant</t>
        </is>
      </c>
      <c r="I258" s="749" t="inlineStr">
        <is>
          <t>Restaurants – Fast Food</t>
        </is>
      </c>
      <c r="J258" s="748" t="inlineStr">
        <is>
          <t>Sec.13 p.17</t>
        </is>
      </c>
      <c r="K258" s="744" t="n">
        <v>3702</v>
      </c>
      <c r="L258" s="744" t="n">
        <v>54886</v>
      </c>
      <c r="M258" s="745" t="inlineStr">
        <is>
          <t>C</t>
        </is>
      </c>
      <c r="N258" s="745" t="inlineStr">
        <is>
          <t>Good</t>
        </is>
      </c>
      <c r="O258" s="745" t="inlineStr">
        <is>
          <t>Typical</t>
        </is>
      </c>
      <c r="P258" s="745" t="n">
        <v>2017</v>
      </c>
      <c r="Q258" s="748" t="n">
        <v>7</v>
      </c>
      <c r="R258" s="750" t="n">
        <v>246</v>
      </c>
      <c r="S258" s="751" t="n">
        <v>910692</v>
      </c>
      <c r="T258" s="749" t="inlineStr"/>
    </row>
    <row r="259">
      <c r="A259" s="741" t="n">
        <v>963</v>
      </c>
      <c r="B259" s="742" t="inlineStr">
        <is>
          <t>63 Centennial Blvd</t>
        </is>
      </c>
      <c r="C259" s="741" t="inlineStr">
        <is>
          <t>Highlands Ranch</t>
        </is>
      </c>
      <c r="D259" s="741" t="inlineStr">
        <is>
          <t>Douglas</t>
        </is>
      </c>
      <c r="E259" s="741" t="inlineStr">
        <is>
          <t>Retail Center</t>
        </is>
      </c>
      <c r="F259" s="741" t="inlineStr">
        <is>
          <t>Red Robin</t>
        </is>
      </c>
      <c r="G259" s="741" t="n">
        <v>353</v>
      </c>
      <c r="H259" s="743" t="inlineStr">
        <is>
          <t>353 - Retail Store</t>
        </is>
      </c>
      <c r="I259" s="742" t="inlineStr">
        <is>
          <t>Retail Stores</t>
        </is>
      </c>
      <c r="J259" s="741" t="inlineStr">
        <is>
          <t>Sec.13 p.26</t>
        </is>
      </c>
      <c r="K259" s="744" t="n">
        <v>9350</v>
      </c>
      <c r="L259" s="744" t="n">
        <v>130680</v>
      </c>
      <c r="M259" s="745" t="inlineStr">
        <is>
          <t>C</t>
        </is>
      </c>
      <c r="N259" s="745" t="inlineStr">
        <is>
          <t>Average</t>
        </is>
      </c>
      <c r="O259" s="745" t="inlineStr">
        <is>
          <t>Typical</t>
        </is>
      </c>
      <c r="P259" s="745" t="n">
        <v>1996</v>
      </c>
      <c r="Q259" s="741" t="n">
        <v>28</v>
      </c>
      <c r="R259" s="746" t="n">
        <v>117</v>
      </c>
      <c r="S259" s="747" t="n">
        <v>1093950</v>
      </c>
      <c r="T259" s="742" t="inlineStr"/>
    </row>
    <row r="260">
      <c r="A260" s="748" t="n">
        <v>964</v>
      </c>
      <c r="B260" s="749" t="inlineStr">
        <is>
          <t>7520 Village Square Dr</t>
        </is>
      </c>
      <c r="C260" s="748" t="inlineStr">
        <is>
          <t>Castle Pines</t>
        </is>
      </c>
      <c r="D260" s="748" t="inlineStr">
        <is>
          <t>Douglas</t>
        </is>
      </c>
      <c r="E260" s="748" t="inlineStr">
        <is>
          <t>Auto Service</t>
        </is>
      </c>
      <c r="F260" s="748" t="inlineStr">
        <is>
          <t>SimplyEuro</t>
        </is>
      </c>
      <c r="G260" s="748" t="n">
        <v>325</v>
      </c>
      <c r="H260" s="743" t="inlineStr">
        <is>
          <t>325 - Service Garage</t>
        </is>
      </c>
      <c r="I260" s="749" t="inlineStr">
        <is>
          <t>Service Garages (Commercial/Repair)</t>
        </is>
      </c>
      <c r="J260" s="748" t="inlineStr">
        <is>
          <t>Sec.14 p.32</t>
        </is>
      </c>
      <c r="K260" s="744" t="n">
        <v>8000</v>
      </c>
      <c r="L260" s="744" t="n">
        <v>40685</v>
      </c>
      <c r="M260" s="745" t="inlineStr">
        <is>
          <t>C</t>
        </is>
      </c>
      <c r="N260" s="745" t="inlineStr">
        <is>
          <t>Average</t>
        </is>
      </c>
      <c r="O260" s="745" t="inlineStr">
        <is>
          <t>Typical</t>
        </is>
      </c>
      <c r="P260" s="745" t="n">
        <v>2000</v>
      </c>
      <c r="Q260" s="748" t="n">
        <v>24</v>
      </c>
      <c r="R260" s="750" t="n">
        <v>79.5</v>
      </c>
      <c r="S260" s="751" t="n">
        <v>636000</v>
      </c>
      <c r="T260" s="749" t="inlineStr"/>
    </row>
    <row r="261">
      <c r="A261" s="741" t="n">
        <v>965</v>
      </c>
      <c r="B261" s="742" t="inlineStr">
        <is>
          <t>8078 Blakeland Dr</t>
        </is>
      </c>
      <c r="C261" s="741" t="inlineStr">
        <is>
          <t>Littleton</t>
        </is>
      </c>
      <c r="D261" s="741" t="inlineStr">
        <is>
          <t>Douglas</t>
        </is>
      </c>
      <c r="E261" s="741" t="inlineStr">
        <is>
          <t>Fast Food</t>
        </is>
      </c>
      <c r="F261" s="741" t="inlineStr">
        <is>
          <t>Taco Bell</t>
        </is>
      </c>
      <c r="G261" s="741" t="n">
        <v>349</v>
      </c>
      <c r="H261" s="743" t="inlineStr">
        <is>
          <t>349 - Fast Food Restaurant</t>
        </is>
      </c>
      <c r="I261" s="742" t="inlineStr">
        <is>
          <t>Restaurants – Fast Food</t>
        </is>
      </c>
      <c r="J261" s="741" t="inlineStr">
        <is>
          <t>Sec.13 p.17</t>
        </is>
      </c>
      <c r="K261" s="744" t="n">
        <v>2649</v>
      </c>
      <c r="L261" s="744" t="n">
        <v>29010</v>
      </c>
      <c r="M261" s="745" t="inlineStr">
        <is>
          <t>C</t>
        </is>
      </c>
      <c r="N261" s="745" t="inlineStr">
        <is>
          <t>Average</t>
        </is>
      </c>
      <c r="O261" s="745" t="inlineStr">
        <is>
          <t>Typical</t>
        </is>
      </c>
      <c r="P261" s="745" t="n">
        <v>2001</v>
      </c>
      <c r="Q261" s="741" t="n">
        <v>23</v>
      </c>
      <c r="R261" s="746" t="n">
        <v>191</v>
      </c>
      <c r="S261" s="747" t="n">
        <v>505959</v>
      </c>
      <c r="T261" s="742" t="inlineStr"/>
    </row>
    <row r="262">
      <c r="A262" s="748" t="n">
        <v>966</v>
      </c>
      <c r="B262" s="749" t="inlineStr">
        <is>
          <t>23 Centennial Blvd</t>
        </is>
      </c>
      <c r="C262" s="748" t="inlineStr">
        <is>
          <t>Highlands Ranch</t>
        </is>
      </c>
      <c r="D262" s="748" t="inlineStr">
        <is>
          <t>Douglas</t>
        </is>
      </c>
      <c r="E262" s="748" t="inlineStr">
        <is>
          <t>Retail Center</t>
        </is>
      </c>
      <c r="F262" s="748" t="inlineStr">
        <is>
          <t>Village Inn</t>
        </is>
      </c>
      <c r="G262" s="748" t="n">
        <v>353</v>
      </c>
      <c r="H262" s="743" t="inlineStr">
        <is>
          <t>353 - Retail Store</t>
        </is>
      </c>
      <c r="I262" s="749" t="inlineStr">
        <is>
          <t>Retail Stores</t>
        </is>
      </c>
      <c r="J262" s="748" t="inlineStr">
        <is>
          <t>Sec.13 p.26</t>
        </is>
      </c>
      <c r="K262" s="744" t="n">
        <v>5162</v>
      </c>
      <c r="L262" s="744" t="n">
        <v>43560</v>
      </c>
      <c r="M262" s="745" t="inlineStr">
        <is>
          <t>C</t>
        </is>
      </c>
      <c r="N262" s="745" t="inlineStr">
        <is>
          <t>Average</t>
        </is>
      </c>
      <c r="O262" s="745" t="inlineStr">
        <is>
          <t>Typical</t>
        </is>
      </c>
      <c r="P262" s="745" t="n">
        <v>1985</v>
      </c>
      <c r="Q262" s="748" t="n">
        <v>39</v>
      </c>
      <c r="R262" s="750" t="n">
        <v>117</v>
      </c>
      <c r="S262" s="751" t="n">
        <v>603954</v>
      </c>
      <c r="T262" s="749" t="inlineStr"/>
    </row>
    <row r="263">
      <c r="A263" s="741" t="n">
        <v>967</v>
      </c>
      <c r="B263" s="742" t="inlineStr">
        <is>
          <t>13143 S Parker Rd</t>
        </is>
      </c>
      <c r="C263" s="741" t="inlineStr">
        <is>
          <t>Parker</t>
        </is>
      </c>
      <c r="D263" s="741" t="inlineStr">
        <is>
          <t>Douglas</t>
        </is>
      </c>
      <c r="E263" s="741" t="inlineStr">
        <is>
          <t>Drugstore</t>
        </is>
      </c>
      <c r="F263" s="741" t="inlineStr">
        <is>
          <t>Walgreens</t>
        </is>
      </c>
      <c r="G263" s="741" t="n">
        <v>353</v>
      </c>
      <c r="H263" s="743" t="inlineStr">
        <is>
          <t>353 - Retail Store</t>
        </is>
      </c>
      <c r="I263" s="742" t="inlineStr">
        <is>
          <t>Retail Stores</t>
        </is>
      </c>
      <c r="J263" s="741" t="inlineStr">
        <is>
          <t>Sec.13 p.26</t>
        </is>
      </c>
      <c r="K263" s="744" t="n">
        <v>14490</v>
      </c>
      <c r="L263" s="744" t="n">
        <v>102017</v>
      </c>
      <c r="M263" s="745" t="inlineStr">
        <is>
          <t>C</t>
        </is>
      </c>
      <c r="N263" s="745" t="inlineStr">
        <is>
          <t>Average</t>
        </is>
      </c>
      <c r="O263" s="745" t="inlineStr">
        <is>
          <t>Typical</t>
        </is>
      </c>
      <c r="P263" s="745" t="n">
        <v>2006</v>
      </c>
      <c r="Q263" s="741" t="n">
        <v>18</v>
      </c>
      <c r="R263" s="746" t="n">
        <v>117</v>
      </c>
      <c r="S263" s="747" t="n">
        <v>1695330</v>
      </c>
      <c r="T263" s="742" t="inlineStr"/>
    </row>
    <row r="264">
      <c r="A264" s="748" t="n">
        <v>968</v>
      </c>
      <c r="B264" s="749" t="inlineStr">
        <is>
          <t>9390 S University Blvd</t>
        </is>
      </c>
      <c r="C264" s="748" t="inlineStr">
        <is>
          <t>Highlands Ranch</t>
        </is>
      </c>
      <c r="D264" s="748" t="inlineStr">
        <is>
          <t>Douglas</t>
        </is>
      </c>
      <c r="E264" s="748" t="inlineStr">
        <is>
          <t>Drugstore</t>
        </is>
      </c>
      <c r="F264" s="748" t="inlineStr">
        <is>
          <t>Walgreens</t>
        </is>
      </c>
      <c r="G264" s="748" t="n">
        <v>353</v>
      </c>
      <c r="H264" s="743" t="inlineStr">
        <is>
          <t>353 - Retail Store</t>
        </is>
      </c>
      <c r="I264" s="749" t="inlineStr">
        <is>
          <t>Retail Stores</t>
        </is>
      </c>
      <c r="J264" s="748" t="inlineStr">
        <is>
          <t>Sec.13 p.26</t>
        </is>
      </c>
      <c r="K264" s="744" t="n">
        <v>13500</v>
      </c>
      <c r="L264" s="744" t="n">
        <v>63162</v>
      </c>
      <c r="M264" s="745" t="inlineStr">
        <is>
          <t>C</t>
        </is>
      </c>
      <c r="N264" s="745" t="inlineStr">
        <is>
          <t>Average</t>
        </is>
      </c>
      <c r="O264" s="745" t="inlineStr">
        <is>
          <t>Typical</t>
        </is>
      </c>
      <c r="P264" s="745" t="n">
        <v>1995</v>
      </c>
      <c r="Q264" s="748" t="n">
        <v>29</v>
      </c>
      <c r="R264" s="750" t="n">
        <v>117</v>
      </c>
      <c r="S264" s="751" t="n">
        <v>1579500</v>
      </c>
      <c r="T264" s="749" t="inlineStr"/>
    </row>
    <row r="265">
      <c r="A265" s="741" t="n">
        <v>969</v>
      </c>
      <c r="B265" s="742" t="inlineStr">
        <is>
          <t>230 W Agate Ave</t>
        </is>
      </c>
      <c r="C265" s="741" t="inlineStr">
        <is>
          <t>Granby</t>
        </is>
      </c>
      <c r="D265" s="741" t="inlineStr">
        <is>
          <t>Grand</t>
        </is>
      </c>
      <c r="E265" s="741" t="inlineStr">
        <is>
          <t>Dollar Store</t>
        </is>
      </c>
      <c r="F265" s="741" t="inlineStr">
        <is>
          <t>Dollar General</t>
        </is>
      </c>
      <c r="G265" s="741" t="n">
        <v>319</v>
      </c>
      <c r="H265" s="743" t="inlineStr">
        <is>
          <t>319 - Discount Store</t>
        </is>
      </c>
      <c r="I265" s="742" t="inlineStr">
        <is>
          <t>Discount Stores</t>
        </is>
      </c>
      <c r="J265" s="741" t="inlineStr">
        <is>
          <t>Sec.13 p.28</t>
        </is>
      </c>
      <c r="K265" s="744" t="n">
        <v>9100</v>
      </c>
      <c r="L265" s="744" t="n">
        <v>76230</v>
      </c>
      <c r="M265" s="745" t="inlineStr">
        <is>
          <t>C</t>
        </is>
      </c>
      <c r="N265" s="745" t="inlineStr">
        <is>
          <t>Good</t>
        </is>
      </c>
      <c r="O265" s="745" t="inlineStr">
        <is>
          <t>Typical</t>
        </is>
      </c>
      <c r="P265" s="745" t="n">
        <v>2018</v>
      </c>
      <c r="Q265" s="741" t="n">
        <v>6</v>
      </c>
      <c r="R265" s="746" t="n">
        <v>118</v>
      </c>
      <c r="S265" s="747" t="n">
        <v>1073800</v>
      </c>
      <c r="T265" s="742" t="inlineStr"/>
    </row>
    <row r="266">
      <c r="A266" s="748" t="n">
        <v>970</v>
      </c>
      <c r="B266" s="749" t="inlineStr">
        <is>
          <t>585 County Road 40</t>
        </is>
      </c>
      <c r="C266" s="748" t="inlineStr">
        <is>
          <t>Granby</t>
        </is>
      </c>
      <c r="D266" s="748" t="inlineStr">
        <is>
          <t>Grand</t>
        </is>
      </c>
      <c r="E266" s="748" t="inlineStr">
        <is>
          <t>Auto Service</t>
        </is>
      </c>
      <c r="F266" s="748" t="inlineStr">
        <is>
          <t>Wrangler Tire and Tune</t>
        </is>
      </c>
      <c r="G266" s="748" t="n">
        <v>410</v>
      </c>
      <c r="H266" s="743" t="inlineStr">
        <is>
          <t>410 - Automotive Center</t>
        </is>
      </c>
      <c r="I266" s="749" t="inlineStr">
        <is>
          <t>Automotive Service Centers</t>
        </is>
      </c>
      <c r="J266" s="748" t="inlineStr">
        <is>
          <t>Sec.14 p.31</t>
        </is>
      </c>
      <c r="K266" s="744" t="n">
        <v>5400</v>
      </c>
      <c r="L266" s="744" t="n">
        <v>15682</v>
      </c>
      <c r="M266" s="745" t="inlineStr">
        <is>
          <t>S</t>
        </is>
      </c>
      <c r="N266" s="745" t="inlineStr">
        <is>
          <t>Average</t>
        </is>
      </c>
      <c r="O266" s="745" t="inlineStr">
        <is>
          <t>Typical</t>
        </is>
      </c>
      <c r="P266" s="745" t="n">
        <v>2001</v>
      </c>
      <c r="Q266" s="748" t="n">
        <v>23</v>
      </c>
      <c r="R266" s="750" t="n">
        <v>97.5</v>
      </c>
      <c r="S266" s="751" t="n">
        <v>526500</v>
      </c>
      <c r="T266" s="749" t="inlineStr"/>
    </row>
    <row r="267">
      <c r="A267" s="741" t="n">
        <v>971</v>
      </c>
      <c r="B267" s="742" t="inlineStr">
        <is>
          <t>405 Fry Rd</t>
        </is>
      </c>
      <c r="C267" s="741" t="inlineStr">
        <is>
          <t>Houston</t>
        </is>
      </c>
      <c r="D267" s="741" t="inlineStr">
        <is>
          <t>Harris</t>
        </is>
      </c>
      <c r="E267" s="741" t="inlineStr">
        <is>
          <t>Fast Food</t>
        </is>
      </c>
      <c r="F267" s="741" t="inlineStr">
        <is>
          <t>McDonald's</t>
        </is>
      </c>
      <c r="G267" s="741" t="n">
        <v>349</v>
      </c>
      <c r="H267" s="743" t="inlineStr">
        <is>
          <t>349 - Fast Food Restaurant</t>
        </is>
      </c>
      <c r="I267" s="742" t="inlineStr">
        <is>
          <t>Restaurants – Fast Food</t>
        </is>
      </c>
      <c r="J267" s="741" t="inlineStr">
        <is>
          <t>Sec.13 p.17</t>
        </is>
      </c>
      <c r="K267" s="744" t="n">
        <v>3119</v>
      </c>
      <c r="L267" s="744" t="n">
        <v>40511</v>
      </c>
      <c r="M267" s="745" t="inlineStr">
        <is>
          <t>C</t>
        </is>
      </c>
      <c r="N267" s="745" t="inlineStr">
        <is>
          <t>Average</t>
        </is>
      </c>
      <c r="O267" s="745" t="inlineStr">
        <is>
          <t>Typical</t>
        </is>
      </c>
      <c r="P267" s="745" t="n">
        <v>1995</v>
      </c>
      <c r="Q267" s="741" t="n">
        <v>29</v>
      </c>
      <c r="R267" s="746" t="n">
        <v>191</v>
      </c>
      <c r="S267" s="747" t="n">
        <v>595729</v>
      </c>
      <c r="T267" s="742" t="inlineStr"/>
    </row>
    <row r="268">
      <c r="A268" s="748" t="n">
        <v>972</v>
      </c>
      <c r="B268" s="749" t="inlineStr">
        <is>
          <t>6711 Grandview Ave</t>
        </is>
      </c>
      <c r="C268" s="748" t="inlineStr">
        <is>
          <t>Arvada</t>
        </is>
      </c>
      <c r="D268" s="748" t="inlineStr">
        <is>
          <t>Jefferson</t>
        </is>
      </c>
      <c r="E268" s="748" t="inlineStr">
        <is>
          <t>Daycare</t>
        </is>
      </c>
      <c r="F268" s="748" t="inlineStr">
        <is>
          <t>A Child'S Reflection Day Care</t>
        </is>
      </c>
      <c r="G268" s="748" t="n">
        <v>426</v>
      </c>
      <c r="H268" s="743" t="inlineStr">
        <is>
          <t>426 - Day Care Center</t>
        </is>
      </c>
      <c r="I268" s="749" t="inlineStr">
        <is>
          <t>Day Care Centers</t>
        </is>
      </c>
      <c r="J268" s="748" t="inlineStr">
        <is>
          <t>Sec.18 p.13</t>
        </is>
      </c>
      <c r="K268" s="744" t="n">
        <v>5592</v>
      </c>
      <c r="L268" s="744" t="n">
        <v>14374</v>
      </c>
      <c r="M268" s="745" t="inlineStr">
        <is>
          <t>C</t>
        </is>
      </c>
      <c r="N268" s="745" t="inlineStr">
        <is>
          <t>Average</t>
        </is>
      </c>
      <c r="O268" s="745" t="inlineStr">
        <is>
          <t>Typical</t>
        </is>
      </c>
      <c r="P268" s="745" t="n">
        <v>1967</v>
      </c>
      <c r="Q268" s="748" t="n">
        <v>57</v>
      </c>
      <c r="R268" s="750" t="n">
        <v>173</v>
      </c>
      <c r="S268" s="751" t="n">
        <v>967416</v>
      </c>
      <c r="T268" s="749" t="inlineStr"/>
    </row>
    <row r="269">
      <c r="A269" s="741" t="n">
        <v>973</v>
      </c>
      <c r="B269" s="742" t="inlineStr">
        <is>
          <t>9544 W 44th Ave</t>
        </is>
      </c>
      <c r="C269" s="741" t="inlineStr">
        <is>
          <t>Wheat Ridge</t>
        </is>
      </c>
      <c r="D269" s="741" t="inlineStr">
        <is>
          <t>Jefferson</t>
        </is>
      </c>
      <c r="E269" s="741" t="inlineStr">
        <is>
          <t>Auto Service</t>
        </is>
      </c>
      <c r="F269" s="741" t="inlineStr">
        <is>
          <t>Adler Automotive</t>
        </is>
      </c>
      <c r="G269" s="741" t="n">
        <v>325</v>
      </c>
      <c r="H269" s="743" t="inlineStr">
        <is>
          <t>325 - Service Garage</t>
        </is>
      </c>
      <c r="I269" s="742" t="inlineStr">
        <is>
          <t>Service Garages (Commercial/Repair)</t>
        </is>
      </c>
      <c r="J269" s="741" t="inlineStr">
        <is>
          <t>Sec.14 p.32</t>
        </is>
      </c>
      <c r="K269" s="744" t="n">
        <v>2204</v>
      </c>
      <c r="L269" s="744" t="n">
        <v>13068</v>
      </c>
      <c r="M269" s="745" t="inlineStr">
        <is>
          <t>C</t>
        </is>
      </c>
      <c r="N269" s="745" t="inlineStr">
        <is>
          <t>Average</t>
        </is>
      </c>
      <c r="O269" s="745" t="inlineStr">
        <is>
          <t>Typical</t>
        </is>
      </c>
      <c r="P269" s="745" t="n">
        <v>1965</v>
      </c>
      <c r="Q269" s="741" t="n">
        <v>59</v>
      </c>
      <c r="R269" s="746" t="n">
        <v>79.5</v>
      </c>
      <c r="S269" s="747" t="n">
        <v>175218</v>
      </c>
      <c r="T269" s="742" t="inlineStr"/>
    </row>
    <row r="270">
      <c r="A270" s="748" t="n">
        <v>974</v>
      </c>
      <c r="B270" s="749" t="inlineStr">
        <is>
          <t>1410 S Wadsworth Blvd</t>
        </is>
      </c>
      <c r="C270" s="748" t="inlineStr">
        <is>
          <t>Lakewood</t>
        </is>
      </c>
      <c r="D270" s="748" t="inlineStr">
        <is>
          <t>Jefferson</t>
        </is>
      </c>
      <c r="E270" s="748" t="inlineStr">
        <is>
          <t>Auto Parts</t>
        </is>
      </c>
      <c r="F270" s="748" t="inlineStr">
        <is>
          <t>Advance Auto Parts</t>
        </is>
      </c>
      <c r="G270" s="748" t="n">
        <v>353</v>
      </c>
      <c r="H270" s="743" t="inlineStr">
        <is>
          <t>353 - Retail Store</t>
        </is>
      </c>
      <c r="I270" s="749" t="inlineStr">
        <is>
          <t>Retail Stores</t>
        </is>
      </c>
      <c r="J270" s="748" t="inlineStr">
        <is>
          <t>Sec.13 p.26</t>
        </is>
      </c>
      <c r="K270" s="744" t="n">
        <v>7000</v>
      </c>
      <c r="L270" s="744" t="n">
        <v>21344</v>
      </c>
      <c r="M270" s="745" t="inlineStr">
        <is>
          <t>C</t>
        </is>
      </c>
      <c r="N270" s="745" t="inlineStr">
        <is>
          <t>Good</t>
        </is>
      </c>
      <c r="O270" s="745" t="inlineStr">
        <is>
          <t>Typical</t>
        </is>
      </c>
      <c r="P270" s="745" t="n">
        <v>2016</v>
      </c>
      <c r="Q270" s="748" t="n">
        <v>8</v>
      </c>
      <c r="R270" s="750" t="n">
        <v>154</v>
      </c>
      <c r="S270" s="751" t="n">
        <v>1078000</v>
      </c>
      <c r="T270" s="749" t="inlineStr"/>
    </row>
    <row r="271">
      <c r="A271" s="741" t="n">
        <v>975</v>
      </c>
      <c r="B271" s="742" t="inlineStr">
        <is>
          <t>25907 Conifer Rd</t>
        </is>
      </c>
      <c r="C271" s="741" t="inlineStr">
        <is>
          <t>Conifer</t>
        </is>
      </c>
      <c r="D271" s="741" t="inlineStr">
        <is>
          <t>Jefferson</t>
        </is>
      </c>
      <c r="E271" s="741" t="inlineStr">
        <is>
          <t>Auto Parts</t>
        </is>
      </c>
      <c r="F271" s="741" t="inlineStr">
        <is>
          <t>Advance Auto Parts</t>
        </is>
      </c>
      <c r="G271" s="741" t="n">
        <v>353</v>
      </c>
      <c r="H271" s="743" t="inlineStr">
        <is>
          <t>353 - Retail Store</t>
        </is>
      </c>
      <c r="I271" s="742" t="inlineStr">
        <is>
          <t>Retail Stores</t>
        </is>
      </c>
      <c r="J271" s="741" t="inlineStr">
        <is>
          <t>Sec.13 p.26</t>
        </is>
      </c>
      <c r="K271" s="744" t="n">
        <v>7157</v>
      </c>
      <c r="L271" s="744" t="n">
        <v>60127</v>
      </c>
      <c r="M271" s="745" t="inlineStr">
        <is>
          <t>C</t>
        </is>
      </c>
      <c r="N271" s="745" t="inlineStr">
        <is>
          <t>Good</t>
        </is>
      </c>
      <c r="O271" s="745" t="inlineStr">
        <is>
          <t>Typical</t>
        </is>
      </c>
      <c r="P271" s="745" t="n">
        <v>2023</v>
      </c>
      <c r="Q271" s="741" t="n">
        <v>1</v>
      </c>
      <c r="R271" s="746" t="n">
        <v>154</v>
      </c>
      <c r="S271" s="747" t="n">
        <v>1102178</v>
      </c>
      <c r="T271" s="742" t="inlineStr"/>
    </row>
    <row r="272">
      <c r="A272" s="748" t="n">
        <v>976</v>
      </c>
      <c r="B272" s="749" t="inlineStr">
        <is>
          <t>595 Garrison St</t>
        </is>
      </c>
      <c r="C272" s="748" t="inlineStr">
        <is>
          <t>Lakewood</t>
        </is>
      </c>
      <c r="D272" s="748" t="inlineStr">
        <is>
          <t>Jefferson</t>
        </is>
      </c>
      <c r="E272" s="748" t="inlineStr">
        <is>
          <t>Auto Service</t>
        </is>
      </c>
      <c r="F272" s="748" t="inlineStr">
        <is>
          <t>Applewood Auto</t>
        </is>
      </c>
      <c r="G272" s="748" t="n">
        <v>325</v>
      </c>
      <c r="H272" s="743" t="inlineStr">
        <is>
          <t>325 - Service Garage</t>
        </is>
      </c>
      <c r="I272" s="749" t="inlineStr">
        <is>
          <t>Service Garages (Commercial/Repair)</t>
        </is>
      </c>
      <c r="J272" s="748" t="inlineStr">
        <is>
          <t>Sec.14 p.32</t>
        </is>
      </c>
      <c r="K272" s="744" t="n">
        <v>1532</v>
      </c>
      <c r="L272" s="744" t="n">
        <v>17746</v>
      </c>
      <c r="M272" s="745" t="inlineStr">
        <is>
          <t>C</t>
        </is>
      </c>
      <c r="N272" s="745" t="inlineStr">
        <is>
          <t>Average</t>
        </is>
      </c>
      <c r="O272" s="745" t="inlineStr">
        <is>
          <t>Typical</t>
        </is>
      </c>
      <c r="P272" s="745" t="n">
        <v>1969</v>
      </c>
      <c r="Q272" s="748" t="n">
        <v>55</v>
      </c>
      <c r="R272" s="750" t="n">
        <v>79.5</v>
      </c>
      <c r="S272" s="751" t="n">
        <v>121794</v>
      </c>
      <c r="T272" s="749" t="inlineStr"/>
    </row>
    <row r="273">
      <c r="A273" s="741" t="n">
        <v>977</v>
      </c>
      <c r="B273" s="742" t="inlineStr">
        <is>
          <t>8144 S Kipling Pky</t>
        </is>
      </c>
      <c r="C273" s="741" t="inlineStr">
        <is>
          <t>Littleton</t>
        </is>
      </c>
      <c r="D273" s="741" t="inlineStr">
        <is>
          <t>Jefferson</t>
        </is>
      </c>
      <c r="E273" s="741" t="inlineStr">
        <is>
          <t>Fast Food</t>
        </is>
      </c>
      <c r="F273" s="741" t="inlineStr">
        <is>
          <t>Arby's</t>
        </is>
      </c>
      <c r="G273" s="741" t="n">
        <v>349</v>
      </c>
      <c r="H273" s="743" t="inlineStr">
        <is>
          <t>349 - Fast Food Restaurant</t>
        </is>
      </c>
      <c r="I273" s="742" t="inlineStr">
        <is>
          <t>Restaurants – Fast Food</t>
        </is>
      </c>
      <c r="J273" s="741" t="inlineStr">
        <is>
          <t>Sec.13 p.17</t>
        </is>
      </c>
      <c r="K273" s="744" t="n">
        <v>2661</v>
      </c>
      <c r="L273" s="744" t="n">
        <v>33149</v>
      </c>
      <c r="M273" s="745" t="inlineStr">
        <is>
          <t>C</t>
        </is>
      </c>
      <c r="N273" s="745" t="inlineStr">
        <is>
          <t>Average</t>
        </is>
      </c>
      <c r="O273" s="745" t="inlineStr">
        <is>
          <t>Typical</t>
        </is>
      </c>
      <c r="P273" s="745" t="n">
        <v>2003</v>
      </c>
      <c r="Q273" s="741" t="n">
        <v>21</v>
      </c>
      <c r="R273" s="746" t="n">
        <v>191</v>
      </c>
      <c r="S273" s="747" t="n">
        <v>508251</v>
      </c>
      <c r="T273" s="742" t="inlineStr"/>
    </row>
    <row r="274">
      <c r="A274" s="748" t="n">
        <v>978</v>
      </c>
      <c r="B274" s="749" t="inlineStr">
        <is>
          <t>6441 W Colfax Ave</t>
        </is>
      </c>
      <c r="C274" s="748" t="inlineStr">
        <is>
          <t>Lakewood</t>
        </is>
      </c>
      <c r="D274" s="748" t="inlineStr">
        <is>
          <t>Jefferson</t>
        </is>
      </c>
      <c r="E274" s="748" t="inlineStr">
        <is>
          <t>Fast Food</t>
        </is>
      </c>
      <c r="F274" s="748" t="inlineStr">
        <is>
          <t>Arby's</t>
        </is>
      </c>
      <c r="G274" s="748" t="n">
        <v>349</v>
      </c>
      <c r="H274" s="743" t="inlineStr">
        <is>
          <t>349 - Fast Food Restaurant</t>
        </is>
      </c>
      <c r="I274" s="749" t="inlineStr">
        <is>
          <t>Restaurants – Fast Food</t>
        </is>
      </c>
      <c r="J274" s="748" t="inlineStr">
        <is>
          <t>Sec.13 p.17</t>
        </is>
      </c>
      <c r="K274" s="744" t="n">
        <v>2963</v>
      </c>
      <c r="L274" s="744" t="n">
        <v>25700</v>
      </c>
      <c r="M274" s="745" t="inlineStr">
        <is>
          <t>C</t>
        </is>
      </c>
      <c r="N274" s="745" t="inlineStr">
        <is>
          <t>Average</t>
        </is>
      </c>
      <c r="O274" s="745" t="inlineStr">
        <is>
          <t>Typical</t>
        </is>
      </c>
      <c r="P274" s="745" t="n">
        <v>1985</v>
      </c>
      <c r="Q274" s="748" t="n">
        <v>39</v>
      </c>
      <c r="R274" s="750" t="n">
        <v>191</v>
      </c>
      <c r="S274" s="751" t="n">
        <v>565933</v>
      </c>
      <c r="T274" s="749" t="inlineStr"/>
    </row>
    <row r="275">
      <c r="A275" s="741" t="n">
        <v>979</v>
      </c>
      <c r="B275" s="742" t="inlineStr">
        <is>
          <t>9875 W Remington Pl</t>
        </is>
      </c>
      <c r="C275" s="741" t="inlineStr">
        <is>
          <t>Littleton</t>
        </is>
      </c>
      <c r="D275" s="741" t="inlineStr">
        <is>
          <t>Jefferson</t>
        </is>
      </c>
      <c r="E275" s="741" t="inlineStr">
        <is>
          <t>Auto Service</t>
        </is>
      </c>
      <c r="F275" s="741" t="inlineStr">
        <is>
          <t>Big O Tires</t>
        </is>
      </c>
      <c r="G275" s="741" t="n">
        <v>410</v>
      </c>
      <c r="H275" s="743" t="inlineStr">
        <is>
          <t>410 - Automotive Center</t>
        </is>
      </c>
      <c r="I275" s="742" t="inlineStr">
        <is>
          <t>Automotive Service Centers</t>
        </is>
      </c>
      <c r="J275" s="741" t="inlineStr">
        <is>
          <t>Sec.14 p.31</t>
        </is>
      </c>
      <c r="K275" s="744" t="n">
        <v>8692</v>
      </c>
      <c r="L275" s="744" t="n">
        <v>49223</v>
      </c>
      <c r="M275" s="745" t="inlineStr">
        <is>
          <t>S</t>
        </is>
      </c>
      <c r="N275" s="745" t="inlineStr">
        <is>
          <t>Average</t>
        </is>
      </c>
      <c r="O275" s="745" t="inlineStr">
        <is>
          <t>Typical</t>
        </is>
      </c>
      <c r="P275" s="745" t="n">
        <v>2002</v>
      </c>
      <c r="Q275" s="741" t="n">
        <v>22</v>
      </c>
      <c r="R275" s="746" t="n">
        <v>97.5</v>
      </c>
      <c r="S275" s="747" t="n">
        <v>847470</v>
      </c>
      <c r="T275" s="742" t="inlineStr"/>
    </row>
    <row r="276">
      <c r="A276" s="748" t="n">
        <v>980</v>
      </c>
      <c r="B276" s="749" t="inlineStr">
        <is>
          <t>320 S Union Blvd</t>
        </is>
      </c>
      <c r="C276" s="748" t="inlineStr">
        <is>
          <t>Denver</t>
        </is>
      </c>
      <c r="D276" s="748" t="inlineStr">
        <is>
          <t>Jefferson</t>
        </is>
      </c>
      <c r="E276" s="748" t="inlineStr">
        <is>
          <t>Auto Service</t>
        </is>
      </c>
      <c r="F276" s="748" t="inlineStr">
        <is>
          <t>Big O Tires</t>
        </is>
      </c>
      <c r="G276" s="748" t="n">
        <v>410</v>
      </c>
      <c r="H276" s="743" t="inlineStr">
        <is>
          <t>410 - Automotive Center</t>
        </is>
      </c>
      <c r="I276" s="749" t="inlineStr">
        <is>
          <t>Automotive Service Centers</t>
        </is>
      </c>
      <c r="J276" s="748" t="inlineStr">
        <is>
          <t>Sec.14 p.31</t>
        </is>
      </c>
      <c r="K276" s="744" t="n">
        <v>3813</v>
      </c>
      <c r="L276" s="744" t="n">
        <v>16988</v>
      </c>
      <c r="M276" s="745" t="inlineStr">
        <is>
          <t>S</t>
        </is>
      </c>
      <c r="N276" s="745" t="inlineStr">
        <is>
          <t>Average</t>
        </is>
      </c>
      <c r="O276" s="745" t="inlineStr">
        <is>
          <t>Typical</t>
        </is>
      </c>
      <c r="P276" s="745" t="n">
        <v>1981</v>
      </c>
      <c r="Q276" s="748" t="n">
        <v>43</v>
      </c>
      <c r="R276" s="750" t="n">
        <v>97.5</v>
      </c>
      <c r="S276" s="751" t="n">
        <v>371768</v>
      </c>
      <c r="T276" s="749" t="inlineStr"/>
    </row>
    <row r="277">
      <c r="A277" s="741" t="n">
        <v>981</v>
      </c>
      <c r="B277" s="742" t="inlineStr">
        <is>
          <t>26237 Conifer Rd</t>
        </is>
      </c>
      <c r="C277" s="741" t="inlineStr">
        <is>
          <t>Conifer</t>
        </is>
      </c>
      <c r="D277" s="741" t="inlineStr">
        <is>
          <t>Jefferson</t>
        </is>
      </c>
      <c r="E277" s="741" t="inlineStr">
        <is>
          <t>Auto Service</t>
        </is>
      </c>
      <c r="F277" s="741" t="inlineStr">
        <is>
          <t>Big O Tires</t>
        </is>
      </c>
      <c r="G277" s="741" t="n">
        <v>410</v>
      </c>
      <c r="H277" s="743" t="inlineStr">
        <is>
          <t>410 - Automotive Center</t>
        </is>
      </c>
      <c r="I277" s="742" t="inlineStr">
        <is>
          <t>Automotive Service Centers</t>
        </is>
      </c>
      <c r="J277" s="741" t="inlineStr">
        <is>
          <t>Sec.14 p.31</t>
        </is>
      </c>
      <c r="K277" s="744" t="n">
        <v>3960</v>
      </c>
      <c r="L277" s="744" t="n">
        <v>28305</v>
      </c>
      <c r="M277" s="745" t="inlineStr">
        <is>
          <t>S</t>
        </is>
      </c>
      <c r="N277" s="745" t="inlineStr">
        <is>
          <t>Average</t>
        </is>
      </c>
      <c r="O277" s="745" t="inlineStr">
        <is>
          <t>Typical</t>
        </is>
      </c>
      <c r="P277" s="745" t="n">
        <v>2002</v>
      </c>
      <c r="Q277" s="741" t="n">
        <v>22</v>
      </c>
      <c r="R277" s="746" t="n">
        <v>97.5</v>
      </c>
      <c r="S277" s="747" t="n">
        <v>386100</v>
      </c>
      <c r="T277" s="742" t="inlineStr"/>
    </row>
    <row r="278">
      <c r="A278" s="748" t="n">
        <v>982</v>
      </c>
      <c r="B278" s="749" t="inlineStr">
        <is>
          <t>7425 W 52nd Ave</t>
        </is>
      </c>
      <c r="C278" s="748" t="inlineStr">
        <is>
          <t>Arvada</t>
        </is>
      </c>
      <c r="D278" s="748" t="inlineStr">
        <is>
          <t>Jefferson</t>
        </is>
      </c>
      <c r="E278" s="748" t="inlineStr">
        <is>
          <t>Auto Service</t>
        </is>
      </c>
      <c r="F278" s="748" t="inlineStr">
        <is>
          <t>Big O Tires</t>
        </is>
      </c>
      <c r="G278" s="748" t="n">
        <v>410</v>
      </c>
      <c r="H278" s="743" t="inlineStr">
        <is>
          <t>410 - Automotive Center</t>
        </is>
      </c>
      <c r="I278" s="749" t="inlineStr">
        <is>
          <t>Automotive Service Centers</t>
        </is>
      </c>
      <c r="J278" s="748" t="inlineStr">
        <is>
          <t>Sec.14 p.31</t>
        </is>
      </c>
      <c r="K278" s="744" t="n">
        <v>6978</v>
      </c>
      <c r="L278" s="744" t="n">
        <v>27442</v>
      </c>
      <c r="M278" s="745" t="inlineStr">
        <is>
          <t>S</t>
        </is>
      </c>
      <c r="N278" s="745" t="inlineStr">
        <is>
          <t>Average</t>
        </is>
      </c>
      <c r="O278" s="745" t="inlineStr">
        <is>
          <t>Typical</t>
        </is>
      </c>
      <c r="P278" s="745" t="n">
        <v>1995</v>
      </c>
      <c r="Q278" s="748" t="n">
        <v>29</v>
      </c>
      <c r="R278" s="750" t="n">
        <v>97.5</v>
      </c>
      <c r="S278" s="751" t="n">
        <v>680355</v>
      </c>
      <c r="T278" s="749" t="inlineStr"/>
    </row>
    <row r="279">
      <c r="A279" s="741" t="n">
        <v>983</v>
      </c>
      <c r="B279" s="742" t="inlineStr">
        <is>
          <t>9269 Sheridan Blvd</t>
        </is>
      </c>
      <c r="C279" s="741" t="inlineStr">
        <is>
          <t>Westminster</t>
        </is>
      </c>
      <c r="D279" s="741" t="inlineStr">
        <is>
          <t>Jefferson</t>
        </is>
      </c>
      <c r="E279" s="741" t="inlineStr">
        <is>
          <t>Fast Food</t>
        </is>
      </c>
      <c r="F279" s="741" t="inlineStr">
        <is>
          <t>Boston Market</t>
        </is>
      </c>
      <c r="G279" s="741" t="n">
        <v>349</v>
      </c>
      <c r="H279" s="743" t="inlineStr">
        <is>
          <t>349 - Fast Food Restaurant</t>
        </is>
      </c>
      <c r="I279" s="742" t="inlineStr">
        <is>
          <t>Restaurants – Fast Food</t>
        </is>
      </c>
      <c r="J279" s="741" t="inlineStr">
        <is>
          <t>Sec.13 p.17</t>
        </is>
      </c>
      <c r="K279" s="744" t="n">
        <v>3385</v>
      </c>
      <c r="L279" s="744" t="n">
        <v>42689</v>
      </c>
      <c r="M279" s="745" t="inlineStr">
        <is>
          <t>C</t>
        </is>
      </c>
      <c r="N279" s="745" t="inlineStr">
        <is>
          <t>Average</t>
        </is>
      </c>
      <c r="O279" s="745" t="inlineStr">
        <is>
          <t>Typical</t>
        </is>
      </c>
      <c r="P279" s="745" t="n">
        <v>1995</v>
      </c>
      <c r="Q279" s="741" t="n">
        <v>29</v>
      </c>
      <c r="R279" s="746" t="n">
        <v>191</v>
      </c>
      <c r="S279" s="747" t="n">
        <v>646535</v>
      </c>
      <c r="T279" s="742" t="inlineStr"/>
    </row>
    <row r="280">
      <c r="A280" s="748" t="n">
        <v>984</v>
      </c>
      <c r="B280" s="749" t="inlineStr">
        <is>
          <t>9965 W Remington Pl</t>
        </is>
      </c>
      <c r="C280" s="748" t="inlineStr">
        <is>
          <t>Littleton</t>
        </is>
      </c>
      <c r="D280" s="748" t="inlineStr">
        <is>
          <t>Jefferson</t>
        </is>
      </c>
      <c r="E280" s="748" t="inlineStr">
        <is>
          <t>Auto Service</t>
        </is>
      </c>
      <c r="F280" s="748" t="inlineStr">
        <is>
          <t>Brakes Plus</t>
        </is>
      </c>
      <c r="G280" s="748" t="n">
        <v>410</v>
      </c>
      <c r="H280" s="743" t="inlineStr">
        <is>
          <t>410 - Automotive Center</t>
        </is>
      </c>
      <c r="I280" s="749" t="inlineStr">
        <is>
          <t>Automotive Service Centers</t>
        </is>
      </c>
      <c r="J280" s="748" t="inlineStr">
        <is>
          <t>Sec.14 p.31</t>
        </is>
      </c>
      <c r="K280" s="744" t="n">
        <v>5540</v>
      </c>
      <c r="L280" s="744" t="n">
        <v>49179</v>
      </c>
      <c r="M280" s="745" t="inlineStr">
        <is>
          <t>S</t>
        </is>
      </c>
      <c r="N280" s="745" t="inlineStr">
        <is>
          <t>Average</t>
        </is>
      </c>
      <c r="O280" s="745" t="inlineStr">
        <is>
          <t>Typical</t>
        </is>
      </c>
      <c r="P280" s="745" t="n">
        <v>2005</v>
      </c>
      <c r="Q280" s="748" t="n">
        <v>19</v>
      </c>
      <c r="R280" s="750" t="n">
        <v>97.5</v>
      </c>
      <c r="S280" s="751" t="n">
        <v>540150</v>
      </c>
      <c r="T280" s="749" t="inlineStr"/>
    </row>
    <row r="281">
      <c r="A281" s="741" t="n">
        <v>985</v>
      </c>
      <c r="B281" s="742" t="inlineStr">
        <is>
          <t>5061 S Jellison Way</t>
        </is>
      </c>
      <c r="C281" s="741" t="inlineStr">
        <is>
          <t>Littleton</t>
        </is>
      </c>
      <c r="D281" s="741" t="inlineStr">
        <is>
          <t>Jefferson</t>
        </is>
      </c>
      <c r="E281" s="741" t="inlineStr">
        <is>
          <t>Fast Food</t>
        </is>
      </c>
      <c r="F281" s="741" t="inlineStr">
        <is>
          <t>Burger King</t>
        </is>
      </c>
      <c r="G281" s="741" t="n">
        <v>349</v>
      </c>
      <c r="H281" s="743" t="inlineStr">
        <is>
          <t>349 - Fast Food Restaurant</t>
        </is>
      </c>
      <c r="I281" s="742" t="inlineStr">
        <is>
          <t>Restaurants – Fast Food</t>
        </is>
      </c>
      <c r="J281" s="741" t="inlineStr">
        <is>
          <t>Sec.13 p.17</t>
        </is>
      </c>
      <c r="K281" s="744" t="n">
        <v>2757</v>
      </c>
      <c r="L281" s="744" t="n">
        <v>32191</v>
      </c>
      <c r="M281" s="745" t="inlineStr">
        <is>
          <t>C</t>
        </is>
      </c>
      <c r="N281" s="745" t="inlineStr">
        <is>
          <t>Average</t>
        </is>
      </c>
      <c r="O281" s="745" t="inlineStr">
        <is>
          <t>Typical</t>
        </is>
      </c>
      <c r="P281" s="745" t="n">
        <v>1987</v>
      </c>
      <c r="Q281" s="741" t="n">
        <v>37</v>
      </c>
      <c r="R281" s="746" t="n">
        <v>191</v>
      </c>
      <c r="S281" s="747" t="n">
        <v>526587</v>
      </c>
      <c r="T281" s="742" t="inlineStr"/>
    </row>
    <row r="282">
      <c r="A282" s="748" t="n">
        <v>986</v>
      </c>
      <c r="B282" s="749" t="inlineStr">
        <is>
          <t>3800 Wadsworth Blvd</t>
        </is>
      </c>
      <c r="C282" s="748" t="inlineStr">
        <is>
          <t>Wheat Ridge</t>
        </is>
      </c>
      <c r="D282" s="748" t="inlineStr">
        <is>
          <t>Jefferson</t>
        </is>
      </c>
      <c r="E282" s="748" t="inlineStr">
        <is>
          <t>Fast Food</t>
        </is>
      </c>
      <c r="F282" s="748" t="inlineStr">
        <is>
          <t>Burger King</t>
        </is>
      </c>
      <c r="G282" s="748" t="n">
        <v>349</v>
      </c>
      <c r="H282" s="743" t="inlineStr">
        <is>
          <t>349 - Fast Food Restaurant</t>
        </is>
      </c>
      <c r="I282" s="749" t="inlineStr">
        <is>
          <t>Restaurants – Fast Food</t>
        </is>
      </c>
      <c r="J282" s="748" t="inlineStr">
        <is>
          <t>Sec.13 p.17</t>
        </is>
      </c>
      <c r="K282" s="744" t="n">
        <v>3303</v>
      </c>
      <c r="L282" s="744" t="n">
        <v>24829</v>
      </c>
      <c r="M282" s="745" t="inlineStr">
        <is>
          <t>C</t>
        </is>
      </c>
      <c r="N282" s="745" t="inlineStr">
        <is>
          <t>Average</t>
        </is>
      </c>
      <c r="O282" s="745" t="inlineStr">
        <is>
          <t>Typical</t>
        </is>
      </c>
      <c r="P282" s="745" t="n">
        <v>2003</v>
      </c>
      <c r="Q282" s="748" t="n">
        <v>21</v>
      </c>
      <c r="R282" s="750" t="n">
        <v>191</v>
      </c>
      <c r="S282" s="751" t="n">
        <v>630873</v>
      </c>
      <c r="T282" s="749" t="inlineStr"/>
    </row>
    <row r="283">
      <c r="A283" s="741" t="n">
        <v>987</v>
      </c>
      <c r="B283" s="742" t="inlineStr">
        <is>
          <t>651 16th St</t>
        </is>
      </c>
      <c r="C283" s="741" t="inlineStr">
        <is>
          <t>Golden</t>
        </is>
      </c>
      <c r="D283" s="741" t="inlineStr">
        <is>
          <t>Jefferson</t>
        </is>
      </c>
      <c r="E283" s="741" t="inlineStr">
        <is>
          <t>Fast Food</t>
        </is>
      </c>
      <c r="F283" s="741" t="inlineStr">
        <is>
          <t>Burger King</t>
        </is>
      </c>
      <c r="G283" s="741" t="n">
        <v>349</v>
      </c>
      <c r="H283" s="743" t="inlineStr">
        <is>
          <t>349 - Fast Food Restaurant</t>
        </is>
      </c>
      <c r="I283" s="742" t="inlineStr">
        <is>
          <t>Restaurants – Fast Food</t>
        </is>
      </c>
      <c r="J283" s="741" t="inlineStr">
        <is>
          <t>Sec.13 p.17</t>
        </is>
      </c>
      <c r="K283" s="744" t="n">
        <v>2596</v>
      </c>
      <c r="L283" s="744" t="n">
        <v>23522</v>
      </c>
      <c r="M283" s="745" t="inlineStr">
        <is>
          <t>C</t>
        </is>
      </c>
      <c r="N283" s="745" t="inlineStr">
        <is>
          <t>Average</t>
        </is>
      </c>
      <c r="O283" s="745" t="inlineStr">
        <is>
          <t>Typical</t>
        </is>
      </c>
      <c r="P283" s="745" t="n">
        <v>1988</v>
      </c>
      <c r="Q283" s="741" t="n">
        <v>36</v>
      </c>
      <c r="R283" s="746" t="n">
        <v>191</v>
      </c>
      <c r="S283" s="747" t="n">
        <v>495836</v>
      </c>
      <c r="T283" s="742" t="inlineStr"/>
    </row>
    <row r="284">
      <c r="A284" s="748" t="n">
        <v>988</v>
      </c>
      <c r="B284" s="749" t="inlineStr">
        <is>
          <t>6435 W Colfax Ave</t>
        </is>
      </c>
      <c r="C284" s="748" t="inlineStr">
        <is>
          <t>Denver</t>
        </is>
      </c>
      <c r="D284" s="748" t="inlineStr">
        <is>
          <t>Jefferson</t>
        </is>
      </c>
      <c r="E284" s="748" t="inlineStr">
        <is>
          <t>Fast Food</t>
        </is>
      </c>
      <c r="F284" s="748" t="inlineStr">
        <is>
          <t>Burger King</t>
        </is>
      </c>
      <c r="G284" s="748" t="n">
        <v>349</v>
      </c>
      <c r="H284" s="743" t="inlineStr">
        <is>
          <t>349 - Fast Food Restaurant</t>
        </is>
      </c>
      <c r="I284" s="749" t="inlineStr">
        <is>
          <t>Restaurants – Fast Food</t>
        </is>
      </c>
      <c r="J284" s="748" t="inlineStr">
        <is>
          <t>Sec.13 p.17</t>
        </is>
      </c>
      <c r="K284" s="744" t="n">
        <v>3431</v>
      </c>
      <c r="L284" s="744" t="n">
        <v>33106</v>
      </c>
      <c r="M284" s="745" t="inlineStr">
        <is>
          <t>C</t>
        </is>
      </c>
      <c r="N284" s="745" t="inlineStr">
        <is>
          <t>Average</t>
        </is>
      </c>
      <c r="O284" s="745" t="inlineStr">
        <is>
          <t>Typical</t>
        </is>
      </c>
      <c r="P284" s="745" t="n">
        <v>1999</v>
      </c>
      <c r="Q284" s="748" t="n">
        <v>25</v>
      </c>
      <c r="R284" s="750" t="n">
        <v>191</v>
      </c>
      <c r="S284" s="751" t="n">
        <v>655321</v>
      </c>
      <c r="T284" s="749" t="inlineStr"/>
    </row>
    <row r="285">
      <c r="A285" s="741" t="n">
        <v>989</v>
      </c>
      <c r="B285" s="742" t="inlineStr">
        <is>
          <t>8557 Holman Ct</t>
        </is>
      </c>
      <c r="C285" s="741" t="inlineStr">
        <is>
          <t>Arvada</t>
        </is>
      </c>
      <c r="D285" s="741" t="inlineStr">
        <is>
          <t>Jefferson</t>
        </is>
      </c>
      <c r="E285" s="741" t="inlineStr">
        <is>
          <t>Drugstore</t>
        </is>
      </c>
      <c r="F285" s="741" t="inlineStr">
        <is>
          <t>CVS</t>
        </is>
      </c>
      <c r="G285" s="741" t="n">
        <v>353</v>
      </c>
      <c r="H285" s="743" t="inlineStr">
        <is>
          <t>353 - Retail Store</t>
        </is>
      </c>
      <c r="I285" s="742" t="inlineStr">
        <is>
          <t>Retail Stores</t>
        </is>
      </c>
      <c r="J285" s="741" t="inlineStr">
        <is>
          <t>Sec.13 p.26</t>
        </is>
      </c>
      <c r="K285" s="744" t="n">
        <v>14600</v>
      </c>
      <c r="L285" s="744" t="n">
        <v>95832</v>
      </c>
      <c r="M285" s="745" t="inlineStr">
        <is>
          <t>C</t>
        </is>
      </c>
      <c r="N285" s="745" t="inlineStr">
        <is>
          <t>Good</t>
        </is>
      </c>
      <c r="O285" s="745" t="inlineStr">
        <is>
          <t>Typical</t>
        </is>
      </c>
      <c r="P285" s="745" t="n">
        <v>2022</v>
      </c>
      <c r="Q285" s="741" t="n">
        <v>2</v>
      </c>
      <c r="R285" s="746" t="n">
        <v>154</v>
      </c>
      <c r="S285" s="747" t="n">
        <v>2248400</v>
      </c>
      <c r="T285" s="742" t="inlineStr"/>
    </row>
    <row r="286">
      <c r="A286" s="748" t="n">
        <v>990</v>
      </c>
      <c r="B286" s="749" t="inlineStr">
        <is>
          <t>7401 W 92nd Ave</t>
        </is>
      </c>
      <c r="C286" s="748" t="inlineStr">
        <is>
          <t>Westminster</t>
        </is>
      </c>
      <c r="D286" s="748" t="inlineStr">
        <is>
          <t>Jefferson</t>
        </is>
      </c>
      <c r="E286" s="748" t="inlineStr">
        <is>
          <t>Retail Center</t>
        </is>
      </c>
      <c r="F286" s="748" t="inlineStr">
        <is>
          <t>Carrabba's Italian Grill</t>
        </is>
      </c>
      <c r="G286" s="748" t="n">
        <v>350</v>
      </c>
      <c r="H286" s="743" t="inlineStr">
        <is>
          <t>350 - Restaurant</t>
        </is>
      </c>
      <c r="I286" s="749" t="inlineStr">
        <is>
          <t>Restaurants</t>
        </is>
      </c>
      <c r="J286" s="748" t="inlineStr">
        <is>
          <t>Sec.13 p.14</t>
        </is>
      </c>
      <c r="K286" s="744" t="n">
        <v>6248</v>
      </c>
      <c r="L286" s="744" t="n">
        <v>61028</v>
      </c>
      <c r="M286" s="745" t="inlineStr">
        <is>
          <t>C</t>
        </is>
      </c>
      <c r="N286" s="745" t="inlineStr">
        <is>
          <t>Average</t>
        </is>
      </c>
      <c r="O286" s="745" t="inlineStr">
        <is>
          <t>Typical</t>
        </is>
      </c>
      <c r="P286" s="745" t="n">
        <v>1996</v>
      </c>
      <c r="Q286" s="748" t="n">
        <v>28</v>
      </c>
      <c r="R286" s="750" t="n">
        <v>178</v>
      </c>
      <c r="S286" s="751" t="n">
        <v>1112144</v>
      </c>
      <c r="T286" s="749" t="inlineStr"/>
    </row>
    <row r="287">
      <c r="A287" s="741" t="n">
        <v>991</v>
      </c>
      <c r="B287" s="742" t="inlineStr">
        <is>
          <t>5236 Wadsworth Byp</t>
        </is>
      </c>
      <c r="C287" s="741" t="inlineStr">
        <is>
          <t>Arvada</t>
        </is>
      </c>
      <c r="D287" s="741" t="inlineStr">
        <is>
          <t>Jefferson</t>
        </is>
      </c>
      <c r="E287" s="741" t="inlineStr">
        <is>
          <t>Fast Food</t>
        </is>
      </c>
      <c r="F287" s="741" t="inlineStr">
        <is>
          <t>Chick-fil-A</t>
        </is>
      </c>
      <c r="G287" s="741" t="n">
        <v>349</v>
      </c>
      <c r="H287" s="743" t="inlineStr">
        <is>
          <t>349 - Fast Food Restaurant</t>
        </is>
      </c>
      <c r="I287" s="742" t="inlineStr">
        <is>
          <t>Restaurants – Fast Food</t>
        </is>
      </c>
      <c r="J287" s="741" t="inlineStr">
        <is>
          <t>Sec.13 p.17</t>
        </is>
      </c>
      <c r="K287" s="744" t="n">
        <v>4396</v>
      </c>
      <c r="L287" s="744" t="n">
        <v>18295</v>
      </c>
      <c r="M287" s="745" t="inlineStr">
        <is>
          <t>C</t>
        </is>
      </c>
      <c r="N287" s="745" t="inlineStr">
        <is>
          <t>Good</t>
        </is>
      </c>
      <c r="O287" s="745" t="inlineStr">
        <is>
          <t>Typical</t>
        </is>
      </c>
      <c r="P287" s="745" t="n">
        <v>2012</v>
      </c>
      <c r="Q287" s="741" t="n">
        <v>12</v>
      </c>
      <c r="R287" s="746" t="n">
        <v>246</v>
      </c>
      <c r="S287" s="747" t="n">
        <v>1081416</v>
      </c>
      <c r="T287" s="742" t="inlineStr"/>
    </row>
    <row r="288">
      <c r="A288" s="748" t="n">
        <v>992</v>
      </c>
      <c r="B288" s="749" t="inlineStr">
        <is>
          <t>5236 Wadsworth Byp</t>
        </is>
      </c>
      <c r="C288" s="748" t="inlineStr">
        <is>
          <t>Arvada</t>
        </is>
      </c>
      <c r="D288" s="748" t="inlineStr">
        <is>
          <t>Jefferson</t>
        </is>
      </c>
      <c r="E288" s="748" t="inlineStr">
        <is>
          <t>Fast Food</t>
        </is>
      </c>
      <c r="F288" s="748" t="inlineStr">
        <is>
          <t>Chick-fil-A</t>
        </is>
      </c>
      <c r="G288" s="748" t="n">
        <v>349</v>
      </c>
      <c r="H288" s="743" t="inlineStr">
        <is>
          <t>349 - Fast Food Restaurant</t>
        </is>
      </c>
      <c r="I288" s="749" t="inlineStr">
        <is>
          <t>Restaurants – Fast Food</t>
        </is>
      </c>
      <c r="J288" s="748" t="inlineStr">
        <is>
          <t>Sec.13 p.17</t>
        </is>
      </c>
      <c r="K288" s="744" t="n">
        <v>4396</v>
      </c>
      <c r="L288" s="744" t="n">
        <v>18295</v>
      </c>
      <c r="M288" s="745" t="inlineStr">
        <is>
          <t>C</t>
        </is>
      </c>
      <c r="N288" s="745" t="inlineStr">
        <is>
          <t>Good</t>
        </is>
      </c>
      <c r="O288" s="745" t="inlineStr">
        <is>
          <t>Typical</t>
        </is>
      </c>
      <c r="P288" s="745" t="n">
        <v>2012</v>
      </c>
      <c r="Q288" s="748" t="n">
        <v>12</v>
      </c>
      <c r="R288" s="750" t="n">
        <v>246</v>
      </c>
      <c r="S288" s="751" t="n">
        <v>1081416</v>
      </c>
      <c r="T288" s="749" t="inlineStr"/>
    </row>
    <row r="289">
      <c r="A289" s="741" t="n">
        <v>993</v>
      </c>
      <c r="B289" s="742" t="inlineStr">
        <is>
          <t>8515 W 100th Ave</t>
        </is>
      </c>
      <c r="C289" s="741" t="inlineStr">
        <is>
          <t>Westminster</t>
        </is>
      </c>
      <c r="D289" s="741" t="inlineStr">
        <is>
          <t>Jefferson</t>
        </is>
      </c>
      <c r="E289" s="741" t="inlineStr">
        <is>
          <t>Auto Service</t>
        </is>
      </c>
      <c r="F289" s="741" t="inlineStr">
        <is>
          <t>Christian Brothers Automotive</t>
        </is>
      </c>
      <c r="G289" s="741" t="n">
        <v>410</v>
      </c>
      <c r="H289" s="743" t="inlineStr">
        <is>
          <t>410 - Automotive Center</t>
        </is>
      </c>
      <c r="I289" s="742" t="inlineStr">
        <is>
          <t>Automotive Service Centers</t>
        </is>
      </c>
      <c r="J289" s="741" t="inlineStr">
        <is>
          <t>Sec.14 p.31</t>
        </is>
      </c>
      <c r="K289" s="744" t="n">
        <v>4000</v>
      </c>
      <c r="L289" s="744" t="n">
        <v>38333</v>
      </c>
      <c r="M289" s="745" t="inlineStr">
        <is>
          <t>S</t>
        </is>
      </c>
      <c r="N289" s="745" t="inlineStr">
        <is>
          <t>Average</t>
        </is>
      </c>
      <c r="O289" s="745" t="inlineStr">
        <is>
          <t>Typical</t>
        </is>
      </c>
      <c r="P289" s="745" t="n">
        <v>2018</v>
      </c>
      <c r="Q289" s="741" t="n">
        <v>6</v>
      </c>
      <c r="R289" s="746" t="n">
        <v>97.5</v>
      </c>
      <c r="S289" s="747" t="n">
        <v>390000</v>
      </c>
      <c r="T289" s="742" t="inlineStr">
        <is>
          <t>quality fell back to Average</t>
        </is>
      </c>
    </row>
    <row r="290">
      <c r="A290" s="748" t="n">
        <v>994</v>
      </c>
      <c r="B290" s="749" t="inlineStr">
        <is>
          <t>3865 Kipling St</t>
        </is>
      </c>
      <c r="C290" s="748" t="inlineStr">
        <is>
          <t>Wheat Ridge</t>
        </is>
      </c>
      <c r="D290" s="748" t="inlineStr">
        <is>
          <t>Jefferson</t>
        </is>
      </c>
      <c r="E290" s="748" t="inlineStr">
        <is>
          <t>Auto Service</t>
        </is>
      </c>
      <c r="F290" s="748" t="inlineStr">
        <is>
          <t>Christian Brothers Automotive</t>
        </is>
      </c>
      <c r="G290" s="748" t="n">
        <v>410</v>
      </c>
      <c r="H290" s="743" t="inlineStr">
        <is>
          <t>410 - Automotive Center</t>
        </is>
      </c>
      <c r="I290" s="749" t="inlineStr">
        <is>
          <t>Automotive Service Centers</t>
        </is>
      </c>
      <c r="J290" s="748" t="inlineStr">
        <is>
          <t>Sec.14 p.31</t>
        </is>
      </c>
      <c r="K290" s="744" t="n">
        <v>5637</v>
      </c>
      <c r="L290" s="744" t="n">
        <v>42121</v>
      </c>
      <c r="M290" s="745" t="inlineStr">
        <is>
          <t>S</t>
        </is>
      </c>
      <c r="N290" s="745" t="inlineStr">
        <is>
          <t>Average</t>
        </is>
      </c>
      <c r="O290" s="745" t="inlineStr">
        <is>
          <t>Typical</t>
        </is>
      </c>
      <c r="P290" s="745" t="n">
        <v>2022</v>
      </c>
      <c r="Q290" s="748" t="n">
        <v>2</v>
      </c>
      <c r="R290" s="750" t="n">
        <v>97.5</v>
      </c>
      <c r="S290" s="751" t="n">
        <v>549608</v>
      </c>
      <c r="T290" s="749" t="inlineStr">
        <is>
          <t>quality fell back to Average</t>
        </is>
      </c>
    </row>
    <row r="291">
      <c r="A291" s="741" t="n">
        <v>995</v>
      </c>
      <c r="B291" s="742" t="inlineStr">
        <is>
          <t>5828 S Swadley Ct</t>
        </is>
      </c>
      <c r="C291" s="741" t="inlineStr">
        <is>
          <t>Littleton</t>
        </is>
      </c>
      <c r="D291" s="741" t="inlineStr">
        <is>
          <t>Jefferson</t>
        </is>
      </c>
      <c r="E291" s="741" t="inlineStr">
        <is>
          <t>Auto Service</t>
        </is>
      </c>
      <c r="F291" s="741" t="inlineStr">
        <is>
          <t>Christian Brothers Automotive</t>
        </is>
      </c>
      <c r="G291" s="741" t="n">
        <v>410</v>
      </c>
      <c r="H291" s="743" t="inlineStr">
        <is>
          <t>410 - Automotive Center</t>
        </is>
      </c>
      <c r="I291" s="742" t="inlineStr">
        <is>
          <t>Automotive Service Centers</t>
        </is>
      </c>
      <c r="J291" s="741" t="inlineStr">
        <is>
          <t>Sec.14 p.31</t>
        </is>
      </c>
      <c r="K291" s="744" t="n">
        <v>4920</v>
      </c>
      <c r="L291" s="744" t="n">
        <v>31363</v>
      </c>
      <c r="M291" s="745" t="inlineStr">
        <is>
          <t>S</t>
        </is>
      </c>
      <c r="N291" s="745" t="inlineStr">
        <is>
          <t>Average</t>
        </is>
      </c>
      <c r="O291" s="745" t="inlineStr">
        <is>
          <t>Typical</t>
        </is>
      </c>
      <c r="P291" s="745" t="n">
        <v>2016</v>
      </c>
      <c r="Q291" s="741" t="n">
        <v>8</v>
      </c>
      <c r="R291" s="746" t="n">
        <v>97.5</v>
      </c>
      <c r="S291" s="747" t="n">
        <v>479700</v>
      </c>
      <c r="T291" s="742" t="inlineStr">
        <is>
          <t>quality fell back to Average</t>
        </is>
      </c>
    </row>
    <row r="292">
      <c r="A292" s="748" t="n">
        <v>996</v>
      </c>
      <c r="B292" s="749" t="inlineStr">
        <is>
          <t>6790 W 38th Ave</t>
        </is>
      </c>
      <c r="C292" s="748" t="inlineStr">
        <is>
          <t>Wheat Ridge</t>
        </is>
      </c>
      <c r="D292" s="748" t="inlineStr">
        <is>
          <t>Jefferson</t>
        </is>
      </c>
      <c r="E292" s="748" t="inlineStr">
        <is>
          <t>Fast Food</t>
        </is>
      </c>
      <c r="F292" s="748" t="inlineStr">
        <is>
          <t>Dairy Queen</t>
        </is>
      </c>
      <c r="G292" s="748" t="n">
        <v>349</v>
      </c>
      <c r="H292" s="743" t="inlineStr">
        <is>
          <t>349 - Fast Food Restaurant</t>
        </is>
      </c>
      <c r="I292" s="749" t="inlineStr">
        <is>
          <t>Restaurants – Fast Food</t>
        </is>
      </c>
      <c r="J292" s="748" t="inlineStr">
        <is>
          <t>Sec.13 p.17</t>
        </is>
      </c>
      <c r="K292" s="744" t="n">
        <v>1906</v>
      </c>
      <c r="L292" s="744" t="n">
        <v>13840</v>
      </c>
      <c r="M292" s="745" t="inlineStr">
        <is>
          <t>C</t>
        </is>
      </c>
      <c r="N292" s="745" t="inlineStr">
        <is>
          <t>Average</t>
        </is>
      </c>
      <c r="O292" s="745" t="inlineStr">
        <is>
          <t>Typical</t>
        </is>
      </c>
      <c r="P292" s="745" t="n">
        <v>1966</v>
      </c>
      <c r="Q292" s="748" t="n">
        <v>58</v>
      </c>
      <c r="R292" s="750" t="n">
        <v>191</v>
      </c>
      <c r="S292" s="751" t="n">
        <v>364046</v>
      </c>
      <c r="T292" s="749" t="inlineStr"/>
    </row>
    <row r="293">
      <c r="A293" s="741" t="n">
        <v>997</v>
      </c>
      <c r="B293" s="742" t="inlineStr">
        <is>
          <t>8025 W Bowles Ave</t>
        </is>
      </c>
      <c r="C293" s="741" t="inlineStr">
        <is>
          <t>Littleton</t>
        </is>
      </c>
      <c r="D293" s="741" t="inlineStr">
        <is>
          <t>Jefferson</t>
        </is>
      </c>
      <c r="E293" s="741" t="inlineStr">
        <is>
          <t>Retail Center</t>
        </is>
      </c>
      <c r="F293" s="741" t="inlineStr">
        <is>
          <t>Dark - Frmr Ruby Tuesday</t>
        </is>
      </c>
      <c r="G293" s="741" t="n">
        <v>414</v>
      </c>
      <c r="H293" s="743" t="inlineStr">
        <is>
          <t>414 - Regional Shopping Center</t>
        </is>
      </c>
      <c r="I293" s="742" t="inlineStr">
        <is>
          <t>Regional Shopping Centers</t>
        </is>
      </c>
      <c r="J293" s="741" t="inlineStr">
        <is>
          <t>Sec.13 p.35</t>
        </is>
      </c>
      <c r="K293" s="744" t="n">
        <v>5665</v>
      </c>
      <c r="L293" s="744" t="n">
        <v>40337</v>
      </c>
      <c r="M293" s="745" t="inlineStr">
        <is>
          <t>C</t>
        </is>
      </c>
      <c r="N293" s="745" t="inlineStr">
        <is>
          <t>Average</t>
        </is>
      </c>
      <c r="O293" s="745" t="inlineStr">
        <is>
          <t>Typical</t>
        </is>
      </c>
      <c r="P293" s="745" t="n">
        <v>1996</v>
      </c>
      <c r="Q293" s="741" t="n">
        <v>28</v>
      </c>
      <c r="R293" s="746" t="n">
        <v>153</v>
      </c>
      <c r="S293" s="747" t="n">
        <v>866745</v>
      </c>
      <c r="T293" s="742" t="inlineStr"/>
    </row>
    <row r="294">
      <c r="A294" s="748" t="n">
        <v>998</v>
      </c>
      <c r="B294" s="749" t="inlineStr">
        <is>
          <t>10081 W Bowles Ave</t>
        </is>
      </c>
      <c r="C294" s="748" t="inlineStr">
        <is>
          <t>Littleton</t>
        </is>
      </c>
      <c r="D294" s="748" t="inlineStr">
        <is>
          <t>Jefferson</t>
        </is>
      </c>
      <c r="E294" s="748" t="inlineStr">
        <is>
          <t>Supermarket</t>
        </is>
      </c>
      <c r="F294" s="748" t="inlineStr">
        <is>
          <t>Dark Grocery</t>
        </is>
      </c>
      <c r="G294" s="748" t="n">
        <v>446</v>
      </c>
      <c r="H294" s="743" t="inlineStr">
        <is>
          <t>446 - SuperMarket</t>
        </is>
      </c>
      <c r="I294" s="749" t="inlineStr">
        <is>
          <t>Supermarkets</t>
        </is>
      </c>
      <c r="J294" s="748" t="inlineStr">
        <is>
          <t>Sec.13 p.20</t>
        </is>
      </c>
      <c r="K294" s="744" t="n">
        <v>45485</v>
      </c>
      <c r="L294" s="744" t="n">
        <v>163350</v>
      </c>
      <c r="M294" s="745" t="inlineStr">
        <is>
          <t>C</t>
        </is>
      </c>
      <c r="N294" s="745" t="inlineStr">
        <is>
          <t>Average</t>
        </is>
      </c>
      <c r="O294" s="745" t="inlineStr">
        <is>
          <t>Typical</t>
        </is>
      </c>
      <c r="P294" s="745" t="n">
        <v>1981</v>
      </c>
      <c r="Q294" s="748" t="n">
        <v>43</v>
      </c>
      <c r="R294" s="750" t="n">
        <v>121</v>
      </c>
      <c r="S294" s="751" t="n">
        <v>5503685</v>
      </c>
      <c r="T294" s="749" t="inlineStr"/>
    </row>
    <row r="295">
      <c r="A295" s="741" t="n">
        <v>999</v>
      </c>
      <c r="B295" s="742" t="inlineStr">
        <is>
          <t>43 Union Blvd</t>
        </is>
      </c>
      <c r="C295" s="741" t="inlineStr">
        <is>
          <t>Lakewood</t>
        </is>
      </c>
      <c r="D295" s="741" t="inlineStr">
        <is>
          <t>Jefferson</t>
        </is>
      </c>
      <c r="E295" s="741" t="inlineStr">
        <is>
          <t>Fast Food</t>
        </is>
      </c>
      <c r="F295" s="741" t="inlineStr">
        <is>
          <t>Del Taco</t>
        </is>
      </c>
      <c r="G295" s="741" t="n">
        <v>349</v>
      </c>
      <c r="H295" s="743" t="inlineStr">
        <is>
          <t>349 - Fast Food Restaurant</t>
        </is>
      </c>
      <c r="I295" s="742" t="inlineStr">
        <is>
          <t>Restaurants – Fast Food</t>
        </is>
      </c>
      <c r="J295" s="741" t="inlineStr">
        <is>
          <t>Sec.13 p.17</t>
        </is>
      </c>
      <c r="K295" s="744" t="n">
        <v>2226</v>
      </c>
      <c r="L295" s="744" t="n">
        <v>27181</v>
      </c>
      <c r="M295" s="745" t="inlineStr">
        <is>
          <t>C</t>
        </is>
      </c>
      <c r="N295" s="745" t="inlineStr">
        <is>
          <t>Average</t>
        </is>
      </c>
      <c r="O295" s="745" t="inlineStr">
        <is>
          <t>Typical</t>
        </is>
      </c>
      <c r="P295" s="745" t="n">
        <v>1979</v>
      </c>
      <c r="Q295" s="741" t="n">
        <v>45</v>
      </c>
      <c r="R295" s="746" t="n">
        <v>191</v>
      </c>
      <c r="S295" s="747" t="n">
        <v>425166</v>
      </c>
      <c r="T295" s="742" t="inlineStr"/>
    </row>
    <row r="296">
      <c r="A296" s="748" t="n">
        <v>1000</v>
      </c>
      <c r="B296" s="749" t="inlineStr">
        <is>
          <t>6915 W 38th Ave</t>
        </is>
      </c>
      <c r="C296" s="748" t="inlineStr">
        <is>
          <t>Wheat Ridge</t>
        </is>
      </c>
      <c r="D296" s="748" t="inlineStr">
        <is>
          <t>Jefferson</t>
        </is>
      </c>
      <c r="E296" s="748" t="inlineStr">
        <is>
          <t>Auto Service</t>
        </is>
      </c>
      <c r="F296" s="748" t="inlineStr">
        <is>
          <t>Denvers Quality Automotive</t>
        </is>
      </c>
      <c r="G296" s="748" t="n">
        <v>325</v>
      </c>
      <c r="H296" s="743" t="inlineStr">
        <is>
          <t>325 - Service Garage</t>
        </is>
      </c>
      <c r="I296" s="749" t="inlineStr">
        <is>
          <t>Service Garages (Commercial/Repair)</t>
        </is>
      </c>
      <c r="J296" s="748" t="inlineStr">
        <is>
          <t>Sec.14 p.32</t>
        </is>
      </c>
      <c r="K296" s="744" t="n">
        <v>6681</v>
      </c>
      <c r="L296" s="744" t="n">
        <v>18339</v>
      </c>
      <c r="M296" s="745" t="inlineStr">
        <is>
          <t>C</t>
        </is>
      </c>
      <c r="N296" s="745" t="inlineStr">
        <is>
          <t>Average</t>
        </is>
      </c>
      <c r="O296" s="745" t="inlineStr">
        <is>
          <t>Typical</t>
        </is>
      </c>
      <c r="P296" s="745" t="n">
        <v>1946</v>
      </c>
      <c r="Q296" s="748" t="n">
        <v>78</v>
      </c>
      <c r="R296" s="750" t="n">
        <v>79.5</v>
      </c>
      <c r="S296" s="751" t="n">
        <v>531140</v>
      </c>
      <c r="T296" s="749" t="inlineStr"/>
    </row>
    <row r="297">
      <c r="A297" s="741" t="n">
        <v>1001</v>
      </c>
      <c r="B297" s="742" t="inlineStr">
        <is>
          <t>10855 US Hwy 285</t>
        </is>
      </c>
      <c r="C297" s="741" t="inlineStr">
        <is>
          <t>Conifer</t>
        </is>
      </c>
      <c r="D297" s="741" t="inlineStr">
        <is>
          <t>Jefferson</t>
        </is>
      </c>
      <c r="E297" s="741" t="inlineStr">
        <is>
          <t>Coffee</t>
        </is>
      </c>
      <c r="F297" s="741" t="inlineStr">
        <is>
          <t>Dutch Bros</t>
        </is>
      </c>
      <c r="G297" s="741" t="n">
        <v>349</v>
      </c>
      <c r="H297" s="743" t="inlineStr">
        <is>
          <t>349 - Fast Food Restaurant</t>
        </is>
      </c>
      <c r="I297" s="742" t="inlineStr">
        <is>
          <t>Restaurants – Fast Food</t>
        </is>
      </c>
      <c r="J297" s="741" t="inlineStr">
        <is>
          <t>Sec.13 p.17</t>
        </is>
      </c>
      <c r="K297" s="744" t="n">
        <v>824</v>
      </c>
      <c r="L297" s="744" t="n">
        <v>31799</v>
      </c>
      <c r="M297" s="745" t="inlineStr">
        <is>
          <t>C</t>
        </is>
      </c>
      <c r="N297" s="745" t="inlineStr">
        <is>
          <t>Good</t>
        </is>
      </c>
      <c r="O297" s="745" t="inlineStr">
        <is>
          <t>Typical</t>
        </is>
      </c>
      <c r="P297" s="745" t="n">
        <v>2020</v>
      </c>
      <c r="Q297" s="741" t="n">
        <v>4</v>
      </c>
      <c r="R297" s="746" t="n">
        <v>246</v>
      </c>
      <c r="S297" s="747" t="n">
        <v>202704</v>
      </c>
      <c r="T297" s="742" t="inlineStr"/>
    </row>
    <row r="298">
      <c r="A298" s="748" t="n">
        <v>1002</v>
      </c>
      <c r="B298" s="749" t="inlineStr">
        <is>
          <t>3805 Wadsworth Blvd</t>
        </is>
      </c>
      <c r="C298" s="748" t="inlineStr">
        <is>
          <t>Wheat Ridge</t>
        </is>
      </c>
      <c r="D298" s="748" t="inlineStr">
        <is>
          <t>Jefferson</t>
        </is>
      </c>
      <c r="E298" s="748" t="inlineStr">
        <is>
          <t>Auto Service</t>
        </is>
      </c>
      <c r="F298" s="748" t="inlineStr">
        <is>
          <t>Firestone</t>
        </is>
      </c>
      <c r="G298" s="748" t="n">
        <v>410</v>
      </c>
      <c r="H298" s="743" t="inlineStr">
        <is>
          <t>410 - Automotive Center</t>
        </is>
      </c>
      <c r="I298" s="749" t="inlineStr">
        <is>
          <t>Automotive Service Centers</t>
        </is>
      </c>
      <c r="J298" s="748" t="inlineStr">
        <is>
          <t>Sec.14 p.31</t>
        </is>
      </c>
      <c r="K298" s="744" t="n">
        <v>4400</v>
      </c>
      <c r="L298" s="744" t="n">
        <v>19340</v>
      </c>
      <c r="M298" s="745" t="inlineStr">
        <is>
          <t>S</t>
        </is>
      </c>
      <c r="N298" s="745" t="inlineStr">
        <is>
          <t>Average</t>
        </is>
      </c>
      <c r="O298" s="745" t="inlineStr">
        <is>
          <t>Typical</t>
        </is>
      </c>
      <c r="P298" s="745" t="n">
        <v>1985</v>
      </c>
      <c r="Q298" s="748" t="n">
        <v>39</v>
      </c>
      <c r="R298" s="750" t="n">
        <v>97.5</v>
      </c>
      <c r="S298" s="751" t="n">
        <v>429000</v>
      </c>
      <c r="T298" s="749" t="inlineStr"/>
    </row>
    <row r="299">
      <c r="A299" s="741" t="n">
        <v>1003</v>
      </c>
      <c r="B299" s="742" t="inlineStr">
        <is>
          <t>1139 S Alkire St</t>
        </is>
      </c>
      <c r="C299" s="741" t="inlineStr">
        <is>
          <t>Lakewood</t>
        </is>
      </c>
      <c r="D299" s="741" t="inlineStr">
        <is>
          <t>Jefferson</t>
        </is>
      </c>
      <c r="E299" s="741" t="inlineStr">
        <is>
          <t>Daycare</t>
        </is>
      </c>
      <c r="F299" s="741" t="inlineStr">
        <is>
          <t>Global Village International Preschool</t>
        </is>
      </c>
      <c r="G299" s="741" t="n">
        <v>426</v>
      </c>
      <c r="H299" s="743" t="inlineStr">
        <is>
          <t>426 - Day Care Center</t>
        </is>
      </c>
      <c r="I299" s="742" t="inlineStr">
        <is>
          <t>Day Care Centers</t>
        </is>
      </c>
      <c r="J299" s="741" t="inlineStr">
        <is>
          <t>Sec.18 p.13</t>
        </is>
      </c>
      <c r="K299" s="744" t="n">
        <v>4995</v>
      </c>
      <c r="L299" s="744" t="n">
        <v>66647</v>
      </c>
      <c r="M299" s="745" t="inlineStr">
        <is>
          <t>C</t>
        </is>
      </c>
      <c r="N299" s="745" t="inlineStr">
        <is>
          <t>Average</t>
        </is>
      </c>
      <c r="O299" s="745" t="inlineStr">
        <is>
          <t>Typical</t>
        </is>
      </c>
      <c r="P299" s="745" t="n">
        <v>1983</v>
      </c>
      <c r="Q299" s="741" t="n">
        <v>41</v>
      </c>
      <c r="R299" s="746" t="n">
        <v>173</v>
      </c>
      <c r="S299" s="747" t="n">
        <v>864135</v>
      </c>
      <c r="T299" s="742" t="inlineStr"/>
    </row>
    <row r="300">
      <c r="A300" s="748" t="n">
        <v>1004</v>
      </c>
      <c r="B300" s="749" t="inlineStr">
        <is>
          <t>7762 Quaker St</t>
        </is>
      </c>
      <c r="C300" s="748" t="inlineStr">
        <is>
          <t>Arvada</t>
        </is>
      </c>
      <c r="D300" s="748" t="inlineStr">
        <is>
          <t>Jefferson</t>
        </is>
      </c>
      <c r="E300" s="748" t="inlineStr">
        <is>
          <t>Daycare</t>
        </is>
      </c>
      <c r="F300" s="748" t="inlineStr">
        <is>
          <t>Happy Valley Children'S Ranch</t>
        </is>
      </c>
      <c r="G300" s="748" t="n">
        <v>426</v>
      </c>
      <c r="H300" s="743" t="inlineStr">
        <is>
          <t>426 - Day Care Center</t>
        </is>
      </c>
      <c r="I300" s="749" t="inlineStr">
        <is>
          <t>Day Care Centers</t>
        </is>
      </c>
      <c r="J300" s="748" t="inlineStr">
        <is>
          <t>Sec.18 p.13</t>
        </is>
      </c>
      <c r="K300" s="744" t="n">
        <v>2899</v>
      </c>
      <c r="L300" s="744" t="n">
        <v>41382</v>
      </c>
      <c r="M300" s="745" t="inlineStr">
        <is>
          <t>C</t>
        </is>
      </c>
      <c r="N300" s="745" t="inlineStr">
        <is>
          <t>Average</t>
        </is>
      </c>
      <c r="O300" s="745" t="inlineStr">
        <is>
          <t>Typical</t>
        </is>
      </c>
      <c r="P300" s="745" t="n">
        <v>1975</v>
      </c>
      <c r="Q300" s="748" t="n">
        <v>49</v>
      </c>
      <c r="R300" s="750" t="n">
        <v>173</v>
      </c>
      <c r="S300" s="751" t="n">
        <v>501527</v>
      </c>
      <c r="T300" s="749" t="inlineStr"/>
    </row>
    <row r="301">
      <c r="A301" s="741" t="n">
        <v>1005</v>
      </c>
      <c r="B301" s="742" t="inlineStr">
        <is>
          <t>11851 US Highway 285 St</t>
        </is>
      </c>
      <c r="C301" s="741" t="inlineStr">
        <is>
          <t>Conifer</t>
        </is>
      </c>
      <c r="D301" s="741" t="inlineStr">
        <is>
          <t>Jefferson</t>
        </is>
      </c>
      <c r="E301" s="741" t="inlineStr">
        <is>
          <t>Auto Service</t>
        </is>
      </c>
      <c r="F301" s="741" t="inlineStr">
        <is>
          <t>Je Autoworks</t>
        </is>
      </c>
      <c r="G301" s="741" t="n">
        <v>325</v>
      </c>
      <c r="H301" s="743" t="inlineStr">
        <is>
          <t>325 - Service Garage</t>
        </is>
      </c>
      <c r="I301" s="742" t="inlineStr">
        <is>
          <t>Service Garages (Commercial/Repair)</t>
        </is>
      </c>
      <c r="J301" s="741" t="inlineStr">
        <is>
          <t>Sec.14 p.32</t>
        </is>
      </c>
      <c r="K301" s="744" t="n">
        <v>2768</v>
      </c>
      <c r="L301" s="744" t="n">
        <v>47480</v>
      </c>
      <c r="M301" s="745" t="inlineStr">
        <is>
          <t>C</t>
        </is>
      </c>
      <c r="N301" s="745" t="inlineStr">
        <is>
          <t>Average</t>
        </is>
      </c>
      <c r="O301" s="745" t="inlineStr">
        <is>
          <t>Typical</t>
        </is>
      </c>
      <c r="P301" s="745" t="n">
        <v>1978</v>
      </c>
      <c r="Q301" s="741" t="n">
        <v>46</v>
      </c>
      <c r="R301" s="746" t="n">
        <v>79.5</v>
      </c>
      <c r="S301" s="747" t="n">
        <v>220056</v>
      </c>
      <c r="T301" s="742" t="inlineStr"/>
    </row>
    <row r="302">
      <c r="A302" s="748" t="n">
        <v>1006</v>
      </c>
      <c r="B302" s="749" t="inlineStr">
        <is>
          <t>8164 S Kipling Pky</t>
        </is>
      </c>
      <c r="C302" s="748" t="inlineStr">
        <is>
          <t>Littleton</t>
        </is>
      </c>
      <c r="D302" s="748" t="inlineStr">
        <is>
          <t>Jefferson</t>
        </is>
      </c>
      <c r="E302" s="748" t="inlineStr">
        <is>
          <t>Fast Food</t>
        </is>
      </c>
      <c r="F302" s="748" t="inlineStr">
        <is>
          <t>KFC / Taco Bell</t>
        </is>
      </c>
      <c r="G302" s="748" t="n">
        <v>349</v>
      </c>
      <c r="H302" s="743" t="inlineStr">
        <is>
          <t>349 - Fast Food Restaurant</t>
        </is>
      </c>
      <c r="I302" s="749" t="inlineStr">
        <is>
          <t>Restaurants – Fast Food</t>
        </is>
      </c>
      <c r="J302" s="748" t="inlineStr">
        <is>
          <t>Sec.13 p.17</t>
        </is>
      </c>
      <c r="K302" s="744" t="n">
        <v>2874</v>
      </c>
      <c r="L302" s="744" t="n">
        <v>37462</v>
      </c>
      <c r="M302" s="745" t="inlineStr">
        <is>
          <t>C</t>
        </is>
      </c>
      <c r="N302" s="745" t="inlineStr">
        <is>
          <t>Average</t>
        </is>
      </c>
      <c r="O302" s="745" t="inlineStr">
        <is>
          <t>Typical</t>
        </is>
      </c>
      <c r="P302" s="745" t="n">
        <v>2004</v>
      </c>
      <c r="Q302" s="748" t="n">
        <v>20</v>
      </c>
      <c r="R302" s="750" t="n">
        <v>191</v>
      </c>
      <c r="S302" s="751" t="n">
        <v>548934</v>
      </c>
      <c r="T302" s="749" t="inlineStr"/>
    </row>
    <row r="303">
      <c r="A303" s="741" t="n">
        <v>1007</v>
      </c>
      <c r="B303" s="742" t="inlineStr">
        <is>
          <t>8471 Church Ranch Blvd</t>
        </is>
      </c>
      <c r="C303" s="741" t="inlineStr">
        <is>
          <t>Westminster</t>
        </is>
      </c>
      <c r="D303" s="741" t="inlineStr">
        <is>
          <t>Jefferson</t>
        </is>
      </c>
      <c r="E303" s="741" t="inlineStr">
        <is>
          <t>Fast Food</t>
        </is>
      </c>
      <c r="F303" s="741" t="inlineStr">
        <is>
          <t>KFC / Taco Bell</t>
        </is>
      </c>
      <c r="G303" s="741" t="n">
        <v>349</v>
      </c>
      <c r="H303" s="743" t="inlineStr">
        <is>
          <t>349 - Fast Food Restaurant</t>
        </is>
      </c>
      <c r="I303" s="742" t="inlineStr">
        <is>
          <t>Restaurants – Fast Food</t>
        </is>
      </c>
      <c r="J303" s="741" t="inlineStr">
        <is>
          <t>Sec.13 p.17</t>
        </is>
      </c>
      <c r="K303" s="744" t="n">
        <v>3917</v>
      </c>
      <c r="L303" s="744" t="n">
        <v>39640</v>
      </c>
      <c r="M303" s="745" t="inlineStr">
        <is>
          <t>C</t>
        </is>
      </c>
      <c r="N303" s="745" t="inlineStr">
        <is>
          <t>Average</t>
        </is>
      </c>
      <c r="O303" s="745" t="inlineStr">
        <is>
          <t>Typical</t>
        </is>
      </c>
      <c r="P303" s="745" t="n">
        <v>2000</v>
      </c>
      <c r="Q303" s="741" t="n">
        <v>24</v>
      </c>
      <c r="R303" s="746" t="n">
        <v>191</v>
      </c>
      <c r="S303" s="747" t="n">
        <v>748147</v>
      </c>
      <c r="T303" s="742" t="inlineStr"/>
    </row>
    <row r="304">
      <c r="A304" s="748" t="n">
        <v>1008</v>
      </c>
      <c r="B304" s="749" t="inlineStr">
        <is>
          <t>6560 W Ken Caryl</t>
        </is>
      </c>
      <c r="C304" s="748" t="inlineStr">
        <is>
          <t>Littleton</t>
        </is>
      </c>
      <c r="D304" s="748" t="inlineStr">
        <is>
          <t>Jefferson</t>
        </is>
      </c>
      <c r="E304" s="748" t="inlineStr">
        <is>
          <t>Daycare</t>
        </is>
      </c>
      <c r="F304" s="748" t="inlineStr">
        <is>
          <t>Kiddie Academy</t>
        </is>
      </c>
      <c r="G304" s="748" t="n">
        <v>426</v>
      </c>
      <c r="H304" s="743" t="inlineStr">
        <is>
          <t>426 - Day Care Center</t>
        </is>
      </c>
      <c r="I304" s="749" t="inlineStr">
        <is>
          <t>Day Care Centers</t>
        </is>
      </c>
      <c r="J304" s="748" t="inlineStr">
        <is>
          <t>Sec.18 p.13</t>
        </is>
      </c>
      <c r="K304" s="744" t="n">
        <v>10571</v>
      </c>
      <c r="L304" s="744" t="n">
        <v>67082</v>
      </c>
      <c r="M304" s="745" t="inlineStr">
        <is>
          <t>C</t>
        </is>
      </c>
      <c r="N304" s="745" t="inlineStr">
        <is>
          <t>Good</t>
        </is>
      </c>
      <c r="O304" s="745" t="inlineStr">
        <is>
          <t>Typical</t>
        </is>
      </c>
      <c r="P304" s="745" t="n">
        <v>2021</v>
      </c>
      <c r="Q304" s="748" t="n">
        <v>3</v>
      </c>
      <c r="R304" s="750" t="n">
        <v>225</v>
      </c>
      <c r="S304" s="751" t="n">
        <v>2378475</v>
      </c>
      <c r="T304" s="749" t="inlineStr"/>
    </row>
    <row r="305">
      <c r="A305" s="741" t="n">
        <v>1009</v>
      </c>
      <c r="B305" s="742" t="inlineStr">
        <is>
          <t>6000 W Grant Ranch Blvd</t>
        </is>
      </c>
      <c r="C305" s="741" t="inlineStr">
        <is>
          <t>Littleton</t>
        </is>
      </c>
      <c r="D305" s="741" t="inlineStr">
        <is>
          <t>Jefferson</t>
        </is>
      </c>
      <c r="E305" s="741" t="inlineStr">
        <is>
          <t>Daycare</t>
        </is>
      </c>
      <c r="F305" s="741" t="inlineStr">
        <is>
          <t>KinderCare</t>
        </is>
      </c>
      <c r="G305" s="741" t="n">
        <v>426</v>
      </c>
      <c r="H305" s="743" t="inlineStr">
        <is>
          <t>426 - Day Care Center</t>
        </is>
      </c>
      <c r="I305" s="742" t="inlineStr">
        <is>
          <t>Day Care Centers</t>
        </is>
      </c>
      <c r="J305" s="741" t="inlineStr">
        <is>
          <t>Sec.18 p.13</t>
        </is>
      </c>
      <c r="K305" s="744" t="n">
        <v>10400</v>
      </c>
      <c r="L305" s="744" t="n">
        <v>41818</v>
      </c>
      <c r="M305" s="745" t="inlineStr">
        <is>
          <t>C</t>
        </is>
      </c>
      <c r="N305" s="745" t="inlineStr">
        <is>
          <t>Average</t>
        </is>
      </c>
      <c r="O305" s="745" t="inlineStr">
        <is>
          <t>Typical</t>
        </is>
      </c>
      <c r="P305" s="745" t="n">
        <v>1999</v>
      </c>
      <c r="Q305" s="741" t="n">
        <v>25</v>
      </c>
      <c r="R305" s="746" t="n">
        <v>173</v>
      </c>
      <c r="S305" s="747" t="n">
        <v>1799200</v>
      </c>
      <c r="T305" s="742" t="inlineStr"/>
    </row>
    <row r="306">
      <c r="A306" s="748" t="n">
        <v>1010</v>
      </c>
      <c r="B306" s="749" t="inlineStr">
        <is>
          <t>14449 W 63rd Pl</t>
        </is>
      </c>
      <c r="C306" s="748" t="inlineStr">
        <is>
          <t>Arvada</t>
        </is>
      </c>
      <c r="D306" s="748" t="inlineStr">
        <is>
          <t>Jefferson</t>
        </is>
      </c>
      <c r="E306" s="748" t="inlineStr">
        <is>
          <t>Daycare</t>
        </is>
      </c>
      <c r="F306" s="748" t="inlineStr">
        <is>
          <t>KinderCare</t>
        </is>
      </c>
      <c r="G306" s="748" t="n">
        <v>426</v>
      </c>
      <c r="H306" s="743" t="inlineStr">
        <is>
          <t>426 - Day Care Center</t>
        </is>
      </c>
      <c r="I306" s="749" t="inlineStr">
        <is>
          <t>Day Care Centers</t>
        </is>
      </c>
      <c r="J306" s="748" t="inlineStr">
        <is>
          <t>Sec.18 p.13</t>
        </is>
      </c>
      <c r="K306" s="744" t="n">
        <v>10934</v>
      </c>
      <c r="L306" s="744" t="n">
        <v>62726</v>
      </c>
      <c r="M306" s="745" t="inlineStr">
        <is>
          <t>C</t>
        </is>
      </c>
      <c r="N306" s="745" t="inlineStr">
        <is>
          <t>Average</t>
        </is>
      </c>
      <c r="O306" s="745" t="inlineStr">
        <is>
          <t>Typical</t>
        </is>
      </c>
      <c r="P306" s="745" t="n">
        <v>1999</v>
      </c>
      <c r="Q306" s="748" t="n">
        <v>25</v>
      </c>
      <c r="R306" s="750" t="n">
        <v>173</v>
      </c>
      <c r="S306" s="751" t="n">
        <v>1891582</v>
      </c>
      <c r="T306" s="749" t="inlineStr"/>
    </row>
    <row r="307">
      <c r="A307" s="741" t="n">
        <v>1011</v>
      </c>
      <c r="B307" s="742" t="inlineStr">
        <is>
          <t>7395 Church Ranch Blvd</t>
        </is>
      </c>
      <c r="C307" s="741" t="inlineStr">
        <is>
          <t>Westminster</t>
        </is>
      </c>
      <c r="D307" s="741" t="inlineStr">
        <is>
          <t>Jefferson</t>
        </is>
      </c>
      <c r="E307" s="741" t="inlineStr">
        <is>
          <t>Daycare</t>
        </is>
      </c>
      <c r="F307" s="741" t="inlineStr">
        <is>
          <t>KinderCare</t>
        </is>
      </c>
      <c r="G307" s="741" t="n">
        <v>426</v>
      </c>
      <c r="H307" s="743" t="inlineStr">
        <is>
          <t>426 - Day Care Center</t>
        </is>
      </c>
      <c r="I307" s="742" t="inlineStr">
        <is>
          <t>Day Care Centers</t>
        </is>
      </c>
      <c r="J307" s="741" t="inlineStr">
        <is>
          <t>Sec.18 p.13</t>
        </is>
      </c>
      <c r="K307" s="744" t="n">
        <v>10334</v>
      </c>
      <c r="L307" s="744" t="n">
        <v>63598</v>
      </c>
      <c r="M307" s="745" t="inlineStr">
        <is>
          <t>C</t>
        </is>
      </c>
      <c r="N307" s="745" t="inlineStr">
        <is>
          <t>Average</t>
        </is>
      </c>
      <c r="O307" s="745" t="inlineStr">
        <is>
          <t>Typical</t>
        </is>
      </c>
      <c r="P307" s="745" t="n">
        <v>1996</v>
      </c>
      <c r="Q307" s="741" t="n">
        <v>28</v>
      </c>
      <c r="R307" s="746" t="n">
        <v>173</v>
      </c>
      <c r="S307" s="747" t="n">
        <v>1787782</v>
      </c>
      <c r="T307" s="742" t="inlineStr"/>
    </row>
    <row r="308">
      <c r="A308" s="748" t="n">
        <v>1012</v>
      </c>
      <c r="B308" s="749" t="inlineStr">
        <is>
          <t>1990 Kipling St</t>
        </is>
      </c>
      <c r="C308" s="748" t="inlineStr">
        <is>
          <t>Lakewood</t>
        </is>
      </c>
      <c r="D308" s="748" t="inlineStr">
        <is>
          <t>Jefferson</t>
        </is>
      </c>
      <c r="E308" s="748" t="inlineStr">
        <is>
          <t>Auto Service</t>
        </is>
      </c>
      <c r="F308" s="748" t="inlineStr">
        <is>
          <t>L &amp; R Automotive Inc</t>
        </is>
      </c>
      <c r="G308" s="748" t="n">
        <v>325</v>
      </c>
      <c r="H308" s="743" t="inlineStr">
        <is>
          <t>325 - Service Garage</t>
        </is>
      </c>
      <c r="I308" s="749" t="inlineStr">
        <is>
          <t>Service Garages (Commercial/Repair)</t>
        </is>
      </c>
      <c r="J308" s="748" t="inlineStr">
        <is>
          <t>Sec.14 p.32</t>
        </is>
      </c>
      <c r="K308" s="744" t="n">
        <v>1462</v>
      </c>
      <c r="L308" s="744" t="n">
        <v>16553</v>
      </c>
      <c r="M308" s="745" t="inlineStr">
        <is>
          <t>C</t>
        </is>
      </c>
      <c r="N308" s="745" t="inlineStr">
        <is>
          <t>Average</t>
        </is>
      </c>
      <c r="O308" s="745" t="inlineStr">
        <is>
          <t>Typical</t>
        </is>
      </c>
      <c r="P308" s="745" t="n">
        <v>1962</v>
      </c>
      <c r="Q308" s="748" t="n">
        <v>62</v>
      </c>
      <c r="R308" s="750" t="n">
        <v>79.5</v>
      </c>
      <c r="S308" s="751" t="n">
        <v>116229</v>
      </c>
      <c r="T308" s="749" t="inlineStr"/>
    </row>
    <row r="309">
      <c r="A309" s="741" t="n">
        <v>1013</v>
      </c>
      <c r="B309" s="742" t="inlineStr">
        <is>
          <t>10005 W Colfax Ave</t>
        </is>
      </c>
      <c r="C309" s="741" t="inlineStr">
        <is>
          <t>Lakewood</t>
        </is>
      </c>
      <c r="D309" s="741" t="inlineStr">
        <is>
          <t>Jefferson</t>
        </is>
      </c>
      <c r="E309" s="741" t="inlineStr">
        <is>
          <t>Auto Service</t>
        </is>
      </c>
      <c r="F309" s="741" t="inlineStr">
        <is>
          <t>Lakewood Auto Electric</t>
        </is>
      </c>
      <c r="G309" s="741" t="n">
        <v>325</v>
      </c>
      <c r="H309" s="743" t="inlineStr">
        <is>
          <t>325 - Service Garage</t>
        </is>
      </c>
      <c r="I309" s="742" t="inlineStr">
        <is>
          <t>Service Garages (Commercial/Repair)</t>
        </is>
      </c>
      <c r="J309" s="741" t="inlineStr">
        <is>
          <t>Sec.14 p.32</t>
        </is>
      </c>
      <c r="K309" s="744" t="n">
        <v>1631</v>
      </c>
      <c r="L309" s="744" t="n">
        <v>17772</v>
      </c>
      <c r="M309" s="745" t="inlineStr">
        <is>
          <t>C</t>
        </is>
      </c>
      <c r="N309" s="745" t="inlineStr">
        <is>
          <t>Average</t>
        </is>
      </c>
      <c r="O309" s="745" t="inlineStr">
        <is>
          <t>Typical</t>
        </is>
      </c>
      <c r="P309" s="745" t="n">
        <v>1969</v>
      </c>
      <c r="Q309" s="741" t="n">
        <v>55</v>
      </c>
      <c r="R309" s="746" t="n">
        <v>79.5</v>
      </c>
      <c r="S309" s="747" t="n">
        <v>129664</v>
      </c>
      <c r="T309" s="742" t="inlineStr"/>
    </row>
    <row r="310">
      <c r="A310" s="748" t="n">
        <v>1014</v>
      </c>
      <c r="B310" s="749" t="inlineStr">
        <is>
          <t>105 S Sheridan Blvd</t>
        </is>
      </c>
      <c r="C310" s="748" t="inlineStr">
        <is>
          <t>Denver</t>
        </is>
      </c>
      <c r="D310" s="748" t="inlineStr">
        <is>
          <t>Jefferson</t>
        </is>
      </c>
      <c r="E310" s="748" t="inlineStr">
        <is>
          <t>Auto Parts</t>
        </is>
      </c>
      <c r="F310" s="748" t="inlineStr">
        <is>
          <t>O'Reilly Auto Parts</t>
        </is>
      </c>
      <c r="G310" s="748" t="n">
        <v>353</v>
      </c>
      <c r="H310" s="743" t="inlineStr">
        <is>
          <t>353 - Retail Store</t>
        </is>
      </c>
      <c r="I310" s="749" t="inlineStr">
        <is>
          <t>Retail Stores</t>
        </is>
      </c>
      <c r="J310" s="748" t="inlineStr">
        <is>
          <t>Sec.13 p.26</t>
        </is>
      </c>
      <c r="K310" s="744" t="n">
        <v>7702</v>
      </c>
      <c r="L310" s="744" t="n">
        <v>13504</v>
      </c>
      <c r="M310" s="745" t="inlineStr">
        <is>
          <t>C</t>
        </is>
      </c>
      <c r="N310" s="745" t="inlineStr">
        <is>
          <t>Average</t>
        </is>
      </c>
      <c r="O310" s="745" t="inlineStr">
        <is>
          <t>Typical</t>
        </is>
      </c>
      <c r="P310" s="745" t="n">
        <v>1985</v>
      </c>
      <c r="Q310" s="748" t="n">
        <v>39</v>
      </c>
      <c r="R310" s="750" t="n">
        <v>117</v>
      </c>
      <c r="S310" s="751" t="n">
        <v>901134</v>
      </c>
      <c r="T310" s="749" t="inlineStr"/>
    </row>
    <row r="311">
      <c r="A311" s="741" t="n">
        <v>1015</v>
      </c>
      <c r="B311" s="742" t="inlineStr">
        <is>
          <t>5807 W Colfax Ave</t>
        </is>
      </c>
      <c r="C311" s="741" t="inlineStr">
        <is>
          <t>Lakewood</t>
        </is>
      </c>
      <c r="D311" s="741" t="inlineStr">
        <is>
          <t>Jefferson</t>
        </is>
      </c>
      <c r="E311" s="741" t="inlineStr">
        <is>
          <t>Auto Parts</t>
        </is>
      </c>
      <c r="F311" s="741" t="inlineStr">
        <is>
          <t>O'Reilly Auto Parts</t>
        </is>
      </c>
      <c r="G311" s="741" t="n">
        <v>353</v>
      </c>
      <c r="H311" s="743" t="inlineStr">
        <is>
          <t>353 - Retail Store</t>
        </is>
      </c>
      <c r="I311" s="742" t="inlineStr">
        <is>
          <t>Retail Stores</t>
        </is>
      </c>
      <c r="J311" s="741" t="inlineStr">
        <is>
          <t>Sec.13 p.26</t>
        </is>
      </c>
      <c r="K311" s="744" t="n">
        <v>6160</v>
      </c>
      <c r="L311" s="744" t="n">
        <v>33106</v>
      </c>
      <c r="M311" s="745" t="inlineStr">
        <is>
          <t>C</t>
        </is>
      </c>
      <c r="N311" s="745" t="inlineStr">
        <is>
          <t>Average</t>
        </is>
      </c>
      <c r="O311" s="745" t="inlineStr">
        <is>
          <t>Typical</t>
        </is>
      </c>
      <c r="P311" s="745" t="n">
        <v>1998</v>
      </c>
      <c r="Q311" s="741" t="n">
        <v>26</v>
      </c>
      <c r="R311" s="746" t="n">
        <v>117</v>
      </c>
      <c r="S311" s="747" t="n">
        <v>720720</v>
      </c>
      <c r="T311" s="742" t="inlineStr"/>
    </row>
    <row r="312">
      <c r="A312" s="748" t="n">
        <v>1016</v>
      </c>
      <c r="B312" s="749" t="inlineStr">
        <is>
          <t>8461 Church Ranch Blvd</t>
        </is>
      </c>
      <c r="C312" s="748" t="inlineStr">
        <is>
          <t>Westminster</t>
        </is>
      </c>
      <c r="D312" s="748" t="inlineStr">
        <is>
          <t>Jefferson</t>
        </is>
      </c>
      <c r="E312" s="748" t="inlineStr">
        <is>
          <t>Fast Food</t>
        </is>
      </c>
      <c r="F312" s="748" t="inlineStr">
        <is>
          <t>Panda Express</t>
        </is>
      </c>
      <c r="G312" s="748" t="n">
        <v>349</v>
      </c>
      <c r="H312" s="743" t="inlineStr">
        <is>
          <t>349 - Fast Food Restaurant</t>
        </is>
      </c>
      <c r="I312" s="749" t="inlineStr">
        <is>
          <t>Restaurants – Fast Food</t>
        </is>
      </c>
      <c r="J312" s="748" t="inlineStr">
        <is>
          <t>Sec.13 p.17</t>
        </is>
      </c>
      <c r="K312" s="744" t="n">
        <v>3500</v>
      </c>
      <c r="L312" s="744" t="n">
        <v>20909</v>
      </c>
      <c r="M312" s="745" t="inlineStr">
        <is>
          <t>C</t>
        </is>
      </c>
      <c r="N312" s="745" t="inlineStr">
        <is>
          <t>Average</t>
        </is>
      </c>
      <c r="O312" s="745" t="inlineStr">
        <is>
          <t>Typical</t>
        </is>
      </c>
      <c r="P312" s="745" t="n">
        <v>2000</v>
      </c>
      <c r="Q312" s="748" t="n">
        <v>24</v>
      </c>
      <c r="R312" s="750" t="n">
        <v>191</v>
      </c>
      <c r="S312" s="751" t="n">
        <v>668500</v>
      </c>
      <c r="T312" s="749" t="inlineStr"/>
    </row>
    <row r="313">
      <c r="A313" s="741" t="n">
        <v>1017</v>
      </c>
      <c r="B313" s="742" t="inlineStr">
        <is>
          <t>1899 S Sheridan Blvd</t>
        </is>
      </c>
      <c r="C313" s="741" t="inlineStr">
        <is>
          <t>Denver</t>
        </is>
      </c>
      <c r="D313" s="741" t="inlineStr">
        <is>
          <t>Jefferson</t>
        </is>
      </c>
      <c r="E313" s="741" t="inlineStr">
        <is>
          <t>Auto Service</t>
        </is>
      </c>
      <c r="F313" s="741" t="inlineStr">
        <is>
          <t>Peerless Tires</t>
        </is>
      </c>
      <c r="G313" s="741" t="n">
        <v>410</v>
      </c>
      <c r="H313" s="743" t="inlineStr">
        <is>
          <t>410 - Automotive Center</t>
        </is>
      </c>
      <c r="I313" s="742" t="inlineStr">
        <is>
          <t>Automotive Service Centers</t>
        </is>
      </c>
      <c r="J313" s="741" t="inlineStr">
        <is>
          <t>Sec.14 p.31</t>
        </is>
      </c>
      <c r="K313" s="744" t="n">
        <v>1773</v>
      </c>
      <c r="L313" s="744" t="n">
        <v>17293</v>
      </c>
      <c r="M313" s="745" t="inlineStr">
        <is>
          <t>S</t>
        </is>
      </c>
      <c r="N313" s="745" t="inlineStr">
        <is>
          <t>Average</t>
        </is>
      </c>
      <c r="O313" s="745" t="inlineStr">
        <is>
          <t>Typical</t>
        </is>
      </c>
      <c r="P313" s="745" t="n">
        <v>1962</v>
      </c>
      <c r="Q313" s="741" t="n">
        <v>62</v>
      </c>
      <c r="R313" s="746" t="n">
        <v>97.5</v>
      </c>
      <c r="S313" s="747" t="n">
        <v>172868</v>
      </c>
      <c r="T313" s="742" t="inlineStr"/>
    </row>
    <row r="314">
      <c r="A314" s="748" t="n">
        <v>1018</v>
      </c>
      <c r="B314" s="749" t="inlineStr">
        <is>
          <t>7525 W 44th Ave</t>
        </is>
      </c>
      <c r="C314" s="748" t="inlineStr">
        <is>
          <t>Wheat Ridge</t>
        </is>
      </c>
      <c r="D314" s="748" t="inlineStr">
        <is>
          <t>Jefferson</t>
        </is>
      </c>
      <c r="E314" s="748" t="inlineStr">
        <is>
          <t>Auto Service</t>
        </is>
      </c>
      <c r="F314" s="748" t="inlineStr">
        <is>
          <t>Pep Boys</t>
        </is>
      </c>
      <c r="G314" s="748" t="n">
        <v>410</v>
      </c>
      <c r="H314" s="743" t="inlineStr">
        <is>
          <t>410 - Automotive Center</t>
        </is>
      </c>
      <c r="I314" s="749" t="inlineStr">
        <is>
          <t>Automotive Service Centers</t>
        </is>
      </c>
      <c r="J314" s="748" t="inlineStr">
        <is>
          <t>Sec.14 p.31</t>
        </is>
      </c>
      <c r="K314" s="744" t="n">
        <v>26756</v>
      </c>
      <c r="L314" s="744" t="n">
        <v>113974</v>
      </c>
      <c r="M314" s="745" t="inlineStr">
        <is>
          <t>S</t>
        </is>
      </c>
      <c r="N314" s="745" t="inlineStr">
        <is>
          <t>Average</t>
        </is>
      </c>
      <c r="O314" s="745" t="inlineStr">
        <is>
          <t>Typical</t>
        </is>
      </c>
      <c r="P314" s="745" t="n">
        <v>1972</v>
      </c>
      <c r="Q314" s="748" t="n">
        <v>52</v>
      </c>
      <c r="R314" s="750" t="n">
        <v>97.5</v>
      </c>
      <c r="S314" s="751" t="n">
        <v>2608710</v>
      </c>
      <c r="T314" s="749" t="inlineStr"/>
    </row>
    <row r="315">
      <c r="A315" s="741" t="n">
        <v>1019</v>
      </c>
      <c r="B315" s="742" t="inlineStr">
        <is>
          <t>4395 Xenon St</t>
        </is>
      </c>
      <c r="C315" s="741" t="inlineStr">
        <is>
          <t>Wheat Ridge</t>
        </is>
      </c>
      <c r="D315" s="741" t="inlineStr">
        <is>
          <t>Jefferson</t>
        </is>
      </c>
      <c r="E315" s="741" t="inlineStr">
        <is>
          <t>Auto Service</t>
        </is>
      </c>
      <c r="F315" s="741" t="inlineStr">
        <is>
          <t>Performance Wise</t>
        </is>
      </c>
      <c r="G315" s="741" t="n">
        <v>325</v>
      </c>
      <c r="H315" s="743" t="inlineStr">
        <is>
          <t>325 - Service Garage</t>
        </is>
      </c>
      <c r="I315" s="742" t="inlineStr">
        <is>
          <t>Service Garages (Commercial/Repair)</t>
        </is>
      </c>
      <c r="J315" s="741" t="inlineStr">
        <is>
          <t>Sec.14 p.32</t>
        </is>
      </c>
      <c r="K315" s="744" t="n">
        <v>8182</v>
      </c>
      <c r="L315" s="744" t="n">
        <v>23522</v>
      </c>
      <c r="M315" s="745" t="inlineStr">
        <is>
          <t>C</t>
        </is>
      </c>
      <c r="N315" s="745" t="inlineStr">
        <is>
          <t>Average</t>
        </is>
      </c>
      <c r="O315" s="745" t="inlineStr">
        <is>
          <t>Typical</t>
        </is>
      </c>
      <c r="P315" s="745" t="n">
        <v>2011</v>
      </c>
      <c r="Q315" s="741" t="n">
        <v>13</v>
      </c>
      <c r="R315" s="746" t="n">
        <v>79.5</v>
      </c>
      <c r="S315" s="747" t="n">
        <v>650469</v>
      </c>
      <c r="T315" s="742" t="inlineStr"/>
    </row>
    <row r="316">
      <c r="A316" s="748" t="n">
        <v>1020</v>
      </c>
      <c r="B316" s="749" t="inlineStr">
        <is>
          <t>10131 W Bowles Ave</t>
        </is>
      </c>
      <c r="C316" s="748" t="inlineStr">
        <is>
          <t>Littleton</t>
        </is>
      </c>
      <c r="D316" s="748" t="inlineStr">
        <is>
          <t>Jefferson</t>
        </is>
      </c>
      <c r="E316" s="748" t="inlineStr">
        <is>
          <t>Fast Food</t>
        </is>
      </c>
      <c r="F316" s="748" t="inlineStr">
        <is>
          <t>Pizza Hut</t>
        </is>
      </c>
      <c r="G316" s="748" t="n">
        <v>349</v>
      </c>
      <c r="H316" s="743" t="inlineStr">
        <is>
          <t>349 - Fast Food Restaurant</t>
        </is>
      </c>
      <c r="I316" s="749" t="inlineStr">
        <is>
          <t>Restaurants – Fast Food</t>
        </is>
      </c>
      <c r="J316" s="748" t="inlineStr">
        <is>
          <t>Sec.13 p.17</t>
        </is>
      </c>
      <c r="K316" s="744" t="n">
        <v>2819</v>
      </c>
      <c r="L316" s="744" t="n">
        <v>15246</v>
      </c>
      <c r="M316" s="745" t="inlineStr">
        <is>
          <t>C</t>
        </is>
      </c>
      <c r="N316" s="745" t="inlineStr">
        <is>
          <t>Average</t>
        </is>
      </c>
      <c r="O316" s="745" t="inlineStr">
        <is>
          <t>Typical</t>
        </is>
      </c>
      <c r="P316" s="745" t="n">
        <v>1990</v>
      </c>
      <c r="Q316" s="748" t="n">
        <v>34</v>
      </c>
      <c r="R316" s="750" t="n">
        <v>191</v>
      </c>
      <c r="S316" s="751" t="n">
        <v>538429</v>
      </c>
      <c r="T316" s="749" t="inlineStr"/>
    </row>
    <row r="317">
      <c r="A317" s="741" t="n">
        <v>1021</v>
      </c>
      <c r="B317" s="742" t="inlineStr">
        <is>
          <t>3395 S Kipling Pky</t>
        </is>
      </c>
      <c r="C317" s="741" t="inlineStr">
        <is>
          <t>Lakewood</t>
        </is>
      </c>
      <c r="D317" s="741" t="inlineStr">
        <is>
          <t>Jefferson</t>
        </is>
      </c>
      <c r="E317" s="741" t="inlineStr">
        <is>
          <t>Daycare</t>
        </is>
      </c>
      <c r="F317" s="741" t="inlineStr">
        <is>
          <t>Primrose School</t>
        </is>
      </c>
      <c r="G317" s="741" t="n">
        <v>426</v>
      </c>
      <c r="H317" s="743" t="inlineStr">
        <is>
          <t>426 - Day Care Center</t>
        </is>
      </c>
      <c r="I317" s="742" t="inlineStr">
        <is>
          <t>Day Care Centers</t>
        </is>
      </c>
      <c r="J317" s="741" t="inlineStr">
        <is>
          <t>Sec.18 p.13</t>
        </is>
      </c>
      <c r="K317" s="744" t="n">
        <v>10300</v>
      </c>
      <c r="L317" s="744" t="n">
        <v>147048</v>
      </c>
      <c r="M317" s="745" t="inlineStr">
        <is>
          <t>C</t>
        </is>
      </c>
      <c r="N317" s="745" t="inlineStr">
        <is>
          <t>Average</t>
        </is>
      </c>
      <c r="O317" s="745" t="inlineStr">
        <is>
          <t>Typical</t>
        </is>
      </c>
      <c r="P317" s="745" t="n">
        <v>2005</v>
      </c>
      <c r="Q317" s="741" t="n">
        <v>19</v>
      </c>
      <c r="R317" s="746" t="n">
        <v>173</v>
      </c>
      <c r="S317" s="747" t="n">
        <v>1781900</v>
      </c>
      <c r="T317" s="742" t="inlineStr"/>
    </row>
    <row r="318">
      <c r="A318" s="748" t="n">
        <v>1022</v>
      </c>
      <c r="B318" s="749" t="inlineStr">
        <is>
          <t>6060 S Devinney Way</t>
        </is>
      </c>
      <c r="C318" s="748" t="inlineStr">
        <is>
          <t>Littleton</t>
        </is>
      </c>
      <c r="D318" s="748" t="inlineStr">
        <is>
          <t>Jefferson</t>
        </is>
      </c>
      <c r="E318" s="748" t="inlineStr">
        <is>
          <t>Daycare</t>
        </is>
      </c>
      <c r="F318" s="748" t="inlineStr">
        <is>
          <t>Primrose School</t>
        </is>
      </c>
      <c r="G318" s="748" t="n">
        <v>426</v>
      </c>
      <c r="H318" s="743" t="inlineStr">
        <is>
          <t>426 - Day Care Center</t>
        </is>
      </c>
      <c r="I318" s="749" t="inlineStr">
        <is>
          <t>Day Care Centers</t>
        </is>
      </c>
      <c r="J318" s="748" t="inlineStr">
        <is>
          <t>Sec.18 p.13</t>
        </is>
      </c>
      <c r="K318" s="744" t="n">
        <v>9398</v>
      </c>
      <c r="L318" s="744" t="n">
        <v>57064</v>
      </c>
      <c r="M318" s="745" t="inlineStr">
        <is>
          <t>C</t>
        </is>
      </c>
      <c r="N318" s="745" t="inlineStr">
        <is>
          <t>Average</t>
        </is>
      </c>
      <c r="O318" s="745" t="inlineStr">
        <is>
          <t>Typical</t>
        </is>
      </c>
      <c r="P318" s="745" t="n">
        <v>2001</v>
      </c>
      <c r="Q318" s="748" t="n">
        <v>23</v>
      </c>
      <c r="R318" s="750" t="n">
        <v>173</v>
      </c>
      <c r="S318" s="751" t="n">
        <v>1625854</v>
      </c>
      <c r="T318" s="749" t="inlineStr"/>
    </row>
    <row r="319">
      <c r="A319" s="741" t="n">
        <v>1023</v>
      </c>
      <c r="B319" s="742" t="inlineStr">
        <is>
          <t>3395 S Kipling Pky</t>
        </is>
      </c>
      <c r="C319" s="741" t="inlineStr">
        <is>
          <t>Lakewood</t>
        </is>
      </c>
      <c r="D319" s="741" t="inlineStr">
        <is>
          <t>Jefferson</t>
        </is>
      </c>
      <c r="E319" s="741" t="inlineStr">
        <is>
          <t>Daycare</t>
        </is>
      </c>
      <c r="F319" s="741" t="inlineStr">
        <is>
          <t>Primrose School</t>
        </is>
      </c>
      <c r="G319" s="741" t="n">
        <v>426</v>
      </c>
      <c r="H319" s="743" t="inlineStr">
        <is>
          <t>426 - Day Care Center</t>
        </is>
      </c>
      <c r="I319" s="742" t="inlineStr">
        <is>
          <t>Day Care Centers</t>
        </is>
      </c>
      <c r="J319" s="741" t="inlineStr">
        <is>
          <t>Sec.18 p.13</t>
        </is>
      </c>
      <c r="K319" s="744" t="n">
        <v>10300</v>
      </c>
      <c r="L319" s="744" t="n">
        <v>147048</v>
      </c>
      <c r="M319" s="745" t="inlineStr">
        <is>
          <t>C</t>
        </is>
      </c>
      <c r="N319" s="745" t="inlineStr">
        <is>
          <t>Average</t>
        </is>
      </c>
      <c r="O319" s="745" t="inlineStr">
        <is>
          <t>Typical</t>
        </is>
      </c>
      <c r="P319" s="745" t="n">
        <v>2005</v>
      </c>
      <c r="Q319" s="741" t="n">
        <v>19</v>
      </c>
      <c r="R319" s="746" t="n">
        <v>173</v>
      </c>
      <c r="S319" s="747" t="n">
        <v>1781900</v>
      </c>
      <c r="T319" s="742" t="inlineStr"/>
    </row>
    <row r="320">
      <c r="A320" s="748" t="n">
        <v>1024</v>
      </c>
      <c r="B320" s="749" t="inlineStr">
        <is>
          <t>16395 W 64th Ave</t>
        </is>
      </c>
      <c r="C320" s="748" t="inlineStr">
        <is>
          <t>Arvada</t>
        </is>
      </c>
      <c r="D320" s="748" t="inlineStr">
        <is>
          <t>Jefferson</t>
        </is>
      </c>
      <c r="E320" s="748" t="inlineStr">
        <is>
          <t>Daycare</t>
        </is>
      </c>
      <c r="F320" s="748" t="inlineStr">
        <is>
          <t>Primrose School</t>
        </is>
      </c>
      <c r="G320" s="748" t="n">
        <v>426</v>
      </c>
      <c r="H320" s="743" t="inlineStr">
        <is>
          <t>426 - Day Care Center</t>
        </is>
      </c>
      <c r="I320" s="749" t="inlineStr">
        <is>
          <t>Day Care Centers</t>
        </is>
      </c>
      <c r="J320" s="748" t="inlineStr">
        <is>
          <t>Sec.18 p.13</t>
        </is>
      </c>
      <c r="K320" s="744" t="n">
        <v>8971</v>
      </c>
      <c r="L320" s="744" t="n">
        <v>63955</v>
      </c>
      <c r="M320" s="745" t="inlineStr">
        <is>
          <t>C</t>
        </is>
      </c>
      <c r="N320" s="745" t="inlineStr">
        <is>
          <t>Average</t>
        </is>
      </c>
      <c r="O320" s="745" t="inlineStr">
        <is>
          <t>Typical</t>
        </is>
      </c>
      <c r="P320" s="745" t="n">
        <v>2001</v>
      </c>
      <c r="Q320" s="748" t="n">
        <v>23</v>
      </c>
      <c r="R320" s="750" t="n">
        <v>173</v>
      </c>
      <c r="S320" s="751" t="n">
        <v>1551983</v>
      </c>
      <c r="T320" s="749" t="inlineStr"/>
    </row>
    <row r="321">
      <c r="A321" s="741" t="n">
        <v>1025</v>
      </c>
      <c r="B321" s="742" t="inlineStr">
        <is>
          <t>5060 S Wadsworth Way</t>
        </is>
      </c>
      <c r="C321" s="741" t="inlineStr">
        <is>
          <t>Lakewood</t>
        </is>
      </c>
      <c r="D321" s="741" t="inlineStr">
        <is>
          <t>Jefferson</t>
        </is>
      </c>
      <c r="E321" s="741" t="inlineStr">
        <is>
          <t>Fast Food</t>
        </is>
      </c>
      <c r="F321" s="741" t="inlineStr">
        <is>
          <t>Raising Cane's</t>
        </is>
      </c>
      <c r="G321" s="741" t="n">
        <v>349</v>
      </c>
      <c r="H321" s="743" t="inlineStr">
        <is>
          <t>349 - Fast Food Restaurant</t>
        </is>
      </c>
      <c r="I321" s="742" t="inlineStr">
        <is>
          <t>Restaurants – Fast Food</t>
        </is>
      </c>
      <c r="J321" s="741" t="inlineStr">
        <is>
          <t>Sec.13 p.17</t>
        </is>
      </c>
      <c r="K321" s="744" t="n">
        <v>3400</v>
      </c>
      <c r="L321" s="744" t="n">
        <v>36678</v>
      </c>
      <c r="M321" s="745" t="inlineStr">
        <is>
          <t>C</t>
        </is>
      </c>
      <c r="N321" s="745" t="inlineStr">
        <is>
          <t>Good</t>
        </is>
      </c>
      <c r="O321" s="745" t="inlineStr">
        <is>
          <t>Typical</t>
        </is>
      </c>
      <c r="P321" s="745" t="n">
        <v>2020</v>
      </c>
      <c r="Q321" s="741" t="n">
        <v>4</v>
      </c>
      <c r="R321" s="746" t="n">
        <v>246</v>
      </c>
      <c r="S321" s="747" t="n">
        <v>836400</v>
      </c>
      <c r="T321" s="742" t="inlineStr"/>
    </row>
    <row r="322">
      <c r="A322" s="748" t="n">
        <v>1026</v>
      </c>
      <c r="B322" s="749" t="inlineStr">
        <is>
          <t>4455 Wadsworth Blvd</t>
        </is>
      </c>
      <c r="C322" s="748" t="inlineStr">
        <is>
          <t>Wheat Ridge</t>
        </is>
      </c>
      <c r="D322" s="748" t="inlineStr">
        <is>
          <t>Jefferson</t>
        </is>
      </c>
      <c r="E322" s="748" t="inlineStr">
        <is>
          <t>Retail Center</t>
        </is>
      </c>
      <c r="F322" s="748" t="inlineStr">
        <is>
          <t>Red Lobster</t>
        </is>
      </c>
      <c r="G322" s="748" t="n">
        <v>353</v>
      </c>
      <c r="H322" s="743" t="inlineStr">
        <is>
          <t>353 - Retail Store</t>
        </is>
      </c>
      <c r="I322" s="749" t="inlineStr">
        <is>
          <t>Retail Stores</t>
        </is>
      </c>
      <c r="J322" s="748" t="inlineStr">
        <is>
          <t>Sec.13 p.26</t>
        </is>
      </c>
      <c r="K322" s="744" t="n">
        <v>7738</v>
      </c>
      <c r="L322" s="744" t="n">
        <v>65471</v>
      </c>
      <c r="M322" s="745" t="inlineStr">
        <is>
          <t>C</t>
        </is>
      </c>
      <c r="N322" s="745" t="inlineStr">
        <is>
          <t>Average</t>
        </is>
      </c>
      <c r="O322" s="745" t="inlineStr">
        <is>
          <t>Typical</t>
        </is>
      </c>
      <c r="P322" s="745" t="n">
        <v>1974</v>
      </c>
      <c r="Q322" s="748" t="n">
        <v>50</v>
      </c>
      <c r="R322" s="750" t="n">
        <v>117</v>
      </c>
      <c r="S322" s="751" t="n">
        <v>905346</v>
      </c>
      <c r="T322" s="749" t="inlineStr"/>
    </row>
    <row r="323">
      <c r="A323" s="741" t="n">
        <v>1027</v>
      </c>
      <c r="B323" s="742" t="inlineStr">
        <is>
          <t>810 S Wadsworth Blvd</t>
        </is>
      </c>
      <c r="C323" s="741" t="inlineStr">
        <is>
          <t>Lakewood</t>
        </is>
      </c>
      <c r="D323" s="741" t="inlineStr">
        <is>
          <t>Jefferson</t>
        </is>
      </c>
      <c r="E323" s="741" t="inlineStr">
        <is>
          <t>Retail Center</t>
        </is>
      </c>
      <c r="F323" s="741" t="inlineStr">
        <is>
          <t>Red Lobster</t>
        </is>
      </c>
      <c r="G323" s="741" t="n">
        <v>353</v>
      </c>
      <c r="H323" s="743" t="inlineStr">
        <is>
          <t>353 - Retail Store</t>
        </is>
      </c>
      <c r="I323" s="742" t="inlineStr">
        <is>
          <t>Retail Stores</t>
        </is>
      </c>
      <c r="J323" s="741" t="inlineStr">
        <is>
          <t>Sec.13 p.26</t>
        </is>
      </c>
      <c r="K323" s="744" t="n">
        <v>7104</v>
      </c>
      <c r="L323" s="744" t="n">
        <v>85813</v>
      </c>
      <c r="M323" s="745" t="inlineStr">
        <is>
          <t>C</t>
        </is>
      </c>
      <c r="N323" s="745" t="inlineStr">
        <is>
          <t>Average</t>
        </is>
      </c>
      <c r="O323" s="745" t="inlineStr">
        <is>
          <t>Typical</t>
        </is>
      </c>
      <c r="P323" s="745" t="n">
        <v>1966</v>
      </c>
      <c r="Q323" s="741" t="n">
        <v>58</v>
      </c>
      <c r="R323" s="746" t="n">
        <v>117</v>
      </c>
      <c r="S323" s="747" t="n">
        <v>831168</v>
      </c>
      <c r="T323" s="742" t="inlineStr"/>
    </row>
    <row r="324">
      <c r="A324" s="748" t="n">
        <v>1028</v>
      </c>
      <c r="B324" s="749" t="inlineStr">
        <is>
          <t>3244 S Wadsworth Blvd</t>
        </is>
      </c>
      <c r="C324" s="748" t="inlineStr">
        <is>
          <t>Lakewood</t>
        </is>
      </c>
      <c r="D324" s="748" t="inlineStr">
        <is>
          <t>Jefferson</t>
        </is>
      </c>
      <c r="E324" s="748" t="inlineStr">
        <is>
          <t>Retail Center</t>
        </is>
      </c>
      <c r="F324" s="748" t="inlineStr">
        <is>
          <t>Red Robin</t>
        </is>
      </c>
      <c r="G324" s="748" t="n">
        <v>353</v>
      </c>
      <c r="H324" s="743" t="inlineStr">
        <is>
          <t>353 - Retail Store</t>
        </is>
      </c>
      <c r="I324" s="749" t="inlineStr">
        <is>
          <t>Retail Stores</t>
        </is>
      </c>
      <c r="J324" s="748" t="inlineStr">
        <is>
          <t>Sec.13 p.26</t>
        </is>
      </c>
      <c r="K324" s="744" t="n">
        <v>4598</v>
      </c>
      <c r="L324" s="744" t="n">
        <v>28837</v>
      </c>
      <c r="M324" s="745" t="inlineStr">
        <is>
          <t>C</t>
        </is>
      </c>
      <c r="N324" s="745" t="inlineStr">
        <is>
          <t>Good</t>
        </is>
      </c>
      <c r="O324" s="745" t="inlineStr">
        <is>
          <t>Typical</t>
        </is>
      </c>
      <c r="P324" s="745" t="n">
        <v>2017</v>
      </c>
      <c r="Q324" s="748" t="n">
        <v>7</v>
      </c>
      <c r="R324" s="750" t="n">
        <v>154</v>
      </c>
      <c r="S324" s="751" t="n">
        <v>708092</v>
      </c>
      <c r="T324" s="749" t="inlineStr"/>
    </row>
    <row r="325">
      <c r="A325" s="741" t="n">
        <v>1029</v>
      </c>
      <c r="B325" s="742" t="inlineStr">
        <is>
          <t>1301 S Sheridan Blvd</t>
        </is>
      </c>
      <c r="C325" s="741" t="inlineStr">
        <is>
          <t>Lakewood</t>
        </is>
      </c>
      <c r="D325" s="741" t="inlineStr">
        <is>
          <t>Jefferson</t>
        </is>
      </c>
      <c r="E325" s="741" t="inlineStr">
        <is>
          <t>Auto Service</t>
        </is>
      </c>
      <c r="F325" s="741" t="inlineStr">
        <is>
          <t>Shell Rapid Lube</t>
        </is>
      </c>
      <c r="G325" s="741" t="n">
        <v>325</v>
      </c>
      <c r="H325" s="743" t="inlineStr">
        <is>
          <t>325 - Service Garage</t>
        </is>
      </c>
      <c r="I325" s="742" t="inlineStr">
        <is>
          <t>Service Garages (Commercial/Repair)</t>
        </is>
      </c>
      <c r="J325" s="741" t="inlineStr">
        <is>
          <t>Sec.14 p.32</t>
        </is>
      </c>
      <c r="K325" s="744" t="n">
        <v>2927</v>
      </c>
      <c r="L325" s="744" t="n">
        <v>12402</v>
      </c>
      <c r="M325" s="745" t="inlineStr">
        <is>
          <t>C</t>
        </is>
      </c>
      <c r="N325" s="745" t="inlineStr">
        <is>
          <t>Average</t>
        </is>
      </c>
      <c r="O325" s="745" t="inlineStr">
        <is>
          <t>Typical</t>
        </is>
      </c>
      <c r="P325" s="745" t="n">
        <v>1975</v>
      </c>
      <c r="Q325" s="741" t="n">
        <v>49</v>
      </c>
      <c r="R325" s="746" t="n">
        <v>79.5</v>
      </c>
      <c r="S325" s="747" t="n">
        <v>232696</v>
      </c>
      <c r="T325" s="742" t="inlineStr"/>
    </row>
    <row r="326">
      <c r="A326" s="748" t="n">
        <v>1030</v>
      </c>
      <c r="B326" s="749" t="inlineStr">
        <is>
          <t>3777-3785 Kipling St</t>
        </is>
      </c>
      <c r="C326" s="748" t="inlineStr">
        <is>
          <t>Wheat Ridge</t>
        </is>
      </c>
      <c r="D326" s="748" t="inlineStr">
        <is>
          <t>Jefferson</t>
        </is>
      </c>
      <c r="E326" s="748" t="inlineStr">
        <is>
          <t>Supermarket</t>
        </is>
      </c>
      <c r="F326" s="748" t="inlineStr">
        <is>
          <t>Sprouts</t>
        </is>
      </c>
      <c r="G326" s="748" t="n">
        <v>446</v>
      </c>
      <c r="H326" s="743" t="inlineStr">
        <is>
          <t>446 - SuperMarket</t>
        </is>
      </c>
      <c r="I326" s="749" t="inlineStr">
        <is>
          <t>Supermarkets</t>
        </is>
      </c>
      <c r="J326" s="748" t="inlineStr">
        <is>
          <t>Sec.13 p.20</t>
        </is>
      </c>
      <c r="K326" s="744" t="n">
        <v>27058</v>
      </c>
      <c r="L326" s="744" t="n">
        <v>106378</v>
      </c>
      <c r="M326" s="745" t="inlineStr">
        <is>
          <t>C</t>
        </is>
      </c>
      <c r="N326" s="745" t="inlineStr">
        <is>
          <t>Good</t>
        </is>
      </c>
      <c r="O326" s="745" t="inlineStr">
        <is>
          <t>Typical</t>
        </is>
      </c>
      <c r="P326" s="745" t="n">
        <v>2015</v>
      </c>
      <c r="Q326" s="748" t="n">
        <v>9</v>
      </c>
      <c r="R326" s="750" t="n">
        <v>149</v>
      </c>
      <c r="S326" s="751" t="n">
        <v>4031642</v>
      </c>
      <c r="T326" s="749" t="inlineStr"/>
    </row>
    <row r="327">
      <c r="A327" s="741" t="n">
        <v>1031</v>
      </c>
      <c r="B327" s="742" t="inlineStr">
        <is>
          <t>15050 W 64th Ave</t>
        </is>
      </c>
      <c r="C327" s="741" t="inlineStr">
        <is>
          <t>Arvada</t>
        </is>
      </c>
      <c r="D327" s="741" t="inlineStr">
        <is>
          <t>Jefferson</t>
        </is>
      </c>
      <c r="E327" s="741" t="inlineStr">
        <is>
          <t>Supermarket</t>
        </is>
      </c>
      <c r="F327" s="741" t="inlineStr">
        <is>
          <t>Sprouts</t>
        </is>
      </c>
      <c r="G327" s="741" t="n">
        <v>446</v>
      </c>
      <c r="H327" s="743" t="inlineStr">
        <is>
          <t>446 - SuperMarket</t>
        </is>
      </c>
      <c r="I327" s="742" t="inlineStr">
        <is>
          <t>Supermarkets</t>
        </is>
      </c>
      <c r="J327" s="741" t="inlineStr">
        <is>
          <t>Sec.13 p.20</t>
        </is>
      </c>
      <c r="K327" s="744" t="n">
        <v>28000</v>
      </c>
      <c r="L327" s="744" t="n">
        <v>130680</v>
      </c>
      <c r="M327" s="745" t="inlineStr">
        <is>
          <t>C</t>
        </is>
      </c>
      <c r="N327" s="745" t="inlineStr">
        <is>
          <t>Good</t>
        </is>
      </c>
      <c r="O327" s="745" t="inlineStr">
        <is>
          <t>Typical</t>
        </is>
      </c>
      <c r="P327" s="745" t="n">
        <v>2017</v>
      </c>
      <c r="Q327" s="741" t="n">
        <v>7</v>
      </c>
      <c r="R327" s="746" t="n">
        <v>149</v>
      </c>
      <c r="S327" s="747" t="n">
        <v>4172000</v>
      </c>
      <c r="T327" s="742" t="inlineStr"/>
    </row>
    <row r="328">
      <c r="A328" s="748" t="n">
        <v>1032</v>
      </c>
      <c r="B328" s="749" t="inlineStr">
        <is>
          <t>26724 Conifer Town Center Dr</t>
        </is>
      </c>
      <c r="C328" s="748" t="inlineStr">
        <is>
          <t>Conifer</t>
        </is>
      </c>
      <c r="D328" s="748" t="inlineStr">
        <is>
          <t>Jefferson</t>
        </is>
      </c>
      <c r="E328" s="748" t="inlineStr">
        <is>
          <t>Coffee</t>
        </is>
      </c>
      <c r="F328" s="748" t="inlineStr">
        <is>
          <t>Starbucks</t>
        </is>
      </c>
      <c r="G328" s="748" t="n">
        <v>349</v>
      </c>
      <c r="H328" s="743" t="inlineStr">
        <is>
          <t>349 - Fast Food Restaurant</t>
        </is>
      </c>
      <c r="I328" s="749" t="inlineStr">
        <is>
          <t>Restaurants – Fast Food</t>
        </is>
      </c>
      <c r="J328" s="748" t="inlineStr">
        <is>
          <t>Sec.13 p.17</t>
        </is>
      </c>
      <c r="K328" s="744" t="n">
        <v>2000</v>
      </c>
      <c r="L328" s="744" t="n">
        <v>38768</v>
      </c>
      <c r="M328" s="745" t="inlineStr">
        <is>
          <t>C</t>
        </is>
      </c>
      <c r="N328" s="745" t="inlineStr">
        <is>
          <t>Good</t>
        </is>
      </c>
      <c r="O328" s="745" t="inlineStr">
        <is>
          <t>Typical</t>
        </is>
      </c>
      <c r="P328" s="745" t="n">
        <v>2007</v>
      </c>
      <c r="Q328" s="748" t="n">
        <v>17</v>
      </c>
      <c r="R328" s="750" t="n">
        <v>246</v>
      </c>
      <c r="S328" s="751" t="n">
        <v>492000</v>
      </c>
      <c r="T328" s="749" t="inlineStr"/>
    </row>
    <row r="329">
      <c r="A329" s="741" t="n">
        <v>1033</v>
      </c>
      <c r="B329" s="742" t="inlineStr">
        <is>
          <t>8830 Indiana St</t>
        </is>
      </c>
      <c r="C329" s="741" t="inlineStr">
        <is>
          <t>Arvada</t>
        </is>
      </c>
      <c r="D329" s="741" t="inlineStr">
        <is>
          <t>Jefferson</t>
        </is>
      </c>
      <c r="E329" s="741" t="inlineStr">
        <is>
          <t>Coffee</t>
        </is>
      </c>
      <c r="F329" s="741" t="inlineStr">
        <is>
          <t>Starbucks</t>
        </is>
      </c>
      <c r="G329" s="741" t="n">
        <v>349</v>
      </c>
      <c r="H329" s="743" t="inlineStr">
        <is>
          <t>349 - Fast Food Restaurant</t>
        </is>
      </c>
      <c r="I329" s="742" t="inlineStr">
        <is>
          <t>Restaurants – Fast Food</t>
        </is>
      </c>
      <c r="J329" s="741" t="inlineStr">
        <is>
          <t>Sec.13 p.17</t>
        </is>
      </c>
      <c r="K329" s="744" t="n">
        <v>2349</v>
      </c>
      <c r="L329" s="744" t="n">
        <v>38333</v>
      </c>
      <c r="M329" s="745" t="inlineStr">
        <is>
          <t>C</t>
        </is>
      </c>
      <c r="N329" s="745" t="inlineStr">
        <is>
          <t>Good</t>
        </is>
      </c>
      <c r="O329" s="745" t="inlineStr">
        <is>
          <t>Typical</t>
        </is>
      </c>
      <c r="P329" s="745" t="n">
        <v>2018</v>
      </c>
      <c r="Q329" s="741" t="n">
        <v>6</v>
      </c>
      <c r="R329" s="746" t="n">
        <v>246</v>
      </c>
      <c r="S329" s="747" t="n">
        <v>577854</v>
      </c>
      <c r="T329" s="742" t="inlineStr"/>
    </row>
    <row r="330">
      <c r="A330" s="748" t="n">
        <v>1034</v>
      </c>
      <c r="B330" s="749" t="inlineStr">
        <is>
          <t>11571 W Ken Caryl Ave</t>
        </is>
      </c>
      <c r="C330" s="748" t="inlineStr">
        <is>
          <t>Littleton</t>
        </is>
      </c>
      <c r="D330" s="748" t="inlineStr">
        <is>
          <t>Jefferson</t>
        </is>
      </c>
      <c r="E330" s="748" t="inlineStr">
        <is>
          <t>Coffee</t>
        </is>
      </c>
      <c r="F330" s="748" t="inlineStr">
        <is>
          <t>Starbucks</t>
        </is>
      </c>
      <c r="G330" s="748" t="n">
        <v>349</v>
      </c>
      <c r="H330" s="743" t="inlineStr">
        <is>
          <t>349 - Fast Food Restaurant</t>
        </is>
      </c>
      <c r="I330" s="749" t="inlineStr">
        <is>
          <t>Restaurants – Fast Food</t>
        </is>
      </c>
      <c r="J330" s="748" t="inlineStr">
        <is>
          <t>Sec.13 p.17</t>
        </is>
      </c>
      <c r="K330" s="744" t="n">
        <v>3879</v>
      </c>
      <c r="L330" s="744" t="n">
        <v>40946</v>
      </c>
      <c r="M330" s="745" t="inlineStr">
        <is>
          <t>C</t>
        </is>
      </c>
      <c r="N330" s="745" t="inlineStr">
        <is>
          <t>Good</t>
        </is>
      </c>
      <c r="O330" s="745" t="inlineStr">
        <is>
          <t>Typical</t>
        </is>
      </c>
      <c r="P330" s="745" t="n">
        <v>2021</v>
      </c>
      <c r="Q330" s="748" t="n">
        <v>3</v>
      </c>
      <c r="R330" s="750" t="n">
        <v>246</v>
      </c>
      <c r="S330" s="751" t="n">
        <v>954234</v>
      </c>
      <c r="T330" s="749" t="inlineStr"/>
    </row>
    <row r="331">
      <c r="A331" s="741" t="n">
        <v>1035</v>
      </c>
      <c r="B331" s="742" t="inlineStr">
        <is>
          <t>3795 Kipling St</t>
        </is>
      </c>
      <c r="C331" s="741" t="inlineStr">
        <is>
          <t>Wheat Ridge</t>
        </is>
      </c>
      <c r="D331" s="741" t="inlineStr">
        <is>
          <t>Jefferson</t>
        </is>
      </c>
      <c r="E331" s="741" t="inlineStr">
        <is>
          <t>Coffee</t>
        </is>
      </c>
      <c r="F331" s="741" t="inlineStr">
        <is>
          <t>Starbucks</t>
        </is>
      </c>
      <c r="G331" s="741" t="n">
        <v>349</v>
      </c>
      <c r="H331" s="743" t="inlineStr">
        <is>
          <t>349 - Fast Food Restaurant</t>
        </is>
      </c>
      <c r="I331" s="742" t="inlineStr">
        <is>
          <t>Restaurants – Fast Food</t>
        </is>
      </c>
      <c r="J331" s="741" t="inlineStr">
        <is>
          <t>Sec.13 p.17</t>
        </is>
      </c>
      <c r="K331" s="744" t="n">
        <v>2420</v>
      </c>
      <c r="L331" s="744" t="n">
        <v>12502</v>
      </c>
      <c r="M331" s="745" t="inlineStr">
        <is>
          <t>C</t>
        </is>
      </c>
      <c r="N331" s="745" t="inlineStr">
        <is>
          <t>Good</t>
        </is>
      </c>
      <c r="O331" s="745" t="inlineStr">
        <is>
          <t>Typical</t>
        </is>
      </c>
      <c r="P331" s="745" t="n">
        <v>2015</v>
      </c>
      <c r="Q331" s="741" t="n">
        <v>9</v>
      </c>
      <c r="R331" s="746" t="n">
        <v>246</v>
      </c>
      <c r="S331" s="747" t="n">
        <v>595320</v>
      </c>
      <c r="T331" s="742" t="inlineStr"/>
    </row>
    <row r="332">
      <c r="A332" s="748" t="n">
        <v>1036</v>
      </c>
      <c r="B332" s="749" t="inlineStr">
        <is>
          <t>26724 Conifer Town Center Dr</t>
        </is>
      </c>
      <c r="C332" s="748" t="inlineStr">
        <is>
          <t>Conifer</t>
        </is>
      </c>
      <c r="D332" s="748" t="inlineStr">
        <is>
          <t>Jefferson</t>
        </is>
      </c>
      <c r="E332" s="748" t="inlineStr">
        <is>
          <t>Coffee</t>
        </is>
      </c>
      <c r="F332" s="748" t="inlineStr">
        <is>
          <t>Starbucks</t>
        </is>
      </c>
      <c r="G332" s="748" t="n">
        <v>349</v>
      </c>
      <c r="H332" s="743" t="inlineStr">
        <is>
          <t>349 - Fast Food Restaurant</t>
        </is>
      </c>
      <c r="I332" s="749" t="inlineStr">
        <is>
          <t>Restaurants – Fast Food</t>
        </is>
      </c>
      <c r="J332" s="748" t="inlineStr">
        <is>
          <t>Sec.13 p.17</t>
        </is>
      </c>
      <c r="K332" s="744" t="n">
        <v>2000</v>
      </c>
      <c r="L332" s="744" t="n">
        <v>0</v>
      </c>
      <c r="M332" s="745" t="inlineStr">
        <is>
          <t>C</t>
        </is>
      </c>
      <c r="N332" s="745" t="inlineStr">
        <is>
          <t>Good</t>
        </is>
      </c>
      <c r="O332" s="745" t="inlineStr">
        <is>
          <t>Typical</t>
        </is>
      </c>
      <c r="P332" s="745" t="n">
        <v>2007</v>
      </c>
      <c r="Q332" s="748" t="n">
        <v>17</v>
      </c>
      <c r="R332" s="750" t="n">
        <v>246</v>
      </c>
      <c r="S332" s="751" t="n">
        <v>492000</v>
      </c>
      <c r="T332" s="749" t="inlineStr"/>
    </row>
    <row r="333">
      <c r="A333" s="741" t="n">
        <v>1037</v>
      </c>
      <c r="B333" s="742" t="inlineStr">
        <is>
          <t>10057 W Progress Ave</t>
        </is>
      </c>
      <c r="C333" s="741" t="inlineStr">
        <is>
          <t>Littleton</t>
        </is>
      </c>
      <c r="D333" s="741" t="inlineStr">
        <is>
          <t>Jefferson</t>
        </is>
      </c>
      <c r="E333" s="741" t="inlineStr">
        <is>
          <t>Coffee</t>
        </is>
      </c>
      <c r="F333" s="741" t="inlineStr">
        <is>
          <t>Starbucks</t>
        </is>
      </c>
      <c r="G333" s="741" t="n">
        <v>349</v>
      </c>
      <c r="H333" s="743" t="inlineStr">
        <is>
          <t>349 - Fast Food Restaurant</t>
        </is>
      </c>
      <c r="I333" s="742" t="inlineStr">
        <is>
          <t>Restaurants – Fast Food</t>
        </is>
      </c>
      <c r="J333" s="741" t="inlineStr">
        <is>
          <t>Sec.13 p.17</t>
        </is>
      </c>
      <c r="K333" s="744" t="n">
        <v>2225</v>
      </c>
      <c r="L333" s="744" t="n">
        <v>54014</v>
      </c>
      <c r="M333" s="745" t="inlineStr">
        <is>
          <t>C</t>
        </is>
      </c>
      <c r="N333" s="745" t="inlineStr">
        <is>
          <t>Good</t>
        </is>
      </c>
      <c r="O333" s="745" t="inlineStr">
        <is>
          <t>Typical</t>
        </is>
      </c>
      <c r="P333" s="745" t="n">
        <v>2022</v>
      </c>
      <c r="Q333" s="741" t="n">
        <v>2</v>
      </c>
      <c r="R333" s="746" t="n">
        <v>246</v>
      </c>
      <c r="S333" s="747" t="n">
        <v>547350</v>
      </c>
      <c r="T333" s="742" t="inlineStr"/>
    </row>
    <row r="334">
      <c r="A334" s="748" t="n">
        <v>1038</v>
      </c>
      <c r="B334" s="749" t="inlineStr">
        <is>
          <t>5790 W 29th Ave</t>
        </is>
      </c>
      <c r="C334" s="748" t="inlineStr">
        <is>
          <t>Wheat Ridge</t>
        </is>
      </c>
      <c r="D334" s="748" t="inlineStr">
        <is>
          <t>Jefferson</t>
        </is>
      </c>
      <c r="E334" s="748" t="inlineStr">
        <is>
          <t>Auto Service</t>
        </is>
      </c>
      <c r="F334" s="748" t="inlineStr">
        <is>
          <t>Stat Automotive</t>
        </is>
      </c>
      <c r="G334" s="748" t="n">
        <v>325</v>
      </c>
      <c r="H334" s="743" t="inlineStr">
        <is>
          <t>325 - Service Garage</t>
        </is>
      </c>
      <c r="I334" s="749" t="inlineStr">
        <is>
          <t>Service Garages (Commercial/Repair)</t>
        </is>
      </c>
      <c r="J334" s="748" t="inlineStr">
        <is>
          <t>Sec.14 p.32</t>
        </is>
      </c>
      <c r="K334" s="744" t="n">
        <v>1274</v>
      </c>
      <c r="L334" s="744" t="n">
        <v>13286</v>
      </c>
      <c r="M334" s="745" t="inlineStr">
        <is>
          <t>C</t>
        </is>
      </c>
      <c r="N334" s="745" t="inlineStr">
        <is>
          <t>Average</t>
        </is>
      </c>
      <c r="O334" s="745" t="inlineStr">
        <is>
          <t>Typical</t>
        </is>
      </c>
      <c r="P334" s="745" t="n">
        <v>1951</v>
      </c>
      <c r="Q334" s="748" t="n">
        <v>73</v>
      </c>
      <c r="R334" s="750" t="n">
        <v>79.5</v>
      </c>
      <c r="S334" s="751" t="n">
        <v>101283</v>
      </c>
      <c r="T334" s="749" t="inlineStr"/>
    </row>
    <row r="335">
      <c r="A335" s="741" t="n">
        <v>1039</v>
      </c>
      <c r="B335" s="742" t="inlineStr">
        <is>
          <t>10670 Bradford Rd</t>
        </is>
      </c>
      <c r="C335" s="741" t="inlineStr">
        <is>
          <t>Littleton</t>
        </is>
      </c>
      <c r="D335" s="741" t="inlineStr">
        <is>
          <t>Jefferson</t>
        </is>
      </c>
      <c r="E335" s="741" t="inlineStr">
        <is>
          <t>Daycare</t>
        </is>
      </c>
      <c r="F335" s="741" t="inlineStr">
        <is>
          <t>Stepping Stones Learning Center</t>
        </is>
      </c>
      <c r="G335" s="741" t="n">
        <v>426</v>
      </c>
      <c r="H335" s="743" t="inlineStr">
        <is>
          <t>426 - Day Care Center</t>
        </is>
      </c>
      <c r="I335" s="742" t="inlineStr">
        <is>
          <t>Day Care Centers</t>
        </is>
      </c>
      <c r="J335" s="741" t="inlineStr">
        <is>
          <t>Sec.18 p.13</t>
        </is>
      </c>
      <c r="K335" s="744" t="n">
        <v>9852</v>
      </c>
      <c r="L335" s="744" t="n">
        <v>45738</v>
      </c>
      <c r="M335" s="745" t="inlineStr">
        <is>
          <t>C</t>
        </is>
      </c>
      <c r="N335" s="745" t="inlineStr">
        <is>
          <t>Average</t>
        </is>
      </c>
      <c r="O335" s="745" t="inlineStr">
        <is>
          <t>Typical</t>
        </is>
      </c>
      <c r="P335" s="745" t="n">
        <v>1996</v>
      </c>
      <c r="Q335" s="741" t="n">
        <v>28</v>
      </c>
      <c r="R335" s="746" t="n">
        <v>173</v>
      </c>
      <c r="S335" s="747" t="n">
        <v>1704396</v>
      </c>
      <c r="T335" s="742" t="inlineStr"/>
    </row>
    <row r="336">
      <c r="A336" s="748" t="n">
        <v>1040</v>
      </c>
      <c r="B336" s="749" t="inlineStr">
        <is>
          <t>9987 Wadsworth Pky</t>
        </is>
      </c>
      <c r="C336" s="748" t="inlineStr">
        <is>
          <t>Westminster</t>
        </is>
      </c>
      <c r="D336" s="748" t="inlineStr">
        <is>
          <t>Jefferson</t>
        </is>
      </c>
      <c r="E336" s="748" t="inlineStr">
        <is>
          <t>Fast Food</t>
        </is>
      </c>
      <c r="F336" s="748" t="inlineStr">
        <is>
          <t>Subway</t>
        </is>
      </c>
      <c r="G336" s="748" t="n">
        <v>349</v>
      </c>
      <c r="H336" s="743" t="inlineStr">
        <is>
          <t>349 - Fast Food Restaurant</t>
        </is>
      </c>
      <c r="I336" s="749" t="inlineStr">
        <is>
          <t>Restaurants – Fast Food</t>
        </is>
      </c>
      <c r="J336" s="748" t="inlineStr">
        <is>
          <t>Sec.13 p.17</t>
        </is>
      </c>
      <c r="K336" s="744" t="n">
        <v>1500</v>
      </c>
      <c r="L336" s="744" t="n">
        <v>15725</v>
      </c>
      <c r="M336" s="745" t="inlineStr">
        <is>
          <t>C</t>
        </is>
      </c>
      <c r="N336" s="745" t="inlineStr">
        <is>
          <t>Average</t>
        </is>
      </c>
      <c r="O336" s="745" t="inlineStr">
        <is>
          <t>Typical</t>
        </is>
      </c>
      <c r="P336" s="745" t="n">
        <v>1993</v>
      </c>
      <c r="Q336" s="748" t="n">
        <v>31</v>
      </c>
      <c r="R336" s="750" t="n">
        <v>191</v>
      </c>
      <c r="S336" s="751" t="n">
        <v>286500</v>
      </c>
      <c r="T336" s="749" t="inlineStr"/>
    </row>
    <row r="337">
      <c r="A337" s="741" t="n">
        <v>1041</v>
      </c>
      <c r="B337" s="742" t="inlineStr">
        <is>
          <t>5700 W Alameda Ave</t>
        </is>
      </c>
      <c r="C337" s="741" t="inlineStr">
        <is>
          <t>Denver</t>
        </is>
      </c>
      <c r="D337" s="741" t="inlineStr">
        <is>
          <t>Jefferson</t>
        </is>
      </c>
      <c r="E337" s="741" t="inlineStr">
        <is>
          <t>Auto Service</t>
        </is>
      </c>
      <c r="F337" s="741" t="inlineStr">
        <is>
          <t>Super Low Price Auto Glass</t>
        </is>
      </c>
      <c r="G337" s="741" t="n">
        <v>325</v>
      </c>
      <c r="H337" s="743" t="inlineStr">
        <is>
          <t>325 - Service Garage</t>
        </is>
      </c>
      <c r="I337" s="742" t="inlineStr">
        <is>
          <t>Service Garages (Commercial/Repair)</t>
        </is>
      </c>
      <c r="J337" s="741" t="inlineStr">
        <is>
          <t>Sec.14 p.32</t>
        </is>
      </c>
      <c r="K337" s="744" t="n">
        <v>5720</v>
      </c>
      <c r="L337" s="744" t="n">
        <v>15682</v>
      </c>
      <c r="M337" s="745" t="inlineStr">
        <is>
          <t>C</t>
        </is>
      </c>
      <c r="N337" s="745" t="inlineStr">
        <is>
          <t>Average</t>
        </is>
      </c>
      <c r="O337" s="745" t="inlineStr">
        <is>
          <t>Typical</t>
        </is>
      </c>
      <c r="P337" s="745" t="n">
        <v>1974</v>
      </c>
      <c r="Q337" s="741" t="n">
        <v>50</v>
      </c>
      <c r="R337" s="746" t="n">
        <v>79.5</v>
      </c>
      <c r="S337" s="747" t="n">
        <v>454740</v>
      </c>
      <c r="T337" s="742" t="inlineStr"/>
    </row>
    <row r="338">
      <c r="A338" s="748" t="n">
        <v>1042</v>
      </c>
      <c r="B338" s="749" t="inlineStr">
        <is>
          <t>5260 Wadsworth Byp</t>
        </is>
      </c>
      <c r="C338" s="748" t="inlineStr">
        <is>
          <t>Arvada</t>
        </is>
      </c>
      <c r="D338" s="748" t="inlineStr">
        <is>
          <t>Jefferson</t>
        </is>
      </c>
      <c r="E338" s="748" t="inlineStr">
        <is>
          <t>Fast Food</t>
        </is>
      </c>
      <c r="F338" s="748" t="inlineStr">
        <is>
          <t>Taco Bell</t>
        </is>
      </c>
      <c r="G338" s="748" t="n">
        <v>349</v>
      </c>
      <c r="H338" s="743" t="inlineStr">
        <is>
          <t>349 - Fast Food Restaurant</t>
        </is>
      </c>
      <c r="I338" s="749" t="inlineStr">
        <is>
          <t>Restaurants – Fast Food</t>
        </is>
      </c>
      <c r="J338" s="748" t="inlineStr">
        <is>
          <t>Sec.13 p.17</t>
        </is>
      </c>
      <c r="K338" s="744" t="n">
        <v>2240</v>
      </c>
      <c r="L338" s="744" t="n">
        <v>29185</v>
      </c>
      <c r="M338" s="745" t="inlineStr">
        <is>
          <t>C</t>
        </is>
      </c>
      <c r="N338" s="745" t="inlineStr">
        <is>
          <t>Average</t>
        </is>
      </c>
      <c r="O338" s="745" t="inlineStr">
        <is>
          <t>Typical</t>
        </is>
      </c>
      <c r="P338" s="745" t="n">
        <v>1987</v>
      </c>
      <c r="Q338" s="748" t="n">
        <v>37</v>
      </c>
      <c r="R338" s="750" t="n">
        <v>191</v>
      </c>
      <c r="S338" s="751" t="n">
        <v>427840</v>
      </c>
      <c r="T338" s="749" t="inlineStr"/>
    </row>
    <row r="339">
      <c r="A339" s="741" t="n">
        <v>1043</v>
      </c>
      <c r="B339" s="742" t="inlineStr">
        <is>
          <t>5260 Wadsworth Byp</t>
        </is>
      </c>
      <c r="C339" s="741" t="inlineStr">
        <is>
          <t>Arvada</t>
        </is>
      </c>
      <c r="D339" s="741" t="inlineStr">
        <is>
          <t>Jefferson</t>
        </is>
      </c>
      <c r="E339" s="741" t="inlineStr">
        <is>
          <t>Fast Food</t>
        </is>
      </c>
      <c r="F339" s="741" t="inlineStr">
        <is>
          <t>Taco Bell</t>
        </is>
      </c>
      <c r="G339" s="741" t="n">
        <v>349</v>
      </c>
      <c r="H339" s="743" t="inlineStr">
        <is>
          <t>349 - Fast Food Restaurant</t>
        </is>
      </c>
      <c r="I339" s="742" t="inlineStr">
        <is>
          <t>Restaurants – Fast Food</t>
        </is>
      </c>
      <c r="J339" s="741" t="inlineStr">
        <is>
          <t>Sec.13 p.17</t>
        </is>
      </c>
      <c r="K339" s="744" t="n">
        <v>2240</v>
      </c>
      <c r="L339" s="744" t="n">
        <v>29185</v>
      </c>
      <c r="M339" s="745" t="inlineStr">
        <is>
          <t>C</t>
        </is>
      </c>
      <c r="N339" s="745" t="inlineStr">
        <is>
          <t>Average</t>
        </is>
      </c>
      <c r="O339" s="745" t="inlineStr">
        <is>
          <t>Typical</t>
        </is>
      </c>
      <c r="P339" s="745" t="n">
        <v>1987</v>
      </c>
      <c r="Q339" s="741" t="n">
        <v>37</v>
      </c>
      <c r="R339" s="746" t="n">
        <v>191</v>
      </c>
      <c r="S339" s="747" t="n">
        <v>427840</v>
      </c>
      <c r="T339" s="742" t="inlineStr"/>
    </row>
    <row r="340">
      <c r="A340" s="748" t="n">
        <v>1044</v>
      </c>
      <c r="B340" s="749" t="inlineStr">
        <is>
          <t>30850 Stagecoach Blvd</t>
        </is>
      </c>
      <c r="C340" s="748" t="inlineStr">
        <is>
          <t>Evergreen</t>
        </is>
      </c>
      <c r="D340" s="748" t="inlineStr">
        <is>
          <t>Jefferson</t>
        </is>
      </c>
      <c r="E340" s="748" t="inlineStr">
        <is>
          <t>Fast Food</t>
        </is>
      </c>
      <c r="F340" s="748" t="inlineStr">
        <is>
          <t>Taco Bell</t>
        </is>
      </c>
      <c r="G340" s="748" t="n">
        <v>349</v>
      </c>
      <c r="H340" s="743" t="inlineStr">
        <is>
          <t>349 - Fast Food Restaurant</t>
        </is>
      </c>
      <c r="I340" s="749" t="inlineStr">
        <is>
          <t>Restaurants – Fast Food</t>
        </is>
      </c>
      <c r="J340" s="748" t="inlineStr">
        <is>
          <t>Sec.13 p.17</t>
        </is>
      </c>
      <c r="K340" s="744" t="n">
        <v>2187</v>
      </c>
      <c r="L340" s="744" t="n">
        <v>51836</v>
      </c>
      <c r="M340" s="745" t="inlineStr">
        <is>
          <t>C</t>
        </is>
      </c>
      <c r="N340" s="745" t="inlineStr">
        <is>
          <t>Average</t>
        </is>
      </c>
      <c r="O340" s="745" t="inlineStr">
        <is>
          <t>Typical</t>
        </is>
      </c>
      <c r="P340" s="745" t="n">
        <v>1997</v>
      </c>
      <c r="Q340" s="748" t="n">
        <v>27</v>
      </c>
      <c r="R340" s="750" t="n">
        <v>191</v>
      </c>
      <c r="S340" s="751" t="n">
        <v>417717</v>
      </c>
      <c r="T340" s="749" t="inlineStr"/>
    </row>
    <row r="341">
      <c r="A341" s="741" t="n">
        <v>1045</v>
      </c>
      <c r="B341" s="742" t="inlineStr">
        <is>
          <t>3790 Chase St</t>
        </is>
      </c>
      <c r="C341" s="741" t="inlineStr">
        <is>
          <t>Wheat Ridge</t>
        </is>
      </c>
      <c r="D341" s="741" t="inlineStr">
        <is>
          <t>Jefferson</t>
        </is>
      </c>
      <c r="E341" s="741" t="inlineStr">
        <is>
          <t>Daycare</t>
        </is>
      </c>
      <c r="F341" s="741" t="inlineStr">
        <is>
          <t>Tiny Hearts Academy</t>
        </is>
      </c>
      <c r="G341" s="741" t="n">
        <v>426</v>
      </c>
      <c r="H341" s="743" t="inlineStr">
        <is>
          <t>426 - Day Care Center</t>
        </is>
      </c>
      <c r="I341" s="742" t="inlineStr">
        <is>
          <t>Day Care Centers</t>
        </is>
      </c>
      <c r="J341" s="741" t="inlineStr">
        <is>
          <t>Sec.18 p.13</t>
        </is>
      </c>
      <c r="K341" s="744" t="n">
        <v>3240</v>
      </c>
      <c r="L341" s="744" t="n">
        <v>13500</v>
      </c>
      <c r="M341" s="745" t="inlineStr">
        <is>
          <t>C</t>
        </is>
      </c>
      <c r="N341" s="745" t="inlineStr">
        <is>
          <t>Average</t>
        </is>
      </c>
      <c r="O341" s="745" t="inlineStr">
        <is>
          <t>Typical</t>
        </is>
      </c>
      <c r="P341" s="745" t="n">
        <v>1981</v>
      </c>
      <c r="Q341" s="741" t="n">
        <v>43</v>
      </c>
      <c r="R341" s="746" t="n">
        <v>173</v>
      </c>
      <c r="S341" s="747" t="n">
        <v>560520</v>
      </c>
      <c r="T341" s="742" t="inlineStr"/>
    </row>
    <row r="342">
      <c r="A342" s="748" t="n">
        <v>1046</v>
      </c>
      <c r="B342" s="749" t="inlineStr">
        <is>
          <t>5325 Olde Wadsworth Blvd</t>
        </is>
      </c>
      <c r="C342" s="748" t="inlineStr">
        <is>
          <t>Arvada</t>
        </is>
      </c>
      <c r="D342" s="748" t="inlineStr">
        <is>
          <t>Jefferson</t>
        </is>
      </c>
      <c r="E342" s="748" t="inlineStr">
        <is>
          <t>Auto Service</t>
        </is>
      </c>
      <c r="F342" s="748" t="inlineStr">
        <is>
          <t>Tires Plus</t>
        </is>
      </c>
      <c r="G342" s="748" t="n">
        <v>410</v>
      </c>
      <c r="H342" s="743" t="inlineStr">
        <is>
          <t>410 - Automotive Center</t>
        </is>
      </c>
      <c r="I342" s="749" t="inlineStr">
        <is>
          <t>Automotive Service Centers</t>
        </is>
      </c>
      <c r="J342" s="748" t="inlineStr">
        <is>
          <t>Sec.14 p.31</t>
        </is>
      </c>
      <c r="K342" s="744" t="n">
        <v>4681</v>
      </c>
      <c r="L342" s="744" t="n">
        <v>20473</v>
      </c>
      <c r="M342" s="745" t="inlineStr">
        <is>
          <t>S</t>
        </is>
      </c>
      <c r="N342" s="745" t="inlineStr">
        <is>
          <t>Average</t>
        </is>
      </c>
      <c r="O342" s="745" t="inlineStr">
        <is>
          <t>Typical</t>
        </is>
      </c>
      <c r="P342" s="745" t="n">
        <v>2001</v>
      </c>
      <c r="Q342" s="748" t="n">
        <v>23</v>
      </c>
      <c r="R342" s="750" t="n">
        <v>97.5</v>
      </c>
      <c r="S342" s="751" t="n">
        <v>456398</v>
      </c>
      <c r="T342" s="749" t="inlineStr"/>
    </row>
    <row r="343">
      <c r="A343" s="741" t="n">
        <v>1047</v>
      </c>
      <c r="B343" s="742" t="inlineStr">
        <is>
          <t>12301 W Center Ave</t>
        </is>
      </c>
      <c r="C343" s="741" t="inlineStr">
        <is>
          <t>Lakewood</t>
        </is>
      </c>
      <c r="D343" s="741" t="inlineStr">
        <is>
          <t>Jefferson</t>
        </is>
      </c>
      <c r="E343" s="741" t="inlineStr">
        <is>
          <t>Auto Service</t>
        </is>
      </c>
      <c r="F343" s="741" t="inlineStr">
        <is>
          <t>True Automotive</t>
        </is>
      </c>
      <c r="G343" s="741" t="n">
        <v>325</v>
      </c>
      <c r="H343" s="743" t="inlineStr">
        <is>
          <t>325 - Service Garage</t>
        </is>
      </c>
      <c r="I343" s="742" t="inlineStr">
        <is>
          <t>Service Garages (Commercial/Repair)</t>
        </is>
      </c>
      <c r="J343" s="741" t="inlineStr">
        <is>
          <t>Sec.14 p.32</t>
        </is>
      </c>
      <c r="K343" s="744" t="n">
        <v>3678</v>
      </c>
      <c r="L343" s="744" t="n">
        <v>27530</v>
      </c>
      <c r="M343" s="745" t="inlineStr">
        <is>
          <t>C</t>
        </is>
      </c>
      <c r="N343" s="745" t="inlineStr">
        <is>
          <t>Average</t>
        </is>
      </c>
      <c r="O343" s="745" t="inlineStr">
        <is>
          <t>Typical</t>
        </is>
      </c>
      <c r="P343" s="745" t="n">
        <v>1985</v>
      </c>
      <c r="Q343" s="741" t="n">
        <v>39</v>
      </c>
      <c r="R343" s="746" t="n">
        <v>79.5</v>
      </c>
      <c r="S343" s="747" t="n">
        <v>292401</v>
      </c>
      <c r="T343" s="742" t="inlineStr"/>
    </row>
    <row r="344">
      <c r="A344" s="748" t="n">
        <v>1048</v>
      </c>
      <c r="B344" s="749" t="inlineStr">
        <is>
          <t>7930 Wadsworth Blvd</t>
        </is>
      </c>
      <c r="C344" s="748" t="inlineStr">
        <is>
          <t>Arvada</t>
        </is>
      </c>
      <c r="D344" s="748" t="inlineStr">
        <is>
          <t>Jefferson</t>
        </is>
      </c>
      <c r="E344" s="748" t="inlineStr">
        <is>
          <t>Drugstore</t>
        </is>
      </c>
      <c r="F344" s="748" t="inlineStr">
        <is>
          <t>Walgreen's</t>
        </is>
      </c>
      <c r="G344" s="748" t="n">
        <v>353</v>
      </c>
      <c r="H344" s="743" t="inlineStr">
        <is>
          <t>353 - Retail Store</t>
        </is>
      </c>
      <c r="I344" s="749" t="inlineStr">
        <is>
          <t>Retail Stores</t>
        </is>
      </c>
      <c r="J344" s="748" t="inlineStr">
        <is>
          <t>Sec.13 p.26</t>
        </is>
      </c>
      <c r="K344" s="744" t="n">
        <v>14570</v>
      </c>
      <c r="L344" s="744" t="n">
        <v>121968</v>
      </c>
      <c r="M344" s="745" t="inlineStr">
        <is>
          <t>C</t>
        </is>
      </c>
      <c r="N344" s="745" t="inlineStr">
        <is>
          <t>Average</t>
        </is>
      </c>
      <c r="O344" s="745" t="inlineStr">
        <is>
          <t>Typical</t>
        </is>
      </c>
      <c r="P344" s="745" t="n">
        <v>2009</v>
      </c>
      <c r="Q344" s="748" t="n">
        <v>15</v>
      </c>
      <c r="R344" s="750" t="n">
        <v>117</v>
      </c>
      <c r="S344" s="751" t="n">
        <v>1704690</v>
      </c>
      <c r="T344" s="749" t="inlineStr"/>
    </row>
    <row r="345">
      <c r="A345" s="741" t="n">
        <v>1049</v>
      </c>
      <c r="B345" s="742" t="inlineStr">
        <is>
          <t>6395 Sheridan Blvd</t>
        </is>
      </c>
      <c r="C345" s="741" t="inlineStr">
        <is>
          <t>Arvada</t>
        </is>
      </c>
      <c r="D345" s="741" t="inlineStr">
        <is>
          <t>Jefferson</t>
        </is>
      </c>
      <c r="E345" s="741" t="inlineStr">
        <is>
          <t>Drugstore</t>
        </is>
      </c>
      <c r="F345" s="741" t="inlineStr">
        <is>
          <t>Walgreens</t>
        </is>
      </c>
      <c r="G345" s="741" t="n">
        <v>353</v>
      </c>
      <c r="H345" s="743" t="inlineStr">
        <is>
          <t>353 - Retail Store</t>
        </is>
      </c>
      <c r="I345" s="742" t="inlineStr">
        <is>
          <t>Retail Stores</t>
        </is>
      </c>
      <c r="J345" s="741" t="inlineStr">
        <is>
          <t>Sec.13 p.26</t>
        </is>
      </c>
      <c r="K345" s="744" t="n">
        <v>13500</v>
      </c>
      <c r="L345" s="744" t="n">
        <v>64904</v>
      </c>
      <c r="M345" s="745" t="inlineStr">
        <is>
          <t>C</t>
        </is>
      </c>
      <c r="N345" s="745" t="inlineStr">
        <is>
          <t>Average</t>
        </is>
      </c>
      <c r="O345" s="745" t="inlineStr">
        <is>
          <t>Typical</t>
        </is>
      </c>
      <c r="P345" s="745" t="n">
        <v>1995</v>
      </c>
      <c r="Q345" s="741" t="n">
        <v>29</v>
      </c>
      <c r="R345" s="746" t="n">
        <v>117</v>
      </c>
      <c r="S345" s="747" t="n">
        <v>1579500</v>
      </c>
      <c r="T345" s="742" t="inlineStr"/>
    </row>
    <row r="346">
      <c r="A346" s="748" t="n">
        <v>1050</v>
      </c>
      <c r="B346" s="749" t="inlineStr">
        <is>
          <t>3510 Evergreen Pky</t>
        </is>
      </c>
      <c r="C346" s="748" t="inlineStr">
        <is>
          <t>Evergreen</t>
        </is>
      </c>
      <c r="D346" s="748" t="inlineStr">
        <is>
          <t>Jefferson</t>
        </is>
      </c>
      <c r="E346" s="748" t="inlineStr">
        <is>
          <t>Drugstore</t>
        </is>
      </c>
      <c r="F346" s="748" t="inlineStr">
        <is>
          <t>Walgreens</t>
        </is>
      </c>
      <c r="G346" s="748" t="n">
        <v>353</v>
      </c>
      <c r="H346" s="743" t="inlineStr">
        <is>
          <t>353 - Retail Store</t>
        </is>
      </c>
      <c r="I346" s="749" t="inlineStr">
        <is>
          <t>Retail Stores</t>
        </is>
      </c>
      <c r="J346" s="748" t="inlineStr">
        <is>
          <t>Sec.13 p.26</t>
        </is>
      </c>
      <c r="K346" s="744" t="n">
        <v>11317</v>
      </c>
      <c r="L346" s="744" t="n">
        <v>63075</v>
      </c>
      <c r="M346" s="745" t="inlineStr">
        <is>
          <t>C</t>
        </is>
      </c>
      <c r="N346" s="745" t="inlineStr">
        <is>
          <t>Average</t>
        </is>
      </c>
      <c r="O346" s="745" t="inlineStr">
        <is>
          <t>Typical</t>
        </is>
      </c>
      <c r="P346" s="745" t="n">
        <v>2007</v>
      </c>
      <c r="Q346" s="748" t="n">
        <v>17</v>
      </c>
      <c r="R346" s="750" t="n">
        <v>117</v>
      </c>
      <c r="S346" s="751" t="n">
        <v>1324089</v>
      </c>
      <c r="T346" s="749" t="inlineStr"/>
    </row>
    <row r="347">
      <c r="A347" s="741" t="n">
        <v>1051</v>
      </c>
      <c r="B347" s="742" t="inlineStr">
        <is>
          <t>7807 W Jewell Ave</t>
        </is>
      </c>
      <c r="C347" s="741" t="inlineStr">
        <is>
          <t>Lakewood</t>
        </is>
      </c>
      <c r="D347" s="741" t="inlineStr">
        <is>
          <t>Jefferson</t>
        </is>
      </c>
      <c r="E347" s="741" t="inlineStr">
        <is>
          <t>Fast Food</t>
        </is>
      </c>
      <c r="F347" s="741" t="inlineStr">
        <is>
          <t>Wendy's</t>
        </is>
      </c>
      <c r="G347" s="741" t="n">
        <v>349</v>
      </c>
      <c r="H347" s="743" t="inlineStr">
        <is>
          <t>349 - Fast Food Restaurant</t>
        </is>
      </c>
      <c r="I347" s="742" t="inlineStr">
        <is>
          <t>Restaurants – Fast Food</t>
        </is>
      </c>
      <c r="J347" s="741" t="inlineStr">
        <is>
          <t>Sec.13 p.17</t>
        </is>
      </c>
      <c r="K347" s="744" t="n">
        <v>2149</v>
      </c>
      <c r="L347" s="744" t="n">
        <v>13809</v>
      </c>
      <c r="M347" s="745" t="inlineStr">
        <is>
          <t>C</t>
        </is>
      </c>
      <c r="N347" s="745" t="inlineStr">
        <is>
          <t>Average</t>
        </is>
      </c>
      <c r="O347" s="745" t="inlineStr">
        <is>
          <t>Typical</t>
        </is>
      </c>
      <c r="P347" s="745" t="n">
        <v>1985</v>
      </c>
      <c r="Q347" s="741" t="n">
        <v>39</v>
      </c>
      <c r="R347" s="746" t="n">
        <v>191</v>
      </c>
      <c r="S347" s="747" t="n">
        <v>410459</v>
      </c>
      <c r="T347" s="742" t="inlineStr"/>
    </row>
    <row r="348">
      <c r="A348" s="748" t="n">
        <v>1052</v>
      </c>
      <c r="B348" s="749" t="inlineStr">
        <is>
          <t>1810 S College Ave</t>
        </is>
      </c>
      <c r="C348" s="748" t="inlineStr">
        <is>
          <t>Fort Collins</t>
        </is>
      </c>
      <c r="D348" s="748" t="inlineStr">
        <is>
          <t>Larimer</t>
        </is>
      </c>
      <c r="E348" s="748" t="inlineStr">
        <is>
          <t>Auto Service</t>
        </is>
      </c>
      <c r="F348" s="748" t="inlineStr">
        <is>
          <t>Best Western Transmission</t>
        </is>
      </c>
      <c r="G348" s="748" t="n">
        <v>325</v>
      </c>
      <c r="H348" s="743" t="inlineStr">
        <is>
          <t>325 - Service Garage</t>
        </is>
      </c>
      <c r="I348" s="749" t="inlineStr">
        <is>
          <t>Service Garages (Commercial/Repair)</t>
        </is>
      </c>
      <c r="J348" s="748" t="inlineStr">
        <is>
          <t>Sec.14 p.32</t>
        </is>
      </c>
      <c r="K348" s="744" t="n">
        <v>3990</v>
      </c>
      <c r="L348" s="744" t="n">
        <v>18731</v>
      </c>
      <c r="M348" s="745" t="inlineStr">
        <is>
          <t>C</t>
        </is>
      </c>
      <c r="N348" s="745" t="inlineStr">
        <is>
          <t>Average</t>
        </is>
      </c>
      <c r="O348" s="745" t="inlineStr">
        <is>
          <t>Typical</t>
        </is>
      </c>
      <c r="P348" s="745" t="n">
        <v>1994</v>
      </c>
      <c r="Q348" s="748" t="n">
        <v>30</v>
      </c>
      <c r="R348" s="750" t="n">
        <v>79.5</v>
      </c>
      <c r="S348" s="751" t="n">
        <v>317205</v>
      </c>
      <c r="T348" s="749" t="inlineStr"/>
    </row>
    <row r="349">
      <c r="A349" s="741" t="n">
        <v>1053</v>
      </c>
      <c r="B349" s="742" t="inlineStr">
        <is>
          <t>3216 N Garfield Ave</t>
        </is>
      </c>
      <c r="C349" s="741" t="inlineStr">
        <is>
          <t>Loveland</t>
        </is>
      </c>
      <c r="D349" s="741" t="inlineStr">
        <is>
          <t>Larimer</t>
        </is>
      </c>
      <c r="E349" s="741" t="inlineStr">
        <is>
          <t>Auto Service</t>
        </is>
      </c>
      <c r="F349" s="741" t="inlineStr">
        <is>
          <t>Bg Automotive</t>
        </is>
      </c>
      <c r="G349" s="741" t="n">
        <v>325</v>
      </c>
      <c r="H349" s="743" t="inlineStr">
        <is>
          <t>325 - Service Garage</t>
        </is>
      </c>
      <c r="I349" s="742" t="inlineStr">
        <is>
          <t>Service Garages (Commercial/Repair)</t>
        </is>
      </c>
      <c r="J349" s="741" t="inlineStr">
        <is>
          <t>Sec.14 p.32</t>
        </is>
      </c>
      <c r="K349" s="744" t="n">
        <v>4000</v>
      </c>
      <c r="L349" s="744" t="n">
        <v>19166</v>
      </c>
      <c r="M349" s="745" t="inlineStr">
        <is>
          <t>C</t>
        </is>
      </c>
      <c r="N349" s="745" t="inlineStr">
        <is>
          <t>Average</t>
        </is>
      </c>
      <c r="O349" s="745" t="inlineStr">
        <is>
          <t>Typical</t>
        </is>
      </c>
      <c r="P349" s="745" t="n">
        <v>1988</v>
      </c>
      <c r="Q349" s="741" t="n">
        <v>36</v>
      </c>
      <c r="R349" s="746" t="n">
        <v>79.5</v>
      </c>
      <c r="S349" s="747" t="n">
        <v>318000</v>
      </c>
      <c r="T349" s="742" t="inlineStr"/>
    </row>
    <row r="350">
      <c r="A350" s="748" t="n">
        <v>1054</v>
      </c>
      <c r="B350" s="749" t="inlineStr">
        <is>
          <t>1633 Raven Ave</t>
        </is>
      </c>
      <c r="C350" s="748" t="inlineStr">
        <is>
          <t>Estes Park</t>
        </is>
      </c>
      <c r="D350" s="748" t="inlineStr">
        <is>
          <t>Larimer</t>
        </is>
      </c>
      <c r="E350" s="748" t="inlineStr">
        <is>
          <t>Auto Service</t>
        </is>
      </c>
      <c r="F350" s="748" t="inlineStr">
        <is>
          <t>Big O Tires</t>
        </is>
      </c>
      <c r="G350" s="748" t="n">
        <v>410</v>
      </c>
      <c r="H350" s="743" t="inlineStr">
        <is>
          <t>410 - Automotive Center</t>
        </is>
      </c>
      <c r="I350" s="749" t="inlineStr">
        <is>
          <t>Automotive Service Centers</t>
        </is>
      </c>
      <c r="J350" s="748" t="inlineStr">
        <is>
          <t>Sec.14 p.31</t>
        </is>
      </c>
      <c r="K350" s="744" t="n">
        <v>3960</v>
      </c>
      <c r="L350" s="744" t="n">
        <v>24394</v>
      </c>
      <c r="M350" s="745" t="inlineStr">
        <is>
          <t>S</t>
        </is>
      </c>
      <c r="N350" s="745" t="inlineStr">
        <is>
          <t>Average</t>
        </is>
      </c>
      <c r="O350" s="745" t="inlineStr">
        <is>
          <t>Typical</t>
        </is>
      </c>
      <c r="P350" s="745" t="n">
        <v>1994</v>
      </c>
      <c r="Q350" s="748" t="n">
        <v>30</v>
      </c>
      <c r="R350" s="750" t="n">
        <v>97.5</v>
      </c>
      <c r="S350" s="751" t="n">
        <v>386100</v>
      </c>
      <c r="T350" s="749" t="inlineStr"/>
    </row>
    <row r="351">
      <c r="A351" s="741" t="n">
        <v>1055</v>
      </c>
      <c r="B351" s="742" t="inlineStr">
        <is>
          <t>4820 Larimer Pky</t>
        </is>
      </c>
      <c r="C351" s="741" t="inlineStr">
        <is>
          <t>Johnstown</t>
        </is>
      </c>
      <c r="D351" s="741" t="inlineStr">
        <is>
          <t>Larimer</t>
        </is>
      </c>
      <c r="E351" s="741" t="inlineStr">
        <is>
          <t>Auto Service</t>
        </is>
      </c>
      <c r="F351" s="741" t="inlineStr">
        <is>
          <t>Brakes Plus</t>
        </is>
      </c>
      <c r="G351" s="741" t="n">
        <v>410</v>
      </c>
      <c r="H351" s="743" t="inlineStr">
        <is>
          <t>410 - Automotive Center</t>
        </is>
      </c>
      <c r="I351" s="742" t="inlineStr">
        <is>
          <t>Automotive Service Centers</t>
        </is>
      </c>
      <c r="J351" s="741" t="inlineStr">
        <is>
          <t>Sec.14 p.31</t>
        </is>
      </c>
      <c r="K351" s="744" t="n">
        <v>3766</v>
      </c>
      <c r="L351" s="744" t="n">
        <v>43525</v>
      </c>
      <c r="M351" s="745" t="inlineStr">
        <is>
          <t>S</t>
        </is>
      </c>
      <c r="N351" s="745" t="inlineStr">
        <is>
          <t>Average</t>
        </is>
      </c>
      <c r="O351" s="745" t="inlineStr">
        <is>
          <t>Typical</t>
        </is>
      </c>
      <c r="P351" s="745" t="n">
        <v>2018</v>
      </c>
      <c r="Q351" s="741" t="n">
        <v>6</v>
      </c>
      <c r="R351" s="746" t="n">
        <v>97.5</v>
      </c>
      <c r="S351" s="747" t="n">
        <v>367185</v>
      </c>
      <c r="T351" s="742" t="inlineStr">
        <is>
          <t>quality fell back to Average</t>
        </is>
      </c>
    </row>
    <row r="352">
      <c r="A352" s="748" t="n">
        <v>1056</v>
      </c>
      <c r="B352" s="749" t="inlineStr">
        <is>
          <t>5688 N Garfield Ave</t>
        </is>
      </c>
      <c r="C352" s="748" t="inlineStr">
        <is>
          <t>Loveland</t>
        </is>
      </c>
      <c r="D352" s="748" t="inlineStr">
        <is>
          <t>Larimer</t>
        </is>
      </c>
      <c r="E352" s="748" t="inlineStr">
        <is>
          <t>Fast Food</t>
        </is>
      </c>
      <c r="F352" s="748" t="inlineStr">
        <is>
          <t>Burger King</t>
        </is>
      </c>
      <c r="G352" s="748" t="n">
        <v>349</v>
      </c>
      <c r="H352" s="743" t="inlineStr">
        <is>
          <t>349 - Fast Food Restaurant</t>
        </is>
      </c>
      <c r="I352" s="749" t="inlineStr">
        <is>
          <t>Restaurants – Fast Food</t>
        </is>
      </c>
      <c r="J352" s="748" t="inlineStr">
        <is>
          <t>Sec.13 p.17</t>
        </is>
      </c>
      <c r="K352" s="744" t="n">
        <v>3475</v>
      </c>
      <c r="L352" s="744" t="n">
        <v>52272</v>
      </c>
      <c r="M352" s="745" t="inlineStr">
        <is>
          <t>C</t>
        </is>
      </c>
      <c r="N352" s="745" t="inlineStr">
        <is>
          <t>Good</t>
        </is>
      </c>
      <c r="O352" s="745" t="inlineStr">
        <is>
          <t>Typical</t>
        </is>
      </c>
      <c r="P352" s="745" t="n">
        <v>2019</v>
      </c>
      <c r="Q352" s="748" t="n">
        <v>5</v>
      </c>
      <c r="R352" s="750" t="n">
        <v>246</v>
      </c>
      <c r="S352" s="751" t="n">
        <v>854850</v>
      </c>
      <c r="T352" s="749" t="inlineStr"/>
    </row>
    <row r="353">
      <c r="A353" s="741" t="n">
        <v>1057</v>
      </c>
      <c r="B353" s="742" t="inlineStr">
        <is>
          <t>4140 Clydesdale Pky</t>
        </is>
      </c>
      <c r="C353" s="741" t="inlineStr">
        <is>
          <t>Loveland</t>
        </is>
      </c>
      <c r="D353" s="741" t="inlineStr">
        <is>
          <t>Larimer</t>
        </is>
      </c>
      <c r="E353" s="741" t="inlineStr">
        <is>
          <t>Fast Food</t>
        </is>
      </c>
      <c r="F353" s="741" t="inlineStr">
        <is>
          <t>Carl's Jr</t>
        </is>
      </c>
      <c r="G353" s="741" t="n">
        <v>349</v>
      </c>
      <c r="H353" s="743" t="inlineStr">
        <is>
          <t>349 - Fast Food Restaurant</t>
        </is>
      </c>
      <c r="I353" s="742" t="inlineStr">
        <is>
          <t>Restaurants – Fast Food</t>
        </is>
      </c>
      <c r="J353" s="741" t="inlineStr">
        <is>
          <t>Sec.13 p.17</t>
        </is>
      </c>
      <c r="K353" s="744" t="n">
        <v>2700</v>
      </c>
      <c r="L353" s="744" t="n">
        <v>32234</v>
      </c>
      <c r="M353" s="745" t="inlineStr">
        <is>
          <t>C</t>
        </is>
      </c>
      <c r="N353" s="745" t="inlineStr">
        <is>
          <t>Average</t>
        </is>
      </c>
      <c r="O353" s="745" t="inlineStr">
        <is>
          <t>Typical</t>
        </is>
      </c>
      <c r="P353" s="745" t="n">
        <v>2006</v>
      </c>
      <c r="Q353" s="741" t="n">
        <v>18</v>
      </c>
      <c r="R353" s="746" t="n">
        <v>191</v>
      </c>
      <c r="S353" s="747" t="n">
        <v>515700</v>
      </c>
      <c r="T353" s="742" t="inlineStr"/>
    </row>
    <row r="354">
      <c r="A354" s="748" t="n">
        <v>1058</v>
      </c>
      <c r="B354" s="749" t="inlineStr">
        <is>
          <t>1212 Oakridge Dr</t>
        </is>
      </c>
      <c r="C354" s="748" t="inlineStr">
        <is>
          <t>Fort Collins</t>
        </is>
      </c>
      <c r="D354" s="748" t="inlineStr">
        <is>
          <t>Larimer</t>
        </is>
      </c>
      <c r="E354" s="748" t="inlineStr">
        <is>
          <t>Retail Center</t>
        </is>
      </c>
      <c r="F354" s="748" t="inlineStr">
        <is>
          <t>Carrabba's Italian Grill</t>
        </is>
      </c>
      <c r="G354" s="748" t="n">
        <v>350</v>
      </c>
      <c r="H354" s="743" t="inlineStr">
        <is>
          <t>350 - Restaurant</t>
        </is>
      </c>
      <c r="I354" s="749" t="inlineStr">
        <is>
          <t>Restaurants</t>
        </is>
      </c>
      <c r="J354" s="748" t="inlineStr">
        <is>
          <t>Sec.13 p.14</t>
        </is>
      </c>
      <c r="K354" s="744" t="n">
        <v>5324</v>
      </c>
      <c r="L354" s="744" t="n">
        <v>61419</v>
      </c>
      <c r="M354" s="745" t="inlineStr">
        <is>
          <t>C</t>
        </is>
      </c>
      <c r="N354" s="745" t="inlineStr">
        <is>
          <t>Average</t>
        </is>
      </c>
      <c r="O354" s="745" t="inlineStr">
        <is>
          <t>Typical</t>
        </is>
      </c>
      <c r="P354" s="745" t="n">
        <v>1996</v>
      </c>
      <c r="Q354" s="748" t="n">
        <v>28</v>
      </c>
      <c r="R354" s="750" t="n">
        <v>178</v>
      </c>
      <c r="S354" s="751" t="n">
        <v>947672</v>
      </c>
      <c r="T354" s="749" t="inlineStr"/>
    </row>
    <row r="355">
      <c r="A355" s="741" t="n">
        <v>1059</v>
      </c>
      <c r="B355" s="742" t="inlineStr">
        <is>
          <t>1500 Academy Ct</t>
        </is>
      </c>
      <c r="C355" s="741" t="inlineStr">
        <is>
          <t>Fort Collins</t>
        </is>
      </c>
      <c r="D355" s="741" t="inlineStr">
        <is>
          <t>Larimer</t>
        </is>
      </c>
      <c r="E355" s="741" t="inlineStr">
        <is>
          <t>Auto Service</t>
        </is>
      </c>
      <c r="F355" s="741" t="inlineStr">
        <is>
          <t>Christian Brothers Automotive</t>
        </is>
      </c>
      <c r="G355" s="741" t="n">
        <v>410</v>
      </c>
      <c r="H355" s="743" t="inlineStr">
        <is>
          <t>410 - Automotive Center</t>
        </is>
      </c>
      <c r="I355" s="742" t="inlineStr">
        <is>
          <t>Automotive Service Centers</t>
        </is>
      </c>
      <c r="J355" s="741" t="inlineStr">
        <is>
          <t>Sec.14 p.31</t>
        </is>
      </c>
      <c r="K355" s="744" t="n">
        <v>5016</v>
      </c>
      <c r="L355" s="744" t="n">
        <v>50094</v>
      </c>
      <c r="M355" s="745" t="inlineStr">
        <is>
          <t>S</t>
        </is>
      </c>
      <c r="N355" s="745" t="inlineStr">
        <is>
          <t>Average</t>
        </is>
      </c>
      <c r="O355" s="745" t="inlineStr">
        <is>
          <t>Typical</t>
        </is>
      </c>
      <c r="P355" s="745" t="n">
        <v>2018</v>
      </c>
      <c r="Q355" s="741" t="n">
        <v>6</v>
      </c>
      <c r="R355" s="746" t="n">
        <v>97.5</v>
      </c>
      <c r="S355" s="747" t="n">
        <v>489060</v>
      </c>
      <c r="T355" s="742" t="inlineStr">
        <is>
          <t>quality fell back to Average</t>
        </is>
      </c>
    </row>
    <row r="356">
      <c r="A356" s="748" t="n">
        <v>1060</v>
      </c>
      <c r="B356" s="749" t="inlineStr">
        <is>
          <t>5542 N Garfield Ave</t>
        </is>
      </c>
      <c r="C356" s="748" t="inlineStr">
        <is>
          <t>Loveland</t>
        </is>
      </c>
      <c r="D356" s="748" t="inlineStr">
        <is>
          <t>Larimer</t>
        </is>
      </c>
      <c r="E356" s="748" t="inlineStr">
        <is>
          <t>Auto Service</t>
        </is>
      </c>
      <c r="F356" s="748" t="inlineStr">
        <is>
          <t>Christian Brothers Automotive</t>
        </is>
      </c>
      <c r="G356" s="748" t="n">
        <v>410</v>
      </c>
      <c r="H356" s="743" t="inlineStr">
        <is>
          <t>410 - Automotive Center</t>
        </is>
      </c>
      <c r="I356" s="749" t="inlineStr">
        <is>
          <t>Automotive Service Centers</t>
        </is>
      </c>
      <c r="J356" s="748" t="inlineStr">
        <is>
          <t>Sec.14 p.31</t>
        </is>
      </c>
      <c r="K356" s="744" t="n">
        <v>4896</v>
      </c>
      <c r="L356" s="744" t="n">
        <v>36233</v>
      </c>
      <c r="M356" s="745" t="inlineStr">
        <is>
          <t>S</t>
        </is>
      </c>
      <c r="N356" s="745" t="inlineStr">
        <is>
          <t>Average</t>
        </is>
      </c>
      <c r="O356" s="745" t="inlineStr">
        <is>
          <t>Typical</t>
        </is>
      </c>
      <c r="P356" s="745" t="n">
        <v>2018</v>
      </c>
      <c r="Q356" s="748" t="n">
        <v>6</v>
      </c>
      <c r="R356" s="750" t="n">
        <v>97.5</v>
      </c>
      <c r="S356" s="751" t="n">
        <v>477360</v>
      </c>
      <c r="T356" s="749" t="inlineStr">
        <is>
          <t>quality fell back to Average</t>
        </is>
      </c>
    </row>
    <row r="357">
      <c r="A357" s="741" t="n">
        <v>1061</v>
      </c>
      <c r="B357" s="742" t="inlineStr">
        <is>
          <t>1161 Mountain Ave</t>
        </is>
      </c>
      <c r="C357" s="741" t="inlineStr">
        <is>
          <t>Berthoud</t>
        </is>
      </c>
      <c r="D357" s="741" t="inlineStr">
        <is>
          <t>Larimer</t>
        </is>
      </c>
      <c r="E357" s="741" t="inlineStr">
        <is>
          <t>Auto Service</t>
        </is>
      </c>
      <c r="F357" s="741" t="inlineStr">
        <is>
          <t>Christian Brothers Automotive</t>
        </is>
      </c>
      <c r="G357" s="741" t="n">
        <v>410</v>
      </c>
      <c r="H357" s="743" t="inlineStr">
        <is>
          <t>410 - Automotive Center</t>
        </is>
      </c>
      <c r="I357" s="742" t="inlineStr">
        <is>
          <t>Automotive Service Centers</t>
        </is>
      </c>
      <c r="J357" s="741" t="inlineStr">
        <is>
          <t>Sec.14 p.31</t>
        </is>
      </c>
      <c r="K357" s="744" t="n">
        <v>5222</v>
      </c>
      <c r="L357" s="744" t="n">
        <v>82975</v>
      </c>
      <c r="M357" s="745" t="inlineStr">
        <is>
          <t>S</t>
        </is>
      </c>
      <c r="N357" s="745" t="inlineStr">
        <is>
          <t>Average</t>
        </is>
      </c>
      <c r="O357" s="745" t="inlineStr">
        <is>
          <t>Typical</t>
        </is>
      </c>
      <c r="P357" s="745" t="n">
        <v>2023</v>
      </c>
      <c r="Q357" s="741" t="n">
        <v>1</v>
      </c>
      <c r="R357" s="746" t="n">
        <v>97.5</v>
      </c>
      <c r="S357" s="747" t="n">
        <v>509145</v>
      </c>
      <c r="T357" s="742" t="inlineStr">
        <is>
          <t>quality fell back to Average</t>
        </is>
      </c>
    </row>
    <row r="358">
      <c r="A358" s="748" t="n">
        <v>1062</v>
      </c>
      <c r="B358" s="749" t="inlineStr">
        <is>
          <t>900 Moraine Ave</t>
        </is>
      </c>
      <c r="C358" s="748" t="inlineStr">
        <is>
          <t>Estes Park</t>
        </is>
      </c>
      <c r="D358" s="748" t="inlineStr">
        <is>
          <t>Larimer</t>
        </is>
      </c>
      <c r="E358" s="748" t="inlineStr">
        <is>
          <t>Supermarket</t>
        </is>
      </c>
      <c r="F358" s="748" t="inlineStr">
        <is>
          <t>Country Market</t>
        </is>
      </c>
      <c r="G358" s="748" t="n">
        <v>446</v>
      </c>
      <c r="H358" s="743" t="inlineStr">
        <is>
          <t>446 - SuperMarket</t>
        </is>
      </c>
      <c r="I358" s="749" t="inlineStr">
        <is>
          <t>Supermarkets</t>
        </is>
      </c>
      <c r="J358" s="748" t="inlineStr">
        <is>
          <t>Sec.13 p.20</t>
        </is>
      </c>
      <c r="K358" s="744" t="n">
        <v>35639</v>
      </c>
      <c r="L358" s="744" t="n">
        <v>242194</v>
      </c>
      <c r="M358" s="745" t="inlineStr">
        <is>
          <t>C</t>
        </is>
      </c>
      <c r="N358" s="745" t="inlineStr">
        <is>
          <t>Average</t>
        </is>
      </c>
      <c r="O358" s="745" t="inlineStr">
        <is>
          <t>Typical</t>
        </is>
      </c>
      <c r="P358" s="745" t="n">
        <v>1978</v>
      </c>
      <c r="Q358" s="748" t="n">
        <v>46</v>
      </c>
      <c r="R358" s="750" t="n">
        <v>121</v>
      </c>
      <c r="S358" s="751" t="n">
        <v>4312319</v>
      </c>
      <c r="T358" s="749" t="inlineStr"/>
    </row>
    <row r="359">
      <c r="A359" s="741" t="n">
        <v>1063</v>
      </c>
      <c r="B359" s="742" t="inlineStr">
        <is>
          <t>2880 E Harmony Rd</t>
        </is>
      </c>
      <c r="C359" s="741" t="inlineStr">
        <is>
          <t>Fort Collins</t>
        </is>
      </c>
      <c r="D359" s="741" t="inlineStr">
        <is>
          <t>Larimer</t>
        </is>
      </c>
      <c r="E359" s="741" t="inlineStr">
        <is>
          <t>Retail Center</t>
        </is>
      </c>
      <c r="F359" s="741" t="inlineStr">
        <is>
          <t>Dark Sale - Frmr Famous Daves</t>
        </is>
      </c>
      <c r="G359" s="741" t="n">
        <v>414</v>
      </c>
      <c r="H359" s="743" t="inlineStr">
        <is>
          <t>414 - Regional Shopping Center</t>
        </is>
      </c>
      <c r="I359" s="742" t="inlineStr">
        <is>
          <t>Regional Shopping Centers</t>
        </is>
      </c>
      <c r="J359" s="741" t="inlineStr">
        <is>
          <t>Sec.13 p.35</t>
        </is>
      </c>
      <c r="K359" s="744" t="n">
        <v>6607</v>
      </c>
      <c r="L359" s="744" t="n">
        <v>70132</v>
      </c>
      <c r="M359" s="745" t="inlineStr">
        <is>
          <t>C</t>
        </is>
      </c>
      <c r="N359" s="745" t="inlineStr">
        <is>
          <t>Average</t>
        </is>
      </c>
      <c r="O359" s="745" t="inlineStr">
        <is>
          <t>Typical</t>
        </is>
      </c>
      <c r="P359" s="745" t="n">
        <v>2009</v>
      </c>
      <c r="Q359" s="741" t="n">
        <v>15</v>
      </c>
      <c r="R359" s="746" t="n">
        <v>153</v>
      </c>
      <c r="S359" s="747" t="n">
        <v>1010871</v>
      </c>
      <c r="T359" s="742" t="inlineStr"/>
    </row>
    <row r="360">
      <c r="A360" s="748" t="n">
        <v>1064</v>
      </c>
      <c r="B360" s="749" t="inlineStr">
        <is>
          <t>451 Stanley Ave</t>
        </is>
      </c>
      <c r="C360" s="748" t="inlineStr">
        <is>
          <t>Estes Park</t>
        </is>
      </c>
      <c r="D360" s="748" t="inlineStr">
        <is>
          <t>Larimer</t>
        </is>
      </c>
      <c r="E360" s="748" t="inlineStr">
        <is>
          <t>Dollar Store</t>
        </is>
      </c>
      <c r="F360" s="748" t="inlineStr">
        <is>
          <t>Dollar General</t>
        </is>
      </c>
      <c r="G360" s="748" t="n">
        <v>319</v>
      </c>
      <c r="H360" s="743" t="inlineStr">
        <is>
          <t>319 - Discount Store</t>
        </is>
      </c>
      <c r="I360" s="749" t="inlineStr">
        <is>
          <t>Discount Stores</t>
        </is>
      </c>
      <c r="J360" s="748" t="inlineStr">
        <is>
          <t>Sec.13 p.28</t>
        </is>
      </c>
      <c r="K360" s="744" t="n">
        <v>8900</v>
      </c>
      <c r="L360" s="744" t="n">
        <v>71630</v>
      </c>
      <c r="M360" s="745" t="inlineStr">
        <is>
          <t>C</t>
        </is>
      </c>
      <c r="N360" s="745" t="inlineStr">
        <is>
          <t>Good</t>
        </is>
      </c>
      <c r="O360" s="745" t="inlineStr">
        <is>
          <t>Typical</t>
        </is>
      </c>
      <c r="P360" s="745" t="n">
        <v>2017</v>
      </c>
      <c r="Q360" s="748" t="n">
        <v>7</v>
      </c>
      <c r="R360" s="750" t="n">
        <v>118</v>
      </c>
      <c r="S360" s="751" t="n">
        <v>1050200</v>
      </c>
      <c r="T360" s="749" t="inlineStr"/>
    </row>
    <row r="361">
      <c r="A361" s="741" t="n">
        <v>1065</v>
      </c>
      <c r="B361" s="742" t="inlineStr">
        <is>
          <t>1398 S Wilson Ave</t>
        </is>
      </c>
      <c r="C361" s="741" t="inlineStr">
        <is>
          <t>Loveland</t>
        </is>
      </c>
      <c r="D361" s="741" t="inlineStr">
        <is>
          <t>Larimer</t>
        </is>
      </c>
      <c r="E361" s="741" t="inlineStr">
        <is>
          <t>Dollar Store</t>
        </is>
      </c>
      <c r="F361" s="741" t="inlineStr">
        <is>
          <t>Dollar General</t>
        </is>
      </c>
      <c r="G361" s="741" t="n">
        <v>319</v>
      </c>
      <c r="H361" s="743" t="inlineStr">
        <is>
          <t>319 - Discount Store</t>
        </is>
      </c>
      <c r="I361" s="742" t="inlineStr">
        <is>
          <t>Discount Stores</t>
        </is>
      </c>
      <c r="J361" s="741" t="inlineStr">
        <is>
          <t>Sec.13 p.28</t>
        </is>
      </c>
      <c r="K361" s="744" t="n">
        <v>9660</v>
      </c>
      <c r="L361" s="744" t="n">
        <v>59677</v>
      </c>
      <c r="M361" s="745" t="inlineStr">
        <is>
          <t>C</t>
        </is>
      </c>
      <c r="N361" s="745" t="inlineStr">
        <is>
          <t>Good</t>
        </is>
      </c>
      <c r="O361" s="745" t="inlineStr">
        <is>
          <t>Typical</t>
        </is>
      </c>
      <c r="P361" s="745" t="n">
        <v>2022</v>
      </c>
      <c r="Q361" s="741" t="n">
        <v>2</v>
      </c>
      <c r="R361" s="746" t="n">
        <v>118</v>
      </c>
      <c r="S361" s="747" t="n">
        <v>1139880</v>
      </c>
      <c r="T361" s="742" t="inlineStr"/>
    </row>
    <row r="362">
      <c r="A362" s="748" t="n">
        <v>1066</v>
      </c>
      <c r="B362" s="749" t="inlineStr">
        <is>
          <t>7590 5th St</t>
        </is>
      </c>
      <c r="C362" s="748" t="inlineStr">
        <is>
          <t>Wellington</t>
        </is>
      </c>
      <c r="D362" s="748" t="inlineStr">
        <is>
          <t>Larimer</t>
        </is>
      </c>
      <c r="E362" s="748" t="inlineStr">
        <is>
          <t>Dollar Store</t>
        </is>
      </c>
      <c r="F362" s="748" t="inlineStr">
        <is>
          <t>Dollar General</t>
        </is>
      </c>
      <c r="G362" s="748" t="n">
        <v>319</v>
      </c>
      <c r="H362" s="743" t="inlineStr">
        <is>
          <t>319 - Discount Store</t>
        </is>
      </c>
      <c r="I362" s="749" t="inlineStr">
        <is>
          <t>Discount Stores</t>
        </is>
      </c>
      <c r="J362" s="748" t="inlineStr">
        <is>
          <t>Sec.13 p.28</t>
        </is>
      </c>
      <c r="K362" s="744" t="n">
        <v>9100</v>
      </c>
      <c r="L362" s="744" t="n">
        <v>77101</v>
      </c>
      <c r="M362" s="745" t="inlineStr">
        <is>
          <t>C</t>
        </is>
      </c>
      <c r="N362" s="745" t="inlineStr">
        <is>
          <t>Good</t>
        </is>
      </c>
      <c r="O362" s="745" t="inlineStr">
        <is>
          <t>Typical</t>
        </is>
      </c>
      <c r="P362" s="745" t="n">
        <v>2021</v>
      </c>
      <c r="Q362" s="748" t="n">
        <v>3</v>
      </c>
      <c r="R362" s="750" t="n">
        <v>118</v>
      </c>
      <c r="S362" s="751" t="n">
        <v>1073800</v>
      </c>
      <c r="T362" s="749" t="inlineStr"/>
    </row>
    <row r="363">
      <c r="A363" s="741" t="n">
        <v>1067</v>
      </c>
      <c r="B363" s="742" t="inlineStr">
        <is>
          <t>125 W 43rd St</t>
        </is>
      </c>
      <c r="C363" s="741" t="inlineStr">
        <is>
          <t>Loveland</t>
        </is>
      </c>
      <c r="D363" s="741" t="inlineStr">
        <is>
          <t>Larimer</t>
        </is>
      </c>
      <c r="E363" s="741" t="inlineStr">
        <is>
          <t>Coffee</t>
        </is>
      </c>
      <c r="F363" s="741" t="inlineStr">
        <is>
          <t>Dutch Bros</t>
        </is>
      </c>
      <c r="G363" s="741" t="n">
        <v>349</v>
      </c>
      <c r="H363" s="743" t="inlineStr">
        <is>
          <t>349 - Fast Food Restaurant</t>
        </is>
      </c>
      <c r="I363" s="742" t="inlineStr">
        <is>
          <t>Restaurants – Fast Food</t>
        </is>
      </c>
      <c r="J363" s="741" t="inlineStr">
        <is>
          <t>Sec.13 p.17</t>
        </is>
      </c>
      <c r="K363" s="744" t="n">
        <v>777</v>
      </c>
      <c r="L363" s="744" t="n">
        <v>51932</v>
      </c>
      <c r="M363" s="745" t="inlineStr">
        <is>
          <t>C</t>
        </is>
      </c>
      <c r="N363" s="745" t="inlineStr">
        <is>
          <t>Good</t>
        </is>
      </c>
      <c r="O363" s="745" t="inlineStr">
        <is>
          <t>Typical</t>
        </is>
      </c>
      <c r="P363" s="745" t="n">
        <v>2016</v>
      </c>
      <c r="Q363" s="741" t="n">
        <v>8</v>
      </c>
      <c r="R363" s="746" t="n">
        <v>246</v>
      </c>
      <c r="S363" s="747" t="n">
        <v>191142</v>
      </c>
      <c r="T363" s="742" t="inlineStr"/>
    </row>
    <row r="364">
      <c r="A364" s="748" t="n">
        <v>1068</v>
      </c>
      <c r="B364" s="749" t="inlineStr">
        <is>
          <t>432 12th St</t>
        </is>
      </c>
      <c r="C364" s="748" t="inlineStr">
        <is>
          <t>Fort Collins</t>
        </is>
      </c>
      <c r="D364" s="748" t="inlineStr">
        <is>
          <t>Larimer</t>
        </is>
      </c>
      <c r="E364" s="748" t="inlineStr">
        <is>
          <t>Coffee</t>
        </is>
      </c>
      <c r="F364" s="748" t="inlineStr">
        <is>
          <t>Empty - Future Ziggi's</t>
        </is>
      </c>
      <c r="G364" s="748" t="n">
        <v>349</v>
      </c>
      <c r="H364" s="743" t="inlineStr">
        <is>
          <t>349 - Fast Food Restaurant</t>
        </is>
      </c>
      <c r="I364" s="749" t="inlineStr">
        <is>
          <t>Restaurants – Fast Food</t>
        </is>
      </c>
      <c r="J364" s="748" t="inlineStr">
        <is>
          <t>Sec.13 p.17</t>
        </is>
      </c>
      <c r="K364" s="744" t="n">
        <v>476</v>
      </c>
      <c r="L364" s="744" t="n">
        <v>10414</v>
      </c>
      <c r="M364" s="745" t="inlineStr">
        <is>
          <t>C</t>
        </is>
      </c>
      <c r="N364" s="745" t="inlineStr">
        <is>
          <t>Average</t>
        </is>
      </c>
      <c r="O364" s="745" t="inlineStr">
        <is>
          <t>Typical</t>
        </is>
      </c>
      <c r="P364" s="745" t="n">
        <v>2004</v>
      </c>
      <c r="Q364" s="748" t="n">
        <v>20</v>
      </c>
      <c r="R364" s="750" t="n">
        <v>191</v>
      </c>
      <c r="S364" s="751" t="n">
        <v>90916</v>
      </c>
      <c r="T364" s="749" t="inlineStr"/>
    </row>
    <row r="365">
      <c r="A365" s="741" t="n">
        <v>1069</v>
      </c>
      <c r="B365" s="742" t="inlineStr">
        <is>
          <t>1505 Rocky Mountain Ave</t>
        </is>
      </c>
      <c r="C365" s="741" t="inlineStr">
        <is>
          <t>Loveland</t>
        </is>
      </c>
      <c r="D365" s="741" t="inlineStr">
        <is>
          <t>Larimer</t>
        </is>
      </c>
      <c r="E365" s="741" t="inlineStr">
        <is>
          <t>Retail Center</t>
        </is>
      </c>
      <c r="F365" s="741" t="inlineStr">
        <is>
          <t>FORMER BLACK EYED PEA, NOW Buffalo Wild Wings</t>
        </is>
      </c>
      <c r="G365" s="741" t="n">
        <v>414</v>
      </c>
      <c r="H365" s="743" t="inlineStr">
        <is>
          <t>414 - Regional Shopping Center</t>
        </is>
      </c>
      <c r="I365" s="742" t="inlineStr">
        <is>
          <t>Regional Shopping Centers</t>
        </is>
      </c>
      <c r="J365" s="741" t="inlineStr">
        <is>
          <t>Sec.13 p.35</t>
        </is>
      </c>
      <c r="K365" s="744" t="n">
        <v>5576</v>
      </c>
      <c r="L365" s="744" t="n">
        <v>56192</v>
      </c>
      <c r="M365" s="745" t="inlineStr">
        <is>
          <t>C</t>
        </is>
      </c>
      <c r="N365" s="745" t="inlineStr">
        <is>
          <t>Average</t>
        </is>
      </c>
      <c r="O365" s="745" t="inlineStr">
        <is>
          <t>Typical</t>
        </is>
      </c>
      <c r="P365" s="745" t="n">
        <v>2001</v>
      </c>
      <c r="Q365" s="741" t="n">
        <v>23</v>
      </c>
      <c r="R365" s="746" t="n">
        <v>153</v>
      </c>
      <c r="S365" s="747" t="n">
        <v>853128</v>
      </c>
      <c r="T365" s="742" t="inlineStr"/>
    </row>
    <row r="366">
      <c r="A366" s="748" t="n">
        <v>1070</v>
      </c>
      <c r="B366" s="749" t="inlineStr">
        <is>
          <t>4636 S Mason St</t>
        </is>
      </c>
      <c r="C366" s="748" t="inlineStr">
        <is>
          <t>Fort Collins</t>
        </is>
      </c>
      <c r="D366" s="748" t="inlineStr">
        <is>
          <t>Larimer</t>
        </is>
      </c>
      <c r="E366" s="748" t="inlineStr">
        <is>
          <t>Auto Service</t>
        </is>
      </c>
      <c r="F366" s="748" t="inlineStr">
        <is>
          <t>Firestone</t>
        </is>
      </c>
      <c r="G366" s="748" t="n">
        <v>410</v>
      </c>
      <c r="H366" s="743" t="inlineStr">
        <is>
          <t>410 - Automotive Center</t>
        </is>
      </c>
      <c r="I366" s="749" t="inlineStr">
        <is>
          <t>Automotive Service Centers</t>
        </is>
      </c>
      <c r="J366" s="748" t="inlineStr">
        <is>
          <t>Sec.14 p.31</t>
        </is>
      </c>
      <c r="K366" s="744" t="n">
        <v>10000</v>
      </c>
      <c r="L366" s="744" t="n">
        <v>41730</v>
      </c>
      <c r="M366" s="745" t="inlineStr">
        <is>
          <t>S</t>
        </is>
      </c>
      <c r="N366" s="745" t="inlineStr">
        <is>
          <t>Average</t>
        </is>
      </c>
      <c r="O366" s="745" t="inlineStr">
        <is>
          <t>Typical</t>
        </is>
      </c>
      <c r="P366" s="745" t="n">
        <v>1995</v>
      </c>
      <c r="Q366" s="748" t="n">
        <v>29</v>
      </c>
      <c r="R366" s="750" t="n">
        <v>97.5</v>
      </c>
      <c r="S366" s="751" t="n">
        <v>975000</v>
      </c>
      <c r="T366" s="749" t="inlineStr"/>
    </row>
    <row r="367">
      <c r="A367" s="741" t="n">
        <v>1071</v>
      </c>
      <c r="B367" s="742" t="inlineStr">
        <is>
          <t>1383 Sculptor Dr</t>
        </is>
      </c>
      <c r="C367" s="741" t="inlineStr">
        <is>
          <t>Loveland</t>
        </is>
      </c>
      <c r="D367" s="741" t="inlineStr">
        <is>
          <t>Larimer</t>
        </is>
      </c>
      <c r="E367" s="741" t="inlineStr">
        <is>
          <t>Auto Service</t>
        </is>
      </c>
      <c r="F367" s="741" t="inlineStr">
        <is>
          <t>Firestone</t>
        </is>
      </c>
      <c r="G367" s="741" t="n">
        <v>410</v>
      </c>
      <c r="H367" s="743" t="inlineStr">
        <is>
          <t>410 - Automotive Center</t>
        </is>
      </c>
      <c r="I367" s="742" t="inlineStr">
        <is>
          <t>Automotive Service Centers</t>
        </is>
      </c>
      <c r="J367" s="741" t="inlineStr">
        <is>
          <t>Sec.14 p.31</t>
        </is>
      </c>
      <c r="K367" s="744" t="n">
        <v>7704</v>
      </c>
      <c r="L367" s="744" t="n">
        <v>70132</v>
      </c>
      <c r="M367" s="745" t="inlineStr">
        <is>
          <t>S</t>
        </is>
      </c>
      <c r="N367" s="745" t="inlineStr">
        <is>
          <t>Average</t>
        </is>
      </c>
      <c r="O367" s="745" t="inlineStr">
        <is>
          <t>Typical</t>
        </is>
      </c>
      <c r="P367" s="745" t="n">
        <v>2012</v>
      </c>
      <c r="Q367" s="741" t="n">
        <v>12</v>
      </c>
      <c r="R367" s="746" t="n">
        <v>97.5</v>
      </c>
      <c r="S367" s="747" t="n">
        <v>751140</v>
      </c>
      <c r="T367" s="742" t="inlineStr"/>
    </row>
    <row r="368">
      <c r="A368" s="748" t="n">
        <v>1072</v>
      </c>
      <c r="B368" s="749" t="inlineStr">
        <is>
          <t>4305 Fairgrounds Ave</t>
        </is>
      </c>
      <c r="C368" s="748" t="inlineStr">
        <is>
          <t>Windsor</t>
        </is>
      </c>
      <c r="D368" s="748" t="inlineStr">
        <is>
          <t>Larimer</t>
        </is>
      </c>
      <c r="E368" s="748" t="inlineStr">
        <is>
          <t>Retail Center</t>
        </is>
      </c>
      <c r="F368" s="748" t="inlineStr">
        <is>
          <t>Fuzzy'S Tacos</t>
        </is>
      </c>
      <c r="G368" s="748" t="n">
        <v>353</v>
      </c>
      <c r="H368" s="743" t="inlineStr">
        <is>
          <t>353 - Retail Store</t>
        </is>
      </c>
      <c r="I368" s="749" t="inlineStr">
        <is>
          <t>Retail Stores</t>
        </is>
      </c>
      <c r="J368" s="748" t="inlineStr">
        <is>
          <t>Sec.13 p.26</t>
        </is>
      </c>
      <c r="K368" s="744" t="n">
        <v>5245</v>
      </c>
      <c r="L368" s="744" t="n">
        <v>59242</v>
      </c>
      <c r="M368" s="745" t="inlineStr">
        <is>
          <t>C</t>
        </is>
      </c>
      <c r="N368" s="745" t="inlineStr">
        <is>
          <t>Good</t>
        </is>
      </c>
      <c r="O368" s="745" t="inlineStr">
        <is>
          <t>Typical</t>
        </is>
      </c>
      <c r="P368" s="745" t="n">
        <v>2018</v>
      </c>
      <c r="Q368" s="748" t="n">
        <v>6</v>
      </c>
      <c r="R368" s="750" t="n">
        <v>154</v>
      </c>
      <c r="S368" s="751" t="n">
        <v>807730</v>
      </c>
      <c r="T368" s="749" t="inlineStr"/>
    </row>
    <row r="369">
      <c r="A369" s="741" t="n">
        <v>1073</v>
      </c>
      <c r="B369" s="742" t="inlineStr">
        <is>
          <t>1425 S Lincoln Ave</t>
        </is>
      </c>
      <c r="C369" s="741" t="inlineStr">
        <is>
          <t>Loveland</t>
        </is>
      </c>
      <c r="D369" s="741" t="inlineStr">
        <is>
          <t>Larimer</t>
        </is>
      </c>
      <c r="E369" s="741" t="inlineStr">
        <is>
          <t>Auto Service</t>
        </is>
      </c>
      <c r="F369" s="741" t="inlineStr">
        <is>
          <t>Gerber Collision</t>
        </is>
      </c>
      <c r="G369" s="741" t="n">
        <v>410</v>
      </c>
      <c r="H369" s="743" t="inlineStr">
        <is>
          <t>410 - Automotive Center</t>
        </is>
      </c>
      <c r="I369" s="742" t="inlineStr">
        <is>
          <t>Automotive Service Centers</t>
        </is>
      </c>
      <c r="J369" s="741" t="inlineStr">
        <is>
          <t>Sec.14 p.31</t>
        </is>
      </c>
      <c r="K369" s="744" t="n">
        <v>11100</v>
      </c>
      <c r="L369" s="744" t="n">
        <v>102802</v>
      </c>
      <c r="M369" s="745" t="inlineStr">
        <is>
          <t>S</t>
        </is>
      </c>
      <c r="N369" s="745" t="inlineStr">
        <is>
          <t>Average</t>
        </is>
      </c>
      <c r="O369" s="745" t="inlineStr">
        <is>
          <t>Typical</t>
        </is>
      </c>
      <c r="P369" s="745" t="n">
        <v>1962</v>
      </c>
      <c r="Q369" s="741" t="n">
        <v>62</v>
      </c>
      <c r="R369" s="746" t="n">
        <v>97.5</v>
      </c>
      <c r="S369" s="747" t="n">
        <v>1082250</v>
      </c>
      <c r="T369" s="742" t="inlineStr"/>
    </row>
    <row r="370">
      <c r="A370" s="748" t="n">
        <v>1074</v>
      </c>
      <c r="B370" s="749" t="inlineStr">
        <is>
          <t>2901 S College Ave</t>
        </is>
      </c>
      <c r="C370" s="748" t="inlineStr">
        <is>
          <t>Fort Collins</t>
        </is>
      </c>
      <c r="D370" s="748" t="inlineStr">
        <is>
          <t>Larimer</t>
        </is>
      </c>
      <c r="E370" s="748" t="inlineStr">
        <is>
          <t>Auto Service</t>
        </is>
      </c>
      <c r="F370" s="748" t="inlineStr">
        <is>
          <t>Glass Doctor</t>
        </is>
      </c>
      <c r="G370" s="748" t="n">
        <v>325</v>
      </c>
      <c r="H370" s="743" t="inlineStr">
        <is>
          <t>325 - Service Garage</t>
        </is>
      </c>
      <c r="I370" s="749" t="inlineStr">
        <is>
          <t>Service Garages (Commercial/Repair)</t>
        </is>
      </c>
      <c r="J370" s="748" t="inlineStr">
        <is>
          <t>Sec.14 p.32</t>
        </is>
      </c>
      <c r="K370" s="744" t="n">
        <v>5407</v>
      </c>
      <c r="L370" s="744" t="n">
        <v>18269</v>
      </c>
      <c r="M370" s="745" t="inlineStr">
        <is>
          <t>C</t>
        </is>
      </c>
      <c r="N370" s="745" t="inlineStr">
        <is>
          <t>Average</t>
        </is>
      </c>
      <c r="O370" s="745" t="inlineStr">
        <is>
          <t>Typical</t>
        </is>
      </c>
      <c r="P370" s="745" t="n">
        <v>1969</v>
      </c>
      <c r="Q370" s="748" t="n">
        <v>55</v>
      </c>
      <c r="R370" s="750" t="n">
        <v>79.5</v>
      </c>
      <c r="S370" s="751" t="n">
        <v>429856</v>
      </c>
      <c r="T370" s="749" t="inlineStr"/>
    </row>
    <row r="371">
      <c r="A371" s="741" t="n">
        <v>1075</v>
      </c>
      <c r="B371" s="742" t="inlineStr">
        <is>
          <t>1545 Rocky Mountain Ave</t>
        </is>
      </c>
      <c r="C371" s="741" t="inlineStr">
        <is>
          <t>Loveland</t>
        </is>
      </c>
      <c r="D371" s="741" t="inlineStr">
        <is>
          <t>Larimer</t>
        </is>
      </c>
      <c r="E371" s="741" t="inlineStr">
        <is>
          <t>Fast Food</t>
        </is>
      </c>
      <c r="F371" s="741" t="inlineStr">
        <is>
          <t>Good Times</t>
        </is>
      </c>
      <c r="G371" s="741" t="n">
        <v>349</v>
      </c>
      <c r="H371" s="743" t="inlineStr">
        <is>
          <t>349 - Fast Food Restaurant</t>
        </is>
      </c>
      <c r="I371" s="742" t="inlineStr">
        <is>
          <t>Restaurants – Fast Food</t>
        </is>
      </c>
      <c r="J371" s="741" t="inlineStr">
        <is>
          <t>Sec.13 p.17</t>
        </is>
      </c>
      <c r="K371" s="744" t="n">
        <v>2664</v>
      </c>
      <c r="L371" s="744" t="n">
        <v>27900</v>
      </c>
      <c r="M371" s="745" t="inlineStr">
        <is>
          <t>C</t>
        </is>
      </c>
      <c r="N371" s="745" t="inlineStr">
        <is>
          <t>Average</t>
        </is>
      </c>
      <c r="O371" s="745" t="inlineStr">
        <is>
          <t>Typical</t>
        </is>
      </c>
      <c r="P371" s="745" t="n">
        <v>2006</v>
      </c>
      <c r="Q371" s="741" t="n">
        <v>18</v>
      </c>
      <c r="R371" s="746" t="n">
        <v>191</v>
      </c>
      <c r="S371" s="747" t="n">
        <v>508824</v>
      </c>
      <c r="T371" s="742" t="inlineStr"/>
    </row>
    <row r="372">
      <c r="A372" s="748" t="n">
        <v>1076</v>
      </c>
      <c r="B372" s="749" t="inlineStr">
        <is>
          <t>1354-1356 N Lincoln Ave</t>
        </is>
      </c>
      <c r="C372" s="748" t="inlineStr">
        <is>
          <t>Loveland</t>
        </is>
      </c>
      <c r="D372" s="748" t="inlineStr">
        <is>
          <t>Larimer</t>
        </is>
      </c>
      <c r="E372" s="748" t="inlineStr">
        <is>
          <t>Fast Food</t>
        </is>
      </c>
      <c r="F372" s="748" t="inlineStr">
        <is>
          <t>Kfc</t>
        </is>
      </c>
      <c r="G372" s="748" t="n">
        <v>349</v>
      </c>
      <c r="H372" s="743" t="inlineStr">
        <is>
          <t>349 - Fast Food Restaurant</t>
        </is>
      </c>
      <c r="I372" s="749" t="inlineStr">
        <is>
          <t>Restaurants – Fast Food</t>
        </is>
      </c>
      <c r="J372" s="748" t="inlineStr">
        <is>
          <t>Sec.13 p.17</t>
        </is>
      </c>
      <c r="K372" s="744" t="n">
        <v>3039</v>
      </c>
      <c r="L372" s="744" t="n">
        <v>21000</v>
      </c>
      <c r="M372" s="745" t="inlineStr">
        <is>
          <t>C</t>
        </is>
      </c>
      <c r="N372" s="745" t="inlineStr">
        <is>
          <t>Average</t>
        </is>
      </c>
      <c r="O372" s="745" t="inlineStr">
        <is>
          <t>Typical</t>
        </is>
      </c>
      <c r="P372" s="745" t="n">
        <v>1990</v>
      </c>
      <c r="Q372" s="748" t="n">
        <v>34</v>
      </c>
      <c r="R372" s="750" t="n">
        <v>191</v>
      </c>
      <c r="S372" s="751" t="n">
        <v>580449</v>
      </c>
      <c r="T372" s="749" t="inlineStr"/>
    </row>
    <row r="373">
      <c r="A373" s="741" t="n">
        <v>1077</v>
      </c>
      <c r="B373" s="742" t="inlineStr">
        <is>
          <t>2464 Marquette St</t>
        </is>
      </c>
      <c r="C373" s="741" t="inlineStr">
        <is>
          <t>Fort Collins</t>
        </is>
      </c>
      <c r="D373" s="741" t="inlineStr">
        <is>
          <t>Larimer</t>
        </is>
      </c>
      <c r="E373" s="741" t="inlineStr">
        <is>
          <t>Daycare</t>
        </is>
      </c>
      <c r="F373" s="741" t="inlineStr">
        <is>
          <t>Kid City USA</t>
        </is>
      </c>
      <c r="G373" s="741" t="n">
        <v>426</v>
      </c>
      <c r="H373" s="743" t="inlineStr">
        <is>
          <t>426 - Day Care Center</t>
        </is>
      </c>
      <c r="I373" s="742" t="inlineStr">
        <is>
          <t>Day Care Centers</t>
        </is>
      </c>
      <c r="J373" s="741" t="inlineStr">
        <is>
          <t>Sec.18 p.13</t>
        </is>
      </c>
      <c r="K373" s="744" t="n">
        <v>6063</v>
      </c>
      <c r="L373" s="744" t="n">
        <v>32670</v>
      </c>
      <c r="M373" s="745" t="inlineStr">
        <is>
          <t>C</t>
        </is>
      </c>
      <c r="N373" s="745" t="inlineStr">
        <is>
          <t>Average</t>
        </is>
      </c>
      <c r="O373" s="745" t="inlineStr">
        <is>
          <t>Typical</t>
        </is>
      </c>
      <c r="P373" s="745" t="n">
        <v>1980</v>
      </c>
      <c r="Q373" s="741" t="n">
        <v>44</v>
      </c>
      <c r="R373" s="746" t="n">
        <v>173</v>
      </c>
      <c r="S373" s="747" t="n">
        <v>1048899</v>
      </c>
      <c r="T373" s="742" t="inlineStr"/>
    </row>
    <row r="374">
      <c r="A374" s="748" t="n">
        <v>1078</v>
      </c>
      <c r="B374" s="749" t="inlineStr">
        <is>
          <t>1900 Remington St</t>
        </is>
      </c>
      <c r="C374" s="748" t="inlineStr">
        <is>
          <t>Fort Collins</t>
        </is>
      </c>
      <c r="D374" s="748" t="inlineStr">
        <is>
          <t>Larimer</t>
        </is>
      </c>
      <c r="E374" s="748" t="inlineStr">
        <is>
          <t>Daycare</t>
        </is>
      </c>
      <c r="F374" s="748" t="inlineStr">
        <is>
          <t>KinderCare</t>
        </is>
      </c>
      <c r="G374" s="748" t="n">
        <v>426</v>
      </c>
      <c r="H374" s="743" t="inlineStr">
        <is>
          <t>426 - Day Care Center</t>
        </is>
      </c>
      <c r="I374" s="749" t="inlineStr">
        <is>
          <t>Day Care Centers</t>
        </is>
      </c>
      <c r="J374" s="748" t="inlineStr">
        <is>
          <t>Sec.18 p.13</t>
        </is>
      </c>
      <c r="K374" s="744" t="n">
        <v>13360</v>
      </c>
      <c r="L374" s="744" t="n">
        <v>61855</v>
      </c>
      <c r="M374" s="745" t="inlineStr">
        <is>
          <t>C</t>
        </is>
      </c>
      <c r="N374" s="745" t="inlineStr">
        <is>
          <t>Average</t>
        </is>
      </c>
      <c r="O374" s="745" t="inlineStr">
        <is>
          <t>Typical</t>
        </is>
      </c>
      <c r="P374" s="745" t="n">
        <v>1991</v>
      </c>
      <c r="Q374" s="748" t="n">
        <v>33</v>
      </c>
      <c r="R374" s="750" t="n">
        <v>173</v>
      </c>
      <c r="S374" s="751" t="n">
        <v>2311280</v>
      </c>
      <c r="T374" s="749" t="inlineStr"/>
    </row>
    <row r="375">
      <c r="A375" s="741" t="n">
        <v>1079</v>
      </c>
      <c r="B375" s="742" t="inlineStr">
        <is>
          <t>3533 Riva Ridge Dr</t>
        </is>
      </c>
      <c r="C375" s="741" t="inlineStr">
        <is>
          <t>Fort Collins</t>
        </is>
      </c>
      <c r="D375" s="741" t="inlineStr">
        <is>
          <t>Larimer</t>
        </is>
      </c>
      <c r="E375" s="741" t="inlineStr">
        <is>
          <t>Daycare</t>
        </is>
      </c>
      <c r="F375" s="741" t="inlineStr">
        <is>
          <t>Learning House Foundation</t>
        </is>
      </c>
      <c r="G375" s="741" t="n">
        <v>426</v>
      </c>
      <c r="H375" s="743" t="inlineStr">
        <is>
          <t>426 - Day Care Center</t>
        </is>
      </c>
      <c r="I375" s="742" t="inlineStr">
        <is>
          <t>Day Care Centers</t>
        </is>
      </c>
      <c r="J375" s="741" t="inlineStr">
        <is>
          <t>Sec.18 p.13</t>
        </is>
      </c>
      <c r="K375" s="744" t="n">
        <v>3136</v>
      </c>
      <c r="L375" s="744" t="n">
        <v>15682</v>
      </c>
      <c r="M375" s="745" t="inlineStr">
        <is>
          <t>C</t>
        </is>
      </c>
      <c r="N375" s="745" t="inlineStr">
        <is>
          <t>Average</t>
        </is>
      </c>
      <c r="O375" s="745" t="inlineStr">
        <is>
          <t>Typical</t>
        </is>
      </c>
      <c r="P375" s="745" t="n">
        <v>1988</v>
      </c>
      <c r="Q375" s="741" t="n">
        <v>36</v>
      </c>
      <c r="R375" s="746" t="n">
        <v>173</v>
      </c>
      <c r="S375" s="747" t="n">
        <v>542528</v>
      </c>
      <c r="T375" s="742" t="inlineStr"/>
    </row>
    <row r="376">
      <c r="A376" s="748" t="n">
        <v>1080</v>
      </c>
      <c r="B376" s="749" t="inlineStr">
        <is>
          <t>425 S College Ave</t>
        </is>
      </c>
      <c r="C376" s="748" t="inlineStr">
        <is>
          <t>Fort Collins</t>
        </is>
      </c>
      <c r="D376" s="748" t="inlineStr">
        <is>
          <t>Larimer</t>
        </is>
      </c>
      <c r="E376" s="748" t="inlineStr">
        <is>
          <t>Supermarket</t>
        </is>
      </c>
      <c r="F376" s="748" t="inlineStr">
        <is>
          <t>Lucky'S Market</t>
        </is>
      </c>
      <c r="G376" s="748" t="n">
        <v>446</v>
      </c>
      <c r="H376" s="743" t="inlineStr">
        <is>
          <t>446 - SuperMarket</t>
        </is>
      </c>
      <c r="I376" s="749" t="inlineStr">
        <is>
          <t>Supermarkets</t>
        </is>
      </c>
      <c r="J376" s="748" t="inlineStr">
        <is>
          <t>Sec.13 p.20</t>
        </is>
      </c>
      <c r="K376" s="744" t="n">
        <v>26602</v>
      </c>
      <c r="L376" s="744" t="n">
        <v>43560</v>
      </c>
      <c r="M376" s="745" t="inlineStr">
        <is>
          <t>C</t>
        </is>
      </c>
      <c r="N376" s="745" t="inlineStr">
        <is>
          <t>Average</t>
        </is>
      </c>
      <c r="O376" s="745" t="inlineStr">
        <is>
          <t>Typical</t>
        </is>
      </c>
      <c r="P376" s="745" t="n">
        <v>1966</v>
      </c>
      <c r="Q376" s="748" t="n">
        <v>58</v>
      </c>
      <c r="R376" s="750" t="n">
        <v>121</v>
      </c>
      <c r="S376" s="751" t="n">
        <v>3218842</v>
      </c>
      <c r="T376" s="749" t="inlineStr"/>
    </row>
    <row r="377">
      <c r="A377" s="741" t="n">
        <v>1081</v>
      </c>
      <c r="B377" s="742" t="inlineStr">
        <is>
          <t>351 S Saint Vrain Ave</t>
        </is>
      </c>
      <c r="C377" s="741" t="inlineStr">
        <is>
          <t>Estes Park</t>
        </is>
      </c>
      <c r="D377" s="741" t="inlineStr">
        <is>
          <t>Larimer</t>
        </is>
      </c>
      <c r="E377" s="741" t="inlineStr">
        <is>
          <t>Auto Parts</t>
        </is>
      </c>
      <c r="F377" s="741" t="inlineStr">
        <is>
          <t>NAPA</t>
        </is>
      </c>
      <c r="G377" s="741" t="n">
        <v>353</v>
      </c>
      <c r="H377" s="743" t="inlineStr">
        <is>
          <t>353 - Retail Store</t>
        </is>
      </c>
      <c r="I377" s="742" t="inlineStr">
        <is>
          <t>Retail Stores</t>
        </is>
      </c>
      <c r="J377" s="741" t="inlineStr">
        <is>
          <t>Sec.13 p.26</t>
        </is>
      </c>
      <c r="K377" s="744" t="n">
        <v>6807</v>
      </c>
      <c r="L377" s="744" t="n">
        <v>19800</v>
      </c>
      <c r="M377" s="745" t="inlineStr">
        <is>
          <t>C</t>
        </is>
      </c>
      <c r="N377" s="745" t="inlineStr">
        <is>
          <t>Average</t>
        </is>
      </c>
      <c r="O377" s="745" t="inlineStr">
        <is>
          <t>Typical</t>
        </is>
      </c>
      <c r="P377" s="745" t="n">
        <v>1970</v>
      </c>
      <c r="Q377" s="741" t="n">
        <v>54</v>
      </c>
      <c r="R377" s="746" t="n">
        <v>117</v>
      </c>
      <c r="S377" s="747" t="n">
        <v>796419</v>
      </c>
      <c r="T377" s="742" t="inlineStr"/>
    </row>
    <row r="378">
      <c r="A378" s="748" t="n">
        <v>1082</v>
      </c>
      <c r="B378" s="749" t="inlineStr">
        <is>
          <t>885 S Lincoln Ave</t>
        </is>
      </c>
      <c r="C378" s="748" t="inlineStr">
        <is>
          <t>Loveland</t>
        </is>
      </c>
      <c r="D378" s="748" t="inlineStr">
        <is>
          <t>Larimer</t>
        </is>
      </c>
      <c r="E378" s="748" t="inlineStr">
        <is>
          <t>Auto Parts</t>
        </is>
      </c>
      <c r="F378" s="748" t="inlineStr">
        <is>
          <t>O'Reilly Auto Parts</t>
        </is>
      </c>
      <c r="G378" s="748" t="n">
        <v>353</v>
      </c>
      <c r="H378" s="743" t="inlineStr">
        <is>
          <t>353 - Retail Store</t>
        </is>
      </c>
      <c r="I378" s="749" t="inlineStr">
        <is>
          <t>Retail Stores</t>
        </is>
      </c>
      <c r="J378" s="748" t="inlineStr">
        <is>
          <t>Sec.13 p.26</t>
        </is>
      </c>
      <c r="K378" s="744" t="n">
        <v>7000</v>
      </c>
      <c r="L378" s="744" t="n">
        <v>33541</v>
      </c>
      <c r="M378" s="745" t="inlineStr">
        <is>
          <t>C</t>
        </is>
      </c>
      <c r="N378" s="745" t="inlineStr">
        <is>
          <t>Average</t>
        </is>
      </c>
      <c r="O378" s="745" t="inlineStr">
        <is>
          <t>Typical</t>
        </is>
      </c>
      <c r="P378" s="745" t="n">
        <v>1998</v>
      </c>
      <c r="Q378" s="748" t="n">
        <v>26</v>
      </c>
      <c r="R378" s="750" t="n">
        <v>117</v>
      </c>
      <c r="S378" s="751" t="n">
        <v>819000</v>
      </c>
      <c r="T378" s="749" t="inlineStr"/>
    </row>
    <row r="379">
      <c r="A379" s="741" t="n">
        <v>1083</v>
      </c>
      <c r="B379" s="742" t="inlineStr">
        <is>
          <t>2551 Hampshire Rd</t>
        </is>
      </c>
      <c r="C379" s="741" t="inlineStr">
        <is>
          <t>Fort Collins</t>
        </is>
      </c>
      <c r="D379" s="741" t="inlineStr">
        <is>
          <t>Larimer</t>
        </is>
      </c>
      <c r="E379" s="741" t="inlineStr">
        <is>
          <t>Daycare</t>
        </is>
      </c>
      <c r="F379" s="741" t="inlineStr">
        <is>
          <t>Once Upon A Childcare</t>
        </is>
      </c>
      <c r="G379" s="741" t="n">
        <v>426</v>
      </c>
      <c r="H379" s="743" t="inlineStr">
        <is>
          <t>426 - Day Care Center</t>
        </is>
      </c>
      <c r="I379" s="742" t="inlineStr">
        <is>
          <t>Day Care Centers</t>
        </is>
      </c>
      <c r="J379" s="741" t="inlineStr">
        <is>
          <t>Sec.18 p.13</t>
        </is>
      </c>
      <c r="K379" s="744" t="n">
        <v>4950</v>
      </c>
      <c r="L379" s="744" t="n">
        <v>28750</v>
      </c>
      <c r="M379" s="745" t="inlineStr">
        <is>
          <t>C</t>
        </is>
      </c>
      <c r="N379" s="745" t="inlineStr">
        <is>
          <t>Average</t>
        </is>
      </c>
      <c r="O379" s="745" t="inlineStr">
        <is>
          <t>Typical</t>
        </is>
      </c>
      <c r="P379" s="745" t="n">
        <v>1985</v>
      </c>
      <c r="Q379" s="741" t="n">
        <v>39</v>
      </c>
      <c r="R379" s="746" t="n">
        <v>173</v>
      </c>
      <c r="S379" s="747" t="n">
        <v>856350</v>
      </c>
      <c r="T379" s="742" t="inlineStr"/>
    </row>
    <row r="380">
      <c r="A380" s="748" t="n">
        <v>1084</v>
      </c>
      <c r="B380" s="749" t="inlineStr">
        <is>
          <t>4600 S Mason St</t>
        </is>
      </c>
      <c r="C380" s="748" t="inlineStr">
        <is>
          <t>Fort Collins</t>
        </is>
      </c>
      <c r="D380" s="748" t="inlineStr">
        <is>
          <t>Larimer</t>
        </is>
      </c>
      <c r="E380" s="748" t="inlineStr">
        <is>
          <t>Fast Food</t>
        </is>
      </c>
      <c r="F380" s="748" t="inlineStr">
        <is>
          <t>Panda Express</t>
        </is>
      </c>
      <c r="G380" s="748" t="n">
        <v>349</v>
      </c>
      <c r="H380" s="743" t="inlineStr">
        <is>
          <t>349 - Fast Food Restaurant</t>
        </is>
      </c>
      <c r="I380" s="749" t="inlineStr">
        <is>
          <t>Restaurants – Fast Food</t>
        </is>
      </c>
      <c r="J380" s="748" t="inlineStr">
        <is>
          <t>Sec.13 p.17</t>
        </is>
      </c>
      <c r="K380" s="744" t="n">
        <v>2911</v>
      </c>
      <c r="L380" s="744" t="n">
        <v>40816</v>
      </c>
      <c r="M380" s="745" t="inlineStr">
        <is>
          <t>C</t>
        </is>
      </c>
      <c r="N380" s="745" t="inlineStr">
        <is>
          <t>Average</t>
        </is>
      </c>
      <c r="O380" s="745" t="inlineStr">
        <is>
          <t>Typical</t>
        </is>
      </c>
      <c r="P380" s="745" t="n">
        <v>2006</v>
      </c>
      <c r="Q380" s="748" t="n">
        <v>18</v>
      </c>
      <c r="R380" s="750" t="n">
        <v>191</v>
      </c>
      <c r="S380" s="751" t="n">
        <v>556001</v>
      </c>
      <c r="T380" s="749" t="inlineStr"/>
    </row>
    <row r="381">
      <c r="A381" s="741" t="n">
        <v>1085</v>
      </c>
      <c r="B381" s="742" t="inlineStr">
        <is>
          <t>800 S Lemay Ave</t>
        </is>
      </c>
      <c r="C381" s="741" t="inlineStr">
        <is>
          <t>Fort Collins</t>
        </is>
      </c>
      <c r="D381" s="741" t="inlineStr">
        <is>
          <t>Larimer</t>
        </is>
      </c>
      <c r="E381" s="741" t="inlineStr">
        <is>
          <t>Auto Service</t>
        </is>
      </c>
      <c r="F381" s="741" t="inlineStr">
        <is>
          <t>Peerless Tires</t>
        </is>
      </c>
      <c r="G381" s="741" t="n">
        <v>410</v>
      </c>
      <c r="H381" s="743" t="inlineStr">
        <is>
          <t>410 - Automotive Center</t>
        </is>
      </c>
      <c r="I381" s="742" t="inlineStr">
        <is>
          <t>Automotive Service Centers</t>
        </is>
      </c>
      <c r="J381" s="741" t="inlineStr">
        <is>
          <t>Sec.14 p.31</t>
        </is>
      </c>
      <c r="K381" s="744" t="n">
        <v>3696</v>
      </c>
      <c r="L381" s="744" t="n">
        <v>12197</v>
      </c>
      <c r="M381" s="745" t="inlineStr">
        <is>
          <t>S</t>
        </is>
      </c>
      <c r="N381" s="745" t="inlineStr">
        <is>
          <t>Average</t>
        </is>
      </c>
      <c r="O381" s="745" t="inlineStr">
        <is>
          <t>Typical</t>
        </is>
      </c>
      <c r="P381" s="745" t="n">
        <v>1987</v>
      </c>
      <c r="Q381" s="741" t="n">
        <v>37</v>
      </c>
      <c r="R381" s="746" t="n">
        <v>97.5</v>
      </c>
      <c r="S381" s="747" t="n">
        <v>360360</v>
      </c>
      <c r="T381" s="742" t="inlineStr"/>
    </row>
    <row r="382">
      <c r="A382" s="748" t="n">
        <v>1086</v>
      </c>
      <c r="B382" s="749" t="inlineStr">
        <is>
          <t>1075 Pennock Pl</t>
        </is>
      </c>
      <c r="C382" s="748" t="inlineStr">
        <is>
          <t>Fort Collins</t>
        </is>
      </c>
      <c r="D382" s="748" t="inlineStr">
        <is>
          <t>Larimer</t>
        </is>
      </c>
      <c r="E382" s="748" t="inlineStr">
        <is>
          <t>Fast Food</t>
        </is>
      </c>
      <c r="F382" s="748" t="inlineStr">
        <is>
          <t>Pizza Hut</t>
        </is>
      </c>
      <c r="G382" s="748" t="n">
        <v>349</v>
      </c>
      <c r="H382" s="743" t="inlineStr">
        <is>
          <t>349 - Fast Food Restaurant</t>
        </is>
      </c>
      <c r="I382" s="749" t="inlineStr">
        <is>
          <t>Restaurants – Fast Food</t>
        </is>
      </c>
      <c r="J382" s="748" t="inlineStr">
        <is>
          <t>Sec.13 p.17</t>
        </is>
      </c>
      <c r="K382" s="744" t="n">
        <v>2900</v>
      </c>
      <c r="L382" s="744" t="n">
        <v>5994</v>
      </c>
      <c r="M382" s="745" t="inlineStr">
        <is>
          <t>C</t>
        </is>
      </c>
      <c r="N382" s="745" t="inlineStr">
        <is>
          <t>Average</t>
        </is>
      </c>
      <c r="O382" s="745" t="inlineStr">
        <is>
          <t>Typical</t>
        </is>
      </c>
      <c r="P382" s="745" t="n">
        <v>1986</v>
      </c>
      <c r="Q382" s="748" t="n">
        <v>38</v>
      </c>
      <c r="R382" s="750" t="n">
        <v>191</v>
      </c>
      <c r="S382" s="751" t="n">
        <v>553900</v>
      </c>
      <c r="T382" s="749" t="inlineStr"/>
    </row>
    <row r="383">
      <c r="A383" s="741" t="n">
        <v>1087</v>
      </c>
      <c r="B383" s="742" t="inlineStr">
        <is>
          <t>1611 W Eisenhower Blvd</t>
        </is>
      </c>
      <c r="C383" s="741" t="inlineStr">
        <is>
          <t>Loveland</t>
        </is>
      </c>
      <c r="D383" s="741" t="inlineStr">
        <is>
          <t>Larimer</t>
        </is>
      </c>
      <c r="E383" s="741" t="inlineStr">
        <is>
          <t>Fast Food</t>
        </is>
      </c>
      <c r="F383" s="741" t="inlineStr">
        <is>
          <t>Quiznos Subs</t>
        </is>
      </c>
      <c r="G383" s="741" t="n">
        <v>349</v>
      </c>
      <c r="H383" s="743" t="inlineStr">
        <is>
          <t>349 - Fast Food Restaurant</t>
        </is>
      </c>
      <c r="I383" s="742" t="inlineStr">
        <is>
          <t>Restaurants – Fast Food</t>
        </is>
      </c>
      <c r="J383" s="741" t="inlineStr">
        <is>
          <t>Sec.13 p.17</t>
        </is>
      </c>
      <c r="K383" s="744" t="n">
        <v>1994</v>
      </c>
      <c r="L383" s="744" t="n">
        <v>16727</v>
      </c>
      <c r="M383" s="745" t="inlineStr">
        <is>
          <t>C</t>
        </is>
      </c>
      <c r="N383" s="745" t="inlineStr">
        <is>
          <t>Average</t>
        </is>
      </c>
      <c r="O383" s="745" t="inlineStr">
        <is>
          <t>Typical</t>
        </is>
      </c>
      <c r="P383" s="745" t="n">
        <v>1962</v>
      </c>
      <c r="Q383" s="741" t="n">
        <v>62</v>
      </c>
      <c r="R383" s="746" t="n">
        <v>191</v>
      </c>
      <c r="S383" s="747" t="n">
        <v>380854</v>
      </c>
      <c r="T383" s="742" t="inlineStr"/>
    </row>
    <row r="384">
      <c r="A384" s="748" t="n">
        <v>1088</v>
      </c>
      <c r="B384" s="749" t="inlineStr">
        <is>
          <t>3301 S College Ave</t>
        </is>
      </c>
      <c r="C384" s="748" t="inlineStr">
        <is>
          <t>Fort Collins</t>
        </is>
      </c>
      <c r="D384" s="748" t="inlineStr">
        <is>
          <t>Larimer</t>
        </is>
      </c>
      <c r="E384" s="748" t="inlineStr">
        <is>
          <t>Retail Center</t>
        </is>
      </c>
      <c r="F384" s="748" t="inlineStr">
        <is>
          <t>Red Lobster</t>
        </is>
      </c>
      <c r="G384" s="748" t="n">
        <v>353</v>
      </c>
      <c r="H384" s="743" t="inlineStr">
        <is>
          <t>353 - Retail Store</t>
        </is>
      </c>
      <c r="I384" s="749" t="inlineStr">
        <is>
          <t>Retail Stores</t>
        </is>
      </c>
      <c r="J384" s="748" t="inlineStr">
        <is>
          <t>Sec.13 p.26</t>
        </is>
      </c>
      <c r="K384" s="744" t="n">
        <v>8208</v>
      </c>
      <c r="L384" s="744" t="n">
        <v>40075</v>
      </c>
      <c r="M384" s="745" t="inlineStr">
        <is>
          <t>C</t>
        </is>
      </c>
      <c r="N384" s="745" t="inlineStr">
        <is>
          <t>Average</t>
        </is>
      </c>
      <c r="O384" s="745" t="inlineStr">
        <is>
          <t>Typical</t>
        </is>
      </c>
      <c r="P384" s="745" t="n">
        <v>1983</v>
      </c>
      <c r="Q384" s="748" t="n">
        <v>41</v>
      </c>
      <c r="R384" s="750" t="n">
        <v>117</v>
      </c>
      <c r="S384" s="751" t="n">
        <v>960336</v>
      </c>
      <c r="T384" s="749" t="inlineStr"/>
    </row>
    <row r="385">
      <c r="A385" s="741" t="n">
        <v>1089</v>
      </c>
      <c r="B385" s="742" t="inlineStr">
        <is>
          <t>540 S Lincoln Ave</t>
        </is>
      </c>
      <c r="C385" s="741" t="inlineStr">
        <is>
          <t>Loveland</t>
        </is>
      </c>
      <c r="D385" s="741" t="inlineStr">
        <is>
          <t>Larimer</t>
        </is>
      </c>
      <c r="E385" s="741" t="inlineStr">
        <is>
          <t>Auto Service</t>
        </is>
      </c>
      <c r="F385" s="741" t="inlineStr">
        <is>
          <t>Rowley Accident and Hail Repair</t>
        </is>
      </c>
      <c r="G385" s="741" t="n">
        <v>325</v>
      </c>
      <c r="H385" s="743" t="inlineStr">
        <is>
          <t>325 - Service Garage</t>
        </is>
      </c>
      <c r="I385" s="742" t="inlineStr">
        <is>
          <t>Service Garages (Commercial/Repair)</t>
        </is>
      </c>
      <c r="J385" s="741" t="inlineStr">
        <is>
          <t>Sec.14 p.32</t>
        </is>
      </c>
      <c r="K385" s="744" t="n">
        <v>7329</v>
      </c>
      <c r="L385" s="744" t="n">
        <v>29185</v>
      </c>
      <c r="M385" s="745" t="inlineStr">
        <is>
          <t>C</t>
        </is>
      </c>
      <c r="N385" s="745" t="inlineStr">
        <is>
          <t>Average</t>
        </is>
      </c>
      <c r="O385" s="745" t="inlineStr">
        <is>
          <t>Typical</t>
        </is>
      </c>
      <c r="P385" s="745" t="n">
        <v>1995</v>
      </c>
      <c r="Q385" s="741" t="n">
        <v>29</v>
      </c>
      <c r="R385" s="746" t="n">
        <v>79.5</v>
      </c>
      <c r="S385" s="747" t="n">
        <v>582656</v>
      </c>
      <c r="T385" s="742" t="inlineStr"/>
    </row>
    <row r="386">
      <c r="A386" s="748" t="n">
        <v>1090</v>
      </c>
      <c r="B386" s="749" t="inlineStr">
        <is>
          <t>2321 W Eisenhower Blvd</t>
        </is>
      </c>
      <c r="C386" s="748" t="inlineStr">
        <is>
          <t>Loveland</t>
        </is>
      </c>
      <c r="D386" s="748" t="inlineStr">
        <is>
          <t>Larimer</t>
        </is>
      </c>
      <c r="E386" s="748" t="inlineStr">
        <is>
          <t>Supermarket</t>
        </is>
      </c>
      <c r="F386" s="748" t="inlineStr">
        <is>
          <t>Safeway</t>
        </is>
      </c>
      <c r="G386" s="748" t="n">
        <v>446</v>
      </c>
      <c r="H386" s="743" t="inlineStr">
        <is>
          <t>446 - SuperMarket</t>
        </is>
      </c>
      <c r="I386" s="749" t="inlineStr">
        <is>
          <t>Supermarkets</t>
        </is>
      </c>
      <c r="J386" s="748" t="inlineStr">
        <is>
          <t>Sec.13 p.20</t>
        </is>
      </c>
      <c r="K386" s="744" t="n">
        <v>50098</v>
      </c>
      <c r="L386" s="744" t="n">
        <v>195584</v>
      </c>
      <c r="M386" s="745" t="inlineStr">
        <is>
          <t>C</t>
        </is>
      </c>
      <c r="N386" s="745" t="inlineStr">
        <is>
          <t>Average</t>
        </is>
      </c>
      <c r="O386" s="745" t="inlineStr">
        <is>
          <t>Typical</t>
        </is>
      </c>
      <c r="P386" s="745" t="n">
        <v>1984</v>
      </c>
      <c r="Q386" s="748" t="n">
        <v>40</v>
      </c>
      <c r="R386" s="750" t="n">
        <v>121</v>
      </c>
      <c r="S386" s="751" t="n">
        <v>6061858</v>
      </c>
      <c r="T386" s="749" t="inlineStr"/>
    </row>
    <row r="387">
      <c r="A387" s="741" t="n">
        <v>1091</v>
      </c>
      <c r="B387" s="742" t="inlineStr">
        <is>
          <t>4218 S College Ave</t>
        </is>
      </c>
      <c r="C387" s="741" t="inlineStr">
        <is>
          <t>Fort Collins</t>
        </is>
      </c>
      <c r="D387" s="741" t="inlineStr">
        <is>
          <t>Larimer</t>
        </is>
      </c>
      <c r="E387" s="741" t="inlineStr">
        <is>
          <t>Coffee</t>
        </is>
      </c>
      <c r="F387" s="741" t="inlineStr">
        <is>
          <t>Starbucks</t>
        </is>
      </c>
      <c r="G387" s="741" t="n">
        <v>349</v>
      </c>
      <c r="H387" s="743" t="inlineStr">
        <is>
          <t>349 - Fast Food Restaurant</t>
        </is>
      </c>
      <c r="I387" s="742" t="inlineStr">
        <is>
          <t>Restaurants – Fast Food</t>
        </is>
      </c>
      <c r="J387" s="741" t="inlineStr">
        <is>
          <t>Sec.13 p.17</t>
        </is>
      </c>
      <c r="K387" s="744" t="n">
        <v>2654</v>
      </c>
      <c r="L387" s="744" t="n">
        <v>40075</v>
      </c>
      <c r="M387" s="745" t="inlineStr">
        <is>
          <t>C</t>
        </is>
      </c>
      <c r="N387" s="745" t="inlineStr">
        <is>
          <t>Good</t>
        </is>
      </c>
      <c r="O387" s="745" t="inlineStr">
        <is>
          <t>Typical</t>
        </is>
      </c>
      <c r="P387" s="745" t="n">
        <v>1989</v>
      </c>
      <c r="Q387" s="741" t="n">
        <v>35</v>
      </c>
      <c r="R387" s="746" t="n">
        <v>246</v>
      </c>
      <c r="S387" s="747" t="n">
        <v>652884</v>
      </c>
      <c r="T387" s="742" t="inlineStr"/>
    </row>
    <row r="388">
      <c r="A388" s="748" t="n">
        <v>1092</v>
      </c>
      <c r="B388" s="749" t="inlineStr">
        <is>
          <t>1301 Grand Market Ave</t>
        </is>
      </c>
      <c r="C388" s="748" t="inlineStr">
        <is>
          <t>Berthoud</t>
        </is>
      </c>
      <c r="D388" s="748" t="inlineStr">
        <is>
          <t>Larimer</t>
        </is>
      </c>
      <c r="E388" s="748" t="inlineStr">
        <is>
          <t>Coffee</t>
        </is>
      </c>
      <c r="F388" s="748" t="inlineStr">
        <is>
          <t>Starbucks</t>
        </is>
      </c>
      <c r="G388" s="748" t="n">
        <v>349</v>
      </c>
      <c r="H388" s="743" t="inlineStr">
        <is>
          <t>349 - Fast Food Restaurant</t>
        </is>
      </c>
      <c r="I388" s="749" t="inlineStr">
        <is>
          <t>Restaurants – Fast Food</t>
        </is>
      </c>
      <c r="J388" s="748" t="inlineStr">
        <is>
          <t>Sec.13 p.17</t>
        </is>
      </c>
      <c r="K388" s="744" t="n">
        <v>2225</v>
      </c>
      <c r="L388" s="744" t="n">
        <v>40215</v>
      </c>
      <c r="M388" s="745" t="inlineStr">
        <is>
          <t>C</t>
        </is>
      </c>
      <c r="N388" s="745" t="inlineStr">
        <is>
          <t>Good</t>
        </is>
      </c>
      <c r="O388" s="745" t="inlineStr">
        <is>
          <t>Typical</t>
        </is>
      </c>
      <c r="P388" s="745" t="n">
        <v>2022</v>
      </c>
      <c r="Q388" s="748" t="n">
        <v>2</v>
      </c>
      <c r="R388" s="750" t="n">
        <v>246</v>
      </c>
      <c r="S388" s="751" t="n">
        <v>547350</v>
      </c>
      <c r="T388" s="749" t="inlineStr"/>
    </row>
    <row r="389">
      <c r="A389" s="741" t="n">
        <v>1093</v>
      </c>
      <c r="B389" s="742" t="inlineStr">
        <is>
          <t>1624 N College Ave</t>
        </is>
      </c>
      <c r="C389" s="741" t="inlineStr">
        <is>
          <t>Fort Collins</t>
        </is>
      </c>
      <c r="D389" s="741" t="inlineStr">
        <is>
          <t>Larimer</t>
        </is>
      </c>
      <c r="E389" s="741" t="inlineStr">
        <is>
          <t>Fast Food</t>
        </is>
      </c>
      <c r="F389" s="741" t="inlineStr">
        <is>
          <t>Subway</t>
        </is>
      </c>
      <c r="G389" s="741" t="n">
        <v>349</v>
      </c>
      <c r="H389" s="743" t="inlineStr">
        <is>
          <t>349 - Fast Food Restaurant</t>
        </is>
      </c>
      <c r="I389" s="742" t="inlineStr">
        <is>
          <t>Restaurants – Fast Food</t>
        </is>
      </c>
      <c r="J389" s="741" t="inlineStr">
        <is>
          <t>Sec.13 p.17</t>
        </is>
      </c>
      <c r="K389" s="744" t="n">
        <v>1733</v>
      </c>
      <c r="L389" s="744" t="n">
        <v>12110</v>
      </c>
      <c r="M389" s="745" t="inlineStr">
        <is>
          <t>C</t>
        </is>
      </c>
      <c r="N389" s="745" t="inlineStr">
        <is>
          <t>Average</t>
        </is>
      </c>
      <c r="O389" s="745" t="inlineStr">
        <is>
          <t>Typical</t>
        </is>
      </c>
      <c r="P389" s="745" t="n">
        <v>2008</v>
      </c>
      <c r="Q389" s="741" t="n">
        <v>16</v>
      </c>
      <c r="R389" s="746" t="n">
        <v>191</v>
      </c>
      <c r="S389" s="747" t="n">
        <v>331003</v>
      </c>
      <c r="T389" s="742" t="inlineStr"/>
    </row>
    <row r="390">
      <c r="A390" s="748" t="n">
        <v>1094</v>
      </c>
      <c r="B390" s="749" t="inlineStr">
        <is>
          <t>200 E Horsetooth Rd</t>
        </is>
      </c>
      <c r="C390" s="748" t="inlineStr">
        <is>
          <t>Fort Collins</t>
        </is>
      </c>
      <c r="D390" s="748" t="inlineStr">
        <is>
          <t>Larimer</t>
        </is>
      </c>
      <c r="E390" s="748" t="inlineStr">
        <is>
          <t>Fast Food</t>
        </is>
      </c>
      <c r="F390" s="748" t="inlineStr">
        <is>
          <t>Taco John's</t>
        </is>
      </c>
      <c r="G390" s="748" t="n">
        <v>349</v>
      </c>
      <c r="H390" s="743" t="inlineStr">
        <is>
          <t>349 - Fast Food Restaurant</t>
        </is>
      </c>
      <c r="I390" s="749" t="inlineStr">
        <is>
          <t>Restaurants – Fast Food</t>
        </is>
      </c>
      <c r="J390" s="748" t="inlineStr">
        <is>
          <t>Sec.13 p.17</t>
        </is>
      </c>
      <c r="K390" s="744" t="n">
        <v>2085</v>
      </c>
      <c r="L390" s="744" t="n">
        <v>33977</v>
      </c>
      <c r="M390" s="745" t="inlineStr">
        <is>
          <t>C</t>
        </is>
      </c>
      <c r="N390" s="745" t="inlineStr">
        <is>
          <t>Average</t>
        </is>
      </c>
      <c r="O390" s="745" t="inlineStr">
        <is>
          <t>Typical</t>
        </is>
      </c>
      <c r="P390" s="745" t="n">
        <v>1995</v>
      </c>
      <c r="Q390" s="748" t="n">
        <v>29</v>
      </c>
      <c r="R390" s="750" t="n">
        <v>191</v>
      </c>
      <c r="S390" s="751" t="n">
        <v>398235</v>
      </c>
      <c r="T390" s="749" t="inlineStr"/>
    </row>
    <row r="391">
      <c r="A391" s="741" t="n">
        <v>1095</v>
      </c>
      <c r="B391" s="742" t="inlineStr">
        <is>
          <t>1609 Specht Point Rd</t>
        </is>
      </c>
      <c r="C391" s="741" t="inlineStr">
        <is>
          <t>Fort Collins</t>
        </is>
      </c>
      <c r="D391" s="741" t="inlineStr">
        <is>
          <t>Larimer</t>
        </is>
      </c>
      <c r="E391" s="741" t="inlineStr">
        <is>
          <t>Fast Food</t>
        </is>
      </c>
      <c r="F391" s="741" t="inlineStr">
        <is>
          <t>Taco John's</t>
        </is>
      </c>
      <c r="G391" s="741" t="n">
        <v>349</v>
      </c>
      <c r="H391" s="743" t="inlineStr">
        <is>
          <t>349 - Fast Food Restaurant</t>
        </is>
      </c>
      <c r="I391" s="742" t="inlineStr">
        <is>
          <t>Restaurants – Fast Food</t>
        </is>
      </c>
      <c r="J391" s="741" t="inlineStr">
        <is>
          <t>Sec.13 p.17</t>
        </is>
      </c>
      <c r="K391" s="744" t="n">
        <v>2703</v>
      </c>
      <c r="L391" s="744" t="n">
        <v>49658</v>
      </c>
      <c r="M391" s="745" t="inlineStr">
        <is>
          <t>C</t>
        </is>
      </c>
      <c r="N391" s="745" t="inlineStr">
        <is>
          <t>Average</t>
        </is>
      </c>
      <c r="O391" s="745" t="inlineStr">
        <is>
          <t>Typical</t>
        </is>
      </c>
      <c r="P391" s="745" t="n">
        <v>2004</v>
      </c>
      <c r="Q391" s="741" t="n">
        <v>20</v>
      </c>
      <c r="R391" s="746" t="n">
        <v>191</v>
      </c>
      <c r="S391" s="747" t="n">
        <v>516273</v>
      </c>
      <c r="T391" s="742" t="inlineStr"/>
    </row>
    <row r="392">
      <c r="A392" s="748" t="n">
        <v>1096</v>
      </c>
      <c r="B392" s="749" t="inlineStr">
        <is>
          <t>7605 Royal Vista Cir</t>
        </is>
      </c>
      <c r="C392" s="748" t="inlineStr">
        <is>
          <t>Fort Collins</t>
        </is>
      </c>
      <c r="D392" s="748" t="inlineStr">
        <is>
          <t>Larimer</t>
        </is>
      </c>
      <c r="E392" s="748" t="inlineStr">
        <is>
          <t>Fast Food</t>
        </is>
      </c>
      <c r="F392" s="748" t="inlineStr">
        <is>
          <t>Taco John's</t>
        </is>
      </c>
      <c r="G392" s="748" t="n">
        <v>349</v>
      </c>
      <c r="H392" s="743" t="inlineStr">
        <is>
          <t>349 - Fast Food Restaurant</t>
        </is>
      </c>
      <c r="I392" s="749" t="inlineStr">
        <is>
          <t>Restaurants – Fast Food</t>
        </is>
      </c>
      <c r="J392" s="748" t="inlineStr">
        <is>
          <t>Sec.13 p.17</t>
        </is>
      </c>
      <c r="K392" s="744" t="n">
        <v>2662</v>
      </c>
      <c r="L392" s="744" t="n">
        <v>49223</v>
      </c>
      <c r="M392" s="745" t="inlineStr">
        <is>
          <t>C</t>
        </is>
      </c>
      <c r="N392" s="745" t="inlineStr">
        <is>
          <t>Average</t>
        </is>
      </c>
      <c r="O392" s="745" t="inlineStr">
        <is>
          <t>Typical</t>
        </is>
      </c>
      <c r="P392" s="745" t="n">
        <v>2006</v>
      </c>
      <c r="Q392" s="748" t="n">
        <v>18</v>
      </c>
      <c r="R392" s="750" t="n">
        <v>191</v>
      </c>
      <c r="S392" s="751" t="n">
        <v>508442</v>
      </c>
      <c r="T392" s="749" t="inlineStr"/>
    </row>
    <row r="393">
      <c r="A393" s="741" t="n">
        <v>1097</v>
      </c>
      <c r="B393" s="742" t="inlineStr">
        <is>
          <t>7910 6th St</t>
        </is>
      </c>
      <c r="C393" s="741" t="inlineStr">
        <is>
          <t>Wellington</t>
        </is>
      </c>
      <c r="D393" s="741" t="inlineStr">
        <is>
          <t>Larimer</t>
        </is>
      </c>
      <c r="E393" s="741" t="inlineStr">
        <is>
          <t>Fast Food</t>
        </is>
      </c>
      <c r="F393" s="741" t="inlineStr">
        <is>
          <t>Taco John's</t>
        </is>
      </c>
      <c r="G393" s="741" t="n">
        <v>349</v>
      </c>
      <c r="H393" s="743" t="inlineStr">
        <is>
          <t>349 - Fast Food Restaurant</t>
        </is>
      </c>
      <c r="I393" s="742" t="inlineStr">
        <is>
          <t>Restaurants – Fast Food</t>
        </is>
      </c>
      <c r="J393" s="741" t="inlineStr">
        <is>
          <t>Sec.13 p.17</t>
        </is>
      </c>
      <c r="K393" s="744" t="n">
        <v>2433</v>
      </c>
      <c r="L393" s="744" t="n">
        <v>33541</v>
      </c>
      <c r="M393" s="745" t="inlineStr">
        <is>
          <t>C</t>
        </is>
      </c>
      <c r="N393" s="745" t="inlineStr">
        <is>
          <t>Average</t>
        </is>
      </c>
      <c r="O393" s="745" t="inlineStr">
        <is>
          <t>Typical</t>
        </is>
      </c>
      <c r="P393" s="745" t="n">
        <v>2008</v>
      </c>
      <c r="Q393" s="741" t="n">
        <v>16</v>
      </c>
      <c r="R393" s="746" t="n">
        <v>191</v>
      </c>
      <c r="S393" s="747" t="n">
        <v>464703</v>
      </c>
      <c r="T393" s="742" t="inlineStr"/>
    </row>
    <row r="394">
      <c r="A394" s="748" t="n">
        <v>1098</v>
      </c>
      <c r="B394" s="749" t="inlineStr">
        <is>
          <t>1635 N Lincoln Ave</t>
        </is>
      </c>
      <c r="C394" s="748" t="inlineStr">
        <is>
          <t>Loveland</t>
        </is>
      </c>
      <c r="D394" s="748" t="inlineStr">
        <is>
          <t>Larimer</t>
        </is>
      </c>
      <c r="E394" s="748" t="inlineStr">
        <is>
          <t>Fast Food</t>
        </is>
      </c>
      <c r="F394" s="748" t="inlineStr">
        <is>
          <t>Taco John's</t>
        </is>
      </c>
      <c r="G394" s="748" t="n">
        <v>349</v>
      </c>
      <c r="H394" s="743" t="inlineStr">
        <is>
          <t>349 - Fast Food Restaurant</t>
        </is>
      </c>
      <c r="I394" s="749" t="inlineStr">
        <is>
          <t>Restaurants – Fast Food</t>
        </is>
      </c>
      <c r="J394" s="748" t="inlineStr">
        <is>
          <t>Sec.13 p.17</t>
        </is>
      </c>
      <c r="K394" s="744" t="n">
        <v>2433</v>
      </c>
      <c r="L394" s="744" t="n">
        <v>20473</v>
      </c>
      <c r="M394" s="745" t="inlineStr">
        <is>
          <t>C</t>
        </is>
      </c>
      <c r="N394" s="745" t="inlineStr">
        <is>
          <t>Average</t>
        </is>
      </c>
      <c r="O394" s="745" t="inlineStr">
        <is>
          <t>Typical</t>
        </is>
      </c>
      <c r="P394" s="745" t="n">
        <v>1969</v>
      </c>
      <c r="Q394" s="748" t="n">
        <v>55</v>
      </c>
      <c r="R394" s="750" t="n">
        <v>191</v>
      </c>
      <c r="S394" s="751" t="n">
        <v>464703</v>
      </c>
      <c r="T394" s="749" t="inlineStr"/>
    </row>
    <row r="395">
      <c r="A395" s="741" t="n">
        <v>1099</v>
      </c>
      <c r="B395" s="742" t="inlineStr">
        <is>
          <t>2268 E Harmony Rd</t>
        </is>
      </c>
      <c r="C395" s="741" t="inlineStr">
        <is>
          <t>Fort Collins</t>
        </is>
      </c>
      <c r="D395" s="741" t="inlineStr">
        <is>
          <t>Larimer</t>
        </is>
      </c>
      <c r="E395" s="741" t="inlineStr">
        <is>
          <t>Drugstore</t>
        </is>
      </c>
      <c r="F395" s="741" t="inlineStr">
        <is>
          <t>Walgreens</t>
        </is>
      </c>
      <c r="G395" s="741" t="n">
        <v>353</v>
      </c>
      <c r="H395" s="743" t="inlineStr">
        <is>
          <t>353 - Retail Store</t>
        </is>
      </c>
      <c r="I395" s="742" t="inlineStr">
        <is>
          <t>Retail Stores</t>
        </is>
      </c>
      <c r="J395" s="741" t="inlineStr">
        <is>
          <t>Sec.13 p.26</t>
        </is>
      </c>
      <c r="K395" s="744" t="n">
        <v>14680</v>
      </c>
      <c r="L395" s="744" t="n">
        <v>101338</v>
      </c>
      <c r="M395" s="745" t="inlineStr">
        <is>
          <t>C</t>
        </is>
      </c>
      <c r="N395" s="745" t="inlineStr">
        <is>
          <t>Average</t>
        </is>
      </c>
      <c r="O395" s="745" t="inlineStr">
        <is>
          <t>Typical</t>
        </is>
      </c>
      <c r="P395" s="745" t="n">
        <v>2007</v>
      </c>
      <c r="Q395" s="741" t="n">
        <v>17</v>
      </c>
      <c r="R395" s="746" t="n">
        <v>117</v>
      </c>
      <c r="S395" s="747" t="n">
        <v>1717560</v>
      </c>
      <c r="T395" s="742" t="inlineStr"/>
    </row>
    <row r="396">
      <c r="A396" s="748" t="n">
        <v>1100</v>
      </c>
      <c r="B396" s="749" t="inlineStr">
        <is>
          <t>2370 W Eisenhower Blvd</t>
        </is>
      </c>
      <c r="C396" s="748" t="inlineStr">
        <is>
          <t>Loveland</t>
        </is>
      </c>
      <c r="D396" s="748" t="inlineStr">
        <is>
          <t>Larimer</t>
        </is>
      </c>
      <c r="E396" s="748" t="inlineStr">
        <is>
          <t>Drugstore</t>
        </is>
      </c>
      <c r="F396" s="748" t="inlineStr">
        <is>
          <t>Walgreens</t>
        </is>
      </c>
      <c r="G396" s="748" t="n">
        <v>353</v>
      </c>
      <c r="H396" s="743" t="inlineStr">
        <is>
          <t>353 - Retail Store</t>
        </is>
      </c>
      <c r="I396" s="749" t="inlineStr">
        <is>
          <t>Retail Stores</t>
        </is>
      </c>
      <c r="J396" s="748" t="inlineStr">
        <is>
          <t>Sec.13 p.26</t>
        </is>
      </c>
      <c r="K396" s="744" t="n">
        <v>14754</v>
      </c>
      <c r="L396" s="744" t="n">
        <v>67082</v>
      </c>
      <c r="M396" s="745" t="inlineStr">
        <is>
          <t>C</t>
        </is>
      </c>
      <c r="N396" s="745" t="inlineStr">
        <is>
          <t>Average</t>
        </is>
      </c>
      <c r="O396" s="745" t="inlineStr">
        <is>
          <t>Typical</t>
        </is>
      </c>
      <c r="P396" s="745" t="n">
        <v>2004</v>
      </c>
      <c r="Q396" s="748" t="n">
        <v>20</v>
      </c>
      <c r="R396" s="750" t="n">
        <v>117</v>
      </c>
      <c r="S396" s="751" t="n">
        <v>1726218</v>
      </c>
      <c r="T396" s="749" t="inlineStr"/>
    </row>
    <row r="397">
      <c r="A397" s="741" t="n">
        <v>1101</v>
      </c>
      <c r="B397" s="742" t="inlineStr">
        <is>
          <t>205 E Eisenhower Blvd</t>
        </is>
      </c>
      <c r="C397" s="741" t="inlineStr">
        <is>
          <t>Loveland</t>
        </is>
      </c>
      <c r="D397" s="741" t="inlineStr">
        <is>
          <t>Larimer</t>
        </is>
      </c>
      <c r="E397" s="741" t="inlineStr">
        <is>
          <t>Drugstore</t>
        </is>
      </c>
      <c r="F397" s="741" t="inlineStr">
        <is>
          <t>Walgreens</t>
        </is>
      </c>
      <c r="G397" s="741" t="n">
        <v>353</v>
      </c>
      <c r="H397" s="743" t="inlineStr">
        <is>
          <t>353 - Retail Store</t>
        </is>
      </c>
      <c r="I397" s="742" t="inlineStr">
        <is>
          <t>Retail Stores</t>
        </is>
      </c>
      <c r="J397" s="741" t="inlineStr">
        <is>
          <t>Sec.13 p.26</t>
        </is>
      </c>
      <c r="K397" s="744" t="n">
        <v>14847</v>
      </c>
      <c r="L397" s="744" t="n">
        <v>77972</v>
      </c>
      <c r="M397" s="745" t="inlineStr">
        <is>
          <t>C</t>
        </is>
      </c>
      <c r="N397" s="745" t="inlineStr">
        <is>
          <t>Average</t>
        </is>
      </c>
      <c r="O397" s="745" t="inlineStr">
        <is>
          <t>Typical</t>
        </is>
      </c>
      <c r="P397" s="745" t="n">
        <v>2000</v>
      </c>
      <c r="Q397" s="741" t="n">
        <v>24</v>
      </c>
      <c r="R397" s="746" t="n">
        <v>117</v>
      </c>
      <c r="S397" s="747" t="n">
        <v>1737099</v>
      </c>
      <c r="T397" s="742" t="inlineStr"/>
    </row>
    <row r="398">
      <c r="A398" s="748" t="n">
        <v>1102</v>
      </c>
      <c r="B398" s="749" t="inlineStr">
        <is>
          <t>3690 Garfield Ave</t>
        </is>
      </c>
      <c r="C398" s="748" t="inlineStr">
        <is>
          <t>Loveland</t>
        </is>
      </c>
      <c r="D398" s="748" t="inlineStr">
        <is>
          <t>Larimer</t>
        </is>
      </c>
      <c r="E398" s="748" t="inlineStr">
        <is>
          <t>Drugstore</t>
        </is>
      </c>
      <c r="F398" s="748" t="inlineStr">
        <is>
          <t>Walgreens</t>
        </is>
      </c>
      <c r="G398" s="748" t="n">
        <v>353</v>
      </c>
      <c r="H398" s="743" t="inlineStr">
        <is>
          <t>353 - Retail Store</t>
        </is>
      </c>
      <c r="I398" s="749" t="inlineStr">
        <is>
          <t>Retail Stores</t>
        </is>
      </c>
      <c r="J398" s="748" t="inlineStr">
        <is>
          <t>Sec.13 p.26</t>
        </is>
      </c>
      <c r="K398" s="744" t="n">
        <v>13650</v>
      </c>
      <c r="L398" s="744" t="n">
        <v>69260</v>
      </c>
      <c r="M398" s="745" t="inlineStr">
        <is>
          <t>C</t>
        </is>
      </c>
      <c r="N398" s="745" t="inlineStr">
        <is>
          <t>Average</t>
        </is>
      </c>
      <c r="O398" s="745" t="inlineStr">
        <is>
          <t>Typical</t>
        </is>
      </c>
      <c r="P398" s="745" t="n">
        <v>2003</v>
      </c>
      <c r="Q398" s="748" t="n">
        <v>21</v>
      </c>
      <c r="R398" s="750" t="n">
        <v>117</v>
      </c>
      <c r="S398" s="751" t="n">
        <v>1597050</v>
      </c>
      <c r="T398" s="749" t="inlineStr"/>
    </row>
    <row r="399">
      <c r="A399" s="741" t="n">
        <v>1103</v>
      </c>
      <c r="B399" s="742" t="inlineStr">
        <is>
          <t>2268 E Harmony Rd</t>
        </is>
      </c>
      <c r="C399" s="741" t="inlineStr">
        <is>
          <t>Fort Collins</t>
        </is>
      </c>
      <c r="D399" s="741" t="inlineStr">
        <is>
          <t>Larimer</t>
        </is>
      </c>
      <c r="E399" s="741" t="inlineStr">
        <is>
          <t>Drugstore</t>
        </is>
      </c>
      <c r="F399" s="741" t="inlineStr">
        <is>
          <t>Walgreens</t>
        </is>
      </c>
      <c r="G399" s="741" t="n">
        <v>353</v>
      </c>
      <c r="H399" s="743" t="inlineStr">
        <is>
          <t>353 - Retail Store</t>
        </is>
      </c>
      <c r="I399" s="742" t="inlineStr">
        <is>
          <t>Retail Stores</t>
        </is>
      </c>
      <c r="J399" s="741" t="inlineStr">
        <is>
          <t>Sec.13 p.26</t>
        </is>
      </c>
      <c r="K399" s="744" t="n">
        <v>14680</v>
      </c>
      <c r="L399" s="744" t="n">
        <v>101338</v>
      </c>
      <c r="M399" s="745" t="inlineStr">
        <is>
          <t>C</t>
        </is>
      </c>
      <c r="N399" s="745" t="inlineStr">
        <is>
          <t>Average</t>
        </is>
      </c>
      <c r="O399" s="745" t="inlineStr">
        <is>
          <t>Typical</t>
        </is>
      </c>
      <c r="P399" s="745" t="n">
        <v>2007</v>
      </c>
      <c r="Q399" s="741" t="n">
        <v>17</v>
      </c>
      <c r="R399" s="746" t="n">
        <v>117</v>
      </c>
      <c r="S399" s="747" t="n">
        <v>1717560</v>
      </c>
      <c r="T399" s="742" t="inlineStr"/>
    </row>
    <row r="400">
      <c r="A400" s="748" t="n">
        <v>1104</v>
      </c>
      <c r="B400" s="749" t="inlineStr">
        <is>
          <t>6533 S College Ave</t>
        </is>
      </c>
      <c r="C400" s="748" t="inlineStr">
        <is>
          <t>Fort Collins</t>
        </is>
      </c>
      <c r="D400" s="748" t="inlineStr">
        <is>
          <t>Larimer</t>
        </is>
      </c>
      <c r="E400" s="748" t="inlineStr">
        <is>
          <t>Coffee</t>
        </is>
      </c>
      <c r="F400" s="748" t="inlineStr">
        <is>
          <t>Ziggi's Coffee</t>
        </is>
      </c>
      <c r="G400" s="748" t="n">
        <v>349</v>
      </c>
      <c r="H400" s="743" t="inlineStr">
        <is>
          <t>349 - Fast Food Restaurant</t>
        </is>
      </c>
      <c r="I400" s="749" t="inlineStr">
        <is>
          <t>Restaurants – Fast Food</t>
        </is>
      </c>
      <c r="J400" s="748" t="inlineStr">
        <is>
          <t>Sec.13 p.17</t>
        </is>
      </c>
      <c r="K400" s="744" t="n">
        <v>490</v>
      </c>
      <c r="L400" s="744" t="n">
        <v>70872</v>
      </c>
      <c r="M400" s="745" t="inlineStr">
        <is>
          <t>C</t>
        </is>
      </c>
      <c r="N400" s="745" t="inlineStr">
        <is>
          <t>Good</t>
        </is>
      </c>
      <c r="O400" s="745" t="inlineStr">
        <is>
          <t>Typical</t>
        </is>
      </c>
      <c r="P400" s="745" t="n">
        <v>2018</v>
      </c>
      <c r="Q400" s="748" t="n">
        <v>6</v>
      </c>
      <c r="R400" s="750" t="n">
        <v>246</v>
      </c>
      <c r="S400" s="751" t="n">
        <v>120540</v>
      </c>
      <c r="T400" s="749" t="inlineStr"/>
    </row>
    <row r="401">
      <c r="A401" s="741" t="n">
        <v>1105</v>
      </c>
      <c r="B401" s="742" t="inlineStr">
        <is>
          <t>1301 E Eisenhower Blvd</t>
        </is>
      </c>
      <c r="C401" s="741" t="inlineStr">
        <is>
          <t>Loveland</t>
        </is>
      </c>
      <c r="D401" s="741" t="inlineStr">
        <is>
          <t>Larimer</t>
        </is>
      </c>
      <c r="E401" s="741" t="inlineStr">
        <is>
          <t>Coffee</t>
        </is>
      </c>
      <c r="F401" s="741" t="inlineStr">
        <is>
          <t>Ziggi`s Coffee</t>
        </is>
      </c>
      <c r="G401" s="741" t="n">
        <v>349</v>
      </c>
      <c r="H401" s="743" t="inlineStr">
        <is>
          <t>349 - Fast Food Restaurant</t>
        </is>
      </c>
      <c r="I401" s="742" t="inlineStr">
        <is>
          <t>Restaurants – Fast Food</t>
        </is>
      </c>
      <c r="J401" s="741" t="inlineStr">
        <is>
          <t>Sec.13 p.17</t>
        </is>
      </c>
      <c r="K401" s="744" t="n">
        <v>2500</v>
      </c>
      <c r="L401" s="744" t="n"/>
      <c r="M401" s="745" t="inlineStr">
        <is>
          <t>C</t>
        </is>
      </c>
      <c r="N401" s="745" t="inlineStr">
        <is>
          <t>Average</t>
        </is>
      </c>
      <c r="O401" s="745" t="inlineStr">
        <is>
          <t>Typical</t>
        </is>
      </c>
      <c r="P401" s="745" t="n"/>
      <c r="Q401" s="741" t="n"/>
      <c r="R401" s="746" t="n">
        <v>191</v>
      </c>
      <c r="S401" s="747" t="n">
        <v>477500</v>
      </c>
      <c r="T401" s="742" t="inlineStr">
        <is>
          <t>YOC missing; Site SF missing</t>
        </is>
      </c>
    </row>
    <row r="402">
      <c r="A402" s="748" t="n">
        <v>1106</v>
      </c>
      <c r="B402" s="749" t="inlineStr">
        <is>
          <t>12919 Victory Blvd</t>
        </is>
      </c>
      <c r="C402" s="748" t="inlineStr">
        <is>
          <t>North Hollywood</t>
        </is>
      </c>
      <c r="D402" s="748" t="inlineStr">
        <is>
          <t>Los Angeles</t>
        </is>
      </c>
      <c r="E402" s="748" t="inlineStr">
        <is>
          <t>Fast Food</t>
        </is>
      </c>
      <c r="F402" s="748" t="inlineStr">
        <is>
          <t>McDonald's</t>
        </is>
      </c>
      <c r="G402" s="748" t="n">
        <v>349</v>
      </c>
      <c r="H402" s="743" t="inlineStr">
        <is>
          <t>349 - Fast Food Restaurant</t>
        </is>
      </c>
      <c r="I402" s="749" t="inlineStr">
        <is>
          <t>Restaurants – Fast Food</t>
        </is>
      </c>
      <c r="J402" s="748" t="inlineStr">
        <is>
          <t>Sec.13 p.17</t>
        </is>
      </c>
      <c r="K402" s="744" t="n">
        <v>4792</v>
      </c>
      <c r="L402" s="744" t="n">
        <v>31032</v>
      </c>
      <c r="M402" s="745" t="inlineStr">
        <is>
          <t>C</t>
        </is>
      </c>
      <c r="N402" s="745" t="inlineStr">
        <is>
          <t>Average</t>
        </is>
      </c>
      <c r="O402" s="745" t="inlineStr">
        <is>
          <t>Typical</t>
        </is>
      </c>
      <c r="P402" s="745" t="n">
        <v>1953</v>
      </c>
      <c r="Q402" s="748" t="n">
        <v>71</v>
      </c>
      <c r="R402" s="750" t="n">
        <v>191</v>
      </c>
      <c r="S402" s="751" t="n">
        <v>915272</v>
      </c>
      <c r="T402" s="749" t="inlineStr"/>
    </row>
    <row r="403">
      <c r="A403" s="741" t="n">
        <v>1107</v>
      </c>
      <c r="B403" s="742" t="inlineStr">
        <is>
          <t>1525 W Elliot Rd</t>
        </is>
      </c>
      <c r="C403" s="741" t="inlineStr">
        <is>
          <t>Tempe</t>
        </is>
      </c>
      <c r="D403" s="741" t="inlineStr">
        <is>
          <t>Maricopa</t>
        </is>
      </c>
      <c r="E403" s="741" t="inlineStr">
        <is>
          <t>Fast Food</t>
        </is>
      </c>
      <c r="F403" s="741" t="inlineStr">
        <is>
          <t>McDonald's</t>
        </is>
      </c>
      <c r="G403" s="741" t="n">
        <v>349</v>
      </c>
      <c r="H403" s="743" t="inlineStr">
        <is>
          <t>349 - Fast Food Restaurant</t>
        </is>
      </c>
      <c r="I403" s="742" t="inlineStr">
        <is>
          <t>Restaurants – Fast Food</t>
        </is>
      </c>
      <c r="J403" s="741" t="inlineStr">
        <is>
          <t>Sec.13 p.17</t>
        </is>
      </c>
      <c r="K403" s="744" t="n">
        <v>4358</v>
      </c>
      <c r="L403" s="744" t="n">
        <v>51035</v>
      </c>
      <c r="M403" s="745" t="inlineStr">
        <is>
          <t>C</t>
        </is>
      </c>
      <c r="N403" s="745" t="inlineStr">
        <is>
          <t>Average</t>
        </is>
      </c>
      <c r="O403" s="745" t="inlineStr">
        <is>
          <t>Typical</t>
        </is>
      </c>
      <c r="P403" s="745" t="n">
        <v>2013</v>
      </c>
      <c r="Q403" s="741" t="n">
        <v>11</v>
      </c>
      <c r="R403" s="746" t="n">
        <v>191</v>
      </c>
      <c r="S403" s="747" t="n">
        <v>832378</v>
      </c>
      <c r="T403" s="742" t="inlineStr"/>
    </row>
    <row r="404">
      <c r="A404" s="748" t="n">
        <v>1108</v>
      </c>
      <c r="B404" s="749" t="inlineStr">
        <is>
          <t>1350 S Power Rd</t>
        </is>
      </c>
      <c r="C404" s="748" t="inlineStr">
        <is>
          <t>Mesa</t>
        </is>
      </c>
      <c r="D404" s="748" t="inlineStr">
        <is>
          <t>Maricopa</t>
        </is>
      </c>
      <c r="E404" s="748" t="inlineStr">
        <is>
          <t>Fast Food</t>
        </is>
      </c>
      <c r="F404" s="748" t="inlineStr">
        <is>
          <t>McDonalds</t>
        </is>
      </c>
      <c r="G404" s="748" t="n">
        <v>349</v>
      </c>
      <c r="H404" s="743" t="inlineStr">
        <is>
          <t>349 - Fast Food Restaurant</t>
        </is>
      </c>
      <c r="I404" s="749" t="inlineStr">
        <is>
          <t>Restaurants – Fast Food</t>
        </is>
      </c>
      <c r="J404" s="748" t="inlineStr">
        <is>
          <t>Sec.13 p.17</t>
        </is>
      </c>
      <c r="K404" s="744" t="n">
        <v>2200</v>
      </c>
      <c r="L404" s="744" t="n">
        <v>40511</v>
      </c>
      <c r="M404" s="745" t="inlineStr">
        <is>
          <t>C</t>
        </is>
      </c>
      <c r="N404" s="745" t="inlineStr">
        <is>
          <t>Average</t>
        </is>
      </c>
      <c r="O404" s="745" t="inlineStr">
        <is>
          <t>Typical</t>
        </is>
      </c>
      <c r="P404" s="745" t="n">
        <v>1994</v>
      </c>
      <c r="Q404" s="748" t="n">
        <v>30</v>
      </c>
      <c r="R404" s="750" t="n">
        <v>191</v>
      </c>
      <c r="S404" s="751" t="n">
        <v>420200</v>
      </c>
      <c r="T404" s="749" t="inlineStr"/>
    </row>
    <row r="405">
      <c r="A405" s="741" t="n">
        <v>1109</v>
      </c>
      <c r="B405" s="742" t="inlineStr">
        <is>
          <t>630 Pacific Coast Hwy</t>
        </is>
      </c>
      <c r="C405" s="741" t="inlineStr">
        <is>
          <t>Seal Beach</t>
        </is>
      </c>
      <c r="D405" s="741" t="inlineStr">
        <is>
          <t>Orange</t>
        </is>
      </c>
      <c r="E405" s="741" t="inlineStr">
        <is>
          <t>Fast Food</t>
        </is>
      </c>
      <c r="F405" s="741" t="inlineStr">
        <is>
          <t>McDonald's</t>
        </is>
      </c>
      <c r="G405" s="741" t="n">
        <v>349</v>
      </c>
      <c r="H405" s="743" t="inlineStr">
        <is>
          <t>349 - Fast Food Restaurant</t>
        </is>
      </c>
      <c r="I405" s="742" t="inlineStr">
        <is>
          <t>Restaurants – Fast Food</t>
        </is>
      </c>
      <c r="J405" s="741" t="inlineStr">
        <is>
          <t>Sec.13 p.17</t>
        </is>
      </c>
      <c r="K405" s="744" t="n">
        <v>3909</v>
      </c>
      <c r="L405" s="744" t="n">
        <v>22215</v>
      </c>
      <c r="M405" s="745" t="inlineStr">
        <is>
          <t>C</t>
        </is>
      </c>
      <c r="N405" s="745" t="inlineStr">
        <is>
          <t>Average</t>
        </is>
      </c>
      <c r="O405" s="745" t="inlineStr">
        <is>
          <t>Typical</t>
        </is>
      </c>
      <c r="P405" s="745" t="n">
        <v>1979</v>
      </c>
      <c r="Q405" s="741" t="n">
        <v>45</v>
      </c>
      <c r="R405" s="746" t="n">
        <v>191</v>
      </c>
      <c r="S405" s="747" t="n">
        <v>746619</v>
      </c>
      <c r="T405" s="742" t="inlineStr"/>
    </row>
    <row r="406">
      <c r="A406" s="748" t="n">
        <v>1110</v>
      </c>
      <c r="B406" s="749" t="inlineStr">
        <is>
          <t>17509 Canyon Pky E</t>
        </is>
      </c>
      <c r="C406" s="748" t="inlineStr">
        <is>
          <t>Tacoma</t>
        </is>
      </c>
      <c r="D406" s="748" t="inlineStr">
        <is>
          <t>Pierce</t>
        </is>
      </c>
      <c r="E406" s="748" t="inlineStr">
        <is>
          <t>Fast Food</t>
        </is>
      </c>
      <c r="F406" s="748" t="inlineStr">
        <is>
          <t>McDonald's</t>
        </is>
      </c>
      <c r="G406" s="748" t="n">
        <v>349</v>
      </c>
      <c r="H406" s="743" t="inlineStr">
        <is>
          <t>349 - Fast Food Restaurant</t>
        </is>
      </c>
      <c r="I406" s="749" t="inlineStr">
        <is>
          <t>Restaurants – Fast Food</t>
        </is>
      </c>
      <c r="J406" s="748" t="inlineStr">
        <is>
          <t>Sec.13 p.17</t>
        </is>
      </c>
      <c r="K406" s="744" t="n">
        <v>3784</v>
      </c>
      <c r="L406" s="744" t="n">
        <v>52708</v>
      </c>
      <c r="M406" s="745" t="inlineStr">
        <is>
          <t>C</t>
        </is>
      </c>
      <c r="N406" s="745" t="inlineStr">
        <is>
          <t>Good</t>
        </is>
      </c>
      <c r="O406" s="745" t="inlineStr">
        <is>
          <t>Typical</t>
        </is>
      </c>
      <c r="P406" s="745" t="n">
        <v>2015</v>
      </c>
      <c r="Q406" s="748" t="n">
        <v>9</v>
      </c>
      <c r="R406" s="750" t="n">
        <v>246</v>
      </c>
      <c r="S406" s="751" t="n">
        <v>930864</v>
      </c>
      <c r="T406" s="749" t="inlineStr"/>
    </row>
    <row r="407">
      <c r="A407" s="741" t="n">
        <v>1111</v>
      </c>
      <c r="B407" s="742" t="inlineStr">
        <is>
          <t>26875 Newport Rd</t>
        </is>
      </c>
      <c r="C407" s="741" t="inlineStr">
        <is>
          <t>Menifee</t>
        </is>
      </c>
      <c r="D407" s="741" t="inlineStr">
        <is>
          <t>Riverside</t>
        </is>
      </c>
      <c r="E407" s="741" t="inlineStr">
        <is>
          <t>Fast Food</t>
        </is>
      </c>
      <c r="F407" s="741" t="inlineStr">
        <is>
          <t>McDonald's</t>
        </is>
      </c>
      <c r="G407" s="741" t="n">
        <v>349</v>
      </c>
      <c r="H407" s="743" t="inlineStr">
        <is>
          <t>349 - Fast Food Restaurant</t>
        </is>
      </c>
      <c r="I407" s="742" t="inlineStr">
        <is>
          <t>Restaurants – Fast Food</t>
        </is>
      </c>
      <c r="J407" s="741" t="inlineStr">
        <is>
          <t>Sec.13 p.17</t>
        </is>
      </c>
      <c r="K407" s="744" t="n">
        <v>3900</v>
      </c>
      <c r="L407" s="744" t="n">
        <v>47916</v>
      </c>
      <c r="M407" s="745" t="inlineStr">
        <is>
          <t>C</t>
        </is>
      </c>
      <c r="N407" s="745" t="inlineStr">
        <is>
          <t>Average</t>
        </is>
      </c>
      <c r="O407" s="745" t="inlineStr">
        <is>
          <t>Typical</t>
        </is>
      </c>
      <c r="P407" s="745" t="n">
        <v>2014</v>
      </c>
      <c r="Q407" s="741" t="n">
        <v>10</v>
      </c>
      <c r="R407" s="746" t="n">
        <v>191</v>
      </c>
      <c r="S407" s="747" t="n">
        <v>744900</v>
      </c>
      <c r="T407" s="742" t="inlineStr"/>
    </row>
    <row r="408">
      <c r="A408" s="748" t="n">
        <v>1112</v>
      </c>
      <c r="B408" s="749" t="inlineStr">
        <is>
          <t>3331 El Camino Ave</t>
        </is>
      </c>
      <c r="C408" s="748" t="inlineStr">
        <is>
          <t>Sacramento</t>
        </is>
      </c>
      <c r="D408" s="748" t="inlineStr">
        <is>
          <t>Sacramento</t>
        </is>
      </c>
      <c r="E408" s="748" t="inlineStr">
        <is>
          <t>Fast Food</t>
        </is>
      </c>
      <c r="F408" s="748" t="inlineStr">
        <is>
          <t>McDonald's</t>
        </is>
      </c>
      <c r="G408" s="748" t="n">
        <v>349</v>
      </c>
      <c r="H408" s="743" t="inlineStr">
        <is>
          <t>349 - Fast Food Restaurant</t>
        </is>
      </c>
      <c r="I408" s="749" t="inlineStr">
        <is>
          <t>Restaurants – Fast Food</t>
        </is>
      </c>
      <c r="J408" s="748" t="inlineStr">
        <is>
          <t>Sec.13 p.17</t>
        </is>
      </c>
      <c r="K408" s="744" t="n">
        <v>3000</v>
      </c>
      <c r="L408" s="744" t="n">
        <v>42689</v>
      </c>
      <c r="M408" s="745" t="inlineStr">
        <is>
          <t>C</t>
        </is>
      </c>
      <c r="N408" s="745" t="inlineStr">
        <is>
          <t>Good</t>
        </is>
      </c>
      <c r="O408" s="745" t="inlineStr">
        <is>
          <t>Typical</t>
        </is>
      </c>
      <c r="P408" s="745" t="n">
        <v>2023</v>
      </c>
      <c r="Q408" s="748" t="n">
        <v>1</v>
      </c>
      <c r="R408" s="750" t="n">
        <v>246</v>
      </c>
      <c r="S408" s="751" t="n">
        <v>738000</v>
      </c>
      <c r="T408" s="749" t="inlineStr"/>
    </row>
    <row r="409">
      <c r="A409" s="741" t="n">
        <v>1113</v>
      </c>
      <c r="B409" s="742" t="inlineStr">
        <is>
          <t>3101 Alamo Dr</t>
        </is>
      </c>
      <c r="C409" s="741" t="inlineStr">
        <is>
          <t>Vacaville</t>
        </is>
      </c>
      <c r="D409" s="741" t="inlineStr">
        <is>
          <t>Solano</t>
        </is>
      </c>
      <c r="E409" s="741" t="inlineStr">
        <is>
          <t>Fast Food</t>
        </is>
      </c>
      <c r="F409" s="741" t="inlineStr">
        <is>
          <t>McDonald's</t>
        </is>
      </c>
      <c r="G409" s="741" t="n">
        <v>349</v>
      </c>
      <c r="H409" s="743" t="inlineStr">
        <is>
          <t>349 - Fast Food Restaurant</t>
        </is>
      </c>
      <c r="I409" s="742" t="inlineStr">
        <is>
          <t>Restaurants – Fast Food</t>
        </is>
      </c>
      <c r="J409" s="741" t="inlineStr">
        <is>
          <t>Sec.13 p.17</t>
        </is>
      </c>
      <c r="K409" s="744" t="n">
        <v>4000</v>
      </c>
      <c r="L409" s="744" t="n">
        <v>27878</v>
      </c>
      <c r="M409" s="745" t="inlineStr">
        <is>
          <t>C</t>
        </is>
      </c>
      <c r="N409" s="745" t="inlineStr">
        <is>
          <t>Good</t>
        </is>
      </c>
      <c r="O409" s="745" t="inlineStr">
        <is>
          <t>Typical</t>
        </is>
      </c>
      <c r="P409" s="745" t="n">
        <v>2019</v>
      </c>
      <c r="Q409" s="741" t="n">
        <v>5</v>
      </c>
      <c r="R409" s="746" t="n">
        <v>246</v>
      </c>
      <c r="S409" s="747" t="n">
        <v>984000</v>
      </c>
      <c r="T409" s="742" t="inlineStr"/>
    </row>
    <row r="410">
      <c r="A410" s="748" t="n">
        <v>1114</v>
      </c>
      <c r="B410" s="749" t="inlineStr">
        <is>
          <t>1800 Prescott Rd</t>
        </is>
      </c>
      <c r="C410" s="748" t="inlineStr">
        <is>
          <t>Modesto</t>
        </is>
      </c>
      <c r="D410" s="748" t="inlineStr">
        <is>
          <t>Stanislaus</t>
        </is>
      </c>
      <c r="E410" s="748" t="inlineStr">
        <is>
          <t>Fast Food</t>
        </is>
      </c>
      <c r="F410" s="748" t="inlineStr">
        <is>
          <t>McDonald's</t>
        </is>
      </c>
      <c r="G410" s="748" t="n">
        <v>349</v>
      </c>
      <c r="H410" s="743" t="inlineStr">
        <is>
          <t>349 - Fast Food Restaurant</t>
        </is>
      </c>
      <c r="I410" s="749" t="inlineStr">
        <is>
          <t>Restaurants – Fast Food</t>
        </is>
      </c>
      <c r="J410" s="748" t="inlineStr">
        <is>
          <t>Sec.13 p.17</t>
        </is>
      </c>
      <c r="K410" s="744" t="n">
        <v>2626</v>
      </c>
      <c r="L410" s="744" t="n">
        <v>48787</v>
      </c>
      <c r="M410" s="745" t="inlineStr">
        <is>
          <t>C</t>
        </is>
      </c>
      <c r="N410" s="745" t="inlineStr">
        <is>
          <t>Average</t>
        </is>
      </c>
      <c r="O410" s="745" t="inlineStr">
        <is>
          <t>Typical</t>
        </is>
      </c>
      <c r="P410" s="745" t="n">
        <v>2000</v>
      </c>
      <c r="Q410" s="748" t="n">
        <v>24</v>
      </c>
      <c r="R410" s="750" t="n">
        <v>191</v>
      </c>
      <c r="S410" s="751" t="n">
        <v>501566</v>
      </c>
      <c r="T410" s="749" t="inlineStr"/>
    </row>
    <row r="411">
      <c r="A411" s="741" t="n">
        <v>1115</v>
      </c>
      <c r="B411" s="742" t="inlineStr">
        <is>
          <t>120 6th St</t>
        </is>
      </c>
      <c r="C411" s="741" t="inlineStr">
        <is>
          <t>Silverthorne</t>
        </is>
      </c>
      <c r="D411" s="741" t="inlineStr">
        <is>
          <t>Summit</t>
        </is>
      </c>
      <c r="E411" s="741" t="inlineStr">
        <is>
          <t>Auto Parts</t>
        </is>
      </c>
      <c r="F411" s="741" t="inlineStr">
        <is>
          <t>AutoZone</t>
        </is>
      </c>
      <c r="G411" s="741" t="n">
        <v>353</v>
      </c>
      <c r="H411" s="743" t="inlineStr">
        <is>
          <t>353 - Retail Store</t>
        </is>
      </c>
      <c r="I411" s="742" t="inlineStr">
        <is>
          <t>Retail Stores</t>
        </is>
      </c>
      <c r="J411" s="741" t="inlineStr">
        <is>
          <t>Sec.13 p.26</t>
        </is>
      </c>
      <c r="K411" s="744" t="n">
        <v>6816</v>
      </c>
      <c r="L411" s="744" t="n">
        <v>36155</v>
      </c>
      <c r="M411" s="745" t="inlineStr">
        <is>
          <t>C</t>
        </is>
      </c>
      <c r="N411" s="745" t="inlineStr">
        <is>
          <t>Average</t>
        </is>
      </c>
      <c r="O411" s="745" t="inlineStr">
        <is>
          <t>Typical</t>
        </is>
      </c>
      <c r="P411" s="745" t="n">
        <v>2011</v>
      </c>
      <c r="Q411" s="741" t="n">
        <v>13</v>
      </c>
      <c r="R411" s="746" t="n">
        <v>117</v>
      </c>
      <c r="S411" s="747" t="n">
        <v>797472</v>
      </c>
      <c r="T411" s="742" t="inlineStr"/>
    </row>
    <row r="412">
      <c r="A412" s="748" t="n">
        <v>1116</v>
      </c>
      <c r="B412" s="749" t="inlineStr">
        <is>
          <t>400 N Park Ave</t>
        </is>
      </c>
      <c r="C412" s="748" t="inlineStr">
        <is>
          <t>Breckenridge</t>
        </is>
      </c>
      <c r="D412" s="748" t="inlineStr">
        <is>
          <t>Summit</t>
        </is>
      </c>
      <c r="E412" s="748" t="inlineStr">
        <is>
          <t>Supermarket</t>
        </is>
      </c>
      <c r="F412" s="748" t="inlineStr">
        <is>
          <t>City Market</t>
        </is>
      </c>
      <c r="G412" s="748" t="n">
        <v>446</v>
      </c>
      <c r="H412" s="743" t="inlineStr">
        <is>
          <t>446 - SuperMarket</t>
        </is>
      </c>
      <c r="I412" s="749" t="inlineStr">
        <is>
          <t>Supermarkets</t>
        </is>
      </c>
      <c r="J412" s="748" t="inlineStr">
        <is>
          <t>Sec.13 p.20</t>
        </is>
      </c>
      <c r="K412" s="744" t="n">
        <v>79391</v>
      </c>
      <c r="L412" s="744" t="n">
        <v>584096</v>
      </c>
      <c r="M412" s="745" t="inlineStr">
        <is>
          <t>C</t>
        </is>
      </c>
      <c r="N412" s="745" t="inlineStr">
        <is>
          <t>Average</t>
        </is>
      </c>
      <c r="O412" s="745" t="inlineStr">
        <is>
          <t>Typical</t>
        </is>
      </c>
      <c r="P412" s="745" t="n">
        <v>1986</v>
      </c>
      <c r="Q412" s="748" t="n">
        <v>38</v>
      </c>
      <c r="R412" s="750" t="n">
        <v>121</v>
      </c>
      <c r="S412" s="751" t="n">
        <v>9606311</v>
      </c>
      <c r="T412" s="749" t="inlineStr"/>
    </row>
    <row r="413">
      <c r="A413" s="741" t="n">
        <v>1117</v>
      </c>
      <c r="B413" s="742" t="inlineStr">
        <is>
          <t>2445 W 29th St</t>
        </is>
      </c>
      <c r="C413" s="741" t="inlineStr">
        <is>
          <t>Greeley</t>
        </is>
      </c>
      <c r="D413" s="741" t="inlineStr">
        <is>
          <t>Weld</t>
        </is>
      </c>
      <c r="E413" s="741" t="inlineStr">
        <is>
          <t>Auto Service</t>
        </is>
      </c>
      <c r="F413" s="741" t="inlineStr">
        <is>
          <t>Aamco Transmissions</t>
        </is>
      </c>
      <c r="G413" s="741" t="n">
        <v>325</v>
      </c>
      <c r="H413" s="743" t="inlineStr">
        <is>
          <t>325 - Service Garage</t>
        </is>
      </c>
      <c r="I413" s="742" t="inlineStr">
        <is>
          <t>Service Garages (Commercial/Repair)</t>
        </is>
      </c>
      <c r="J413" s="741" t="inlineStr">
        <is>
          <t>Sec.14 p.32</t>
        </is>
      </c>
      <c r="K413" s="744" t="n">
        <v>4869</v>
      </c>
      <c r="L413" s="744" t="n">
        <v>25613</v>
      </c>
      <c r="M413" s="745" t="inlineStr">
        <is>
          <t>C</t>
        </is>
      </c>
      <c r="N413" s="745" t="inlineStr">
        <is>
          <t>Average</t>
        </is>
      </c>
      <c r="O413" s="745" t="inlineStr">
        <is>
          <t>Typical</t>
        </is>
      </c>
      <c r="P413" s="745" t="n">
        <v>1991</v>
      </c>
      <c r="Q413" s="741" t="n">
        <v>33</v>
      </c>
      <c r="R413" s="746" t="n">
        <v>79.5</v>
      </c>
      <c r="S413" s="747" t="n">
        <v>387086</v>
      </c>
      <c r="T413" s="742" t="inlineStr"/>
    </row>
    <row r="414">
      <c r="A414" s="748" t="n">
        <v>1118</v>
      </c>
      <c r="B414" s="749" t="inlineStr">
        <is>
          <t>4413 Centerplace Dr</t>
        </is>
      </c>
      <c r="C414" s="748" t="inlineStr">
        <is>
          <t>Greeley</t>
        </is>
      </c>
      <c r="D414" s="748" t="inlineStr">
        <is>
          <t>Weld</t>
        </is>
      </c>
      <c r="E414" s="748" t="inlineStr">
        <is>
          <t>Fast Food</t>
        </is>
      </c>
      <c r="F414" s="748" t="inlineStr">
        <is>
          <t>Arby's</t>
        </is>
      </c>
      <c r="G414" s="748" t="n">
        <v>349</v>
      </c>
      <c r="H414" s="743" t="inlineStr">
        <is>
          <t>349 - Fast Food Restaurant</t>
        </is>
      </c>
      <c r="I414" s="749" t="inlineStr">
        <is>
          <t>Restaurants – Fast Food</t>
        </is>
      </c>
      <c r="J414" s="748" t="inlineStr">
        <is>
          <t>Sec.13 p.17</t>
        </is>
      </c>
      <c r="K414" s="744" t="n">
        <v>2737</v>
      </c>
      <c r="L414" s="744" t="n">
        <v>35719</v>
      </c>
      <c r="M414" s="745" t="inlineStr">
        <is>
          <t>C</t>
        </is>
      </c>
      <c r="N414" s="745" t="inlineStr">
        <is>
          <t>Good</t>
        </is>
      </c>
      <c r="O414" s="745" t="inlineStr">
        <is>
          <t>Typical</t>
        </is>
      </c>
      <c r="P414" s="745" t="n">
        <v>2017</v>
      </c>
      <c r="Q414" s="748" t="n">
        <v>7</v>
      </c>
      <c r="R414" s="750" t="n">
        <v>246</v>
      </c>
      <c r="S414" s="751" t="n">
        <v>673302</v>
      </c>
      <c r="T414" s="749" t="inlineStr"/>
    </row>
    <row r="415">
      <c r="A415" s="741" t="n">
        <v>1119</v>
      </c>
      <c r="B415" s="742" t="inlineStr">
        <is>
          <t>2708 11th Ave</t>
        </is>
      </c>
      <c r="C415" s="741" t="inlineStr">
        <is>
          <t>Greeley</t>
        </is>
      </c>
      <c r="D415" s="741" t="inlineStr">
        <is>
          <t>Weld</t>
        </is>
      </c>
      <c r="E415" s="741" t="inlineStr">
        <is>
          <t>Fast Food</t>
        </is>
      </c>
      <c r="F415" s="741" t="inlineStr">
        <is>
          <t>Burger King</t>
        </is>
      </c>
      <c r="G415" s="741" t="n">
        <v>349</v>
      </c>
      <c r="H415" s="743" t="inlineStr">
        <is>
          <t>349 - Fast Food Restaurant</t>
        </is>
      </c>
      <c r="I415" s="742" t="inlineStr">
        <is>
          <t>Restaurants – Fast Food</t>
        </is>
      </c>
      <c r="J415" s="741" t="inlineStr">
        <is>
          <t>Sec.13 p.17</t>
        </is>
      </c>
      <c r="K415" s="744" t="n">
        <v>3098</v>
      </c>
      <c r="L415" s="744" t="n">
        <v>12197</v>
      </c>
      <c r="M415" s="745" t="inlineStr">
        <is>
          <t>C</t>
        </is>
      </c>
      <c r="N415" s="745" t="inlineStr">
        <is>
          <t>Average</t>
        </is>
      </c>
      <c r="O415" s="745" t="inlineStr">
        <is>
          <t>Typical</t>
        </is>
      </c>
      <c r="P415" s="745" t="n">
        <v>1980</v>
      </c>
      <c r="Q415" s="741" t="n">
        <v>44</v>
      </c>
      <c r="R415" s="746" t="n">
        <v>191</v>
      </c>
      <c r="S415" s="747" t="n">
        <v>591718</v>
      </c>
      <c r="T415" s="742" t="inlineStr"/>
    </row>
    <row r="416">
      <c r="A416" s="748" t="n">
        <v>1120</v>
      </c>
      <c r="B416" s="749" t="inlineStr">
        <is>
          <t>6179 Firestone Blvd</t>
        </is>
      </c>
      <c r="C416" s="748" t="inlineStr">
        <is>
          <t>Firestone</t>
        </is>
      </c>
      <c r="D416" s="748" t="inlineStr">
        <is>
          <t>Weld</t>
        </is>
      </c>
      <c r="E416" s="748" t="inlineStr">
        <is>
          <t>Auto Service</t>
        </is>
      </c>
      <c r="F416" s="748" t="inlineStr">
        <is>
          <t>Christian Brothers Automotive</t>
        </is>
      </c>
      <c r="G416" s="748" t="n">
        <v>410</v>
      </c>
      <c r="H416" s="743" t="inlineStr">
        <is>
          <t>410 - Automotive Center</t>
        </is>
      </c>
      <c r="I416" s="749" t="inlineStr">
        <is>
          <t>Automotive Service Centers</t>
        </is>
      </c>
      <c r="J416" s="748" t="inlineStr">
        <is>
          <t>Sec.14 p.31</t>
        </is>
      </c>
      <c r="K416" s="744" t="n">
        <v>4198</v>
      </c>
      <c r="L416" s="744" t="n">
        <v>42689</v>
      </c>
      <c r="M416" s="745" t="inlineStr">
        <is>
          <t>S</t>
        </is>
      </c>
      <c r="N416" s="745" t="inlineStr">
        <is>
          <t>Average</t>
        </is>
      </c>
      <c r="O416" s="745" t="inlineStr">
        <is>
          <t>Typical</t>
        </is>
      </c>
      <c r="P416" s="745" t="n">
        <v>2021</v>
      </c>
      <c r="Q416" s="748" t="n">
        <v>3</v>
      </c>
      <c r="R416" s="750" t="n">
        <v>97.5</v>
      </c>
      <c r="S416" s="751" t="n">
        <v>409305</v>
      </c>
      <c r="T416" s="749" t="inlineStr">
        <is>
          <t>quality fell back to Average</t>
        </is>
      </c>
    </row>
    <row r="417">
      <c r="A417" s="741" t="n">
        <v>1121</v>
      </c>
      <c r="B417" s="742" t="inlineStr">
        <is>
          <t>6179 Firestone Blvd</t>
        </is>
      </c>
      <c r="C417" s="741" t="inlineStr">
        <is>
          <t>Firestone</t>
        </is>
      </c>
      <c r="D417" s="741" t="inlineStr">
        <is>
          <t>Weld</t>
        </is>
      </c>
      <c r="E417" s="741" t="inlineStr">
        <is>
          <t>Auto Service</t>
        </is>
      </c>
      <c r="F417" s="741" t="inlineStr">
        <is>
          <t>Christian Brothers Automotive</t>
        </is>
      </c>
      <c r="G417" s="741" t="n">
        <v>410</v>
      </c>
      <c r="H417" s="743" t="inlineStr">
        <is>
          <t>410 - Automotive Center</t>
        </is>
      </c>
      <c r="I417" s="742" t="inlineStr">
        <is>
          <t>Automotive Service Centers</t>
        </is>
      </c>
      <c r="J417" s="741" t="inlineStr">
        <is>
          <t>Sec.14 p.31</t>
        </is>
      </c>
      <c r="K417" s="744" t="n">
        <v>4198</v>
      </c>
      <c r="L417" s="744" t="n">
        <v>42689</v>
      </c>
      <c r="M417" s="745" t="inlineStr">
        <is>
          <t>S</t>
        </is>
      </c>
      <c r="N417" s="745" t="inlineStr">
        <is>
          <t>Average</t>
        </is>
      </c>
      <c r="O417" s="745" t="inlineStr">
        <is>
          <t>Typical</t>
        </is>
      </c>
      <c r="P417" s="745" t="n">
        <v>2021</v>
      </c>
      <c r="Q417" s="741" t="n">
        <v>3</v>
      </c>
      <c r="R417" s="746" t="n">
        <v>97.5</v>
      </c>
      <c r="S417" s="747" t="n">
        <v>409305</v>
      </c>
      <c r="T417" s="742" t="inlineStr">
        <is>
          <t>quality fell back to Average</t>
        </is>
      </c>
    </row>
    <row r="418">
      <c r="A418" s="748" t="n">
        <v>1122</v>
      </c>
      <c r="B418" s="749" t="inlineStr">
        <is>
          <t>1635 Main St</t>
        </is>
      </c>
      <c r="C418" s="748" t="inlineStr">
        <is>
          <t>Windsor</t>
        </is>
      </c>
      <c r="D418" s="748" t="inlineStr">
        <is>
          <t>Weld</t>
        </is>
      </c>
      <c r="E418" s="748" t="inlineStr">
        <is>
          <t>Auto Service</t>
        </is>
      </c>
      <c r="F418" s="748" t="inlineStr">
        <is>
          <t>Christian Brothers Automotive</t>
        </is>
      </c>
      <c r="G418" s="748" t="n">
        <v>410</v>
      </c>
      <c r="H418" s="743" t="inlineStr">
        <is>
          <t>410 - Automotive Center</t>
        </is>
      </c>
      <c r="I418" s="749" t="inlineStr">
        <is>
          <t>Automotive Service Centers</t>
        </is>
      </c>
      <c r="J418" s="748" t="inlineStr">
        <is>
          <t>Sec.14 p.31</t>
        </is>
      </c>
      <c r="K418" s="744" t="n">
        <v>4872</v>
      </c>
      <c r="L418" s="744" t="n">
        <v>35227</v>
      </c>
      <c r="M418" s="745" t="inlineStr">
        <is>
          <t>S</t>
        </is>
      </c>
      <c r="N418" s="745" t="inlineStr">
        <is>
          <t>Average</t>
        </is>
      </c>
      <c r="O418" s="745" t="inlineStr">
        <is>
          <t>Typical</t>
        </is>
      </c>
      <c r="P418" s="745" t="n">
        <v>2017</v>
      </c>
      <c r="Q418" s="748" t="n">
        <v>7</v>
      </c>
      <c r="R418" s="750" t="n">
        <v>97.5</v>
      </c>
      <c r="S418" s="751" t="n">
        <v>475020</v>
      </c>
      <c r="T418" s="749" t="inlineStr">
        <is>
          <t>quality fell back to Average</t>
        </is>
      </c>
    </row>
    <row r="419">
      <c r="A419" s="741" t="n">
        <v>1123</v>
      </c>
      <c r="B419" s="742" t="inlineStr">
        <is>
          <t>1412 8th Ave</t>
        </is>
      </c>
      <c r="C419" s="741" t="inlineStr">
        <is>
          <t>Greeley</t>
        </is>
      </c>
      <c r="D419" s="741" t="inlineStr">
        <is>
          <t>Weld</t>
        </is>
      </c>
      <c r="E419" s="741" t="inlineStr">
        <is>
          <t>Dollar Store</t>
        </is>
      </c>
      <c r="F419" s="741" t="inlineStr">
        <is>
          <t>Dollar General</t>
        </is>
      </c>
      <c r="G419" s="741" t="n">
        <v>319</v>
      </c>
      <c r="H419" s="743" t="inlineStr">
        <is>
          <t>319 - Discount Store</t>
        </is>
      </c>
      <c r="I419" s="742" t="inlineStr">
        <is>
          <t>Discount Stores</t>
        </is>
      </c>
      <c r="J419" s="741" t="inlineStr">
        <is>
          <t>Sec.13 p.28</t>
        </is>
      </c>
      <c r="K419" s="744" t="n">
        <v>9800</v>
      </c>
      <c r="L419" s="744" t="n">
        <v>35284</v>
      </c>
      <c r="M419" s="745" t="inlineStr">
        <is>
          <t>C</t>
        </is>
      </c>
      <c r="N419" s="745" t="inlineStr">
        <is>
          <t>Average</t>
        </is>
      </c>
      <c r="O419" s="745" t="inlineStr">
        <is>
          <t>Typical</t>
        </is>
      </c>
      <c r="P419" s="745" t="n">
        <v>1948</v>
      </c>
      <c r="Q419" s="741" t="n">
        <v>76</v>
      </c>
      <c r="R419" s="746" t="n">
        <v>94</v>
      </c>
      <c r="S419" s="747" t="n">
        <v>921200</v>
      </c>
      <c r="T419" s="742" t="inlineStr"/>
    </row>
    <row r="420">
      <c r="A420" s="748" t="n">
        <v>1124</v>
      </c>
      <c r="B420" s="749" t="inlineStr">
        <is>
          <t>1740 E Broad St</t>
        </is>
      </c>
      <c r="C420" s="748" t="inlineStr">
        <is>
          <t>Milliken</t>
        </is>
      </c>
      <c r="D420" s="748" t="inlineStr">
        <is>
          <t>Weld</t>
        </is>
      </c>
      <c r="E420" s="748" t="inlineStr">
        <is>
          <t>Dollar Store</t>
        </is>
      </c>
      <c r="F420" s="748" t="inlineStr">
        <is>
          <t>Dollar General</t>
        </is>
      </c>
      <c r="G420" s="748" t="n">
        <v>319</v>
      </c>
      <c r="H420" s="743" t="inlineStr">
        <is>
          <t>319 - Discount Store</t>
        </is>
      </c>
      <c r="I420" s="749" t="inlineStr">
        <is>
          <t>Discount Stores</t>
        </is>
      </c>
      <c r="J420" s="748" t="inlineStr">
        <is>
          <t>Sec.13 p.28</t>
        </is>
      </c>
      <c r="K420" s="744" t="n">
        <v>9014</v>
      </c>
      <c r="L420" s="744" t="n">
        <v>10454</v>
      </c>
      <c r="M420" s="745" t="inlineStr">
        <is>
          <t>C</t>
        </is>
      </c>
      <c r="N420" s="745" t="inlineStr">
        <is>
          <t>Average</t>
        </is>
      </c>
      <c r="O420" s="745" t="inlineStr">
        <is>
          <t>Typical</t>
        </is>
      </c>
      <c r="P420" s="745" t="n">
        <v>2007</v>
      </c>
      <c r="Q420" s="748" t="n">
        <v>17</v>
      </c>
      <c r="R420" s="750" t="n">
        <v>94</v>
      </c>
      <c r="S420" s="751" t="n">
        <v>847316</v>
      </c>
      <c r="T420" s="749" t="inlineStr"/>
    </row>
    <row r="421">
      <c r="A421" s="741" t="n">
        <v>1125</v>
      </c>
      <c r="B421" s="742" t="inlineStr">
        <is>
          <t>9845 County Road 74</t>
        </is>
      </c>
      <c r="C421" s="741" t="inlineStr">
        <is>
          <t>Severance</t>
        </is>
      </c>
      <c r="D421" s="741" t="inlineStr">
        <is>
          <t>Weld</t>
        </is>
      </c>
      <c r="E421" s="741" t="inlineStr">
        <is>
          <t>Dollar Store</t>
        </is>
      </c>
      <c r="F421" s="741" t="inlineStr">
        <is>
          <t>Dollar General</t>
        </is>
      </c>
      <c r="G421" s="741" t="n">
        <v>319</v>
      </c>
      <c r="H421" s="743" t="inlineStr">
        <is>
          <t>319 - Discount Store</t>
        </is>
      </c>
      <c r="I421" s="742" t="inlineStr">
        <is>
          <t>Discount Stores</t>
        </is>
      </c>
      <c r="J421" s="741" t="inlineStr">
        <is>
          <t>Sec.13 p.28</t>
        </is>
      </c>
      <c r="K421" s="744" t="n">
        <v>9026</v>
      </c>
      <c r="L421" s="744" t="n">
        <v>108464</v>
      </c>
      <c r="M421" s="745" t="inlineStr">
        <is>
          <t>C</t>
        </is>
      </c>
      <c r="N421" s="745" t="inlineStr">
        <is>
          <t>Good</t>
        </is>
      </c>
      <c r="O421" s="745" t="inlineStr">
        <is>
          <t>Typical</t>
        </is>
      </c>
      <c r="P421" s="745" t="n">
        <v>2019</v>
      </c>
      <c r="Q421" s="741" t="n">
        <v>5</v>
      </c>
      <c r="R421" s="746" t="n">
        <v>118</v>
      </c>
      <c r="S421" s="747" t="n">
        <v>1065068</v>
      </c>
      <c r="T421" s="742" t="inlineStr"/>
    </row>
    <row r="422">
      <c r="A422" s="748" t="n">
        <v>1126</v>
      </c>
      <c r="B422" s="749" t="inlineStr">
        <is>
          <t>11086 Colorado Blvd</t>
        </is>
      </c>
      <c r="C422" s="748" t="inlineStr">
        <is>
          <t>Firestone</t>
        </is>
      </c>
      <c r="D422" s="748" t="inlineStr">
        <is>
          <t>Weld</t>
        </is>
      </c>
      <c r="E422" s="748" t="inlineStr">
        <is>
          <t>Dollar Store</t>
        </is>
      </c>
      <c r="F422" s="748" t="inlineStr">
        <is>
          <t>Dollar General</t>
        </is>
      </c>
      <c r="G422" s="748" t="n">
        <v>319</v>
      </c>
      <c r="H422" s="743" t="inlineStr">
        <is>
          <t>319 - Discount Store</t>
        </is>
      </c>
      <c r="I422" s="749" t="inlineStr">
        <is>
          <t>Discount Stores</t>
        </is>
      </c>
      <c r="J422" s="748" t="inlineStr">
        <is>
          <t>Sec.13 p.28</t>
        </is>
      </c>
      <c r="K422" s="744" t="n">
        <v>9100</v>
      </c>
      <c r="L422" s="744" t="n">
        <v>61420</v>
      </c>
      <c r="M422" s="745" t="inlineStr">
        <is>
          <t>C</t>
        </is>
      </c>
      <c r="N422" s="745" t="inlineStr">
        <is>
          <t>Good</t>
        </is>
      </c>
      <c r="O422" s="745" t="inlineStr">
        <is>
          <t>Typical</t>
        </is>
      </c>
      <c r="P422" s="745" t="n">
        <v>2021</v>
      </c>
      <c r="Q422" s="748" t="n">
        <v>3</v>
      </c>
      <c r="R422" s="750" t="n">
        <v>118</v>
      </c>
      <c r="S422" s="751" t="n">
        <v>1073800</v>
      </c>
      <c r="T422" s="749" t="inlineStr"/>
    </row>
    <row r="423">
      <c r="A423" s="741" t="n">
        <v>1127</v>
      </c>
      <c r="B423" s="742" t="inlineStr">
        <is>
          <t>130 22nd St</t>
        </is>
      </c>
      <c r="C423" s="741" t="inlineStr">
        <is>
          <t>Greeley</t>
        </is>
      </c>
      <c r="D423" s="741" t="inlineStr">
        <is>
          <t>Weld</t>
        </is>
      </c>
      <c r="E423" s="741" t="inlineStr">
        <is>
          <t>Dollar Store</t>
        </is>
      </c>
      <c r="F423" s="741" t="inlineStr">
        <is>
          <t>Family Dollar</t>
        </is>
      </c>
      <c r="G423" s="741" t="n">
        <v>319</v>
      </c>
      <c r="H423" s="743" t="inlineStr">
        <is>
          <t>319 - Discount Store</t>
        </is>
      </c>
      <c r="I423" s="742" t="inlineStr">
        <is>
          <t>Discount Stores</t>
        </is>
      </c>
      <c r="J423" s="741" t="inlineStr">
        <is>
          <t>Sec.13 p.28</t>
        </is>
      </c>
      <c r="K423" s="744" t="n">
        <v>8300</v>
      </c>
      <c r="L423" s="744" t="n">
        <v>103673</v>
      </c>
      <c r="M423" s="745" t="inlineStr">
        <is>
          <t>C</t>
        </is>
      </c>
      <c r="N423" s="745" t="inlineStr">
        <is>
          <t>Average</t>
        </is>
      </c>
      <c r="O423" s="745" t="inlineStr">
        <is>
          <t>Typical</t>
        </is>
      </c>
      <c r="P423" s="745" t="n">
        <v>2014</v>
      </c>
      <c r="Q423" s="741" t="n">
        <v>10</v>
      </c>
      <c r="R423" s="746" t="n">
        <v>94</v>
      </c>
      <c r="S423" s="747" t="n">
        <v>780200</v>
      </c>
      <c r="T423" s="742" t="inlineStr"/>
    </row>
    <row r="424">
      <c r="A424" s="748" t="n">
        <v>1128</v>
      </c>
      <c r="B424" s="749" t="inlineStr">
        <is>
          <t>3630 35th Ave</t>
        </is>
      </c>
      <c r="C424" s="748" t="inlineStr">
        <is>
          <t>Evans</t>
        </is>
      </c>
      <c r="D424" s="748" t="inlineStr">
        <is>
          <t>Weld</t>
        </is>
      </c>
      <c r="E424" s="748" t="inlineStr">
        <is>
          <t>Dollar Store</t>
        </is>
      </c>
      <c r="F424" s="748" t="inlineStr">
        <is>
          <t>Family Dollar</t>
        </is>
      </c>
      <c r="G424" s="748" t="n">
        <v>319</v>
      </c>
      <c r="H424" s="743" t="inlineStr">
        <is>
          <t>319 - Discount Store</t>
        </is>
      </c>
      <c r="I424" s="749" t="inlineStr">
        <is>
          <t>Discount Stores</t>
        </is>
      </c>
      <c r="J424" s="748" t="inlineStr">
        <is>
          <t>Sec.13 p.28</t>
        </is>
      </c>
      <c r="K424" s="744" t="n">
        <v>8320</v>
      </c>
      <c r="L424" s="744" t="n">
        <v>41933</v>
      </c>
      <c r="M424" s="745" t="inlineStr">
        <is>
          <t>C</t>
        </is>
      </c>
      <c r="N424" s="745" t="inlineStr">
        <is>
          <t>Average</t>
        </is>
      </c>
      <c r="O424" s="745" t="inlineStr">
        <is>
          <t>Typical</t>
        </is>
      </c>
      <c r="P424" s="745" t="n">
        <v>2013</v>
      </c>
      <c r="Q424" s="748" t="n">
        <v>11</v>
      </c>
      <c r="R424" s="750" t="n">
        <v>94</v>
      </c>
      <c r="S424" s="751" t="n">
        <v>782080</v>
      </c>
      <c r="T424" s="749" t="inlineStr"/>
    </row>
    <row r="425">
      <c r="A425" s="741" t="n">
        <v>1129</v>
      </c>
      <c r="B425" s="742" t="inlineStr">
        <is>
          <t>165 S 2nd St</t>
        </is>
      </c>
      <c r="C425" s="741" t="inlineStr">
        <is>
          <t>La Salle</t>
        </is>
      </c>
      <c r="D425" s="741" t="inlineStr">
        <is>
          <t>Weld</t>
        </is>
      </c>
      <c r="E425" s="741" t="inlineStr">
        <is>
          <t>Dollar Store</t>
        </is>
      </c>
      <c r="F425" s="741" t="inlineStr">
        <is>
          <t>Family Dollar</t>
        </is>
      </c>
      <c r="G425" s="741" t="n">
        <v>319</v>
      </c>
      <c r="H425" s="743" t="inlineStr">
        <is>
          <t>319 - Discount Store</t>
        </is>
      </c>
      <c r="I425" s="742" t="inlineStr">
        <is>
          <t>Discount Stores</t>
        </is>
      </c>
      <c r="J425" s="741" t="inlineStr">
        <is>
          <t>Sec.13 p.28</t>
        </is>
      </c>
      <c r="K425" s="744" t="n">
        <v>8344</v>
      </c>
      <c r="L425" s="744" t="n">
        <v>17427</v>
      </c>
      <c r="M425" s="745" t="inlineStr">
        <is>
          <t>C</t>
        </is>
      </c>
      <c r="N425" s="745" t="inlineStr">
        <is>
          <t>Average</t>
        </is>
      </c>
      <c r="O425" s="745" t="inlineStr">
        <is>
          <t>Typical</t>
        </is>
      </c>
      <c r="P425" s="745" t="n">
        <v>2013</v>
      </c>
      <c r="Q425" s="741" t="n">
        <v>11</v>
      </c>
      <c r="R425" s="746" t="n">
        <v>94</v>
      </c>
      <c r="S425" s="747" t="n">
        <v>784336</v>
      </c>
      <c r="T425" s="742" t="inlineStr"/>
    </row>
    <row r="426">
      <c r="A426" s="748" t="n">
        <v>1130</v>
      </c>
      <c r="B426" s="749" t="inlineStr">
        <is>
          <t>4555 Circle Centre Rd</t>
        </is>
      </c>
      <c r="C426" s="748" t="inlineStr">
        <is>
          <t>Firestone</t>
        </is>
      </c>
      <c r="D426" s="748" t="inlineStr">
        <is>
          <t>Weld</t>
        </is>
      </c>
      <c r="E426" s="748" t="inlineStr">
        <is>
          <t>Auto Service</t>
        </is>
      </c>
      <c r="F426" s="748" t="inlineStr">
        <is>
          <t>Firestone</t>
        </is>
      </c>
      <c r="G426" s="748" t="n">
        <v>410</v>
      </c>
      <c r="H426" s="743" t="inlineStr">
        <is>
          <t>410 - Automotive Center</t>
        </is>
      </c>
      <c r="I426" s="749" t="inlineStr">
        <is>
          <t>Automotive Service Centers</t>
        </is>
      </c>
      <c r="J426" s="748" t="inlineStr">
        <is>
          <t>Sec.14 p.31</t>
        </is>
      </c>
      <c r="K426" s="744" t="n">
        <v>4935</v>
      </c>
      <c r="L426" s="744" t="n">
        <v>39988</v>
      </c>
      <c r="M426" s="745" t="inlineStr">
        <is>
          <t>S</t>
        </is>
      </c>
      <c r="N426" s="745" t="inlineStr">
        <is>
          <t>Average</t>
        </is>
      </c>
      <c r="O426" s="745" t="inlineStr">
        <is>
          <t>Typical</t>
        </is>
      </c>
      <c r="P426" s="745" t="n">
        <v>2018</v>
      </c>
      <c r="Q426" s="748" t="n">
        <v>6</v>
      </c>
      <c r="R426" s="750" t="n">
        <v>97.5</v>
      </c>
      <c r="S426" s="751" t="n">
        <v>481162</v>
      </c>
      <c r="T426" s="749" t="inlineStr">
        <is>
          <t>quality fell back to Average</t>
        </is>
      </c>
    </row>
    <row r="427">
      <c r="A427" s="741" t="n">
        <v>1131</v>
      </c>
      <c r="B427" s="742" t="inlineStr">
        <is>
          <t>4515 City Centre Dr</t>
        </is>
      </c>
      <c r="C427" s="741" t="inlineStr">
        <is>
          <t>Firestone</t>
        </is>
      </c>
      <c r="D427" s="741" t="inlineStr">
        <is>
          <t>Weld</t>
        </is>
      </c>
      <c r="E427" s="741" t="inlineStr">
        <is>
          <t>Auto Service</t>
        </is>
      </c>
      <c r="F427" s="741" t="inlineStr">
        <is>
          <t>Firestone</t>
        </is>
      </c>
      <c r="G427" s="741" t="n">
        <v>410</v>
      </c>
      <c r="H427" s="743" t="inlineStr">
        <is>
          <t>410 - Automotive Center</t>
        </is>
      </c>
      <c r="I427" s="742" t="inlineStr">
        <is>
          <t>Automotive Service Centers</t>
        </is>
      </c>
      <c r="J427" s="741" t="inlineStr">
        <is>
          <t>Sec.14 p.31</t>
        </is>
      </c>
      <c r="K427" s="744" t="n">
        <v>6116</v>
      </c>
      <c r="L427" s="744" t="n">
        <v>47916</v>
      </c>
      <c r="M427" s="745" t="inlineStr">
        <is>
          <t>S</t>
        </is>
      </c>
      <c r="N427" s="745" t="inlineStr">
        <is>
          <t>Average</t>
        </is>
      </c>
      <c r="O427" s="745" t="inlineStr">
        <is>
          <t>Typical</t>
        </is>
      </c>
      <c r="P427" s="745" t="n">
        <v>2020</v>
      </c>
      <c r="Q427" s="741" t="n">
        <v>4</v>
      </c>
      <c r="R427" s="746" t="n">
        <v>97.5</v>
      </c>
      <c r="S427" s="747" t="n">
        <v>596310</v>
      </c>
      <c r="T427" s="742" t="inlineStr">
        <is>
          <t>quality fell back to Average</t>
        </is>
      </c>
    </row>
    <row r="428">
      <c r="A428" s="748" t="n">
        <v>1132</v>
      </c>
      <c r="B428" s="749" t="inlineStr">
        <is>
          <t>3275 W 10th St</t>
        </is>
      </c>
      <c r="C428" s="748" t="inlineStr">
        <is>
          <t>Greeley</t>
        </is>
      </c>
      <c r="D428" s="748" t="inlineStr">
        <is>
          <t>Weld</t>
        </is>
      </c>
      <c r="E428" s="748" t="inlineStr">
        <is>
          <t>Auto Service</t>
        </is>
      </c>
      <c r="F428" s="748" t="inlineStr">
        <is>
          <t>Greeley Automotive Service</t>
        </is>
      </c>
      <c r="G428" s="748" t="n">
        <v>325</v>
      </c>
      <c r="H428" s="743" t="inlineStr">
        <is>
          <t>325 - Service Garage</t>
        </is>
      </c>
      <c r="I428" s="749" t="inlineStr">
        <is>
          <t>Service Garages (Commercial/Repair)</t>
        </is>
      </c>
      <c r="J428" s="748" t="inlineStr">
        <is>
          <t>Sec.14 p.32</t>
        </is>
      </c>
      <c r="K428" s="744" t="n">
        <v>2442</v>
      </c>
      <c r="L428" s="744" t="n">
        <v>20038</v>
      </c>
      <c r="M428" s="745" t="inlineStr">
        <is>
          <t>C</t>
        </is>
      </c>
      <c r="N428" s="745" t="inlineStr">
        <is>
          <t>Average</t>
        </is>
      </c>
      <c r="O428" s="745" t="inlineStr">
        <is>
          <t>Typical</t>
        </is>
      </c>
      <c r="P428" s="745" t="n">
        <v>1986</v>
      </c>
      <c r="Q428" s="748" t="n">
        <v>38</v>
      </c>
      <c r="R428" s="750" t="n">
        <v>79.5</v>
      </c>
      <c r="S428" s="751" t="n">
        <v>194139</v>
      </c>
      <c r="T428" s="749" t="inlineStr"/>
    </row>
    <row r="429">
      <c r="A429" s="741" t="n">
        <v>1133</v>
      </c>
      <c r="B429" s="742" t="inlineStr">
        <is>
          <t>110 Collins Ave</t>
        </is>
      </c>
      <c r="C429" s="741" t="inlineStr">
        <is>
          <t>Eaton</t>
        </is>
      </c>
      <c r="D429" s="741" t="inlineStr">
        <is>
          <t>Weld</t>
        </is>
      </c>
      <c r="E429" s="741" t="inlineStr">
        <is>
          <t>Fast Food</t>
        </is>
      </c>
      <c r="F429" s="741" t="inlineStr">
        <is>
          <t>KFC / Taco Bell</t>
        </is>
      </c>
      <c r="G429" s="741" t="n">
        <v>349</v>
      </c>
      <c r="H429" s="743" t="inlineStr">
        <is>
          <t>349 - Fast Food Restaurant</t>
        </is>
      </c>
      <c r="I429" s="742" t="inlineStr">
        <is>
          <t>Restaurants – Fast Food</t>
        </is>
      </c>
      <c r="J429" s="741" t="inlineStr">
        <is>
          <t>Sec.13 p.17</t>
        </is>
      </c>
      <c r="K429" s="744" t="n">
        <v>2742</v>
      </c>
      <c r="L429" s="744" t="n">
        <v>37462</v>
      </c>
      <c r="M429" s="745" t="inlineStr">
        <is>
          <t>C</t>
        </is>
      </c>
      <c r="N429" s="745" t="inlineStr">
        <is>
          <t>Average</t>
        </is>
      </c>
      <c r="O429" s="745" t="inlineStr">
        <is>
          <t>Typical</t>
        </is>
      </c>
      <c r="P429" s="745" t="n">
        <v>2007</v>
      </c>
      <c r="Q429" s="741" t="n">
        <v>17</v>
      </c>
      <c r="R429" s="746" t="n">
        <v>191</v>
      </c>
      <c r="S429" s="747" t="n">
        <v>523722</v>
      </c>
      <c r="T429" s="742" t="inlineStr"/>
    </row>
    <row r="430">
      <c r="A430" s="748" t="n">
        <v>1134</v>
      </c>
      <c r="B430" s="749" t="inlineStr">
        <is>
          <t>4059 W 11th St</t>
        </is>
      </c>
      <c r="C430" s="748" t="inlineStr">
        <is>
          <t>Greeley</t>
        </is>
      </c>
      <c r="D430" s="748" t="inlineStr">
        <is>
          <t>Weld</t>
        </is>
      </c>
      <c r="E430" s="748" t="inlineStr">
        <is>
          <t>Daycare</t>
        </is>
      </c>
      <c r="F430" s="748" t="inlineStr">
        <is>
          <t>Kid City USA</t>
        </is>
      </c>
      <c r="G430" s="748" t="n">
        <v>426</v>
      </c>
      <c r="H430" s="743" t="inlineStr">
        <is>
          <t>426 - Day Care Center</t>
        </is>
      </c>
      <c r="I430" s="749" t="inlineStr">
        <is>
          <t>Day Care Centers</t>
        </is>
      </c>
      <c r="J430" s="748" t="inlineStr">
        <is>
          <t>Sec.18 p.13</t>
        </is>
      </c>
      <c r="K430" s="744" t="n">
        <v>6455</v>
      </c>
      <c r="L430" s="744" t="n">
        <v>36155</v>
      </c>
      <c r="M430" s="745" t="inlineStr">
        <is>
          <t>C</t>
        </is>
      </c>
      <c r="N430" s="745" t="inlineStr">
        <is>
          <t>Average</t>
        </is>
      </c>
      <c r="O430" s="745" t="inlineStr">
        <is>
          <t>Typical</t>
        </is>
      </c>
      <c r="P430" s="745" t="n">
        <v>1985</v>
      </c>
      <c r="Q430" s="748" t="n">
        <v>39</v>
      </c>
      <c r="R430" s="750" t="n">
        <v>173</v>
      </c>
      <c r="S430" s="751" t="n">
        <v>1116715</v>
      </c>
      <c r="T430" s="749" t="inlineStr"/>
    </row>
    <row r="431">
      <c r="A431" s="741" t="n">
        <v>1135</v>
      </c>
      <c r="B431" s="742" t="inlineStr">
        <is>
          <t>6700 W 29th St</t>
        </is>
      </c>
      <c r="C431" s="741" t="inlineStr">
        <is>
          <t>Greeley</t>
        </is>
      </c>
      <c r="D431" s="741" t="inlineStr">
        <is>
          <t>Weld</t>
        </is>
      </c>
      <c r="E431" s="741" t="inlineStr">
        <is>
          <t>Daycare</t>
        </is>
      </c>
      <c r="F431" s="741" t="inlineStr">
        <is>
          <t>KinderCare</t>
        </is>
      </c>
      <c r="G431" s="741" t="n">
        <v>426</v>
      </c>
      <c r="H431" s="743" t="inlineStr">
        <is>
          <t>426 - Day Care Center</t>
        </is>
      </c>
      <c r="I431" s="742" t="inlineStr">
        <is>
          <t>Day Care Centers</t>
        </is>
      </c>
      <c r="J431" s="741" t="inlineStr">
        <is>
          <t>Sec.18 p.13</t>
        </is>
      </c>
      <c r="K431" s="744" t="n">
        <v>11279</v>
      </c>
      <c r="L431" s="744" t="n">
        <v>49658</v>
      </c>
      <c r="M431" s="745" t="inlineStr">
        <is>
          <t>C</t>
        </is>
      </c>
      <c r="N431" s="745" t="inlineStr">
        <is>
          <t>Average</t>
        </is>
      </c>
      <c r="O431" s="745" t="inlineStr">
        <is>
          <t>Typical</t>
        </is>
      </c>
      <c r="P431" s="745" t="n">
        <v>2005</v>
      </c>
      <c r="Q431" s="741" t="n">
        <v>19</v>
      </c>
      <c r="R431" s="746" t="n">
        <v>173</v>
      </c>
      <c r="S431" s="747" t="n">
        <v>1951267</v>
      </c>
      <c r="T431" s="742" t="inlineStr"/>
    </row>
    <row r="432">
      <c r="A432" s="748" t="n">
        <v>1136</v>
      </c>
      <c r="B432" s="749" t="inlineStr">
        <is>
          <t>3721 W Service Rd</t>
        </is>
      </c>
      <c r="C432" s="748" t="inlineStr">
        <is>
          <t>Evans</t>
        </is>
      </c>
      <c r="D432" s="748" t="inlineStr">
        <is>
          <t>Weld</t>
        </is>
      </c>
      <c r="E432" s="748" t="inlineStr">
        <is>
          <t>Auto Service</t>
        </is>
      </c>
      <c r="F432" s="748" t="inlineStr">
        <is>
          <t>Lugnut Auto Repair</t>
        </is>
      </c>
      <c r="G432" s="748" t="n">
        <v>325</v>
      </c>
      <c r="H432" s="743" t="inlineStr">
        <is>
          <t>325 - Service Garage</t>
        </is>
      </c>
      <c r="I432" s="749" t="inlineStr">
        <is>
          <t>Service Garages (Commercial/Repair)</t>
        </is>
      </c>
      <c r="J432" s="748" t="inlineStr">
        <is>
          <t>Sec.14 p.32</t>
        </is>
      </c>
      <c r="K432" s="744" t="n">
        <v>2400</v>
      </c>
      <c r="L432" s="744" t="n">
        <v>22216</v>
      </c>
      <c r="M432" s="745" t="inlineStr">
        <is>
          <t>C</t>
        </is>
      </c>
      <c r="N432" s="745" t="inlineStr">
        <is>
          <t>Average</t>
        </is>
      </c>
      <c r="O432" s="745" t="inlineStr">
        <is>
          <t>Typical</t>
        </is>
      </c>
      <c r="P432" s="745" t="n">
        <v>1958</v>
      </c>
      <c r="Q432" s="748" t="n">
        <v>66</v>
      </c>
      <c r="R432" s="750" t="n">
        <v>79.5</v>
      </c>
      <c r="S432" s="751" t="n">
        <v>190800</v>
      </c>
      <c r="T432" s="749" t="inlineStr"/>
    </row>
    <row r="433">
      <c r="A433" s="741" t="n">
        <v>1137</v>
      </c>
      <c r="B433" s="742" t="inlineStr">
        <is>
          <t>8100 Colorado Blvd</t>
        </is>
      </c>
      <c r="C433" s="741" t="inlineStr">
        <is>
          <t>Firestone</t>
        </is>
      </c>
      <c r="D433" s="741" t="inlineStr">
        <is>
          <t>Weld</t>
        </is>
      </c>
      <c r="E433" s="741" t="inlineStr">
        <is>
          <t>Auto Service</t>
        </is>
      </c>
      <c r="F433" s="741" t="inlineStr">
        <is>
          <t>Midas Tri-Town</t>
        </is>
      </c>
      <c r="G433" s="741" t="n">
        <v>410</v>
      </c>
      <c r="H433" s="743" t="inlineStr">
        <is>
          <t>410 - Automotive Center</t>
        </is>
      </c>
      <c r="I433" s="742" t="inlineStr">
        <is>
          <t>Automotive Service Centers</t>
        </is>
      </c>
      <c r="J433" s="741" t="inlineStr">
        <is>
          <t>Sec.14 p.31</t>
        </is>
      </c>
      <c r="K433" s="744" t="n">
        <v>9831</v>
      </c>
      <c r="L433" s="744" t="n">
        <v>77537</v>
      </c>
      <c r="M433" s="745" t="inlineStr">
        <is>
          <t>S</t>
        </is>
      </c>
      <c r="N433" s="745" t="inlineStr">
        <is>
          <t>Average</t>
        </is>
      </c>
      <c r="O433" s="745" t="inlineStr">
        <is>
          <t>Typical</t>
        </is>
      </c>
      <c r="P433" s="745" t="n">
        <v>2016</v>
      </c>
      <c r="Q433" s="741" t="n">
        <v>8</v>
      </c>
      <c r="R433" s="746" t="n">
        <v>97.5</v>
      </c>
      <c r="S433" s="747" t="n">
        <v>958522</v>
      </c>
      <c r="T433" s="742" t="inlineStr">
        <is>
          <t>quality fell back to Average</t>
        </is>
      </c>
    </row>
    <row r="434">
      <c r="A434" s="748" t="n">
        <v>1138</v>
      </c>
      <c r="B434" s="749" t="inlineStr">
        <is>
          <t>3803 10th St</t>
        </is>
      </c>
      <c r="C434" s="748" t="inlineStr">
        <is>
          <t>Greeley</t>
        </is>
      </c>
      <c r="D434" s="748" t="inlineStr">
        <is>
          <t>Weld</t>
        </is>
      </c>
      <c r="E434" s="748" t="inlineStr">
        <is>
          <t>Auto Service</t>
        </is>
      </c>
      <c r="F434" s="748" t="inlineStr">
        <is>
          <t>Peak Kia</t>
        </is>
      </c>
      <c r="G434" s="748" t="n">
        <v>325</v>
      </c>
      <c r="H434" s="743" t="inlineStr">
        <is>
          <t>325 - Service Garage</t>
        </is>
      </c>
      <c r="I434" s="749" t="inlineStr">
        <is>
          <t>Service Garages (Commercial/Repair)</t>
        </is>
      </c>
      <c r="J434" s="748" t="inlineStr">
        <is>
          <t>Sec.14 p.32</t>
        </is>
      </c>
      <c r="K434" s="744" t="n">
        <v>8190</v>
      </c>
      <c r="L434" s="744" t="n">
        <v>44867</v>
      </c>
      <c r="M434" s="745" t="inlineStr">
        <is>
          <t>C</t>
        </is>
      </c>
      <c r="N434" s="745" t="inlineStr">
        <is>
          <t>Average</t>
        </is>
      </c>
      <c r="O434" s="745" t="inlineStr">
        <is>
          <t>Typical</t>
        </is>
      </c>
      <c r="P434" s="745" t="n">
        <v>1972</v>
      </c>
      <c r="Q434" s="748" t="n">
        <v>52</v>
      </c>
      <c r="R434" s="750" t="n">
        <v>79.5</v>
      </c>
      <c r="S434" s="751" t="n">
        <v>651105</v>
      </c>
      <c r="T434" s="749" t="inlineStr"/>
    </row>
    <row r="435">
      <c r="A435" s="741" t="n">
        <v>1139</v>
      </c>
      <c r="B435" s="742" t="inlineStr">
        <is>
          <t>4514 Centerplace Dr</t>
        </is>
      </c>
      <c r="C435" s="741" t="inlineStr">
        <is>
          <t>Greeley</t>
        </is>
      </c>
      <c r="D435" s="741" t="inlineStr">
        <is>
          <t>Weld</t>
        </is>
      </c>
      <c r="E435" s="741" t="inlineStr">
        <is>
          <t>Retail Center</t>
        </is>
      </c>
      <c r="F435" s="741" t="inlineStr">
        <is>
          <t>Red Robin</t>
        </is>
      </c>
      <c r="G435" s="741" t="n">
        <v>414</v>
      </c>
      <c r="H435" s="743" t="inlineStr">
        <is>
          <t>414 - Regional Shopping Center</t>
        </is>
      </c>
      <c r="I435" s="742" t="inlineStr">
        <is>
          <t>Regional Shopping Centers</t>
        </is>
      </c>
      <c r="J435" s="741" t="inlineStr">
        <is>
          <t>Sec.13 p.35</t>
        </is>
      </c>
      <c r="K435" s="744" t="n">
        <v>6664</v>
      </c>
      <c r="L435" s="744" t="n">
        <v>56384</v>
      </c>
      <c r="M435" s="745" t="inlineStr">
        <is>
          <t>C</t>
        </is>
      </c>
      <c r="N435" s="745" t="inlineStr">
        <is>
          <t>Average</t>
        </is>
      </c>
      <c r="O435" s="745" t="inlineStr">
        <is>
          <t>Typical</t>
        </is>
      </c>
      <c r="P435" s="745" t="n">
        <v>2003</v>
      </c>
      <c r="Q435" s="741" t="n">
        <v>21</v>
      </c>
      <c r="R435" s="746" t="n">
        <v>153</v>
      </c>
      <c r="S435" s="747" t="n">
        <v>1019592</v>
      </c>
      <c r="T435" s="742" t="inlineStr"/>
    </row>
    <row r="436">
      <c r="A436" s="748" t="n">
        <v>1140</v>
      </c>
      <c r="B436" s="749" t="inlineStr">
        <is>
          <t>1570 Main St</t>
        </is>
      </c>
      <c r="C436" s="748" t="inlineStr">
        <is>
          <t>Windsor</t>
        </is>
      </c>
      <c r="D436" s="748" t="inlineStr">
        <is>
          <t>Weld</t>
        </is>
      </c>
      <c r="E436" s="748" t="inlineStr">
        <is>
          <t>Coffee</t>
        </is>
      </c>
      <c r="F436" s="748" t="inlineStr">
        <is>
          <t>Starbucks</t>
        </is>
      </c>
      <c r="G436" s="748" t="n">
        <v>349</v>
      </c>
      <c r="H436" s="743" t="inlineStr">
        <is>
          <t>349 - Fast Food Restaurant</t>
        </is>
      </c>
      <c r="I436" s="749" t="inlineStr">
        <is>
          <t>Restaurants – Fast Food</t>
        </is>
      </c>
      <c r="J436" s="748" t="inlineStr">
        <is>
          <t>Sec.13 p.17</t>
        </is>
      </c>
      <c r="K436" s="744" t="n">
        <v>2200</v>
      </c>
      <c r="L436" s="744" t="n">
        <v>32234</v>
      </c>
      <c r="M436" s="745" t="inlineStr">
        <is>
          <t>C</t>
        </is>
      </c>
      <c r="N436" s="745" t="inlineStr">
        <is>
          <t>Good</t>
        </is>
      </c>
      <c r="O436" s="745" t="inlineStr">
        <is>
          <t>Typical</t>
        </is>
      </c>
      <c r="P436" s="745" t="n">
        <v>2017</v>
      </c>
      <c r="Q436" s="748" t="n">
        <v>7</v>
      </c>
      <c r="R436" s="750" t="n">
        <v>246</v>
      </c>
      <c r="S436" s="751" t="n">
        <v>541200</v>
      </c>
      <c r="T436" s="749" t="inlineStr"/>
    </row>
    <row r="437">
      <c r="A437" s="741" t="n">
        <v>1141</v>
      </c>
      <c r="B437" s="742" t="inlineStr">
        <is>
          <t>3341 23rd Ave</t>
        </is>
      </c>
      <c r="C437" s="741" t="inlineStr">
        <is>
          <t>Evans</t>
        </is>
      </c>
      <c r="D437" s="741" t="inlineStr">
        <is>
          <t>Weld</t>
        </is>
      </c>
      <c r="E437" s="741" t="inlineStr">
        <is>
          <t>Coffee</t>
        </is>
      </c>
      <c r="F437" s="741" t="inlineStr">
        <is>
          <t>Starbucks</t>
        </is>
      </c>
      <c r="G437" s="741" t="n">
        <v>349</v>
      </c>
      <c r="H437" s="743" t="inlineStr">
        <is>
          <t>349 - Fast Food Restaurant</t>
        </is>
      </c>
      <c r="I437" s="742" t="inlineStr">
        <is>
          <t>Restaurants – Fast Food</t>
        </is>
      </c>
      <c r="J437" s="741" t="inlineStr">
        <is>
          <t>Sec.13 p.17</t>
        </is>
      </c>
      <c r="K437" s="744" t="n">
        <v>2425</v>
      </c>
      <c r="L437" s="744" t="n">
        <v>38768</v>
      </c>
      <c r="M437" s="745" t="inlineStr">
        <is>
          <t>C</t>
        </is>
      </c>
      <c r="N437" s="745" t="inlineStr">
        <is>
          <t>Good</t>
        </is>
      </c>
      <c r="O437" s="745" t="inlineStr">
        <is>
          <t>Typical</t>
        </is>
      </c>
      <c r="P437" s="745" t="n">
        <v>2024</v>
      </c>
      <c r="Q437" s="741" t="n">
        <v>0</v>
      </c>
      <c r="R437" s="746" t="n">
        <v>246</v>
      </c>
      <c r="S437" s="747" t="n">
        <v>596550</v>
      </c>
      <c r="T437" s="742" t="inlineStr"/>
    </row>
    <row r="438">
      <c r="A438" s="748" t="n">
        <v>1142</v>
      </c>
      <c r="B438" s="749" t="inlineStr">
        <is>
          <t>3250 23rd Ave</t>
        </is>
      </c>
      <c r="C438" s="748" t="inlineStr">
        <is>
          <t>Evans</t>
        </is>
      </c>
      <c r="D438" s="748" t="inlineStr">
        <is>
          <t>Weld</t>
        </is>
      </c>
      <c r="E438" s="748" t="inlineStr">
        <is>
          <t>Fast Food</t>
        </is>
      </c>
      <c r="F438" s="748" t="inlineStr">
        <is>
          <t>Subway</t>
        </is>
      </c>
      <c r="G438" s="748" t="n">
        <v>349</v>
      </c>
      <c r="H438" s="743" t="inlineStr">
        <is>
          <t>349 - Fast Food Restaurant</t>
        </is>
      </c>
      <c r="I438" s="749" t="inlineStr">
        <is>
          <t>Restaurants – Fast Food</t>
        </is>
      </c>
      <c r="J438" s="748" t="inlineStr">
        <is>
          <t>Sec.13 p.17</t>
        </is>
      </c>
      <c r="K438" s="744" t="n">
        <v>1976</v>
      </c>
      <c r="L438" s="744" t="n">
        <v>17385</v>
      </c>
      <c r="M438" s="745" t="inlineStr">
        <is>
          <t>C</t>
        </is>
      </c>
      <c r="N438" s="745" t="inlineStr">
        <is>
          <t>Average</t>
        </is>
      </c>
      <c r="O438" s="745" t="inlineStr">
        <is>
          <t>Typical</t>
        </is>
      </c>
      <c r="P438" s="745" t="n">
        <v>2002</v>
      </c>
      <c r="Q438" s="748" t="n">
        <v>22</v>
      </c>
      <c r="R438" s="750" t="n">
        <v>191</v>
      </c>
      <c r="S438" s="751" t="n">
        <v>377416</v>
      </c>
      <c r="T438" s="749" t="inlineStr"/>
    </row>
    <row r="439">
      <c r="A439" s="741" t="n">
        <v>1143</v>
      </c>
      <c r="B439" s="742" t="inlineStr">
        <is>
          <t>101 12th St</t>
        </is>
      </c>
      <c r="C439" s="741" t="inlineStr">
        <is>
          <t>Windsor</t>
        </is>
      </c>
      <c r="D439" s="741" t="inlineStr">
        <is>
          <t>Weld</t>
        </is>
      </c>
      <c r="E439" s="741" t="inlineStr">
        <is>
          <t>Fast Food</t>
        </is>
      </c>
      <c r="F439" s="741" t="inlineStr">
        <is>
          <t>Taco Bell</t>
        </is>
      </c>
      <c r="G439" s="741" t="n">
        <v>349</v>
      </c>
      <c r="H439" s="743" t="inlineStr">
        <is>
          <t>349 - Fast Food Restaurant</t>
        </is>
      </c>
      <c r="I439" s="742" t="inlineStr">
        <is>
          <t>Restaurants – Fast Food</t>
        </is>
      </c>
      <c r="J439" s="741" t="inlineStr">
        <is>
          <t>Sec.13 p.17</t>
        </is>
      </c>
      <c r="K439" s="744" t="n">
        <v>2405</v>
      </c>
      <c r="L439" s="744" t="n">
        <v>30492</v>
      </c>
      <c r="M439" s="745" t="inlineStr">
        <is>
          <t>C</t>
        </is>
      </c>
      <c r="N439" s="745" t="inlineStr">
        <is>
          <t>Average</t>
        </is>
      </c>
      <c r="O439" s="745" t="inlineStr">
        <is>
          <t>Typical</t>
        </is>
      </c>
      <c r="P439" s="745" t="n">
        <v>2003</v>
      </c>
      <c r="Q439" s="741" t="n">
        <v>21</v>
      </c>
      <c r="R439" s="746" t="n">
        <v>191</v>
      </c>
      <c r="S439" s="747" t="n">
        <v>459355</v>
      </c>
      <c r="T439" s="742" t="inlineStr"/>
    </row>
    <row r="440">
      <c r="A440" s="748" t="n">
        <v>1144</v>
      </c>
      <c r="B440" s="749" t="inlineStr">
        <is>
          <t>101 12th St</t>
        </is>
      </c>
      <c r="C440" s="748" t="inlineStr">
        <is>
          <t>Windsor</t>
        </is>
      </c>
      <c r="D440" s="748" t="inlineStr">
        <is>
          <t>Weld</t>
        </is>
      </c>
      <c r="E440" s="748" t="inlineStr">
        <is>
          <t>Fast Food</t>
        </is>
      </c>
      <c r="F440" s="748" t="inlineStr">
        <is>
          <t>Taco Bell</t>
        </is>
      </c>
      <c r="G440" s="748" t="n">
        <v>349</v>
      </c>
      <c r="H440" s="743" t="inlineStr">
        <is>
          <t>349 - Fast Food Restaurant</t>
        </is>
      </c>
      <c r="I440" s="749" t="inlineStr">
        <is>
          <t>Restaurants – Fast Food</t>
        </is>
      </c>
      <c r="J440" s="748" t="inlineStr">
        <is>
          <t>Sec.13 p.17</t>
        </is>
      </c>
      <c r="K440" s="744" t="n">
        <v>2405</v>
      </c>
      <c r="L440" s="744" t="n">
        <v>30492</v>
      </c>
      <c r="M440" s="745" t="inlineStr">
        <is>
          <t>C</t>
        </is>
      </c>
      <c r="N440" s="745" t="inlineStr">
        <is>
          <t>Average</t>
        </is>
      </c>
      <c r="O440" s="745" t="inlineStr">
        <is>
          <t>Typical</t>
        </is>
      </c>
      <c r="P440" s="745" t="n">
        <v>2003</v>
      </c>
      <c r="Q440" s="748" t="n">
        <v>21</v>
      </c>
      <c r="R440" s="750" t="n">
        <v>191</v>
      </c>
      <c r="S440" s="751" t="n">
        <v>459355</v>
      </c>
      <c r="T440" s="749" t="inlineStr"/>
    </row>
    <row r="441">
      <c r="A441" s="741" t="n">
        <v>1145</v>
      </c>
      <c r="B441" s="742" t="inlineStr">
        <is>
          <t>2508 11th Ave</t>
        </is>
      </c>
      <c r="C441" s="741" t="inlineStr">
        <is>
          <t>Greeley</t>
        </is>
      </c>
      <c r="D441" s="741" t="inlineStr">
        <is>
          <t>Weld</t>
        </is>
      </c>
      <c r="E441" s="741" t="inlineStr">
        <is>
          <t>Fast Food</t>
        </is>
      </c>
      <c r="F441" s="741" t="inlineStr">
        <is>
          <t>Taco John's</t>
        </is>
      </c>
      <c r="G441" s="741" t="n">
        <v>349</v>
      </c>
      <c r="H441" s="743" t="inlineStr">
        <is>
          <t>349 - Fast Food Restaurant</t>
        </is>
      </c>
      <c r="I441" s="742" t="inlineStr">
        <is>
          <t>Restaurants – Fast Food</t>
        </is>
      </c>
      <c r="J441" s="741" t="inlineStr">
        <is>
          <t>Sec.13 p.17</t>
        </is>
      </c>
      <c r="K441" s="744" t="n">
        <v>2327</v>
      </c>
      <c r="L441" s="744" t="n">
        <v>20037</v>
      </c>
      <c r="M441" s="745" t="inlineStr">
        <is>
          <t>C</t>
        </is>
      </c>
      <c r="N441" s="745" t="inlineStr">
        <is>
          <t>Average</t>
        </is>
      </c>
      <c r="O441" s="745" t="inlineStr">
        <is>
          <t>Typical</t>
        </is>
      </c>
      <c r="P441" s="745" t="n">
        <v>1990</v>
      </c>
      <c r="Q441" s="741" t="n">
        <v>34</v>
      </c>
      <c r="R441" s="746" t="n">
        <v>191</v>
      </c>
      <c r="S441" s="747" t="n">
        <v>444457</v>
      </c>
      <c r="T441" s="742" t="inlineStr"/>
    </row>
    <row r="442">
      <c r="A442" s="748" t="n">
        <v>1146</v>
      </c>
      <c r="B442" s="749" t="inlineStr">
        <is>
          <t>10935 Colorado Blvd</t>
        </is>
      </c>
      <c r="C442" s="748" t="inlineStr">
        <is>
          <t>Firestone</t>
        </is>
      </c>
      <c r="D442" s="748" t="inlineStr">
        <is>
          <t>Weld</t>
        </is>
      </c>
      <c r="E442" s="748" t="inlineStr">
        <is>
          <t>Daycare</t>
        </is>
      </c>
      <c r="F442" s="748" t="inlineStr">
        <is>
          <t>The Learning Experience</t>
        </is>
      </c>
      <c r="G442" s="748" t="n">
        <v>426</v>
      </c>
      <c r="H442" s="743" t="inlineStr">
        <is>
          <t>426 - Day Care Center</t>
        </is>
      </c>
      <c r="I442" s="749" t="inlineStr">
        <is>
          <t>Day Care Centers</t>
        </is>
      </c>
      <c r="J442" s="748" t="inlineStr">
        <is>
          <t>Sec.18 p.13</t>
        </is>
      </c>
      <c r="K442" s="744" t="n">
        <v>10000</v>
      </c>
      <c r="L442" s="744" t="n">
        <v>49223</v>
      </c>
      <c r="M442" s="745" t="inlineStr">
        <is>
          <t>C</t>
        </is>
      </c>
      <c r="N442" s="745" t="inlineStr">
        <is>
          <t>Good</t>
        </is>
      </c>
      <c r="O442" s="745" t="inlineStr">
        <is>
          <t>Typical</t>
        </is>
      </c>
      <c r="P442" s="745" t="n">
        <v>2023</v>
      </c>
      <c r="Q442" s="748" t="n">
        <v>1</v>
      </c>
      <c r="R442" s="750" t="n">
        <v>225</v>
      </c>
      <c r="S442" s="751" t="n">
        <v>2250000</v>
      </c>
      <c r="T442" s="749" t="inlineStr"/>
    </row>
    <row r="443">
      <c r="A443" s="741" t="n">
        <v>1147</v>
      </c>
      <c r="B443" s="742" t="inlineStr">
        <is>
          <t>1105 11th Ave</t>
        </is>
      </c>
      <c r="C443" s="741" t="inlineStr">
        <is>
          <t>Greeley</t>
        </is>
      </c>
      <c r="D443" s="741" t="inlineStr">
        <is>
          <t>Weld</t>
        </is>
      </c>
      <c r="E443" s="741" t="inlineStr">
        <is>
          <t>Auto Service</t>
        </is>
      </c>
      <c r="F443" s="741" t="inlineStr">
        <is>
          <t>Tires 4 Less</t>
        </is>
      </c>
      <c r="G443" s="741" t="n">
        <v>410</v>
      </c>
      <c r="H443" s="743" t="inlineStr">
        <is>
          <t>410 - Automotive Center</t>
        </is>
      </c>
      <c r="I443" s="742" t="inlineStr">
        <is>
          <t>Automotive Service Centers</t>
        </is>
      </c>
      <c r="J443" s="741" t="inlineStr">
        <is>
          <t>Sec.14 p.31</t>
        </is>
      </c>
      <c r="K443" s="744" t="n">
        <v>2144</v>
      </c>
      <c r="L443" s="744" t="n">
        <v>9583</v>
      </c>
      <c r="M443" s="745" t="inlineStr">
        <is>
          <t>S</t>
        </is>
      </c>
      <c r="N443" s="745" t="inlineStr">
        <is>
          <t>Average</t>
        </is>
      </c>
      <c r="O443" s="745" t="inlineStr">
        <is>
          <t>Typical</t>
        </is>
      </c>
      <c r="P443" s="745" t="n">
        <v>1960</v>
      </c>
      <c r="Q443" s="741" t="n">
        <v>64</v>
      </c>
      <c r="R443" s="746" t="n">
        <v>97.5</v>
      </c>
      <c r="S443" s="747" t="n">
        <v>209040</v>
      </c>
      <c r="T443" s="742" t="inlineStr"/>
    </row>
    <row r="444">
      <c r="A444" s="748" t="n">
        <v>1148</v>
      </c>
      <c r="B444" s="749" t="inlineStr">
        <is>
          <t>1480 Main St</t>
        </is>
      </c>
      <c r="C444" s="748" t="inlineStr">
        <is>
          <t>Windsor</t>
        </is>
      </c>
      <c r="D444" s="748" t="inlineStr">
        <is>
          <t>Weld</t>
        </is>
      </c>
      <c r="E444" s="748" t="inlineStr">
        <is>
          <t>Drugstore</t>
        </is>
      </c>
      <c r="F444" s="748" t="inlineStr">
        <is>
          <t>Walgreens</t>
        </is>
      </c>
      <c r="G444" s="748" t="n">
        <v>353</v>
      </c>
      <c r="H444" s="743" t="inlineStr">
        <is>
          <t>353 - Retail Store</t>
        </is>
      </c>
      <c r="I444" s="749" t="inlineStr">
        <is>
          <t>Retail Stores</t>
        </is>
      </c>
      <c r="J444" s="748" t="inlineStr">
        <is>
          <t>Sec.13 p.26</t>
        </is>
      </c>
      <c r="K444" s="744" t="n">
        <v>14488</v>
      </c>
      <c r="L444" s="744" t="n">
        <v>108900</v>
      </c>
      <c r="M444" s="745" t="inlineStr">
        <is>
          <t>C</t>
        </is>
      </c>
      <c r="N444" s="745" t="inlineStr">
        <is>
          <t>Average</t>
        </is>
      </c>
      <c r="O444" s="745" t="inlineStr">
        <is>
          <t>Typical</t>
        </is>
      </c>
      <c r="P444" s="745" t="n">
        <v>2003</v>
      </c>
      <c r="Q444" s="748" t="n">
        <v>21</v>
      </c>
      <c r="R444" s="750" t="n">
        <v>117</v>
      </c>
      <c r="S444" s="751" t="n">
        <v>1695096</v>
      </c>
      <c r="T444" s="749" t="inlineStr"/>
    </row>
    <row r="445">
      <c r="A445" s="741" t="n">
        <v>1149</v>
      </c>
      <c r="B445" s="742" t="inlineStr">
        <is>
          <t>2600 11th Ave</t>
        </is>
      </c>
      <c r="C445" s="741" t="inlineStr">
        <is>
          <t>Greeley</t>
        </is>
      </c>
      <c r="D445" s="741" t="inlineStr">
        <is>
          <t>Weld</t>
        </is>
      </c>
      <c r="E445" s="741" t="inlineStr">
        <is>
          <t>Drugstore</t>
        </is>
      </c>
      <c r="F445" s="741" t="inlineStr">
        <is>
          <t>Walgreens</t>
        </is>
      </c>
      <c r="G445" s="741" t="n">
        <v>353</v>
      </c>
      <c r="H445" s="743" t="inlineStr">
        <is>
          <t>353 - Retail Store</t>
        </is>
      </c>
      <c r="I445" s="742" t="inlineStr">
        <is>
          <t>Retail Stores</t>
        </is>
      </c>
      <c r="J445" s="741" t="inlineStr">
        <is>
          <t>Sec.13 p.26</t>
        </is>
      </c>
      <c r="K445" s="744" t="n">
        <v>13625</v>
      </c>
      <c r="L445" s="744" t="n">
        <v>47480</v>
      </c>
      <c r="M445" s="745" t="inlineStr">
        <is>
          <t>C</t>
        </is>
      </c>
      <c r="N445" s="745" t="inlineStr">
        <is>
          <t>Average</t>
        </is>
      </c>
      <c r="O445" s="745" t="inlineStr">
        <is>
          <t>Typical</t>
        </is>
      </c>
      <c r="P445" s="745" t="n">
        <v>2007</v>
      </c>
      <c r="Q445" s="741" t="n">
        <v>17</v>
      </c>
      <c r="R445" s="746" t="n">
        <v>117</v>
      </c>
      <c r="S445" s="747" t="n">
        <v>1594125</v>
      </c>
      <c r="T445" s="742" t="inlineStr"/>
    </row>
    <row r="446">
      <c r="A446" s="748" t="n">
        <v>1150</v>
      </c>
      <c r="B446" s="749" t="inlineStr">
        <is>
          <t>4644 Centerplace Dr</t>
        </is>
      </c>
      <c r="C446" s="748" t="inlineStr">
        <is>
          <t>Greeley</t>
        </is>
      </c>
      <c r="D446" s="748" t="inlineStr">
        <is>
          <t>Weld</t>
        </is>
      </c>
      <c r="E446" s="748" t="inlineStr">
        <is>
          <t>Fast Food</t>
        </is>
      </c>
      <c r="F446" s="748" t="inlineStr">
        <is>
          <t>Wendy's</t>
        </is>
      </c>
      <c r="G446" s="748" t="n">
        <v>349</v>
      </c>
      <c r="H446" s="743" t="inlineStr">
        <is>
          <t>349 - Fast Food Restaurant</t>
        </is>
      </c>
      <c r="I446" s="749" t="inlineStr">
        <is>
          <t>Restaurants – Fast Food</t>
        </is>
      </c>
      <c r="J446" s="748" t="inlineStr">
        <is>
          <t>Sec.13 p.17</t>
        </is>
      </c>
      <c r="K446" s="744" t="n">
        <v>3599</v>
      </c>
      <c r="L446" s="744" t="n">
        <v>47219</v>
      </c>
      <c r="M446" s="745" t="inlineStr">
        <is>
          <t>C</t>
        </is>
      </c>
      <c r="N446" s="745" t="inlineStr">
        <is>
          <t>Average</t>
        </is>
      </c>
      <c r="O446" s="745" t="inlineStr">
        <is>
          <t>Typical</t>
        </is>
      </c>
      <c r="P446" s="745" t="n">
        <v>2003</v>
      </c>
      <c r="Q446" s="748" t="n">
        <v>21</v>
      </c>
      <c r="R446" s="750" t="n">
        <v>191</v>
      </c>
      <c r="S446" s="751" t="n">
        <v>687409</v>
      </c>
      <c r="T446" s="749" t="inlineStr"/>
    </row>
    <row r="447">
      <c r="A447" s="741" t="n">
        <v>1151</v>
      </c>
      <c r="B447" s="742" t="inlineStr">
        <is>
          <t>5815 W 20th St</t>
        </is>
      </c>
      <c r="C447" s="741" t="inlineStr">
        <is>
          <t>Greeley</t>
        </is>
      </c>
      <c r="D447" s="741" t="inlineStr">
        <is>
          <t>Weld</t>
        </is>
      </c>
      <c r="E447" s="741" t="inlineStr">
        <is>
          <t>Coffee</t>
        </is>
      </c>
      <c r="F447" s="741" t="inlineStr">
        <is>
          <t>Ziggi's Coffee</t>
        </is>
      </c>
      <c r="G447" s="741" t="n">
        <v>349</v>
      </c>
      <c r="H447" s="743" t="inlineStr">
        <is>
          <t>349 - Fast Food Restaurant</t>
        </is>
      </c>
      <c r="I447" s="742" t="inlineStr">
        <is>
          <t>Restaurants – Fast Food</t>
        </is>
      </c>
      <c r="J447" s="741" t="inlineStr">
        <is>
          <t>Sec.13 p.17</t>
        </is>
      </c>
      <c r="K447" s="744" t="n">
        <v>492</v>
      </c>
      <c r="L447" s="744" t="n">
        <v>33062</v>
      </c>
      <c r="M447" s="745" t="inlineStr">
        <is>
          <t>C</t>
        </is>
      </c>
      <c r="N447" s="745" t="inlineStr">
        <is>
          <t>Good</t>
        </is>
      </c>
      <c r="O447" s="745" t="inlineStr">
        <is>
          <t>Typical</t>
        </is>
      </c>
      <c r="P447" s="745" t="n">
        <v>2018</v>
      </c>
      <c r="Q447" s="741" t="n">
        <v>6</v>
      </c>
      <c r="R447" s="746" t="n">
        <v>246</v>
      </c>
      <c r="S447" s="747" t="n">
        <v>121032</v>
      </c>
      <c r="T447" s="742" t="inlineStr"/>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Debra K. Coak</dc:creator>
  <dc:title>1997 WO</dc:title>
  <dc:subject>Office comps</dc:subject>
  <dcterms:created xsi:type="dcterms:W3CDTF">1998-04-22T13:43:53Z</dcterms:created>
  <dcterms:modified xsi:type="dcterms:W3CDTF">2026-07-26T20:02:46Z</dcterms:modified>
  <cp:lastModifiedBy>Shaquille Carter</cp:lastModifiedBy>
  <cp:lastPrinted>2021-04-29T19:41:45Z</cp:lastPrinted>
</cp:coreProperties>
</file>